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esktop\Entrega Final - SAR-NGC-JCM\"/>
    </mc:Choice>
  </mc:AlternateContent>
  <bookViews>
    <workbookView xWindow="0" yWindow="0" windowWidth="20490" windowHeight="7530" tabRatio="835" firstSheet="1" activeTab="1"/>
  </bookViews>
  <sheets>
    <sheet name="Portada" sheetId="29" r:id="rId1"/>
    <sheet name="InformacIón proyecto" sheetId="42" r:id="rId2"/>
    <sheet name="Identificación de planos" sheetId="41" r:id="rId3"/>
    <sheet name="Estructura de Presupuesto" sheetId="17" r:id="rId4"/>
    <sheet name="Resumen CD" sheetId="38" r:id="rId5"/>
    <sheet name="Costos indirectos" sheetId="39" r:id="rId6"/>
    <sheet name="Gastos Generales" sheetId="34" r:id="rId7"/>
    <sheet name="Costos totales" sheetId="35" r:id="rId8"/>
    <sheet name="APU" sheetId="30" r:id="rId9"/>
    <sheet name="Cuadro de programación" sheetId="40" r:id="rId10"/>
    <sheet name="Flujo de caja" sheetId="43" r:id="rId11"/>
    <sheet name="Tenores" sheetId="3" r:id="rId12"/>
    <sheet name="1. Preliminares" sheetId="18" r:id="rId13"/>
    <sheet name="3.Concreto" sheetId="4" r:id="rId14"/>
    <sheet name="2. Movimiento de tierra" sheetId="9" r:id="rId15"/>
    <sheet name="4. Refuerzo" sheetId="1" r:id="rId16"/>
    <sheet name="5. Malla" sheetId="2" r:id="rId17"/>
    <sheet name="6. Mampostería" sheetId="11" r:id="rId18"/>
    <sheet name="7. Revoque" sheetId="23" r:id="rId19"/>
    <sheet name="8. Estuco y pintura" sheetId="31" r:id="rId20"/>
    <sheet name="9. Pisos y zócalos" sheetId="12" r:id="rId21"/>
    <sheet name="9. Carpintería metálica" sheetId="14" r:id="rId22"/>
    <sheet name="10. Perfilería de metal" sheetId="25" r:id="rId23"/>
    <sheet name="11. Carpintería en madera" sheetId="13" r:id="rId24"/>
    <sheet name="12. Acabados y accesorios" sheetId="24" r:id="rId25"/>
    <sheet name="13. Instalaciones Eléctricas" sheetId="7" r:id="rId26"/>
    <sheet name="14. Inst. Hidro-Sanitarias" sheetId="28" r:id="rId27"/>
    <sheet name="15. Ap. sanitarios y de cocina" sheetId="22" r:id="rId28"/>
    <sheet name="16. Escaleras 5-9 Acero" sheetId="19" r:id="rId29"/>
    <sheet name="17. Escaleras Emergencia 5-9" sheetId="20" r:id="rId30"/>
    <sheet name="18. Fachada" sheetId="26" r:id="rId31"/>
    <sheet name="19. Cubierta" sheetId="15" r:id="rId32"/>
    <sheet name="20. Casetones" sheetId="5" r:id="rId33"/>
    <sheet name="21. Equipos" sheetId="6" r:id="rId34"/>
  </sheets>
  <externalReferences>
    <externalReference r:id="rId35"/>
    <externalReference r:id="rId36"/>
  </externalReferences>
  <calcPr calcId="171027"/>
  <pivotCaches>
    <pivotCache cacheId="3" r:id="rId37"/>
  </pivotCaches>
</workbook>
</file>

<file path=xl/calcChain.xml><?xml version="1.0" encoding="utf-8"?>
<calcChain xmlns="http://schemas.openxmlformats.org/spreadsheetml/2006/main">
  <c r="H110" i="39" l="1"/>
  <c r="F31" i="39"/>
  <c r="F32" i="39" s="1"/>
  <c r="F35" i="39" s="1"/>
  <c r="F30" i="39"/>
  <c r="C32" i="39"/>
  <c r="C31" i="39"/>
  <c r="G250" i="17"/>
  <c r="D920" i="40"/>
  <c r="G239" i="17"/>
  <c r="G236" i="17"/>
  <c r="E124" i="28"/>
  <c r="D911" i="40"/>
  <c r="D898" i="40"/>
  <c r="D885" i="40"/>
  <c r="D872" i="40"/>
  <c r="E121" i="28"/>
  <c r="D910" i="40"/>
  <c r="D897" i="40"/>
  <c r="D884" i="40"/>
  <c r="D871" i="40"/>
  <c r="E120" i="28"/>
  <c r="E113" i="28"/>
  <c r="D793" i="40"/>
  <c r="G247" i="17"/>
  <c r="D918" i="40"/>
  <c r="D905" i="40"/>
  <c r="D815" i="40"/>
  <c r="D801" i="40"/>
  <c r="D917" i="40"/>
  <c r="D826" i="40"/>
  <c r="D814" i="40"/>
  <c r="D800" i="40"/>
  <c r="D916" i="40"/>
  <c r="D903" i="40"/>
  <c r="D813" i="40"/>
  <c r="D799" i="40"/>
  <c r="D915" i="40"/>
  <c r="D902" i="40"/>
  <c r="D889" i="40"/>
  <c r="D812" i="40"/>
  <c r="D798" i="40"/>
  <c r="D914" i="40"/>
  <c r="D901" i="40"/>
  <c r="D888" i="40"/>
  <c r="D875" i="40"/>
  <c r="D823" i="40"/>
  <c r="D811" i="40"/>
  <c r="D797" i="40"/>
  <c r="D900" i="40"/>
  <c r="D874" i="40"/>
  <c r="D796" i="40"/>
  <c r="R86" i="28"/>
  <c r="G248" i="17"/>
  <c r="G227" i="17"/>
  <c r="G226" i="17"/>
  <c r="D791" i="40"/>
  <c r="D851" i="40"/>
  <c r="D829" i="40"/>
  <c r="D817" i="40"/>
  <c r="D803" i="40"/>
  <c r="D790" i="40"/>
  <c r="D907" i="40"/>
  <c r="E112" i="28"/>
  <c r="E66" i="40"/>
  <c r="E65" i="40"/>
  <c r="E63" i="40"/>
  <c r="E62" i="40"/>
  <c r="E59" i="40"/>
  <c r="E58" i="40"/>
  <c r="E57" i="40"/>
  <c r="F57" i="40" s="1"/>
  <c r="E54" i="40"/>
  <c r="E53" i="40"/>
  <c r="E50" i="40"/>
  <c r="E49" i="40"/>
  <c r="E45" i="40"/>
  <c r="E44" i="40"/>
  <c r="E41" i="40"/>
  <c r="E40" i="40"/>
  <c r="E30" i="40"/>
  <c r="E29" i="40"/>
  <c r="E28" i="40"/>
  <c r="E36" i="40"/>
  <c r="E35" i="40"/>
  <c r="E34" i="40"/>
  <c r="E27" i="40"/>
  <c r="D66" i="40"/>
  <c r="D65" i="40"/>
  <c r="D63" i="40"/>
  <c r="D62" i="40"/>
  <c r="D59" i="40"/>
  <c r="D58" i="40"/>
  <c r="D57" i="40"/>
  <c r="D54" i="40"/>
  <c r="D53" i="40"/>
  <c r="D50" i="40"/>
  <c r="D49" i="40"/>
  <c r="D45" i="40"/>
  <c r="D44" i="40"/>
  <c r="D41" i="40"/>
  <c r="D40" i="40"/>
  <c r="D36" i="40"/>
  <c r="D35" i="40"/>
  <c r="D34" i="40"/>
  <c r="D30" i="40"/>
  <c r="D29" i="40"/>
  <c r="D28" i="40"/>
  <c r="D27" i="40"/>
  <c r="Y65" i="4"/>
  <c r="Y64" i="4"/>
  <c r="Y63" i="4"/>
  <c r="Y62" i="4"/>
  <c r="F41" i="40"/>
  <c r="G41" i="40" s="1"/>
  <c r="I41" i="40" s="1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J290" i="30"/>
  <c r="J289" i="30"/>
  <c r="J288" i="30"/>
  <c r="J287" i="30"/>
  <c r="J286" i="30"/>
  <c r="J285" i="30"/>
  <c r="J284" i="30"/>
  <c r="J278" i="30"/>
  <c r="J277" i="30"/>
  <c r="J276" i="30"/>
  <c r="J275" i="30"/>
  <c r="J274" i="30"/>
  <c r="J273" i="30"/>
  <c r="J272" i="30"/>
  <c r="J254" i="30"/>
  <c r="J253" i="30"/>
  <c r="J252" i="30"/>
  <c r="J251" i="30"/>
  <c r="J250" i="30"/>
  <c r="J249" i="30"/>
  <c r="J248" i="30"/>
  <c r="J242" i="30"/>
  <c r="J241" i="30"/>
  <c r="J240" i="30"/>
  <c r="J239" i="30"/>
  <c r="J238" i="30"/>
  <c r="J237" i="30"/>
  <c r="J236" i="30"/>
  <c r="J230" i="30"/>
  <c r="J229" i="30"/>
  <c r="J228" i="30"/>
  <c r="J227" i="30"/>
  <c r="J226" i="30"/>
  <c r="J225" i="30"/>
  <c r="J224" i="30"/>
  <c r="J218" i="30"/>
  <c r="J217" i="30"/>
  <c r="J216" i="30"/>
  <c r="J215" i="30"/>
  <c r="J214" i="30"/>
  <c r="J213" i="30"/>
  <c r="J212" i="30"/>
  <c r="J206" i="30"/>
  <c r="J205" i="30"/>
  <c r="J204" i="30"/>
  <c r="J203" i="30"/>
  <c r="J202" i="30"/>
  <c r="J201" i="30"/>
  <c r="J200" i="30"/>
  <c r="G30" i="17"/>
  <c r="R66" i="4"/>
  <c r="Q173" i="4" s="1"/>
  <c r="P179" i="4"/>
  <c r="F81" i="3" s="1"/>
  <c r="P178" i="4"/>
  <c r="F79" i="3" s="1"/>
  <c r="P177" i="4"/>
  <c r="F83" i="3" s="1"/>
  <c r="P176" i="4"/>
  <c r="G38" i="17" s="1"/>
  <c r="P173" i="4"/>
  <c r="F86" i="3" s="1"/>
  <c r="P172" i="4"/>
  <c r="F84" i="3" s="1"/>
  <c r="P171" i="4"/>
  <c r="F82" i="3" s="1"/>
  <c r="P174" i="4"/>
  <c r="G36" i="17" s="1"/>
  <c r="P175" i="4"/>
  <c r="F78" i="3" s="1"/>
  <c r="R63" i="4"/>
  <c r="R64" i="4"/>
  <c r="R65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62" i="4"/>
  <c r="F30" i="40" l="1"/>
  <c r="G30" i="40" s="1"/>
  <c r="I30" i="40" s="1"/>
  <c r="F208" i="30"/>
  <c r="F256" i="30"/>
  <c r="G86" i="3"/>
  <c r="F211" i="30" s="1"/>
  <c r="J211" i="30" s="1"/>
  <c r="J220" i="30" s="1"/>
  <c r="H35" i="17" s="1"/>
  <c r="F232" i="30"/>
  <c r="F280" i="30"/>
  <c r="F196" i="30"/>
  <c r="F220" i="30"/>
  <c r="F244" i="30"/>
  <c r="F268" i="30"/>
  <c r="F292" i="30"/>
  <c r="J221" i="30"/>
  <c r="F85" i="3"/>
  <c r="G41" i="17"/>
  <c r="G39" i="17"/>
  <c r="G37" i="17"/>
  <c r="G35" i="17"/>
  <c r="Q171" i="4"/>
  <c r="Q179" i="4"/>
  <c r="Q177" i="4"/>
  <c r="G83" i="3" s="1"/>
  <c r="F259" i="30" s="1"/>
  <c r="Q178" i="4"/>
  <c r="Q175" i="4"/>
  <c r="G78" i="3" s="1"/>
  <c r="F235" i="30" s="1"/>
  <c r="J235" i="30" s="1"/>
  <c r="J244" i="30" s="1"/>
  <c r="J40" i="40" s="1"/>
  <c r="Q174" i="4"/>
  <c r="Q172" i="4"/>
  <c r="G84" i="3" s="1"/>
  <c r="F199" i="30" s="1"/>
  <c r="J199" i="30" s="1"/>
  <c r="J208" i="30" s="1"/>
  <c r="J28" i="40" s="1"/>
  <c r="F80" i="3"/>
  <c r="G80" i="3" s="1"/>
  <c r="G33" i="17"/>
  <c r="G40" i="17"/>
  <c r="G34" i="17"/>
  <c r="G79" i="3"/>
  <c r="F271" i="30" s="1"/>
  <c r="J271" i="30" s="1"/>
  <c r="J280" i="30" s="1"/>
  <c r="J65" i="40" s="1"/>
  <c r="G82" i="3"/>
  <c r="F187" i="30" s="1"/>
  <c r="G81" i="3"/>
  <c r="R167" i="4"/>
  <c r="R168" i="4"/>
  <c r="F72" i="3" s="1"/>
  <c r="Q176" i="4"/>
  <c r="J62" i="40" l="1"/>
  <c r="J53" i="40"/>
  <c r="J44" i="40"/>
  <c r="J35" i="40"/>
  <c r="J57" i="40"/>
  <c r="J49" i="40"/>
  <c r="J29" i="40"/>
  <c r="G85" i="3"/>
  <c r="F247" i="30" s="1"/>
  <c r="J247" i="30" s="1"/>
  <c r="J256" i="30" s="1"/>
  <c r="J209" i="30"/>
  <c r="H34" i="17"/>
  <c r="I34" i="17" s="1"/>
  <c r="J245" i="30"/>
  <c r="H37" i="17"/>
  <c r="I37" i="17" s="1"/>
  <c r="J281" i="30"/>
  <c r="H40" i="17"/>
  <c r="I40" i="17" s="1"/>
  <c r="F223" i="30"/>
  <c r="J223" i="30" s="1"/>
  <c r="J232" i="30" s="1"/>
  <c r="F283" i="30"/>
  <c r="J283" i="30" s="1"/>
  <c r="J292" i="30" s="1"/>
  <c r="I35" i="17"/>
  <c r="F76" i="3"/>
  <c r="F74" i="3"/>
  <c r="F77" i="3"/>
  <c r="J45" i="40" l="1"/>
  <c r="J54" i="40"/>
  <c r="J34" i="40"/>
  <c r="J41" i="40"/>
  <c r="J50" i="40"/>
  <c r="J58" i="40"/>
  <c r="J63" i="40"/>
  <c r="J66" i="40"/>
  <c r="J257" i="30"/>
  <c r="J36" i="40"/>
  <c r="J30" i="40"/>
  <c r="H38" i="17"/>
  <c r="I38" i="17" s="1"/>
  <c r="J233" i="30"/>
  <c r="H36" i="17"/>
  <c r="I36" i="17" s="1"/>
  <c r="J293" i="30"/>
  <c r="H41" i="17"/>
  <c r="I41" i="17" s="1"/>
  <c r="F19" i="3" l="1"/>
  <c r="N49" i="4"/>
  <c r="C68" i="4"/>
  <c r="G31" i="17" l="1"/>
  <c r="N14" i="25" l="1"/>
  <c r="N15" i="25" s="1"/>
  <c r="G97" i="17"/>
  <c r="J344" i="40"/>
  <c r="F344" i="40"/>
  <c r="G344" i="40" s="1"/>
  <c r="J343" i="40"/>
  <c r="F343" i="40"/>
  <c r="G343" i="40" s="1"/>
  <c r="J324" i="40"/>
  <c r="F324" i="40"/>
  <c r="G324" i="40" s="1"/>
  <c r="J323" i="40"/>
  <c r="F323" i="40"/>
  <c r="G323" i="40" s="1"/>
  <c r="J304" i="40"/>
  <c r="F304" i="40"/>
  <c r="G304" i="40" s="1"/>
  <c r="J303" i="40"/>
  <c r="F303" i="40"/>
  <c r="G303" i="40" s="1"/>
  <c r="J288" i="40"/>
  <c r="J287" i="40"/>
  <c r="F281" i="40"/>
  <c r="G281" i="40" s="1"/>
  <c r="F282" i="40"/>
  <c r="G282" i="40" s="1"/>
  <c r="F283" i="40"/>
  <c r="G283" i="40" s="1"/>
  <c r="F284" i="40"/>
  <c r="G284" i="40" s="1"/>
  <c r="F285" i="40"/>
  <c r="G285" i="40" s="1"/>
  <c r="F287" i="40"/>
  <c r="G287" i="40" s="1"/>
  <c r="F288" i="40"/>
  <c r="G288" i="40" s="1"/>
  <c r="E920" i="40" l="1"/>
  <c r="I920" i="40"/>
  <c r="G255" i="17"/>
  <c r="I787" i="40"/>
  <c r="F786" i="40"/>
  <c r="G786" i="40" s="1"/>
  <c r="I786" i="40" s="1"/>
  <c r="F785" i="40"/>
  <c r="G785" i="40" s="1"/>
  <c r="I785" i="40" s="1"/>
  <c r="E787" i="40"/>
  <c r="E56" i="34" l="1"/>
  <c r="F11" i="34" s="1"/>
  <c r="G11" i="34" s="1"/>
  <c r="J304" i="30" l="1"/>
  <c r="J303" i="30"/>
  <c r="J302" i="30"/>
  <c r="J301" i="30"/>
  <c r="J300" i="30"/>
  <c r="J299" i="30"/>
  <c r="J298" i="30"/>
  <c r="J297" i="30"/>
  <c r="J296" i="30"/>
  <c r="F295" i="30"/>
  <c r="J295" i="30" s="1"/>
  <c r="E25" i="40"/>
  <c r="J143" i="30"/>
  <c r="J142" i="30"/>
  <c r="J141" i="30"/>
  <c r="J140" i="30"/>
  <c r="J139" i="30"/>
  <c r="B146" i="3"/>
  <c r="B145" i="3"/>
  <c r="B144" i="3"/>
  <c r="B143" i="3"/>
  <c r="B142" i="3"/>
  <c r="G42" i="17" l="1"/>
  <c r="D69" i="40"/>
  <c r="F306" i="30"/>
  <c r="J306" i="30"/>
  <c r="J138" i="30"/>
  <c r="J145" i="30" s="1"/>
  <c r="J69" i="40" l="1"/>
  <c r="F69" i="40"/>
  <c r="G69" i="40" s="1"/>
  <c r="I69" i="40" s="1"/>
  <c r="J307" i="30"/>
  <c r="H42" i="17"/>
  <c r="I42" i="17" s="1"/>
  <c r="M34" i="17" s="1"/>
  <c r="E122" i="34"/>
  <c r="B122" i="34"/>
  <c r="C122" i="34" s="1"/>
  <c r="D120" i="34"/>
  <c r="H120" i="34" s="1"/>
  <c r="B120" i="34"/>
  <c r="C120" i="34" s="1"/>
  <c r="E118" i="34"/>
  <c r="B118" i="34"/>
  <c r="C118" i="34" s="1"/>
  <c r="E116" i="34"/>
  <c r="B116" i="34"/>
  <c r="C116" i="34" s="1"/>
  <c r="E123" i="34" l="1"/>
  <c r="F16" i="34" s="1"/>
  <c r="G16" i="34" s="1"/>
  <c r="G37" i="34"/>
  <c r="G38" i="34"/>
  <c r="G39" i="34"/>
  <c r="G40" i="34"/>
  <c r="G41" i="34"/>
  <c r="G42" i="34"/>
  <c r="G43" i="34"/>
  <c r="F36" i="34"/>
  <c r="G36" i="34" s="1"/>
  <c r="F7" i="34"/>
  <c r="G7" i="34" s="1"/>
  <c r="I156" i="34"/>
  <c r="I155" i="34"/>
  <c r="I154" i="34"/>
  <c r="I153" i="34"/>
  <c r="I151" i="34"/>
  <c r="I152" i="34" s="1"/>
  <c r="I150" i="34"/>
  <c r="I149" i="34"/>
  <c r="I148" i="34"/>
  <c r="I147" i="34"/>
  <c r="G35" i="34" l="1"/>
  <c r="I157" i="34"/>
  <c r="F164" i="34" l="1"/>
  <c r="G164" i="34" s="1"/>
  <c r="F25" i="34" s="1"/>
  <c r="G25" i="34" s="1"/>
  <c r="F168" i="34"/>
  <c r="G168" i="34" s="1"/>
  <c r="F29" i="34" s="1"/>
  <c r="G29" i="34" s="1"/>
  <c r="F172" i="34"/>
  <c r="G172" i="34" s="1"/>
  <c r="F33" i="34" s="1"/>
  <c r="G33" i="34" s="1"/>
  <c r="F170" i="34"/>
  <c r="G170" i="34" s="1"/>
  <c r="F31" i="34" s="1"/>
  <c r="G31" i="34" s="1"/>
  <c r="F161" i="34"/>
  <c r="G161" i="34" s="1"/>
  <c r="F22" i="34" s="1"/>
  <c r="G22" i="34" s="1"/>
  <c r="F165" i="34"/>
  <c r="G165" i="34" s="1"/>
  <c r="F26" i="34" s="1"/>
  <c r="G26" i="34" s="1"/>
  <c r="F169" i="34"/>
  <c r="G169" i="34" s="1"/>
  <c r="F30" i="34" s="1"/>
  <c r="G30" i="34" s="1"/>
  <c r="F173" i="34"/>
  <c r="G173" i="34" s="1"/>
  <c r="F34" i="34" s="1"/>
  <c r="G34" i="34" s="1"/>
  <c r="F162" i="34"/>
  <c r="G162" i="34" s="1"/>
  <c r="F23" i="34" s="1"/>
  <c r="G23" i="34" s="1"/>
  <c r="F160" i="34"/>
  <c r="G160" i="34" s="1"/>
  <c r="F21" i="34" s="1"/>
  <c r="G21" i="34" s="1"/>
  <c r="F163" i="34"/>
  <c r="G163" i="34" s="1"/>
  <c r="F24" i="34" s="1"/>
  <c r="G24" i="34" s="1"/>
  <c r="F167" i="34"/>
  <c r="G167" i="34" s="1"/>
  <c r="F28" i="34" s="1"/>
  <c r="G28" i="34" s="1"/>
  <c r="F171" i="34"/>
  <c r="G171" i="34" s="1"/>
  <c r="F32" i="34" s="1"/>
  <c r="G32" i="34" s="1"/>
  <c r="F166" i="34"/>
  <c r="G166" i="34" s="1"/>
  <c r="F27" i="34" s="1"/>
  <c r="G27" i="34" s="1"/>
  <c r="G20" i="34" l="1"/>
  <c r="I160" i="34"/>
  <c r="H89" i="34"/>
  <c r="H90" i="34"/>
  <c r="H91" i="34"/>
  <c r="H92" i="34"/>
  <c r="H93" i="34"/>
  <c r="H88" i="34"/>
  <c r="G89" i="34"/>
  <c r="G90" i="34"/>
  <c r="G91" i="34"/>
  <c r="G92" i="34"/>
  <c r="G93" i="34"/>
  <c r="G94" i="34"/>
  <c r="G95" i="34"/>
  <c r="G88" i="34"/>
  <c r="F89" i="34"/>
  <c r="F90" i="34"/>
  <c r="F91" i="34"/>
  <c r="F92" i="34"/>
  <c r="F93" i="34"/>
  <c r="F94" i="34"/>
  <c r="F95" i="34"/>
  <c r="F88" i="34"/>
  <c r="E94" i="34"/>
  <c r="E95" i="34"/>
  <c r="G103" i="34"/>
  <c r="G102" i="34"/>
  <c r="E89" i="34"/>
  <c r="G97" i="34" s="1"/>
  <c r="E90" i="34"/>
  <c r="G98" i="34" s="1"/>
  <c r="E91" i="34"/>
  <c r="G99" i="34" s="1"/>
  <c r="E92" i="34"/>
  <c r="G100" i="34" s="1"/>
  <c r="E93" i="34"/>
  <c r="G101" i="34" s="1"/>
  <c r="E88" i="34"/>
  <c r="G96" i="34" s="1"/>
  <c r="G104" i="34" l="1"/>
  <c r="G106" i="34"/>
  <c r="G105" i="34"/>
  <c r="G107" i="34" s="1"/>
  <c r="G108" i="34" s="1"/>
  <c r="G109" i="34" s="1"/>
  <c r="F15" i="34" s="1"/>
  <c r="G15" i="34" s="1"/>
  <c r="G68" i="34" l="1"/>
  <c r="G69" i="34"/>
  <c r="G67" i="34"/>
  <c r="F70" i="34"/>
  <c r="D65" i="34"/>
  <c r="F65" i="34" s="1"/>
  <c r="E14" i="34" s="1"/>
  <c r="F63" i="34"/>
  <c r="F13" i="34" s="1"/>
  <c r="G13" i="34" s="1"/>
  <c r="H191" i="34"/>
  <c r="G44" i="34" s="1"/>
  <c r="F187" i="34"/>
  <c r="B55" i="34"/>
  <c r="F55" i="34" s="1"/>
  <c r="F10" i="34" s="1"/>
  <c r="G10" i="34" s="1"/>
  <c r="B54" i="34"/>
  <c r="E54" i="34" s="1"/>
  <c r="B53" i="34"/>
  <c r="E53" i="34" s="1"/>
  <c r="F8" i="34" s="1"/>
  <c r="G8" i="34" s="1"/>
  <c r="B52" i="34"/>
  <c r="E52" i="34" s="1"/>
  <c r="B51" i="34"/>
  <c r="E51" i="34" s="1"/>
  <c r="F6" i="34" s="1"/>
  <c r="G6" i="34" s="1"/>
  <c r="B50" i="34"/>
  <c r="E50" i="34" s="1"/>
  <c r="F5" i="34" s="1"/>
  <c r="G5" i="34" s="1"/>
  <c r="G70" i="34" l="1"/>
  <c r="E55" i="34"/>
  <c r="F54" i="34"/>
  <c r="F9" i="34" s="1"/>
  <c r="G9" i="34" s="1"/>
  <c r="G4" i="34" s="1"/>
  <c r="G71" i="34" l="1"/>
  <c r="F14" i="34"/>
  <c r="G14" i="34" s="1"/>
  <c r="D128" i="39"/>
  <c r="D127" i="39"/>
  <c r="D126" i="39"/>
  <c r="D119" i="39"/>
  <c r="D130" i="39" s="1"/>
  <c r="G12" i="34" l="1"/>
  <c r="D129" i="39"/>
  <c r="D131" i="39" s="1"/>
  <c r="E15" i="39" s="1"/>
  <c r="J870" i="30"/>
  <c r="F870" i="30"/>
  <c r="I139" i="17"/>
  <c r="E122" i="40"/>
  <c r="E932" i="40"/>
  <c r="E933" i="40"/>
  <c r="E934" i="40"/>
  <c r="E935" i="40"/>
  <c r="D932" i="40"/>
  <c r="L9" i="26"/>
  <c r="D933" i="40" s="1"/>
  <c r="E924" i="40"/>
  <c r="E925" i="40"/>
  <c r="E926" i="40"/>
  <c r="E927" i="40"/>
  <c r="E928" i="40"/>
  <c r="E929" i="40"/>
  <c r="E930" i="40"/>
  <c r="E931" i="40"/>
  <c r="E923" i="40"/>
  <c r="F922" i="40"/>
  <c r="G922" i="40" s="1"/>
  <c r="I922" i="40" s="1"/>
  <c r="D934" i="40" l="1"/>
  <c r="D935" i="40"/>
  <c r="F935" i="40" s="1"/>
  <c r="G935" i="40" s="1"/>
  <c r="I935" i="40" s="1"/>
  <c r="J871" i="30"/>
  <c r="F934" i="40"/>
  <c r="G934" i="40" s="1"/>
  <c r="I934" i="40" s="1"/>
  <c r="F932" i="40"/>
  <c r="G932" i="40" s="1"/>
  <c r="I932" i="40" s="1"/>
  <c r="F933" i="40"/>
  <c r="G933" i="40" s="1"/>
  <c r="I933" i="40" s="1"/>
  <c r="E208" i="40" l="1"/>
  <c r="E202" i="40"/>
  <c r="E201" i="40"/>
  <c r="E198" i="40"/>
  <c r="E193" i="40"/>
  <c r="E192" i="40"/>
  <c r="E189" i="40"/>
  <c r="E184" i="40"/>
  <c r="E183" i="40"/>
  <c r="E179" i="40"/>
  <c r="E174" i="40"/>
  <c r="E173" i="40"/>
  <c r="E170" i="40"/>
  <c r="E166" i="40"/>
  <c r="E161" i="40"/>
  <c r="E157" i="40"/>
  <c r="E156" i="40"/>
  <c r="E154" i="40"/>
  <c r="E151" i="40"/>
  <c r="E146" i="40"/>
  <c r="E144" i="40"/>
  <c r="E137" i="40"/>
  <c r="E136" i="40"/>
  <c r="E131" i="40"/>
  <c r="E129" i="40"/>
  <c r="E100" i="40" l="1"/>
  <c r="E101" i="40"/>
  <c r="E102" i="40"/>
  <c r="E103" i="40"/>
  <c r="E104" i="40"/>
  <c r="E105" i="40"/>
  <c r="E106" i="40"/>
  <c r="E107" i="40"/>
  <c r="E99" i="40"/>
  <c r="D909" i="40"/>
  <c r="D908" i="40"/>
  <c r="E918" i="40"/>
  <c r="E917" i="40"/>
  <c r="E916" i="40"/>
  <c r="E915" i="40"/>
  <c r="E914" i="40"/>
  <c r="E913" i="40"/>
  <c r="E912" i="40"/>
  <c r="E911" i="40"/>
  <c r="E910" i="40"/>
  <c r="E909" i="40"/>
  <c r="E908" i="40"/>
  <c r="E907" i="40"/>
  <c r="E905" i="40"/>
  <c r="E904" i="40"/>
  <c r="E903" i="40"/>
  <c r="E902" i="40"/>
  <c r="E901" i="40"/>
  <c r="E900" i="40"/>
  <c r="E899" i="40"/>
  <c r="E898" i="40"/>
  <c r="E897" i="40"/>
  <c r="E896" i="40"/>
  <c r="E895" i="40"/>
  <c r="E894" i="40"/>
  <c r="E892" i="40"/>
  <c r="E891" i="40"/>
  <c r="E890" i="40"/>
  <c r="E889" i="40"/>
  <c r="E888" i="40"/>
  <c r="E887" i="40"/>
  <c r="E886" i="40"/>
  <c r="E885" i="40"/>
  <c r="E884" i="40"/>
  <c r="E883" i="40"/>
  <c r="E882" i="40"/>
  <c r="E881" i="40"/>
  <c r="E870" i="40"/>
  <c r="E879" i="40"/>
  <c r="E878" i="40"/>
  <c r="E877" i="40"/>
  <c r="E876" i="40"/>
  <c r="E875" i="40"/>
  <c r="E874" i="40"/>
  <c r="E873" i="40"/>
  <c r="E872" i="40"/>
  <c r="E871" i="40"/>
  <c r="E869" i="40"/>
  <c r="E868" i="40"/>
  <c r="E860" i="40"/>
  <c r="E858" i="40"/>
  <c r="E859" i="40"/>
  <c r="E834" i="40"/>
  <c r="D860" i="40"/>
  <c r="D858" i="40"/>
  <c r="D857" i="40"/>
  <c r="D856" i="40"/>
  <c r="D855" i="40"/>
  <c r="D854" i="40"/>
  <c r="D853" i="40"/>
  <c r="D852" i="40"/>
  <c r="E866" i="40"/>
  <c r="E865" i="40"/>
  <c r="E864" i="40"/>
  <c r="E863" i="40"/>
  <c r="E862" i="40"/>
  <c r="E861" i="40"/>
  <c r="E857" i="40"/>
  <c r="E856" i="40"/>
  <c r="E855" i="40"/>
  <c r="E854" i="40"/>
  <c r="E853" i="40"/>
  <c r="E852" i="40"/>
  <c r="E851" i="40"/>
  <c r="D843" i="40"/>
  <c r="D842" i="40"/>
  <c r="D841" i="40"/>
  <c r="D840" i="40"/>
  <c r="D839" i="40"/>
  <c r="D838" i="40"/>
  <c r="D837" i="40"/>
  <c r="D836" i="40"/>
  <c r="D835" i="40"/>
  <c r="E843" i="40"/>
  <c r="E842" i="40"/>
  <c r="E841" i="40"/>
  <c r="E840" i="40"/>
  <c r="E839" i="40"/>
  <c r="E838" i="40"/>
  <c r="E837" i="40"/>
  <c r="E836" i="40"/>
  <c r="E835" i="40"/>
  <c r="E831" i="40"/>
  <c r="D834" i="40"/>
  <c r="D833" i="40"/>
  <c r="D832" i="40"/>
  <c r="D831" i="40"/>
  <c r="D830" i="40"/>
  <c r="E833" i="40"/>
  <c r="E832" i="40"/>
  <c r="E830" i="40"/>
  <c r="E829" i="40"/>
  <c r="E849" i="40"/>
  <c r="E848" i="40"/>
  <c r="E847" i="40"/>
  <c r="E846" i="40"/>
  <c r="E845" i="40"/>
  <c r="E844" i="40"/>
  <c r="D821" i="40"/>
  <c r="D820" i="40"/>
  <c r="D819" i="40"/>
  <c r="D818" i="40"/>
  <c r="E827" i="40"/>
  <c r="E826" i="40"/>
  <c r="E825" i="40"/>
  <c r="E824" i="40"/>
  <c r="E823" i="40"/>
  <c r="E822" i="40"/>
  <c r="E821" i="40"/>
  <c r="E820" i="40"/>
  <c r="E819" i="40"/>
  <c r="E818" i="40"/>
  <c r="E817" i="40"/>
  <c r="E809" i="40"/>
  <c r="E808" i="40"/>
  <c r="E805" i="40"/>
  <c r="E804" i="40"/>
  <c r="D809" i="40"/>
  <c r="D808" i="40"/>
  <c r="D807" i="40"/>
  <c r="D806" i="40"/>
  <c r="D805" i="40"/>
  <c r="D804" i="40"/>
  <c r="E815" i="40"/>
  <c r="E814" i="40"/>
  <c r="E813" i="40"/>
  <c r="E812" i="40"/>
  <c r="E811" i="40"/>
  <c r="E810" i="40"/>
  <c r="E807" i="40"/>
  <c r="E806" i="40"/>
  <c r="E803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D795" i="40"/>
  <c r="D794" i="40"/>
  <c r="D792" i="40"/>
  <c r="F859" i="40" l="1"/>
  <c r="F860" i="40"/>
  <c r="F908" i="40"/>
  <c r="G908" i="40" s="1"/>
  <c r="I908" i="40" s="1"/>
  <c r="F909" i="40"/>
  <c r="G909" i="40" s="1"/>
  <c r="I909" i="40" s="1"/>
  <c r="F830" i="40"/>
  <c r="G830" i="40" s="1"/>
  <c r="I830" i="40" s="1"/>
  <c r="F804" i="40"/>
  <c r="F817" i="40"/>
  <c r="G817" i="40" s="1"/>
  <c r="I817" i="40" s="1"/>
  <c r="F851" i="40"/>
  <c r="G851" i="40" s="1"/>
  <c r="I851" i="40" s="1"/>
  <c r="F792" i="40"/>
  <c r="F854" i="40"/>
  <c r="G854" i="40" s="1"/>
  <c r="I854" i="40" s="1"/>
  <c r="F820" i="40"/>
  <c r="G820" i="40" s="1"/>
  <c r="I820" i="40" s="1"/>
  <c r="F907" i="40"/>
  <c r="G907" i="40" s="1"/>
  <c r="I907" i="40" s="1"/>
  <c r="F805" i="40"/>
  <c r="F834" i="40"/>
  <c r="G834" i="40" s="1"/>
  <c r="I834" i="40" s="1"/>
  <c r="F808" i="40"/>
  <c r="F821" i="40"/>
  <c r="G821" i="40" s="1"/>
  <c r="I821" i="40" s="1"/>
  <c r="F831" i="40"/>
  <c r="F838" i="40"/>
  <c r="G838" i="40" s="1"/>
  <c r="I838" i="40" s="1"/>
  <c r="F842" i="40"/>
  <c r="F837" i="40"/>
  <c r="F841" i="40"/>
  <c r="F852" i="40"/>
  <c r="G852" i="40" s="1"/>
  <c r="I852" i="40" s="1"/>
  <c r="F795" i="40"/>
  <c r="F790" i="40"/>
  <c r="F835" i="40"/>
  <c r="F839" i="40"/>
  <c r="G839" i="40" s="1"/>
  <c r="I839" i="40" s="1"/>
  <c r="F843" i="40"/>
  <c r="F853" i="40"/>
  <c r="G853" i="40" s="1"/>
  <c r="I853" i="40" s="1"/>
  <c r="F819" i="40"/>
  <c r="G819" i="40" s="1"/>
  <c r="I819" i="40" s="1"/>
  <c r="F836" i="40"/>
  <c r="F840" i="40"/>
  <c r="G840" i="40" s="1"/>
  <c r="I840" i="40" s="1"/>
  <c r="F791" i="40"/>
  <c r="F793" i="40"/>
  <c r="F794" i="40"/>
  <c r="F809" i="40"/>
  <c r="F818" i="40"/>
  <c r="G818" i="40" s="1"/>
  <c r="I818" i="40" s="1"/>
  <c r="F833" i="40"/>
  <c r="G833" i="40" s="1"/>
  <c r="I833" i="40" s="1"/>
  <c r="F858" i="40"/>
  <c r="F856" i="40"/>
  <c r="G856" i="40" s="1"/>
  <c r="I856" i="40" s="1"/>
  <c r="F857" i="40"/>
  <c r="G857" i="40" s="1"/>
  <c r="I857" i="40" s="1"/>
  <c r="F855" i="40"/>
  <c r="G855" i="40" s="1"/>
  <c r="I855" i="40" s="1"/>
  <c r="F832" i="40"/>
  <c r="G832" i="40" s="1"/>
  <c r="I832" i="40" s="1"/>
  <c r="F829" i="40"/>
  <c r="G829" i="40" s="1"/>
  <c r="I829" i="40" s="1"/>
  <c r="F807" i="40"/>
  <c r="G807" i="40" s="1"/>
  <c r="I807" i="40" s="1"/>
  <c r="F806" i="40"/>
  <c r="G806" i="40" s="1"/>
  <c r="I806" i="40" s="1"/>
  <c r="F803" i="40"/>
  <c r="G803" i="40" s="1"/>
  <c r="I803" i="40" s="1"/>
  <c r="G809" i="40" l="1"/>
  <c r="G793" i="40"/>
  <c r="G843" i="40"/>
  <c r="G835" i="40"/>
  <c r="G795" i="40"/>
  <c r="G841" i="40"/>
  <c r="G842" i="40"/>
  <c r="G831" i="40"/>
  <c r="G808" i="40"/>
  <c r="G805" i="40"/>
  <c r="G792" i="40"/>
  <c r="G859" i="40"/>
  <c r="G858" i="40"/>
  <c r="G794" i="40"/>
  <c r="G791" i="40"/>
  <c r="G836" i="40"/>
  <c r="G790" i="40"/>
  <c r="G837" i="40"/>
  <c r="G804" i="40"/>
  <c r="G860" i="40"/>
  <c r="R87" i="28"/>
  <c r="E506" i="40"/>
  <c r="F506" i="40" s="1"/>
  <c r="G506" i="40" s="1"/>
  <c r="I506" i="40" s="1"/>
  <c r="E505" i="40"/>
  <c r="F505" i="40" s="1"/>
  <c r="G505" i="40" s="1"/>
  <c r="I505" i="40" s="1"/>
  <c r="E504" i="40"/>
  <c r="F504" i="40" s="1"/>
  <c r="G504" i="40" s="1"/>
  <c r="I504" i="40" s="1"/>
  <c r="E503" i="40"/>
  <c r="F503" i="40" s="1"/>
  <c r="G503" i="40" s="1"/>
  <c r="I503" i="40" s="1"/>
  <c r="E458" i="40"/>
  <c r="F458" i="40" s="1"/>
  <c r="G458" i="40" s="1"/>
  <c r="I458" i="40" s="1"/>
  <c r="E457" i="40"/>
  <c r="F457" i="40" s="1"/>
  <c r="G457" i="40" s="1"/>
  <c r="I457" i="40" s="1"/>
  <c r="E456" i="40"/>
  <c r="F456" i="40" s="1"/>
  <c r="G456" i="40" s="1"/>
  <c r="I456" i="40" s="1"/>
  <c r="E455" i="40"/>
  <c r="F455" i="40" s="1"/>
  <c r="G455" i="40" s="1"/>
  <c r="I455" i="40" s="1"/>
  <c r="E443" i="40"/>
  <c r="F443" i="40" s="1"/>
  <c r="G443" i="40" s="1"/>
  <c r="I443" i="40" s="1"/>
  <c r="E442" i="40"/>
  <c r="F442" i="40" s="1"/>
  <c r="G442" i="40" s="1"/>
  <c r="I442" i="40" s="1"/>
  <c r="E441" i="40"/>
  <c r="F441" i="40" s="1"/>
  <c r="G441" i="40" s="1"/>
  <c r="I441" i="40" s="1"/>
  <c r="E440" i="40"/>
  <c r="F440" i="40" s="1"/>
  <c r="G440" i="40" s="1"/>
  <c r="I440" i="40" s="1"/>
  <c r="E417" i="40"/>
  <c r="F417" i="40" s="1"/>
  <c r="G417" i="40" s="1"/>
  <c r="I417" i="40" s="1"/>
  <c r="E416" i="40"/>
  <c r="F416" i="40" s="1"/>
  <c r="G416" i="40" s="1"/>
  <c r="I416" i="40" s="1"/>
  <c r="E415" i="40"/>
  <c r="F415" i="40" s="1"/>
  <c r="G415" i="40" s="1"/>
  <c r="I415" i="40" s="1"/>
  <c r="E414" i="40"/>
  <c r="F414" i="40" s="1"/>
  <c r="G414" i="40" s="1"/>
  <c r="I414" i="40" s="1"/>
  <c r="E502" i="40"/>
  <c r="F502" i="40" s="1"/>
  <c r="G502" i="40" s="1"/>
  <c r="I502" i="40" s="1"/>
  <c r="E501" i="40"/>
  <c r="F501" i="40" s="1"/>
  <c r="G501" i="40" s="1"/>
  <c r="I501" i="40" s="1"/>
  <c r="E500" i="40"/>
  <c r="F500" i="40" s="1"/>
  <c r="G500" i="40" s="1"/>
  <c r="I500" i="40" s="1"/>
  <c r="E499" i="40"/>
  <c r="F499" i="40" s="1"/>
  <c r="G499" i="40" s="1"/>
  <c r="I499" i="40" s="1"/>
  <c r="E498" i="40"/>
  <c r="F498" i="40" s="1"/>
  <c r="G498" i="40" s="1"/>
  <c r="I498" i="40" s="1"/>
  <c r="E497" i="40"/>
  <c r="F497" i="40" s="1"/>
  <c r="G497" i="40" s="1"/>
  <c r="I497" i="40" s="1"/>
  <c r="E496" i="40"/>
  <c r="F496" i="40" s="1"/>
  <c r="G496" i="40" s="1"/>
  <c r="I496" i="40" s="1"/>
  <c r="E495" i="40"/>
  <c r="F495" i="40" s="1"/>
  <c r="G495" i="40" s="1"/>
  <c r="I495" i="40" s="1"/>
  <c r="E494" i="40"/>
  <c r="F494" i="40" s="1"/>
  <c r="G494" i="40" s="1"/>
  <c r="I494" i="40" s="1"/>
  <c r="E493" i="40"/>
  <c r="F493" i="40" s="1"/>
  <c r="G493" i="40" s="1"/>
  <c r="I493" i="40" s="1"/>
  <c r="E491" i="40"/>
  <c r="F491" i="40" s="1"/>
  <c r="G491" i="40" s="1"/>
  <c r="I491" i="40" s="1"/>
  <c r="E490" i="40"/>
  <c r="F490" i="40" s="1"/>
  <c r="G490" i="40" s="1"/>
  <c r="I490" i="40" s="1"/>
  <c r="E489" i="40"/>
  <c r="F489" i="40" s="1"/>
  <c r="G489" i="40" s="1"/>
  <c r="I489" i="40" s="1"/>
  <c r="E488" i="40"/>
  <c r="F488" i="40" s="1"/>
  <c r="G488" i="40" s="1"/>
  <c r="I488" i="40" s="1"/>
  <c r="E487" i="40"/>
  <c r="F487" i="40" s="1"/>
  <c r="G487" i="40" s="1"/>
  <c r="I487" i="40" s="1"/>
  <c r="E486" i="40"/>
  <c r="F486" i="40" s="1"/>
  <c r="G486" i="40" s="1"/>
  <c r="I486" i="40" s="1"/>
  <c r="E485" i="40"/>
  <c r="F485" i="40" s="1"/>
  <c r="G485" i="40" s="1"/>
  <c r="I485" i="40" s="1"/>
  <c r="E484" i="40"/>
  <c r="F484" i="40" s="1"/>
  <c r="G484" i="40" s="1"/>
  <c r="I484" i="40" s="1"/>
  <c r="E483" i="40"/>
  <c r="F483" i="40" s="1"/>
  <c r="G483" i="40" s="1"/>
  <c r="I483" i="40" s="1"/>
  <c r="E482" i="40"/>
  <c r="F482" i="40" s="1"/>
  <c r="G482" i="40" s="1"/>
  <c r="I482" i="40" s="1"/>
  <c r="E480" i="40"/>
  <c r="F480" i="40" s="1"/>
  <c r="G480" i="40" s="1"/>
  <c r="I480" i="40" s="1"/>
  <c r="E479" i="40"/>
  <c r="F479" i="40" s="1"/>
  <c r="G479" i="40" s="1"/>
  <c r="I479" i="40" s="1"/>
  <c r="E478" i="40"/>
  <c r="F478" i="40" s="1"/>
  <c r="G478" i="40" s="1"/>
  <c r="I478" i="40" s="1"/>
  <c r="E477" i="40"/>
  <c r="F477" i="40" s="1"/>
  <c r="G477" i="40" s="1"/>
  <c r="I477" i="40" s="1"/>
  <c r="E476" i="40"/>
  <c r="F476" i="40" s="1"/>
  <c r="G476" i="40" s="1"/>
  <c r="I476" i="40" s="1"/>
  <c r="E475" i="40"/>
  <c r="F475" i="40" s="1"/>
  <c r="G475" i="40" s="1"/>
  <c r="I475" i="40" s="1"/>
  <c r="E474" i="40"/>
  <c r="F474" i="40" s="1"/>
  <c r="G474" i="40" s="1"/>
  <c r="I474" i="40" s="1"/>
  <c r="E473" i="40"/>
  <c r="F473" i="40" s="1"/>
  <c r="G473" i="40" s="1"/>
  <c r="I473" i="40" s="1"/>
  <c r="E472" i="40"/>
  <c r="F472" i="40" s="1"/>
  <c r="G472" i="40" s="1"/>
  <c r="I472" i="40" s="1"/>
  <c r="E471" i="40"/>
  <c r="F471" i="40" s="1"/>
  <c r="G471" i="40" s="1"/>
  <c r="I471" i="40" s="1"/>
  <c r="E469" i="40"/>
  <c r="F469" i="40" s="1"/>
  <c r="G469" i="40" s="1"/>
  <c r="I469" i="40" s="1"/>
  <c r="E468" i="40"/>
  <c r="F468" i="40" s="1"/>
  <c r="G468" i="40" s="1"/>
  <c r="I468" i="40" s="1"/>
  <c r="E467" i="40"/>
  <c r="F467" i="40" s="1"/>
  <c r="G467" i="40" s="1"/>
  <c r="I467" i="40" s="1"/>
  <c r="E466" i="40"/>
  <c r="F466" i="40" s="1"/>
  <c r="G466" i="40" s="1"/>
  <c r="I466" i="40" s="1"/>
  <c r="E465" i="40"/>
  <c r="F465" i="40" s="1"/>
  <c r="G465" i="40" s="1"/>
  <c r="I465" i="40" s="1"/>
  <c r="E464" i="40"/>
  <c r="F464" i="40" s="1"/>
  <c r="G464" i="40" s="1"/>
  <c r="I464" i="40" s="1"/>
  <c r="E463" i="40"/>
  <c r="F463" i="40" s="1"/>
  <c r="G463" i="40" s="1"/>
  <c r="I463" i="40" s="1"/>
  <c r="E462" i="40"/>
  <c r="F462" i="40" s="1"/>
  <c r="G462" i="40" s="1"/>
  <c r="I462" i="40" s="1"/>
  <c r="E461" i="40"/>
  <c r="F461" i="40" s="1"/>
  <c r="G461" i="40" s="1"/>
  <c r="I461" i="40" s="1"/>
  <c r="E460" i="40"/>
  <c r="F460" i="40" s="1"/>
  <c r="G460" i="40" s="1"/>
  <c r="I460" i="40" s="1"/>
  <c r="E454" i="40"/>
  <c r="F454" i="40" s="1"/>
  <c r="G454" i="40" s="1"/>
  <c r="I454" i="40" s="1"/>
  <c r="E453" i="40"/>
  <c r="F453" i="40" s="1"/>
  <c r="G453" i="40" s="1"/>
  <c r="I453" i="40" s="1"/>
  <c r="E452" i="40"/>
  <c r="F452" i="40" s="1"/>
  <c r="G452" i="40" s="1"/>
  <c r="I452" i="40" s="1"/>
  <c r="E451" i="40"/>
  <c r="F451" i="40" s="1"/>
  <c r="G451" i="40" s="1"/>
  <c r="I451" i="40" s="1"/>
  <c r="E450" i="40"/>
  <c r="F450" i="40" s="1"/>
  <c r="G450" i="40" s="1"/>
  <c r="I450" i="40" s="1"/>
  <c r="E449" i="40"/>
  <c r="F449" i="40" s="1"/>
  <c r="G449" i="40" s="1"/>
  <c r="I449" i="40" s="1"/>
  <c r="E448" i="40"/>
  <c r="F448" i="40" s="1"/>
  <c r="G448" i="40" s="1"/>
  <c r="I448" i="40" s="1"/>
  <c r="E447" i="40"/>
  <c r="F447" i="40" s="1"/>
  <c r="G447" i="40" s="1"/>
  <c r="I447" i="40" s="1"/>
  <c r="E446" i="40"/>
  <c r="F446" i="40" s="1"/>
  <c r="G446" i="40" s="1"/>
  <c r="I446" i="40" s="1"/>
  <c r="E445" i="40"/>
  <c r="F445" i="40" s="1"/>
  <c r="G445" i="40" s="1"/>
  <c r="I445" i="40" s="1"/>
  <c r="E439" i="40"/>
  <c r="F439" i="40" s="1"/>
  <c r="G439" i="40" s="1"/>
  <c r="I439" i="40" s="1"/>
  <c r="E438" i="40"/>
  <c r="F438" i="40" s="1"/>
  <c r="G438" i="40" s="1"/>
  <c r="I438" i="40" s="1"/>
  <c r="E437" i="40"/>
  <c r="F437" i="40" s="1"/>
  <c r="G437" i="40" s="1"/>
  <c r="I437" i="40" s="1"/>
  <c r="E436" i="40"/>
  <c r="F436" i="40" s="1"/>
  <c r="G436" i="40" s="1"/>
  <c r="I436" i="40" s="1"/>
  <c r="E435" i="40"/>
  <c r="F435" i="40" s="1"/>
  <c r="G435" i="40" s="1"/>
  <c r="I435" i="40" s="1"/>
  <c r="E434" i="40"/>
  <c r="F434" i="40" s="1"/>
  <c r="G434" i="40" s="1"/>
  <c r="I434" i="40" s="1"/>
  <c r="E433" i="40"/>
  <c r="F433" i="40" s="1"/>
  <c r="G433" i="40" s="1"/>
  <c r="I433" i="40" s="1"/>
  <c r="E432" i="40"/>
  <c r="F432" i="40" s="1"/>
  <c r="G432" i="40" s="1"/>
  <c r="I432" i="40" s="1"/>
  <c r="E431" i="40"/>
  <c r="F431" i="40" s="1"/>
  <c r="G431" i="40" s="1"/>
  <c r="I431" i="40" s="1"/>
  <c r="E430" i="40"/>
  <c r="F430" i="40" s="1"/>
  <c r="G430" i="40" s="1"/>
  <c r="I430" i="40" s="1"/>
  <c r="E428" i="40"/>
  <c r="F428" i="40" s="1"/>
  <c r="G428" i="40" s="1"/>
  <c r="I428" i="40" s="1"/>
  <c r="E427" i="40"/>
  <c r="F427" i="40" s="1"/>
  <c r="G427" i="40" s="1"/>
  <c r="I427" i="40" s="1"/>
  <c r="E426" i="40"/>
  <c r="F426" i="40" s="1"/>
  <c r="G426" i="40" s="1"/>
  <c r="I426" i="40" s="1"/>
  <c r="E425" i="40"/>
  <c r="F425" i="40" s="1"/>
  <c r="G425" i="40" s="1"/>
  <c r="I425" i="40" s="1"/>
  <c r="E424" i="40"/>
  <c r="F424" i="40" s="1"/>
  <c r="G424" i="40" s="1"/>
  <c r="I424" i="40" s="1"/>
  <c r="E423" i="40"/>
  <c r="F423" i="40" s="1"/>
  <c r="G423" i="40" s="1"/>
  <c r="I423" i="40" s="1"/>
  <c r="E422" i="40"/>
  <c r="F422" i="40" s="1"/>
  <c r="G422" i="40" s="1"/>
  <c r="I422" i="40" s="1"/>
  <c r="E421" i="40"/>
  <c r="F421" i="40" s="1"/>
  <c r="G421" i="40" s="1"/>
  <c r="I421" i="40" s="1"/>
  <c r="E420" i="40"/>
  <c r="F420" i="40" s="1"/>
  <c r="G420" i="40" s="1"/>
  <c r="I420" i="40" s="1"/>
  <c r="E419" i="40"/>
  <c r="F419" i="40" s="1"/>
  <c r="G419" i="40" s="1"/>
  <c r="I419" i="40" s="1"/>
  <c r="E413" i="40"/>
  <c r="F413" i="40" s="1"/>
  <c r="G413" i="40" s="1"/>
  <c r="I413" i="40" s="1"/>
  <c r="E412" i="40"/>
  <c r="F412" i="40" s="1"/>
  <c r="G412" i="40" s="1"/>
  <c r="I412" i="40" s="1"/>
  <c r="E411" i="40"/>
  <c r="F411" i="40" s="1"/>
  <c r="G411" i="40" s="1"/>
  <c r="I411" i="40" s="1"/>
  <c r="E410" i="40"/>
  <c r="F410" i="40" s="1"/>
  <c r="G410" i="40" s="1"/>
  <c r="I410" i="40" s="1"/>
  <c r="E409" i="40"/>
  <c r="F409" i="40" s="1"/>
  <c r="G409" i="40" s="1"/>
  <c r="I409" i="40" s="1"/>
  <c r="E408" i="40"/>
  <c r="F408" i="40" s="1"/>
  <c r="G408" i="40" s="1"/>
  <c r="I408" i="40" s="1"/>
  <c r="E407" i="40"/>
  <c r="F407" i="40" s="1"/>
  <c r="G407" i="40" s="1"/>
  <c r="I407" i="40" s="1"/>
  <c r="E406" i="40"/>
  <c r="F406" i="40" s="1"/>
  <c r="G406" i="40" s="1"/>
  <c r="I406" i="40" s="1"/>
  <c r="E405" i="40"/>
  <c r="F405" i="40" s="1"/>
  <c r="G405" i="40" s="1"/>
  <c r="I405" i="40" s="1"/>
  <c r="E404" i="40"/>
  <c r="F404" i="40" s="1"/>
  <c r="G404" i="40" s="1"/>
  <c r="I404" i="40" s="1"/>
  <c r="E402" i="40"/>
  <c r="F402" i="40" s="1"/>
  <c r="G402" i="40" s="1"/>
  <c r="I402" i="40" s="1"/>
  <c r="E401" i="40"/>
  <c r="F401" i="40" s="1"/>
  <c r="G401" i="40" s="1"/>
  <c r="I401" i="40" s="1"/>
  <c r="E400" i="40"/>
  <c r="F400" i="40" s="1"/>
  <c r="G400" i="40" s="1"/>
  <c r="I400" i="40" s="1"/>
  <c r="E399" i="40"/>
  <c r="F399" i="40" s="1"/>
  <c r="G399" i="40" s="1"/>
  <c r="I399" i="40" s="1"/>
  <c r="E398" i="40"/>
  <c r="F398" i="40" s="1"/>
  <c r="G398" i="40" s="1"/>
  <c r="I398" i="40" s="1"/>
  <c r="E397" i="40"/>
  <c r="F397" i="40" s="1"/>
  <c r="G397" i="40" s="1"/>
  <c r="I397" i="40" s="1"/>
  <c r="E396" i="40"/>
  <c r="F396" i="40" s="1"/>
  <c r="G396" i="40" s="1"/>
  <c r="I396" i="40" s="1"/>
  <c r="E395" i="40"/>
  <c r="F395" i="40" s="1"/>
  <c r="G395" i="40" s="1"/>
  <c r="I395" i="40" s="1"/>
  <c r="E394" i="40"/>
  <c r="F394" i="40" s="1"/>
  <c r="G394" i="40" s="1"/>
  <c r="I394" i="40" s="1"/>
  <c r="E393" i="40"/>
  <c r="F393" i="40" s="1"/>
  <c r="G393" i="40" s="1"/>
  <c r="I393" i="40" s="1"/>
  <c r="D14" i="22"/>
  <c r="L14" i="22" s="1"/>
  <c r="M14" i="22"/>
  <c r="M13" i="22"/>
  <c r="M8" i="22"/>
  <c r="M7" i="22"/>
  <c r="M9" i="22"/>
  <c r="M10" i="22"/>
  <c r="M11" i="22"/>
  <c r="M6" i="22"/>
  <c r="E302" i="40"/>
  <c r="E322" i="40"/>
  <c r="E342" i="40"/>
  <c r="E353" i="40"/>
  <c r="E354" i="40"/>
  <c r="E355" i="40"/>
  <c r="E356" i="40"/>
  <c r="E357" i="40"/>
  <c r="E352" i="40"/>
  <c r="E336" i="40"/>
  <c r="E337" i="40"/>
  <c r="E338" i="40"/>
  <c r="E339" i="40"/>
  <c r="E340" i="40"/>
  <c r="E341" i="40"/>
  <c r="E335" i="40"/>
  <c r="E316" i="40"/>
  <c r="E317" i="40"/>
  <c r="E318" i="40"/>
  <c r="E319" i="40"/>
  <c r="E320" i="40"/>
  <c r="E321" i="40"/>
  <c r="E315" i="40"/>
  <c r="G346" i="40"/>
  <c r="I346" i="40" s="1"/>
  <c r="F347" i="40"/>
  <c r="G347" i="40" s="1"/>
  <c r="I347" i="40" s="1"/>
  <c r="F351" i="40"/>
  <c r="G351" i="40" s="1"/>
  <c r="I351" i="40" s="1"/>
  <c r="F350" i="40"/>
  <c r="G350" i="40" s="1"/>
  <c r="I350" i="40" s="1"/>
  <c r="F349" i="40"/>
  <c r="G349" i="40" s="1"/>
  <c r="I349" i="40" s="1"/>
  <c r="F348" i="40"/>
  <c r="G348" i="40" s="1"/>
  <c r="I348" i="40" s="1"/>
  <c r="F334" i="40"/>
  <c r="G334" i="40" s="1"/>
  <c r="I334" i="40" s="1"/>
  <c r="F333" i="40"/>
  <c r="G333" i="40" s="1"/>
  <c r="I333" i="40" s="1"/>
  <c r="F331" i="40"/>
  <c r="G331" i="40" s="1"/>
  <c r="I331" i="40" s="1"/>
  <c r="F330" i="40"/>
  <c r="G330" i="40" s="1"/>
  <c r="I330" i="40" s="1"/>
  <c r="F329" i="40"/>
  <c r="G329" i="40" s="1"/>
  <c r="I329" i="40" s="1"/>
  <c r="F328" i="40"/>
  <c r="G328" i="40" s="1"/>
  <c r="I328" i="40" s="1"/>
  <c r="F327" i="40"/>
  <c r="G327" i="40" s="1"/>
  <c r="I327" i="40" s="1"/>
  <c r="F326" i="40"/>
  <c r="G326" i="40" s="1"/>
  <c r="I326" i="40" s="1"/>
  <c r="F313" i="40"/>
  <c r="G313" i="40" s="1"/>
  <c r="I313" i="40" s="1"/>
  <c r="F314" i="40"/>
  <c r="G314" i="40" s="1"/>
  <c r="I314" i="40" s="1"/>
  <c r="F311" i="40"/>
  <c r="G311" i="40" s="1"/>
  <c r="I311" i="40" s="1"/>
  <c r="F310" i="40"/>
  <c r="G310" i="40" s="1"/>
  <c r="I310" i="40" s="1"/>
  <c r="F309" i="40"/>
  <c r="G309" i="40" s="1"/>
  <c r="I309" i="40" s="1"/>
  <c r="F308" i="40"/>
  <c r="G308" i="40" s="1"/>
  <c r="I308" i="40" s="1"/>
  <c r="F307" i="40"/>
  <c r="G307" i="40" s="1"/>
  <c r="I307" i="40" s="1"/>
  <c r="F306" i="40"/>
  <c r="G306" i="40" s="1"/>
  <c r="I306" i="40" s="1"/>
  <c r="E301" i="40"/>
  <c r="E300" i="40"/>
  <c r="E299" i="40"/>
  <c r="E298" i="40"/>
  <c r="E297" i="40"/>
  <c r="F295" i="40"/>
  <c r="G295" i="40" s="1"/>
  <c r="I295" i="40" s="1"/>
  <c r="F294" i="40"/>
  <c r="G294" i="40" s="1"/>
  <c r="I294" i="40" s="1"/>
  <c r="F293" i="40"/>
  <c r="G293" i="40" s="1"/>
  <c r="I293" i="40" s="1"/>
  <c r="F292" i="40"/>
  <c r="G292" i="40" s="1"/>
  <c r="I292" i="40" s="1"/>
  <c r="F291" i="40"/>
  <c r="G291" i="40" s="1"/>
  <c r="I291" i="40" s="1"/>
  <c r="F290" i="40"/>
  <c r="G290" i="40" s="1"/>
  <c r="I290" i="40" s="1"/>
  <c r="I285" i="40"/>
  <c r="I284" i="40"/>
  <c r="I283" i="40"/>
  <c r="I282" i="40"/>
  <c r="I281" i="40"/>
  <c r="F280" i="40"/>
  <c r="G280" i="40" s="1"/>
  <c r="I280" i="40" s="1"/>
  <c r="E278" i="40"/>
  <c r="E277" i="40"/>
  <c r="E276" i="40"/>
  <c r="E275" i="40"/>
  <c r="G268" i="40"/>
  <c r="I268" i="40" s="1"/>
  <c r="F273" i="40"/>
  <c r="G273" i="40" s="1"/>
  <c r="I273" i="40" s="1"/>
  <c r="F272" i="40"/>
  <c r="G272" i="40" s="1"/>
  <c r="I272" i="40" s="1"/>
  <c r="F271" i="40"/>
  <c r="G271" i="40" s="1"/>
  <c r="I271" i="40" s="1"/>
  <c r="F270" i="40"/>
  <c r="G270" i="40" s="1"/>
  <c r="I270" i="40" s="1"/>
  <c r="F269" i="40"/>
  <c r="G269" i="40" s="1"/>
  <c r="I269" i="40" s="1"/>
  <c r="F267" i="40"/>
  <c r="G267" i="40" s="1"/>
  <c r="I267" i="40" s="1"/>
  <c r="E265" i="40"/>
  <c r="E264" i="40"/>
  <c r="E263" i="40"/>
  <c r="E262" i="40"/>
  <c r="F260" i="40"/>
  <c r="G260" i="40" s="1"/>
  <c r="I260" i="40" s="1"/>
  <c r="F259" i="40"/>
  <c r="G259" i="40" s="1"/>
  <c r="I259" i="40" s="1"/>
  <c r="F258" i="40"/>
  <c r="G258" i="40" s="1"/>
  <c r="I258" i="40" s="1"/>
  <c r="F257" i="40"/>
  <c r="G257" i="40" s="1"/>
  <c r="I257" i="40" s="1"/>
  <c r="F256" i="40"/>
  <c r="G256" i="40" s="1"/>
  <c r="I256" i="40" s="1"/>
  <c r="F255" i="40"/>
  <c r="G255" i="40" s="1"/>
  <c r="I255" i="40" s="1"/>
  <c r="F254" i="40"/>
  <c r="G254" i="40" s="1"/>
  <c r="I254" i="40" s="1"/>
  <c r="E234" i="40"/>
  <c r="E235" i="40"/>
  <c r="E236" i="40"/>
  <c r="E237" i="40"/>
  <c r="E233" i="40"/>
  <c r="E248" i="40"/>
  <c r="E249" i="40"/>
  <c r="E250" i="40"/>
  <c r="E251" i="40"/>
  <c r="E252" i="40"/>
  <c r="E247" i="40"/>
  <c r="F240" i="40"/>
  <c r="G240" i="40" s="1"/>
  <c r="I240" i="40" s="1"/>
  <c r="F241" i="40"/>
  <c r="G241" i="40" s="1"/>
  <c r="I241" i="40" s="1"/>
  <c r="F242" i="40"/>
  <c r="G242" i="40" s="1"/>
  <c r="I242" i="40" s="1"/>
  <c r="F243" i="40"/>
  <c r="G243" i="40" s="1"/>
  <c r="I243" i="40" s="1"/>
  <c r="F244" i="40"/>
  <c r="G244" i="40" s="1"/>
  <c r="I244" i="40" s="1"/>
  <c r="F245" i="40"/>
  <c r="G245" i="40" s="1"/>
  <c r="I245" i="40" s="1"/>
  <c r="F239" i="40"/>
  <c r="G239" i="40" s="1"/>
  <c r="I239" i="40" s="1"/>
  <c r="E246" i="40"/>
  <c r="E232" i="40"/>
  <c r="I860" i="40" l="1"/>
  <c r="I804" i="40"/>
  <c r="I837" i="40"/>
  <c r="I790" i="40"/>
  <c r="I836" i="40"/>
  <c r="I791" i="40"/>
  <c r="I794" i="40"/>
  <c r="I858" i="40"/>
  <c r="I859" i="40"/>
  <c r="I792" i="40"/>
  <c r="I805" i="40"/>
  <c r="I808" i="40"/>
  <c r="I831" i="40"/>
  <c r="I842" i="40"/>
  <c r="I841" i="40"/>
  <c r="I795" i="40"/>
  <c r="I835" i="40"/>
  <c r="I843" i="40"/>
  <c r="I793" i="40"/>
  <c r="I809" i="40"/>
  <c r="D822" i="40"/>
  <c r="F822" i="40" s="1"/>
  <c r="G822" i="40" s="1"/>
  <c r="I822" i="40" s="1"/>
  <c r="D862" i="40"/>
  <c r="D845" i="40"/>
  <c r="D887" i="40"/>
  <c r="F887" i="40" s="1"/>
  <c r="G887" i="40" s="1"/>
  <c r="I887" i="40" s="1"/>
  <c r="D861" i="40"/>
  <c r="D844" i="40"/>
  <c r="F844" i="40" s="1"/>
  <c r="G844" i="40" s="1"/>
  <c r="I844" i="40" s="1"/>
  <c r="D913" i="40"/>
  <c r="F913" i="40" s="1"/>
  <c r="G913" i="40" s="1"/>
  <c r="I913" i="40" s="1"/>
  <c r="D810" i="40"/>
  <c r="F810" i="40" l="1"/>
  <c r="G810" i="40" s="1"/>
  <c r="I810" i="40" s="1"/>
  <c r="F861" i="40"/>
  <c r="G861" i="40" s="1"/>
  <c r="I861" i="40" s="1"/>
  <c r="F811" i="40"/>
  <c r="G811" i="40" s="1"/>
  <c r="I811" i="40" s="1"/>
  <c r="F914" i="40"/>
  <c r="G914" i="40" s="1"/>
  <c r="I914" i="40" s="1"/>
  <c r="F845" i="40"/>
  <c r="G845" i="40" s="1"/>
  <c r="I845" i="40" s="1"/>
  <c r="F823" i="40"/>
  <c r="G823" i="40" s="1"/>
  <c r="I823" i="40" s="1"/>
  <c r="F862" i="40"/>
  <c r="G862" i="40" s="1"/>
  <c r="I862" i="40" s="1"/>
  <c r="L8" i="26"/>
  <c r="J2067" i="30"/>
  <c r="J2066" i="30"/>
  <c r="F2068" i="30" l="1"/>
  <c r="J2068" i="30"/>
  <c r="J2069" i="30" l="1"/>
  <c r="H255" i="17"/>
  <c r="F904" i="30"/>
  <c r="G87" i="17"/>
  <c r="G88" i="17"/>
  <c r="F66" i="40"/>
  <c r="G66" i="40" s="1"/>
  <c r="I66" i="40" s="1"/>
  <c r="F65" i="40"/>
  <c r="G65" i="40" s="1"/>
  <c r="I65" i="40" s="1"/>
  <c r="F63" i="40"/>
  <c r="G63" i="40" s="1"/>
  <c r="I63" i="40" s="1"/>
  <c r="F62" i="40"/>
  <c r="G62" i="40" s="1"/>
  <c r="I62" i="40" s="1"/>
  <c r="F58" i="40"/>
  <c r="G58" i="40" s="1"/>
  <c r="I58" i="40" s="1"/>
  <c r="F54" i="40"/>
  <c r="G54" i="40" s="1"/>
  <c r="I54" i="40" s="1"/>
  <c r="F50" i="40"/>
  <c r="G50" i="40" s="1"/>
  <c r="I50" i="40" s="1"/>
  <c r="F45" i="40"/>
  <c r="G45" i="40" s="1"/>
  <c r="I45" i="40" s="1"/>
  <c r="F40" i="40"/>
  <c r="G40" i="40" s="1"/>
  <c r="I40" i="40" s="1"/>
  <c r="F36" i="40"/>
  <c r="G36" i="40" s="1"/>
  <c r="I36" i="40" s="1"/>
  <c r="F35" i="40"/>
  <c r="G35" i="40" s="1"/>
  <c r="I35" i="40" s="1"/>
  <c r="F34" i="40"/>
  <c r="G34" i="40" s="1"/>
  <c r="I34" i="40" s="1"/>
  <c r="F27" i="40"/>
  <c r="G27" i="40" s="1"/>
  <c r="I27" i="40" s="1"/>
  <c r="F28" i="40"/>
  <c r="G28" i="40" s="1"/>
  <c r="I28" i="40" s="1"/>
  <c r="F29" i="40"/>
  <c r="G29" i="40" s="1"/>
  <c r="I29" i="40" s="1"/>
  <c r="F46" i="40"/>
  <c r="G46" i="40" s="1"/>
  <c r="I46" i="40" s="1"/>
  <c r="F39" i="40"/>
  <c r="G39" i="40" s="1"/>
  <c r="I39" i="40" s="1"/>
  <c r="F33" i="40"/>
  <c r="G33" i="40" s="1"/>
  <c r="I33" i="40" s="1"/>
  <c r="E48" i="40"/>
  <c r="J934" i="40" l="1"/>
  <c r="J932" i="40"/>
  <c r="J933" i="40"/>
  <c r="J935" i="40"/>
  <c r="F49" i="40"/>
  <c r="G49" i="40" s="1"/>
  <c r="I49" i="40" s="1"/>
  <c r="G57" i="40"/>
  <c r="I57" i="40" s="1"/>
  <c r="F44" i="40"/>
  <c r="G44" i="40" s="1"/>
  <c r="I44" i="40" s="1"/>
  <c r="F53" i="40"/>
  <c r="G53" i="40" s="1"/>
  <c r="I53" i="40" s="1"/>
  <c r="F59" i="40"/>
  <c r="G59" i="40" s="1"/>
  <c r="I59" i="40" s="1"/>
  <c r="F226" i="40" l="1"/>
  <c r="G226" i="40" s="1"/>
  <c r="I226" i="40" s="1"/>
  <c r="F227" i="40"/>
  <c r="G227" i="40" s="1"/>
  <c r="I227" i="40" s="1"/>
  <c r="F228" i="40"/>
  <c r="G228" i="40" s="1"/>
  <c r="I228" i="40" s="1"/>
  <c r="F229" i="40"/>
  <c r="G229" i="40" s="1"/>
  <c r="I229" i="40" s="1"/>
  <c r="F230" i="40"/>
  <c r="G230" i="40" s="1"/>
  <c r="I230" i="40" s="1"/>
  <c r="F231" i="40"/>
  <c r="G231" i="40" s="1"/>
  <c r="I231" i="40" s="1"/>
  <c r="F225" i="40"/>
  <c r="G225" i="40" s="1"/>
  <c r="I225" i="40" s="1"/>
  <c r="H422" i="30"/>
  <c r="J422" i="30" s="1"/>
  <c r="E119" i="40"/>
  <c r="E120" i="40"/>
  <c r="E121" i="40"/>
  <c r="E123" i="40"/>
  <c r="E124" i="40"/>
  <c r="E125" i="40"/>
  <c r="E126" i="40"/>
  <c r="E118" i="40"/>
  <c r="E110" i="40"/>
  <c r="E111" i="40"/>
  <c r="E112" i="40"/>
  <c r="E113" i="40"/>
  <c r="E114" i="40"/>
  <c r="E115" i="40"/>
  <c r="E116" i="40"/>
  <c r="E117" i="40"/>
  <c r="E109" i="40"/>
  <c r="X6" i="31"/>
  <c r="H681" i="30" l="1"/>
  <c r="J681" i="30" s="1"/>
  <c r="J680" i="30"/>
  <c r="H674" i="30"/>
  <c r="J674" i="30" s="1"/>
  <c r="J673" i="30"/>
  <c r="H667" i="30"/>
  <c r="J667" i="30" s="1"/>
  <c r="J666" i="30"/>
  <c r="J722" i="30"/>
  <c r="L31" i="24"/>
  <c r="L30" i="24"/>
  <c r="L29" i="24"/>
  <c r="H875" i="30"/>
  <c r="J875" i="30" s="1"/>
  <c r="J874" i="30"/>
  <c r="H863" i="30"/>
  <c r="J863" i="30" s="1"/>
  <c r="J862" i="30"/>
  <c r="H856" i="30"/>
  <c r="J856" i="30" s="1"/>
  <c r="J855" i="30"/>
  <c r="H849" i="30"/>
  <c r="J849" i="30" s="1"/>
  <c r="J848" i="30"/>
  <c r="L28" i="24"/>
  <c r="L27" i="24"/>
  <c r="L26" i="24"/>
  <c r="L25" i="24"/>
  <c r="L24" i="24"/>
  <c r="L23" i="24"/>
  <c r="H842" i="30"/>
  <c r="J842" i="30" s="1"/>
  <c r="J841" i="30"/>
  <c r="H835" i="30"/>
  <c r="J835" i="30" s="1"/>
  <c r="J834" i="30"/>
  <c r="H828" i="30"/>
  <c r="J828" i="30" s="1"/>
  <c r="J827" i="30"/>
  <c r="H821" i="30"/>
  <c r="J821" i="30" s="1"/>
  <c r="J820" i="30"/>
  <c r="H814" i="30"/>
  <c r="J814" i="30" s="1"/>
  <c r="J813" i="30"/>
  <c r="H807" i="30"/>
  <c r="J807" i="30" s="1"/>
  <c r="J806" i="30"/>
  <c r="L22" i="24"/>
  <c r="L21" i="24"/>
  <c r="L20" i="24"/>
  <c r="L19" i="24"/>
  <c r="H800" i="30"/>
  <c r="J800" i="30" s="1"/>
  <c r="J799" i="30"/>
  <c r="H793" i="30"/>
  <c r="J793" i="30" s="1"/>
  <c r="J792" i="30"/>
  <c r="H786" i="30"/>
  <c r="J786" i="30" s="1"/>
  <c r="J785" i="30"/>
  <c r="H779" i="30"/>
  <c r="J779" i="30" s="1"/>
  <c r="J778" i="30"/>
  <c r="L18" i="24"/>
  <c r="L17" i="24"/>
  <c r="H772" i="30"/>
  <c r="J772" i="30" s="1"/>
  <c r="J771" i="30"/>
  <c r="H765" i="30"/>
  <c r="J765" i="30" s="1"/>
  <c r="J764" i="30"/>
  <c r="L16" i="24"/>
  <c r="H758" i="30"/>
  <c r="J758" i="30" s="1"/>
  <c r="J757" i="30"/>
  <c r="L15" i="24"/>
  <c r="L14" i="24"/>
  <c r="H751" i="30"/>
  <c r="J751" i="30" s="1"/>
  <c r="J750" i="30"/>
  <c r="H744" i="30"/>
  <c r="J744" i="30" s="1"/>
  <c r="J743" i="30"/>
  <c r="L13" i="24"/>
  <c r="D251" i="40" s="1"/>
  <c r="F251" i="40" s="1"/>
  <c r="G251" i="40" s="1"/>
  <c r="I251" i="40" s="1"/>
  <c r="L12" i="24"/>
  <c r="D250" i="40" s="1"/>
  <c r="F250" i="40" s="1"/>
  <c r="G250" i="40" s="1"/>
  <c r="I250" i="40" s="1"/>
  <c r="L11" i="24"/>
  <c r="D249" i="40" s="1"/>
  <c r="F249" i="40" s="1"/>
  <c r="G249" i="40" s="1"/>
  <c r="I249" i="40" s="1"/>
  <c r="H737" i="30"/>
  <c r="J737" i="30" s="1"/>
  <c r="J736" i="30"/>
  <c r="H730" i="30"/>
  <c r="J730" i="30" s="1"/>
  <c r="J729" i="30"/>
  <c r="H723" i="30"/>
  <c r="J723" i="30" s="1"/>
  <c r="L10" i="24"/>
  <c r="H716" i="30"/>
  <c r="J716" i="30" s="1"/>
  <c r="J715" i="30"/>
  <c r="H709" i="30"/>
  <c r="J709" i="30" s="1"/>
  <c r="J708" i="30"/>
  <c r="L9" i="24"/>
  <c r="L8" i="24"/>
  <c r="H702" i="30"/>
  <c r="J702" i="30" s="1"/>
  <c r="J701" i="30"/>
  <c r="L7" i="24"/>
  <c r="H695" i="30"/>
  <c r="J695" i="30" s="1"/>
  <c r="J694" i="30"/>
  <c r="J687" i="30"/>
  <c r="H688" i="30"/>
  <c r="J688" i="30" s="1"/>
  <c r="L6" i="24"/>
  <c r="J660" i="30"/>
  <c r="J659" i="30"/>
  <c r="J658" i="30"/>
  <c r="F655" i="30"/>
  <c r="G108" i="17"/>
  <c r="F648" i="30"/>
  <c r="G107" i="17"/>
  <c r="F641" i="30"/>
  <c r="G106" i="17"/>
  <c r="J653" i="30"/>
  <c r="J652" i="30"/>
  <c r="J646" i="30"/>
  <c r="J645" i="30"/>
  <c r="J639" i="30"/>
  <c r="J638" i="30"/>
  <c r="F634" i="30"/>
  <c r="J632" i="30"/>
  <c r="J631" i="30"/>
  <c r="J625" i="30"/>
  <c r="J624" i="30"/>
  <c r="J618" i="30"/>
  <c r="J617" i="30"/>
  <c r="J611" i="30"/>
  <c r="J610" i="30"/>
  <c r="J604" i="30"/>
  <c r="J603" i="30"/>
  <c r="J597" i="30"/>
  <c r="J596" i="30"/>
  <c r="J576" i="30"/>
  <c r="J575" i="30"/>
  <c r="J590" i="30"/>
  <c r="J589" i="30"/>
  <c r="J583" i="30"/>
  <c r="J582" i="30"/>
  <c r="J569" i="30"/>
  <c r="J568" i="30"/>
  <c r="F571" i="30"/>
  <c r="J2046" i="30"/>
  <c r="J2028" i="30"/>
  <c r="J2029" i="30" s="1"/>
  <c r="H248" i="17" s="1"/>
  <c r="J2039" i="30"/>
  <c r="J2040" i="30" s="1"/>
  <c r="H249" i="17" s="1"/>
  <c r="J2060" i="30"/>
  <c r="J2059" i="30"/>
  <c r="J851" i="30" l="1"/>
  <c r="H136" i="17" s="1"/>
  <c r="J913" i="40"/>
  <c r="J822" i="40"/>
  <c r="J810" i="40"/>
  <c r="J887" i="40"/>
  <c r="J844" i="40"/>
  <c r="J861" i="40"/>
  <c r="D336" i="40"/>
  <c r="F336" i="40" s="1"/>
  <c r="G336" i="40" s="1"/>
  <c r="I336" i="40" s="1"/>
  <c r="D316" i="40"/>
  <c r="F316" i="40" s="1"/>
  <c r="G316" i="40" s="1"/>
  <c r="I316" i="40" s="1"/>
  <c r="D338" i="40"/>
  <c r="F338" i="40" s="1"/>
  <c r="G338" i="40" s="1"/>
  <c r="I338" i="40" s="1"/>
  <c r="D318" i="40"/>
  <c r="F318" i="40" s="1"/>
  <c r="G318" i="40" s="1"/>
  <c r="I318" i="40" s="1"/>
  <c r="D340" i="40"/>
  <c r="F340" i="40" s="1"/>
  <c r="G340" i="40" s="1"/>
  <c r="I340" i="40" s="1"/>
  <c r="D320" i="40"/>
  <c r="F320" i="40" s="1"/>
  <c r="G320" i="40" s="1"/>
  <c r="I320" i="40" s="1"/>
  <c r="J811" i="40"/>
  <c r="J914" i="40"/>
  <c r="J845" i="40"/>
  <c r="J823" i="40"/>
  <c r="J862" i="40"/>
  <c r="D300" i="40"/>
  <c r="F300" i="40" s="1"/>
  <c r="G300" i="40" s="1"/>
  <c r="I300" i="40" s="1"/>
  <c r="D236" i="40"/>
  <c r="F236" i="40" s="1"/>
  <c r="G236" i="40" s="1"/>
  <c r="I236" i="40" s="1"/>
  <c r="D315" i="40"/>
  <c r="F315" i="40" s="1"/>
  <c r="G315" i="40" s="1"/>
  <c r="I315" i="40" s="1"/>
  <c r="D335" i="40"/>
  <c r="F335" i="40" s="1"/>
  <c r="G335" i="40" s="1"/>
  <c r="I335" i="40" s="1"/>
  <c r="D317" i="40"/>
  <c r="F317" i="40" s="1"/>
  <c r="G317" i="40" s="1"/>
  <c r="I317" i="40" s="1"/>
  <c r="D337" i="40"/>
  <c r="F337" i="40" s="1"/>
  <c r="G337" i="40" s="1"/>
  <c r="I337" i="40" s="1"/>
  <c r="D319" i="40"/>
  <c r="F319" i="40" s="1"/>
  <c r="G319" i="40" s="1"/>
  <c r="I319" i="40" s="1"/>
  <c r="D339" i="40"/>
  <c r="F339" i="40" s="1"/>
  <c r="G339" i="40" s="1"/>
  <c r="I339" i="40" s="1"/>
  <c r="D321" i="40"/>
  <c r="F321" i="40" s="1"/>
  <c r="G321" i="40" s="1"/>
  <c r="I321" i="40" s="1"/>
  <c r="D341" i="40"/>
  <c r="F341" i="40" s="1"/>
  <c r="G341" i="40" s="1"/>
  <c r="I341" i="40" s="1"/>
  <c r="J739" i="30"/>
  <c r="H120" i="17" s="1"/>
  <c r="J774" i="30"/>
  <c r="H125" i="17" s="1"/>
  <c r="J781" i="30"/>
  <c r="H126" i="17" s="1"/>
  <c r="J823" i="30"/>
  <c r="H132" i="17" s="1"/>
  <c r="J837" i="30"/>
  <c r="H134" i="17" s="1"/>
  <c r="J725" i="30"/>
  <c r="H118" i="17" s="1"/>
  <c r="J683" i="30"/>
  <c r="J767" i="30"/>
  <c r="H124" i="17" s="1"/>
  <c r="J788" i="30"/>
  <c r="H127" i="17" s="1"/>
  <c r="J816" i="30"/>
  <c r="H131" i="17" s="1"/>
  <c r="J865" i="30"/>
  <c r="J676" i="30"/>
  <c r="H111" i="17" s="1"/>
  <c r="J753" i="30"/>
  <c r="H122" i="17" s="1"/>
  <c r="J760" i="30"/>
  <c r="J718" i="30"/>
  <c r="H117" i="17" s="1"/>
  <c r="J802" i="30"/>
  <c r="J830" i="30"/>
  <c r="H133" i="17" s="1"/>
  <c r="J844" i="30"/>
  <c r="J704" i="30"/>
  <c r="J711" i="30"/>
  <c r="J732" i="30"/>
  <c r="H119" i="17" s="1"/>
  <c r="J746" i="30"/>
  <c r="J795" i="30"/>
  <c r="H128" i="17" s="1"/>
  <c r="J809" i="30"/>
  <c r="J858" i="30"/>
  <c r="H137" i="17" s="1"/>
  <c r="J877" i="30"/>
  <c r="J690" i="30"/>
  <c r="H113" i="17" s="1"/>
  <c r="J697" i="30"/>
  <c r="J669" i="30"/>
  <c r="J648" i="30"/>
  <c r="J662" i="30"/>
  <c r="J641" i="30"/>
  <c r="J655" i="30"/>
  <c r="J634" i="30"/>
  <c r="J571" i="30"/>
  <c r="J225" i="40" s="1"/>
  <c r="J2062" i="30"/>
  <c r="H254" i="17" s="1"/>
  <c r="F934" i="30"/>
  <c r="F921" i="30"/>
  <c r="F908" i="30"/>
  <c r="F895" i="30"/>
  <c r="F882" i="30"/>
  <c r="F1421" i="30"/>
  <c r="F1412" i="30"/>
  <c r="F1404" i="30"/>
  <c r="F1388" i="30"/>
  <c r="F1377" i="30"/>
  <c r="F1361" i="30"/>
  <c r="F1345" i="30"/>
  <c r="F1329" i="30"/>
  <c r="F1318" i="30"/>
  <c r="F1272" i="30"/>
  <c r="F1262" i="30"/>
  <c r="F1232" i="30"/>
  <c r="F1216" i="30"/>
  <c r="F1200" i="30"/>
  <c r="F1184" i="30"/>
  <c r="F1168" i="30"/>
  <c r="F1152" i="30"/>
  <c r="F1136" i="30"/>
  <c r="F1124" i="30"/>
  <c r="C589" i="40"/>
  <c r="C579" i="40"/>
  <c r="C565" i="40"/>
  <c r="C548" i="40"/>
  <c r="C536" i="40"/>
  <c r="C518" i="40"/>
  <c r="D589" i="40"/>
  <c r="D579" i="40"/>
  <c r="K130" i="7"/>
  <c r="F1255" i="30" s="1"/>
  <c r="D565" i="40"/>
  <c r="D548" i="40"/>
  <c r="D536" i="40"/>
  <c r="D518" i="40"/>
  <c r="F1254" i="30"/>
  <c r="E579" i="40" s="1"/>
  <c r="J1255" i="30"/>
  <c r="H173" i="17" s="1"/>
  <c r="J341" i="40" l="1"/>
  <c r="J536" i="40"/>
  <c r="J579" i="40"/>
  <c r="J548" i="40"/>
  <c r="J589" i="40"/>
  <c r="J565" i="40"/>
  <c r="H135" i="17"/>
  <c r="J229" i="40"/>
  <c r="J309" i="40"/>
  <c r="J349" i="40"/>
  <c r="J329" i="40"/>
  <c r="J293" i="40"/>
  <c r="J283" i="40"/>
  <c r="J271" i="40"/>
  <c r="J258" i="40"/>
  <c r="J243" i="40"/>
  <c r="J319" i="40"/>
  <c r="J339" i="40"/>
  <c r="J340" i="40"/>
  <c r="J320" i="40"/>
  <c r="J321" i="40"/>
  <c r="J335" i="40"/>
  <c r="J336" i="40"/>
  <c r="J316" i="40"/>
  <c r="J642" i="30"/>
  <c r="J230" i="40"/>
  <c r="J231" i="40" s="1"/>
  <c r="H115" i="17"/>
  <c r="J656" i="30"/>
  <c r="H108" i="17"/>
  <c r="H121" i="17"/>
  <c r="H123" i="17"/>
  <c r="H112" i="17"/>
  <c r="J635" i="30"/>
  <c r="H106" i="17"/>
  <c r="H110" i="17"/>
  <c r="J649" i="30"/>
  <c r="H107" i="17"/>
  <c r="H140" i="17"/>
  <c r="H138" i="17"/>
  <c r="H109" i="17"/>
  <c r="H114" i="17"/>
  <c r="H130" i="17"/>
  <c r="H116" i="17"/>
  <c r="H129" i="17"/>
  <c r="F579" i="40"/>
  <c r="G579" i="40" s="1"/>
  <c r="I579" i="40" s="1"/>
  <c r="E518" i="40"/>
  <c r="F518" i="40" s="1"/>
  <c r="G518" i="40" s="1"/>
  <c r="I518" i="40" s="1"/>
  <c r="E565" i="40"/>
  <c r="F565" i="40" s="1"/>
  <c r="G565" i="40" s="1"/>
  <c r="I565" i="40" s="1"/>
  <c r="E589" i="40"/>
  <c r="F589" i="40" s="1"/>
  <c r="G589" i="40" s="1"/>
  <c r="I589" i="40" s="1"/>
  <c r="E536" i="40"/>
  <c r="F536" i="40" s="1"/>
  <c r="G536" i="40" s="1"/>
  <c r="I536" i="40" s="1"/>
  <c r="E548" i="40"/>
  <c r="F548" i="40" s="1"/>
  <c r="G548" i="40" s="1"/>
  <c r="I548" i="40" s="1"/>
  <c r="J518" i="40"/>
  <c r="J272" i="40" l="1"/>
  <c r="J284" i="40"/>
  <c r="J350" i="40"/>
  <c r="J330" i="40"/>
  <c r="J259" i="40"/>
  <c r="J244" i="40"/>
  <c r="J294" i="40"/>
  <c r="J310" i="40"/>
  <c r="J311" i="40"/>
  <c r="J260" i="40"/>
  <c r="J245" i="40"/>
  <c r="J331" i="40"/>
  <c r="J295" i="40"/>
  <c r="J285" i="40"/>
  <c r="J273" i="40"/>
  <c r="J351" i="40"/>
  <c r="J317" i="40"/>
  <c r="J337" i="40"/>
  <c r="J338" i="40"/>
  <c r="J318" i="40"/>
  <c r="J1256" i="30"/>
  <c r="F775" i="40" l="1"/>
  <c r="G775" i="40" s="1"/>
  <c r="I775" i="40" s="1"/>
  <c r="F776" i="40"/>
  <c r="G776" i="40" s="1"/>
  <c r="I776" i="40" s="1"/>
  <c r="F777" i="40"/>
  <c r="G777" i="40" s="1"/>
  <c r="I777" i="40" s="1"/>
  <c r="F778" i="40"/>
  <c r="G778" i="40" s="1"/>
  <c r="I778" i="40" s="1"/>
  <c r="F779" i="40"/>
  <c r="G779" i="40" s="1"/>
  <c r="I779" i="40" s="1"/>
  <c r="F780" i="40"/>
  <c r="G780" i="40" s="1"/>
  <c r="I780" i="40" s="1"/>
  <c r="F781" i="40"/>
  <c r="G781" i="40" s="1"/>
  <c r="I781" i="40" s="1"/>
  <c r="F782" i="40"/>
  <c r="G782" i="40" s="1"/>
  <c r="I782" i="40" s="1"/>
  <c r="F783" i="40"/>
  <c r="G783" i="40" s="1"/>
  <c r="I783" i="40" s="1"/>
  <c r="F762" i="40"/>
  <c r="G762" i="40" s="1"/>
  <c r="I762" i="40" s="1"/>
  <c r="F763" i="40"/>
  <c r="G763" i="40" s="1"/>
  <c r="I763" i="40" s="1"/>
  <c r="F764" i="40"/>
  <c r="G764" i="40" s="1"/>
  <c r="I764" i="40" s="1"/>
  <c r="F765" i="40"/>
  <c r="G765" i="40" s="1"/>
  <c r="I765" i="40" s="1"/>
  <c r="F766" i="40"/>
  <c r="G766" i="40" s="1"/>
  <c r="I766" i="40" s="1"/>
  <c r="F767" i="40"/>
  <c r="G767" i="40" s="1"/>
  <c r="I767" i="40" s="1"/>
  <c r="F768" i="40"/>
  <c r="G768" i="40" s="1"/>
  <c r="I768" i="40" s="1"/>
  <c r="F769" i="40"/>
  <c r="G769" i="40" s="1"/>
  <c r="I769" i="40" s="1"/>
  <c r="F770" i="40"/>
  <c r="G770" i="40" s="1"/>
  <c r="I770" i="40" s="1"/>
  <c r="F771" i="40"/>
  <c r="G771" i="40" s="1"/>
  <c r="I771" i="40" s="1"/>
  <c r="F772" i="40"/>
  <c r="G772" i="40" s="1"/>
  <c r="I772" i="40" s="1"/>
  <c r="F774" i="40"/>
  <c r="G774" i="40" s="1"/>
  <c r="I774" i="40" s="1"/>
  <c r="F761" i="40"/>
  <c r="G761" i="40" s="1"/>
  <c r="I761" i="40" s="1"/>
  <c r="F749" i="40"/>
  <c r="G749" i="40" s="1"/>
  <c r="I749" i="40" s="1"/>
  <c r="F750" i="40"/>
  <c r="G750" i="40" s="1"/>
  <c r="I750" i="40" s="1"/>
  <c r="F751" i="40"/>
  <c r="G751" i="40" s="1"/>
  <c r="I751" i="40" s="1"/>
  <c r="F752" i="40"/>
  <c r="G752" i="40" s="1"/>
  <c r="I752" i="40" s="1"/>
  <c r="F753" i="40"/>
  <c r="G753" i="40" s="1"/>
  <c r="I753" i="40" s="1"/>
  <c r="F754" i="40"/>
  <c r="G754" i="40" s="1"/>
  <c r="I754" i="40" s="1"/>
  <c r="F755" i="40"/>
  <c r="G755" i="40" s="1"/>
  <c r="I755" i="40" s="1"/>
  <c r="F756" i="40"/>
  <c r="G756" i="40" s="1"/>
  <c r="I756" i="40" s="1"/>
  <c r="F757" i="40"/>
  <c r="G757" i="40" s="1"/>
  <c r="I757" i="40" s="1"/>
  <c r="F758" i="40"/>
  <c r="G758" i="40" s="1"/>
  <c r="I758" i="40" s="1"/>
  <c r="F759" i="40"/>
  <c r="G759" i="40" s="1"/>
  <c r="I759" i="40" s="1"/>
  <c r="F736" i="40"/>
  <c r="G736" i="40" s="1"/>
  <c r="I736" i="40" s="1"/>
  <c r="F737" i="40"/>
  <c r="G737" i="40" s="1"/>
  <c r="I737" i="40" s="1"/>
  <c r="F738" i="40"/>
  <c r="G738" i="40" s="1"/>
  <c r="I738" i="40" s="1"/>
  <c r="F739" i="40"/>
  <c r="G739" i="40" s="1"/>
  <c r="I739" i="40" s="1"/>
  <c r="F740" i="40"/>
  <c r="G740" i="40" s="1"/>
  <c r="I740" i="40" s="1"/>
  <c r="F741" i="40"/>
  <c r="G741" i="40" s="1"/>
  <c r="I741" i="40" s="1"/>
  <c r="F742" i="40"/>
  <c r="G742" i="40" s="1"/>
  <c r="I742" i="40" s="1"/>
  <c r="F743" i="40"/>
  <c r="G743" i="40" s="1"/>
  <c r="I743" i="40" s="1"/>
  <c r="F744" i="40"/>
  <c r="G744" i="40" s="1"/>
  <c r="I744" i="40" s="1"/>
  <c r="F745" i="40"/>
  <c r="G745" i="40" s="1"/>
  <c r="I745" i="40" s="1"/>
  <c r="F746" i="40"/>
  <c r="G746" i="40" s="1"/>
  <c r="I746" i="40" s="1"/>
  <c r="F717" i="40"/>
  <c r="G717" i="40" s="1"/>
  <c r="I717" i="40" s="1"/>
  <c r="F718" i="40"/>
  <c r="G718" i="40" s="1"/>
  <c r="I718" i="40" s="1"/>
  <c r="F719" i="40"/>
  <c r="G719" i="40" s="1"/>
  <c r="I719" i="40" s="1"/>
  <c r="F720" i="40"/>
  <c r="G720" i="40" s="1"/>
  <c r="I720" i="40" s="1"/>
  <c r="F721" i="40"/>
  <c r="G721" i="40" s="1"/>
  <c r="I721" i="40" s="1"/>
  <c r="F722" i="40"/>
  <c r="G722" i="40" s="1"/>
  <c r="I722" i="40" s="1"/>
  <c r="F723" i="40"/>
  <c r="G723" i="40" s="1"/>
  <c r="I723" i="40" s="1"/>
  <c r="F724" i="40"/>
  <c r="G724" i="40" s="1"/>
  <c r="I724" i="40" s="1"/>
  <c r="F725" i="40"/>
  <c r="G725" i="40" s="1"/>
  <c r="I725" i="40" s="1"/>
  <c r="F726" i="40"/>
  <c r="G726" i="40" s="1"/>
  <c r="I726" i="40" s="1"/>
  <c r="F727" i="40"/>
  <c r="G727" i="40" s="1"/>
  <c r="I727" i="40" s="1"/>
  <c r="F728" i="40"/>
  <c r="G728" i="40" s="1"/>
  <c r="I728" i="40" s="1"/>
  <c r="F729" i="40"/>
  <c r="G729" i="40" s="1"/>
  <c r="I729" i="40" s="1"/>
  <c r="F730" i="40"/>
  <c r="G730" i="40" s="1"/>
  <c r="I730" i="40" s="1"/>
  <c r="F731" i="40"/>
  <c r="G731" i="40" s="1"/>
  <c r="I731" i="40" s="1"/>
  <c r="F732" i="40"/>
  <c r="G732" i="40" s="1"/>
  <c r="I732" i="40" s="1"/>
  <c r="F733" i="40"/>
  <c r="G733" i="40" s="1"/>
  <c r="I733" i="40" s="1"/>
  <c r="F748" i="40"/>
  <c r="G748" i="40" s="1"/>
  <c r="I748" i="40" s="1"/>
  <c r="F735" i="40"/>
  <c r="G735" i="40" s="1"/>
  <c r="I735" i="40" s="1"/>
  <c r="F716" i="40"/>
  <c r="G716" i="40" s="1"/>
  <c r="I716" i="40" s="1"/>
  <c r="F695" i="40"/>
  <c r="G695" i="40" s="1"/>
  <c r="I695" i="40" s="1"/>
  <c r="F696" i="40"/>
  <c r="G696" i="40" s="1"/>
  <c r="I696" i="40" s="1"/>
  <c r="F697" i="40"/>
  <c r="G697" i="40" s="1"/>
  <c r="I697" i="40" s="1"/>
  <c r="F698" i="40"/>
  <c r="G698" i="40" s="1"/>
  <c r="I698" i="40" s="1"/>
  <c r="F699" i="40"/>
  <c r="G699" i="40" s="1"/>
  <c r="I699" i="40" s="1"/>
  <c r="F700" i="40"/>
  <c r="G700" i="40" s="1"/>
  <c r="I700" i="40" s="1"/>
  <c r="F701" i="40"/>
  <c r="G701" i="40" s="1"/>
  <c r="I701" i="40" s="1"/>
  <c r="F702" i="40"/>
  <c r="G702" i="40" s="1"/>
  <c r="I702" i="40" s="1"/>
  <c r="F703" i="40"/>
  <c r="G703" i="40" s="1"/>
  <c r="I703" i="40" s="1"/>
  <c r="F704" i="40"/>
  <c r="G704" i="40" s="1"/>
  <c r="I704" i="40" s="1"/>
  <c r="F705" i="40"/>
  <c r="G705" i="40" s="1"/>
  <c r="I705" i="40" s="1"/>
  <c r="F706" i="40"/>
  <c r="G706" i="40" s="1"/>
  <c r="I706" i="40" s="1"/>
  <c r="F707" i="40"/>
  <c r="G707" i="40" s="1"/>
  <c r="I707" i="40" s="1"/>
  <c r="F708" i="40"/>
  <c r="G708" i="40" s="1"/>
  <c r="I708" i="40" s="1"/>
  <c r="F709" i="40"/>
  <c r="G709" i="40" s="1"/>
  <c r="I709" i="40" s="1"/>
  <c r="F710" i="40"/>
  <c r="G710" i="40" s="1"/>
  <c r="I710" i="40" s="1"/>
  <c r="F711" i="40"/>
  <c r="G711" i="40" s="1"/>
  <c r="I711" i="40" s="1"/>
  <c r="F712" i="40"/>
  <c r="G712" i="40" s="1"/>
  <c r="I712" i="40" s="1"/>
  <c r="F713" i="40"/>
  <c r="G713" i="40" s="1"/>
  <c r="I713" i="40" s="1"/>
  <c r="F714" i="40"/>
  <c r="G714" i="40" s="1"/>
  <c r="I714" i="40" s="1"/>
  <c r="F694" i="40"/>
  <c r="G694" i="40" s="1"/>
  <c r="I694" i="40" s="1"/>
  <c r="F674" i="40"/>
  <c r="G674" i="40" s="1"/>
  <c r="I674" i="40" s="1"/>
  <c r="F675" i="40"/>
  <c r="G675" i="40" s="1"/>
  <c r="I675" i="40" s="1"/>
  <c r="F676" i="40"/>
  <c r="G676" i="40" s="1"/>
  <c r="I676" i="40" s="1"/>
  <c r="F677" i="40"/>
  <c r="G677" i="40" s="1"/>
  <c r="I677" i="40" s="1"/>
  <c r="F678" i="40"/>
  <c r="G678" i="40" s="1"/>
  <c r="I678" i="40" s="1"/>
  <c r="F679" i="40"/>
  <c r="G679" i="40" s="1"/>
  <c r="I679" i="40" s="1"/>
  <c r="F680" i="40"/>
  <c r="G680" i="40" s="1"/>
  <c r="I680" i="40" s="1"/>
  <c r="F681" i="40"/>
  <c r="G681" i="40" s="1"/>
  <c r="I681" i="40" s="1"/>
  <c r="F682" i="40"/>
  <c r="G682" i="40" s="1"/>
  <c r="I682" i="40" s="1"/>
  <c r="F683" i="40"/>
  <c r="G683" i="40" s="1"/>
  <c r="I683" i="40" s="1"/>
  <c r="F684" i="40"/>
  <c r="G684" i="40" s="1"/>
  <c r="I684" i="40" s="1"/>
  <c r="F685" i="40"/>
  <c r="G685" i="40" s="1"/>
  <c r="I685" i="40" s="1"/>
  <c r="F686" i="40"/>
  <c r="G686" i="40" s="1"/>
  <c r="I686" i="40" s="1"/>
  <c r="F687" i="40"/>
  <c r="G687" i="40" s="1"/>
  <c r="I687" i="40" s="1"/>
  <c r="F688" i="40"/>
  <c r="G688" i="40" s="1"/>
  <c r="I688" i="40" s="1"/>
  <c r="F689" i="40"/>
  <c r="G689" i="40" s="1"/>
  <c r="I689" i="40" s="1"/>
  <c r="F690" i="40"/>
  <c r="G690" i="40" s="1"/>
  <c r="I690" i="40" s="1"/>
  <c r="F691" i="40"/>
  <c r="G691" i="40" s="1"/>
  <c r="I691" i="40" s="1"/>
  <c r="F692" i="40"/>
  <c r="G692" i="40" s="1"/>
  <c r="I692" i="40" s="1"/>
  <c r="F673" i="40"/>
  <c r="G673" i="40" s="1"/>
  <c r="I673" i="40" s="1"/>
  <c r="F657" i="40"/>
  <c r="G657" i="40" s="1"/>
  <c r="I657" i="40" s="1"/>
  <c r="F658" i="40"/>
  <c r="G658" i="40" s="1"/>
  <c r="I658" i="40" s="1"/>
  <c r="F659" i="40"/>
  <c r="G659" i="40" s="1"/>
  <c r="I659" i="40" s="1"/>
  <c r="F660" i="40"/>
  <c r="G660" i="40" s="1"/>
  <c r="I660" i="40" s="1"/>
  <c r="F661" i="40"/>
  <c r="G661" i="40" s="1"/>
  <c r="I661" i="40" s="1"/>
  <c r="F662" i="40"/>
  <c r="G662" i="40" s="1"/>
  <c r="I662" i="40" s="1"/>
  <c r="F663" i="40"/>
  <c r="G663" i="40" s="1"/>
  <c r="I663" i="40" s="1"/>
  <c r="F664" i="40"/>
  <c r="G664" i="40" s="1"/>
  <c r="I664" i="40" s="1"/>
  <c r="F665" i="40"/>
  <c r="G665" i="40" s="1"/>
  <c r="I665" i="40" s="1"/>
  <c r="F666" i="40"/>
  <c r="G666" i="40" s="1"/>
  <c r="I666" i="40" s="1"/>
  <c r="F667" i="40"/>
  <c r="G667" i="40" s="1"/>
  <c r="I667" i="40" s="1"/>
  <c r="F668" i="40"/>
  <c r="G668" i="40" s="1"/>
  <c r="I668" i="40" s="1"/>
  <c r="F669" i="40"/>
  <c r="G669" i="40" s="1"/>
  <c r="I669" i="40" s="1"/>
  <c r="F670" i="40"/>
  <c r="G670" i="40" s="1"/>
  <c r="I670" i="40" s="1"/>
  <c r="F671" i="40"/>
  <c r="G671" i="40" s="1"/>
  <c r="I671" i="40" s="1"/>
  <c r="F656" i="40"/>
  <c r="G656" i="40" s="1"/>
  <c r="I656" i="40" s="1"/>
  <c r="F641" i="40"/>
  <c r="G641" i="40" s="1"/>
  <c r="I641" i="40" s="1"/>
  <c r="F642" i="40"/>
  <c r="G642" i="40" s="1"/>
  <c r="I642" i="40" s="1"/>
  <c r="F643" i="40"/>
  <c r="G643" i="40" s="1"/>
  <c r="I643" i="40" s="1"/>
  <c r="F644" i="40"/>
  <c r="G644" i="40" s="1"/>
  <c r="I644" i="40" s="1"/>
  <c r="F645" i="40"/>
  <c r="G645" i="40" s="1"/>
  <c r="I645" i="40" s="1"/>
  <c r="F646" i="40"/>
  <c r="G646" i="40" s="1"/>
  <c r="I646" i="40" s="1"/>
  <c r="F647" i="40"/>
  <c r="G647" i="40" s="1"/>
  <c r="I647" i="40" s="1"/>
  <c r="F648" i="40"/>
  <c r="G648" i="40" s="1"/>
  <c r="I648" i="40" s="1"/>
  <c r="F649" i="40"/>
  <c r="G649" i="40" s="1"/>
  <c r="I649" i="40" s="1"/>
  <c r="F650" i="40"/>
  <c r="G650" i="40" s="1"/>
  <c r="I650" i="40" s="1"/>
  <c r="F651" i="40"/>
  <c r="G651" i="40" s="1"/>
  <c r="I651" i="40" s="1"/>
  <c r="F652" i="40"/>
  <c r="G652" i="40" s="1"/>
  <c r="I652" i="40" s="1"/>
  <c r="F653" i="40"/>
  <c r="G653" i="40" s="1"/>
  <c r="I653" i="40" s="1"/>
  <c r="F654" i="40"/>
  <c r="G654" i="40" s="1"/>
  <c r="I654" i="40" s="1"/>
  <c r="F640" i="40"/>
  <c r="G640" i="40" s="1"/>
  <c r="I640" i="40" s="1"/>
  <c r="M32" i="28"/>
  <c r="M28" i="28"/>
  <c r="M24" i="28"/>
  <c r="M23" i="28"/>
  <c r="M31" i="28"/>
  <c r="M30" i="28"/>
  <c r="M26" i="28"/>
  <c r="M25" i="28"/>
  <c r="J938" i="40"/>
  <c r="J939" i="40"/>
  <c r="J940" i="40"/>
  <c r="J942" i="40"/>
  <c r="J943" i="40"/>
  <c r="J944" i="40"/>
  <c r="J945" i="40"/>
  <c r="F938" i="40"/>
  <c r="G938" i="40" s="1"/>
  <c r="I938" i="40" s="1"/>
  <c r="F939" i="40"/>
  <c r="G939" i="40" s="1"/>
  <c r="I939" i="40" s="1"/>
  <c r="F940" i="40"/>
  <c r="G940" i="40" s="1"/>
  <c r="I940" i="40" s="1"/>
  <c r="F942" i="40"/>
  <c r="G942" i="40" s="1"/>
  <c r="I942" i="40" s="1"/>
  <c r="F943" i="40"/>
  <c r="G943" i="40" s="1"/>
  <c r="I943" i="40" s="1"/>
  <c r="F944" i="40"/>
  <c r="G944" i="40" s="1"/>
  <c r="I944" i="40" s="1"/>
  <c r="F945" i="40"/>
  <c r="G945" i="40" s="1"/>
  <c r="I945" i="40" s="1"/>
  <c r="F941" i="40"/>
  <c r="G941" i="40" s="1"/>
  <c r="I941" i="40" s="1"/>
  <c r="J937" i="40"/>
  <c r="D218" i="40"/>
  <c r="D214" i="40"/>
  <c r="F214" i="40" s="1"/>
  <c r="G214" i="40" s="1"/>
  <c r="I214" i="40" s="1"/>
  <c r="J941" i="40" l="1"/>
  <c r="F2073" i="30"/>
  <c r="F937" i="40"/>
  <c r="G937" i="40" s="1"/>
  <c r="I937" i="40" s="1"/>
  <c r="F218" i="40"/>
  <c r="G218" i="40" s="1"/>
  <c r="I218" i="40" s="1"/>
  <c r="J561" i="30" l="1"/>
  <c r="J555" i="30"/>
  <c r="E508" i="40" l="1"/>
  <c r="F509" i="40"/>
  <c r="D509" i="40"/>
  <c r="D508" i="40"/>
  <c r="E509" i="40" l="1"/>
  <c r="F508" i="40"/>
  <c r="G508" i="40" s="1"/>
  <c r="I508" i="40" s="1"/>
  <c r="J2072" i="30"/>
  <c r="J2073" i="30" s="1"/>
  <c r="H258" i="17" s="1"/>
  <c r="J2074" i="30" l="1"/>
  <c r="G160" i="17"/>
  <c r="F1114" i="30"/>
  <c r="J1113" i="30"/>
  <c r="J1114" i="30" s="1"/>
  <c r="H160" i="17" s="1"/>
  <c r="F1110" i="30"/>
  <c r="G159" i="17"/>
  <c r="J1108" i="30"/>
  <c r="J1109" i="30"/>
  <c r="J1107" i="30"/>
  <c r="I160" i="17" l="1"/>
  <c r="J1110" i="30"/>
  <c r="H159" i="17" s="1"/>
  <c r="I159" i="17" s="1"/>
  <c r="J1115" i="30"/>
  <c r="J509" i="40" s="1"/>
  <c r="I161" i="17" l="1"/>
  <c r="J1111" i="30"/>
  <c r="J508" i="40" s="1"/>
  <c r="J507" i="40" s="1"/>
  <c r="J560" i="30"/>
  <c r="J563" i="30" s="1"/>
  <c r="J554" i="30"/>
  <c r="J557" i="30" s="1"/>
  <c r="E19" i="38" l="1"/>
  <c r="H83" i="17"/>
  <c r="J214" i="40"/>
  <c r="J218" i="40"/>
  <c r="H82" i="17"/>
  <c r="E19" i="40"/>
  <c r="J107" i="30"/>
  <c r="J106" i="30"/>
  <c r="J109" i="30" l="1"/>
  <c r="H24" i="17" s="1"/>
  <c r="H137" i="34"/>
  <c r="H136" i="34"/>
  <c r="H135" i="34"/>
  <c r="H134" i="34"/>
  <c r="H133" i="34"/>
  <c r="H132" i="34"/>
  <c r="H131" i="34"/>
  <c r="H130" i="34"/>
  <c r="H129" i="34"/>
  <c r="H128" i="34"/>
  <c r="H127" i="34"/>
  <c r="H138" i="34" l="1"/>
  <c r="F18" i="34" s="1"/>
  <c r="G18" i="34" s="1"/>
  <c r="G141" i="34"/>
  <c r="H141" i="34" s="1"/>
  <c r="F19" i="34" s="1"/>
  <c r="G19" i="34" s="1"/>
  <c r="G17" i="34" l="1"/>
  <c r="G178" i="34"/>
  <c r="G179" i="34"/>
  <c r="G180" i="34"/>
  <c r="G181" i="34"/>
  <c r="G182" i="34"/>
  <c r="G183" i="34"/>
  <c r="G184" i="34"/>
  <c r="F177" i="34"/>
  <c r="G177" i="34" s="1"/>
  <c r="B185" i="34"/>
  <c r="A185" i="34"/>
  <c r="B175" i="34"/>
  <c r="A175" i="34"/>
  <c r="B142" i="34"/>
  <c r="A142" i="34"/>
  <c r="B124" i="34"/>
  <c r="A124" i="34"/>
  <c r="B57" i="34"/>
  <c r="A57" i="34"/>
  <c r="A48" i="34"/>
  <c r="I46" i="34" l="1"/>
  <c r="H30" i="9"/>
  <c r="H29" i="9"/>
  <c r="H31" i="9" s="1"/>
  <c r="D388" i="40"/>
  <c r="E383" i="40"/>
  <c r="E389" i="40"/>
  <c r="E385" i="40"/>
  <c r="E381" i="40"/>
  <c r="E378" i="40"/>
  <c r="E388" i="40"/>
  <c r="E390" i="40"/>
  <c r="E386" i="40"/>
  <c r="E382" i="40"/>
  <c r="E379" i="40"/>
  <c r="E376" i="40"/>
  <c r="E375" i="40"/>
  <c r="E367" i="40"/>
  <c r="E366" i="40"/>
  <c r="E370" i="40"/>
  <c r="E373" i="40"/>
  <c r="E372" i="40"/>
  <c r="E369" i="40"/>
  <c r="E365" i="40"/>
  <c r="E363" i="40"/>
  <c r="E362" i="40"/>
  <c r="E361" i="40"/>
  <c r="E360" i="40"/>
  <c r="D390" i="40"/>
  <c r="D389" i="40"/>
  <c r="D386" i="40"/>
  <c r="D385" i="40"/>
  <c r="D383" i="40"/>
  <c r="D382" i="40"/>
  <c r="D381" i="40"/>
  <c r="D379" i="40"/>
  <c r="D378" i="40"/>
  <c r="D376" i="40"/>
  <c r="D375" i="40"/>
  <c r="D373" i="40"/>
  <c r="D372" i="40"/>
  <c r="D370" i="40"/>
  <c r="D369" i="40"/>
  <c r="D367" i="40"/>
  <c r="D366" i="40"/>
  <c r="D365" i="40"/>
  <c r="D363" i="40"/>
  <c r="D362" i="40"/>
  <c r="D361" i="40"/>
  <c r="D360" i="40"/>
  <c r="S10" i="13"/>
  <c r="S11" i="13"/>
  <c r="S12" i="13"/>
  <c r="S13" i="13"/>
  <c r="S14" i="13"/>
  <c r="S6" i="13"/>
  <c r="S7" i="13"/>
  <c r="S8" i="13"/>
  <c r="S9" i="13"/>
  <c r="H16" i="34" l="1"/>
  <c r="C7" i="35"/>
  <c r="H17" i="34"/>
  <c r="H12" i="34"/>
  <c r="H5" i="34"/>
  <c r="H26" i="34"/>
  <c r="H42" i="34"/>
  <c r="H23" i="34"/>
  <c r="H39" i="34"/>
  <c r="H20" i="34"/>
  <c r="H36" i="34"/>
  <c r="H33" i="34"/>
  <c r="H15" i="34"/>
  <c r="H9" i="34"/>
  <c r="H30" i="34"/>
  <c r="H6" i="34"/>
  <c r="H27" i="34"/>
  <c r="H43" i="34"/>
  <c r="H24" i="34"/>
  <c r="H40" i="34"/>
  <c r="H21" i="34"/>
  <c r="H37" i="34"/>
  <c r="H13" i="34"/>
  <c r="H18" i="34"/>
  <c r="H34" i="34"/>
  <c r="H10" i="34"/>
  <c r="H31" i="34"/>
  <c r="H7" i="34"/>
  <c r="H28" i="34"/>
  <c r="H44" i="34"/>
  <c r="H25" i="34"/>
  <c r="H14" i="34"/>
  <c r="H22" i="34"/>
  <c r="H38" i="34"/>
  <c r="H35" i="34"/>
  <c r="H11" i="34"/>
  <c r="H32" i="34"/>
  <c r="H8" i="34"/>
  <c r="H29" i="34"/>
  <c r="H4" i="34"/>
  <c r="H41" i="34"/>
  <c r="H19" i="34"/>
  <c r="D19" i="40"/>
  <c r="G24" i="17"/>
  <c r="F109" i="30"/>
  <c r="J110" i="30" s="1"/>
  <c r="F360" i="40"/>
  <c r="G360" i="40" s="1"/>
  <c r="I360" i="40" s="1"/>
  <c r="F370" i="40"/>
  <c r="G370" i="40" s="1"/>
  <c r="I370" i="40" s="1"/>
  <c r="F361" i="40"/>
  <c r="G361" i="40" s="1"/>
  <c r="I361" i="40" s="1"/>
  <c r="F366" i="40"/>
  <c r="G366" i="40" s="1"/>
  <c r="I366" i="40" s="1"/>
  <c r="F373" i="40"/>
  <c r="G373" i="40" s="1"/>
  <c r="I373" i="40" s="1"/>
  <c r="F362" i="40"/>
  <c r="G362" i="40" s="1"/>
  <c r="I362" i="40" s="1"/>
  <c r="F388" i="40"/>
  <c r="G388" i="40" s="1"/>
  <c r="I388" i="40" s="1"/>
  <c r="F367" i="40"/>
  <c r="G367" i="40" s="1"/>
  <c r="I367" i="40" s="1"/>
  <c r="F378" i="40"/>
  <c r="G378" i="40" s="1"/>
  <c r="I378" i="40" s="1"/>
  <c r="F390" i="40"/>
  <c r="G390" i="40" s="1"/>
  <c r="I390" i="40" s="1"/>
  <c r="F363" i="40"/>
  <c r="G363" i="40" s="1"/>
  <c r="I363" i="40" s="1"/>
  <c r="F375" i="40"/>
  <c r="G375" i="40" s="1"/>
  <c r="I375" i="40" s="1"/>
  <c r="F381" i="40"/>
  <c r="G381" i="40" s="1"/>
  <c r="I381" i="40" s="1"/>
  <c r="F365" i="40"/>
  <c r="G365" i="40" s="1"/>
  <c r="I365" i="40" s="1"/>
  <c r="F376" i="40"/>
  <c r="G376" i="40" s="1"/>
  <c r="I376" i="40" s="1"/>
  <c r="F385" i="40"/>
  <c r="G385" i="40" s="1"/>
  <c r="I385" i="40" s="1"/>
  <c r="F369" i="40"/>
  <c r="G369" i="40" s="1"/>
  <c r="I369" i="40" s="1"/>
  <c r="F379" i="40"/>
  <c r="G379" i="40" s="1"/>
  <c r="I379" i="40" s="1"/>
  <c r="F389" i="40"/>
  <c r="G389" i="40" s="1"/>
  <c r="I389" i="40" s="1"/>
  <c r="F372" i="40"/>
  <c r="G372" i="40" s="1"/>
  <c r="I372" i="40" s="1"/>
  <c r="F382" i="40"/>
  <c r="G382" i="40" s="1"/>
  <c r="I382" i="40" s="1"/>
  <c r="F383" i="40"/>
  <c r="G383" i="40" s="1"/>
  <c r="I383" i="40" s="1"/>
  <c r="F386" i="40"/>
  <c r="G386" i="40" s="1"/>
  <c r="I386" i="40" s="1"/>
  <c r="E629" i="40"/>
  <c r="E577" i="40"/>
  <c r="E636" i="40"/>
  <c r="E635" i="40"/>
  <c r="E622" i="40"/>
  <c r="E621" i="40"/>
  <c r="E609" i="40"/>
  <c r="E608" i="40"/>
  <c r="E595" i="40"/>
  <c r="E594" i="40"/>
  <c r="E553" i="40"/>
  <c r="E552" i="40"/>
  <c r="E573" i="40"/>
  <c r="E571" i="40"/>
  <c r="E563" i="40"/>
  <c r="E562" i="40"/>
  <c r="E556" i="40"/>
  <c r="E561" i="40"/>
  <c r="E545" i="40"/>
  <c r="E534" i="40"/>
  <c r="E597" i="40"/>
  <c r="E572" i="40"/>
  <c r="E637" i="40"/>
  <c r="E623" i="40"/>
  <c r="E610" i="40"/>
  <c r="E596" i="40"/>
  <c r="E582" i="40"/>
  <c r="E570" i="40"/>
  <c r="E554" i="40"/>
  <c r="E539" i="40"/>
  <c r="E634" i="40"/>
  <c r="E620" i="40"/>
  <c r="E607" i="40"/>
  <c r="E593" i="40"/>
  <c r="E581" i="40"/>
  <c r="E569" i="40"/>
  <c r="E551" i="40"/>
  <c r="E633" i="40"/>
  <c r="E619" i="40"/>
  <c r="E606" i="40"/>
  <c r="E592" i="40"/>
  <c r="E632" i="40"/>
  <c r="E618" i="40"/>
  <c r="E605" i="40"/>
  <c r="E591" i="40"/>
  <c r="E580" i="40"/>
  <c r="E568" i="40"/>
  <c r="E550" i="40"/>
  <c r="E538" i="40"/>
  <c r="E567" i="40"/>
  <c r="E631" i="40"/>
  <c r="E617" i="40"/>
  <c r="E604" i="40"/>
  <c r="E590" i="40"/>
  <c r="E566" i="40"/>
  <c r="E549" i="40"/>
  <c r="E537" i="40"/>
  <c r="E630" i="40"/>
  <c r="E616" i="40"/>
  <c r="E603" i="40"/>
  <c r="E588" i="40"/>
  <c r="E578" i="40"/>
  <c r="E564" i="40"/>
  <c r="E547" i="40"/>
  <c r="E535" i="40"/>
  <c r="E546" i="40"/>
  <c r="E628" i="40"/>
  <c r="E615" i="40"/>
  <c r="E602" i="40"/>
  <c r="E587" i="40"/>
  <c r="E560" i="40"/>
  <c r="E544" i="40"/>
  <c r="E533" i="40"/>
  <c r="E626" i="40"/>
  <c r="E613" i="40"/>
  <c r="E600" i="40"/>
  <c r="E585" i="40"/>
  <c r="E576" i="40"/>
  <c r="E558" i="40"/>
  <c r="E542" i="40"/>
  <c r="E513" i="40"/>
  <c r="E627" i="40"/>
  <c r="E614" i="40"/>
  <c r="E601" i="40"/>
  <c r="E586" i="40"/>
  <c r="E559" i="40"/>
  <c r="E543" i="40"/>
  <c r="E625" i="40"/>
  <c r="E612" i="40"/>
  <c r="E599" i="40"/>
  <c r="E584" i="40"/>
  <c r="E575" i="40"/>
  <c r="E557" i="40"/>
  <c r="E541" i="40"/>
  <c r="E532" i="40"/>
  <c r="E531" i="40" l="1"/>
  <c r="E529" i="40"/>
  <c r="E528" i="40"/>
  <c r="E527" i="40"/>
  <c r="E526" i="40"/>
  <c r="E525" i="40"/>
  <c r="E524" i="40"/>
  <c r="E523" i="40"/>
  <c r="E522" i="40"/>
  <c r="E521" i="40"/>
  <c r="E520" i="40"/>
  <c r="E519" i="40"/>
  <c r="E514" i="40"/>
  <c r="E517" i="40"/>
  <c r="E516" i="40"/>
  <c r="E515" i="40"/>
  <c r="E512" i="40"/>
  <c r="W120" i="7"/>
  <c r="C573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584" i="40"/>
  <c r="C585" i="40"/>
  <c r="C586" i="40"/>
  <c r="C587" i="40"/>
  <c r="C588" i="40"/>
  <c r="C590" i="40"/>
  <c r="C591" i="40"/>
  <c r="C592" i="40"/>
  <c r="C593" i="40"/>
  <c r="C594" i="40"/>
  <c r="C595" i="40"/>
  <c r="C596" i="40"/>
  <c r="C597" i="40"/>
  <c r="C575" i="40"/>
  <c r="C576" i="40"/>
  <c r="C577" i="40"/>
  <c r="C578" i="40"/>
  <c r="C580" i="40"/>
  <c r="C581" i="40"/>
  <c r="C582" i="40"/>
  <c r="C557" i="40"/>
  <c r="C558" i="40"/>
  <c r="C559" i="40"/>
  <c r="C560" i="40"/>
  <c r="C561" i="40"/>
  <c r="C562" i="40"/>
  <c r="C563" i="40"/>
  <c r="C564" i="40"/>
  <c r="C566" i="40"/>
  <c r="C567" i="40"/>
  <c r="C568" i="40"/>
  <c r="C569" i="40"/>
  <c r="C570" i="40"/>
  <c r="C571" i="40"/>
  <c r="C572" i="40"/>
  <c r="C541" i="40"/>
  <c r="C542" i="40"/>
  <c r="C543" i="40"/>
  <c r="C544" i="40"/>
  <c r="C545" i="40"/>
  <c r="C546" i="40"/>
  <c r="C547" i="40"/>
  <c r="C549" i="40"/>
  <c r="C550" i="40"/>
  <c r="C551" i="40"/>
  <c r="C552" i="40"/>
  <c r="C553" i="40"/>
  <c r="C554" i="40"/>
  <c r="C531" i="40"/>
  <c r="C532" i="40"/>
  <c r="C533" i="40"/>
  <c r="C534" i="40"/>
  <c r="C535" i="40"/>
  <c r="C537" i="40"/>
  <c r="C538" i="40"/>
  <c r="C539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F625" i="40" s="1"/>
  <c r="G625" i="40" s="1"/>
  <c r="I625" i="40" s="1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F612" i="40" s="1"/>
  <c r="G612" i="40" s="1"/>
  <c r="I612" i="40" s="1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F599" i="40" s="1"/>
  <c r="G599" i="40" s="1"/>
  <c r="I599" i="40" s="1"/>
  <c r="D597" i="40"/>
  <c r="D596" i="40"/>
  <c r="D595" i="40"/>
  <c r="D594" i="40"/>
  <c r="D593" i="40"/>
  <c r="D592" i="40"/>
  <c r="D591" i="40"/>
  <c r="D590" i="40"/>
  <c r="D588" i="40"/>
  <c r="D587" i="40"/>
  <c r="D586" i="40"/>
  <c r="D585" i="40"/>
  <c r="D584" i="40"/>
  <c r="F584" i="40" s="1"/>
  <c r="G584" i="40" s="1"/>
  <c r="I584" i="40" s="1"/>
  <c r="D582" i="40"/>
  <c r="D581" i="40"/>
  <c r="D580" i="40"/>
  <c r="D578" i="40"/>
  <c r="E126" i="7"/>
  <c r="D577" i="40"/>
  <c r="D576" i="40"/>
  <c r="D575" i="40"/>
  <c r="F575" i="40" s="1"/>
  <c r="G575" i="40" s="1"/>
  <c r="I575" i="40" s="1"/>
  <c r="D571" i="40"/>
  <c r="D573" i="40"/>
  <c r="D572" i="40"/>
  <c r="D570" i="40"/>
  <c r="D569" i="40"/>
  <c r="D568" i="40"/>
  <c r="D567" i="40"/>
  <c r="D566" i="40"/>
  <c r="D564" i="40"/>
  <c r="D563" i="40"/>
  <c r="D562" i="40"/>
  <c r="D561" i="40"/>
  <c r="D560" i="40"/>
  <c r="D559" i="40"/>
  <c r="D558" i="40"/>
  <c r="D557" i="40"/>
  <c r="F557" i="40" s="1"/>
  <c r="G557" i="40" s="1"/>
  <c r="I557" i="40" s="1"/>
  <c r="C556" i="40"/>
  <c r="D554" i="40"/>
  <c r="D553" i="40"/>
  <c r="D552" i="40"/>
  <c r="D551" i="40"/>
  <c r="D550" i="40"/>
  <c r="D549" i="40"/>
  <c r="D547" i="40"/>
  <c r="D546" i="40"/>
  <c r="D545" i="40"/>
  <c r="D544" i="40"/>
  <c r="D543" i="40"/>
  <c r="D542" i="40"/>
  <c r="D541" i="40"/>
  <c r="F541" i="40" s="1"/>
  <c r="G541" i="40" s="1"/>
  <c r="I541" i="40" s="1"/>
  <c r="D539" i="40"/>
  <c r="D538" i="40"/>
  <c r="D537" i="40"/>
  <c r="D535" i="40"/>
  <c r="D534" i="40"/>
  <c r="D533" i="40"/>
  <c r="D532" i="40"/>
  <c r="D531" i="40"/>
  <c r="C527" i="40"/>
  <c r="D527" i="40"/>
  <c r="C512" i="40"/>
  <c r="C513" i="40"/>
  <c r="C514" i="40"/>
  <c r="C515" i="40"/>
  <c r="C516" i="40"/>
  <c r="C517" i="40"/>
  <c r="C519" i="40"/>
  <c r="C520" i="40"/>
  <c r="C521" i="40"/>
  <c r="C522" i="40"/>
  <c r="C523" i="40"/>
  <c r="C524" i="40"/>
  <c r="C525" i="40"/>
  <c r="C526" i="40"/>
  <c r="C528" i="40"/>
  <c r="C529" i="40"/>
  <c r="D529" i="40"/>
  <c r="D528" i="40"/>
  <c r="D526" i="40"/>
  <c r="F1385" i="30"/>
  <c r="D525" i="40"/>
  <c r="D524" i="40"/>
  <c r="D523" i="40"/>
  <c r="D522" i="40"/>
  <c r="D521" i="40"/>
  <c r="D520" i="40"/>
  <c r="D519" i="40"/>
  <c r="D517" i="40"/>
  <c r="D516" i="40"/>
  <c r="D515" i="40"/>
  <c r="D514" i="40"/>
  <c r="D513" i="40"/>
  <c r="F513" i="40" s="1"/>
  <c r="G513" i="40" s="1"/>
  <c r="I513" i="40" s="1"/>
  <c r="D512" i="40"/>
  <c r="F512" i="40" l="1"/>
  <c r="G512" i="40" s="1"/>
  <c r="I512" i="40" s="1"/>
  <c r="F531" i="40"/>
  <c r="G531" i="40" s="1"/>
  <c r="I531" i="40" s="1"/>
  <c r="F516" i="40"/>
  <c r="G516" i="40" s="1"/>
  <c r="I516" i="40" s="1"/>
  <c r="F521" i="40"/>
  <c r="G521" i="40" s="1"/>
  <c r="I521" i="40" s="1"/>
  <c r="F523" i="40"/>
  <c r="G523" i="40" s="1"/>
  <c r="I523" i="40" s="1"/>
  <c r="F525" i="40"/>
  <c r="G525" i="40" s="1"/>
  <c r="I525" i="40" s="1"/>
  <c r="F526" i="40"/>
  <c r="G526" i="40" s="1"/>
  <c r="I526" i="40" s="1"/>
  <c r="F529" i="40"/>
  <c r="G529" i="40" s="1"/>
  <c r="I529" i="40" s="1"/>
  <c r="F532" i="40"/>
  <c r="G532" i="40" s="1"/>
  <c r="I532" i="40" s="1"/>
  <c r="F534" i="40"/>
  <c r="G534" i="40" s="1"/>
  <c r="I534" i="40" s="1"/>
  <c r="F537" i="40"/>
  <c r="G537" i="40" s="1"/>
  <c r="I537" i="40" s="1"/>
  <c r="F539" i="40"/>
  <c r="G539" i="40" s="1"/>
  <c r="I539" i="40" s="1"/>
  <c r="F542" i="40"/>
  <c r="G542" i="40" s="1"/>
  <c r="I542" i="40" s="1"/>
  <c r="F544" i="40"/>
  <c r="G544" i="40" s="1"/>
  <c r="I544" i="40" s="1"/>
  <c r="F546" i="40"/>
  <c r="G546" i="40" s="1"/>
  <c r="I546" i="40" s="1"/>
  <c r="F549" i="40"/>
  <c r="G549" i="40" s="1"/>
  <c r="I549" i="40" s="1"/>
  <c r="F551" i="40"/>
  <c r="G551" i="40" s="1"/>
  <c r="I551" i="40" s="1"/>
  <c r="F553" i="40"/>
  <c r="G553" i="40" s="1"/>
  <c r="I553" i="40" s="1"/>
  <c r="F559" i="40"/>
  <c r="G559" i="40" s="1"/>
  <c r="I559" i="40" s="1"/>
  <c r="F561" i="40"/>
  <c r="G561" i="40" s="1"/>
  <c r="I561" i="40" s="1"/>
  <c r="F563" i="40"/>
  <c r="G563" i="40" s="1"/>
  <c r="I563" i="40" s="1"/>
  <c r="F566" i="40"/>
  <c r="G566" i="40" s="1"/>
  <c r="I566" i="40" s="1"/>
  <c r="F568" i="40"/>
  <c r="G568" i="40" s="1"/>
  <c r="I568" i="40" s="1"/>
  <c r="F570" i="40"/>
  <c r="G570" i="40" s="1"/>
  <c r="I570" i="40" s="1"/>
  <c r="F573" i="40"/>
  <c r="G573" i="40" s="1"/>
  <c r="I573" i="40" s="1"/>
  <c r="F577" i="40"/>
  <c r="G577" i="40" s="1"/>
  <c r="I577" i="40" s="1"/>
  <c r="F578" i="40"/>
  <c r="G578" i="40" s="1"/>
  <c r="I578" i="40" s="1"/>
  <c r="F581" i="40"/>
  <c r="G581" i="40" s="1"/>
  <c r="I581" i="40" s="1"/>
  <c r="F586" i="40"/>
  <c r="G586" i="40" s="1"/>
  <c r="I586" i="40" s="1"/>
  <c r="F588" i="40"/>
  <c r="G588" i="40" s="1"/>
  <c r="I588" i="40" s="1"/>
  <c r="F591" i="40"/>
  <c r="G591" i="40" s="1"/>
  <c r="I591" i="40" s="1"/>
  <c r="F593" i="40"/>
  <c r="G593" i="40" s="1"/>
  <c r="I593" i="40" s="1"/>
  <c r="F595" i="40"/>
  <c r="G595" i="40" s="1"/>
  <c r="I595" i="40" s="1"/>
  <c r="F597" i="40"/>
  <c r="G597" i="40" s="1"/>
  <c r="I597" i="40" s="1"/>
  <c r="F600" i="40"/>
  <c r="G600" i="40" s="1"/>
  <c r="I600" i="40" s="1"/>
  <c r="F602" i="40"/>
  <c r="G602" i="40" s="1"/>
  <c r="I602" i="40" s="1"/>
  <c r="F604" i="40"/>
  <c r="G604" i="40" s="1"/>
  <c r="I604" i="40" s="1"/>
  <c r="F606" i="40"/>
  <c r="G606" i="40" s="1"/>
  <c r="I606" i="40" s="1"/>
  <c r="F608" i="40"/>
  <c r="G608" i="40" s="1"/>
  <c r="I608" i="40" s="1"/>
  <c r="F610" i="40"/>
  <c r="G610" i="40" s="1"/>
  <c r="I610" i="40" s="1"/>
  <c r="F613" i="40"/>
  <c r="G613" i="40" s="1"/>
  <c r="I613" i="40" s="1"/>
  <c r="F615" i="40"/>
  <c r="G615" i="40" s="1"/>
  <c r="I615" i="40" s="1"/>
  <c r="F617" i="40"/>
  <c r="G617" i="40" s="1"/>
  <c r="I617" i="40" s="1"/>
  <c r="F619" i="40"/>
  <c r="G619" i="40" s="1"/>
  <c r="I619" i="40" s="1"/>
  <c r="F621" i="40"/>
  <c r="G621" i="40" s="1"/>
  <c r="I621" i="40" s="1"/>
  <c r="F623" i="40"/>
  <c r="G623" i="40" s="1"/>
  <c r="I623" i="40" s="1"/>
  <c r="F626" i="40"/>
  <c r="G626" i="40" s="1"/>
  <c r="I626" i="40" s="1"/>
  <c r="F628" i="40"/>
  <c r="G628" i="40" s="1"/>
  <c r="I628" i="40" s="1"/>
  <c r="F630" i="40"/>
  <c r="G630" i="40" s="1"/>
  <c r="I630" i="40" s="1"/>
  <c r="F632" i="40"/>
  <c r="G632" i="40" s="1"/>
  <c r="I632" i="40" s="1"/>
  <c r="F634" i="40"/>
  <c r="G634" i="40" s="1"/>
  <c r="I634" i="40" s="1"/>
  <c r="F636" i="40"/>
  <c r="G636" i="40" s="1"/>
  <c r="I636" i="40" s="1"/>
  <c r="F515" i="40"/>
  <c r="G515" i="40" s="1"/>
  <c r="I515" i="40" s="1"/>
  <c r="F522" i="40"/>
  <c r="G522" i="40" s="1"/>
  <c r="I522" i="40" s="1"/>
  <c r="F524" i="40"/>
  <c r="G524" i="40" s="1"/>
  <c r="I524" i="40" s="1"/>
  <c r="F528" i="40"/>
  <c r="G528" i="40" s="1"/>
  <c r="I528" i="40" s="1"/>
  <c r="F527" i="40"/>
  <c r="G527" i="40" s="1"/>
  <c r="I527" i="40" s="1"/>
  <c r="F533" i="40"/>
  <c r="G533" i="40" s="1"/>
  <c r="I533" i="40" s="1"/>
  <c r="F535" i="40"/>
  <c r="G535" i="40" s="1"/>
  <c r="I535" i="40" s="1"/>
  <c r="F538" i="40"/>
  <c r="G538" i="40" s="1"/>
  <c r="I538" i="40" s="1"/>
  <c r="F543" i="40"/>
  <c r="G543" i="40" s="1"/>
  <c r="I543" i="40" s="1"/>
  <c r="F545" i="40"/>
  <c r="G545" i="40" s="1"/>
  <c r="I545" i="40" s="1"/>
  <c r="F547" i="40"/>
  <c r="G547" i="40" s="1"/>
  <c r="I547" i="40" s="1"/>
  <c r="F550" i="40"/>
  <c r="G550" i="40" s="1"/>
  <c r="I550" i="40" s="1"/>
  <c r="F552" i="40"/>
  <c r="G552" i="40" s="1"/>
  <c r="I552" i="40" s="1"/>
  <c r="F554" i="40"/>
  <c r="G554" i="40" s="1"/>
  <c r="I554" i="40" s="1"/>
  <c r="F558" i="40"/>
  <c r="G558" i="40" s="1"/>
  <c r="I558" i="40" s="1"/>
  <c r="F560" i="40"/>
  <c r="G560" i="40" s="1"/>
  <c r="I560" i="40" s="1"/>
  <c r="F562" i="40"/>
  <c r="G562" i="40" s="1"/>
  <c r="I562" i="40" s="1"/>
  <c r="F564" i="40"/>
  <c r="G564" i="40" s="1"/>
  <c r="I564" i="40" s="1"/>
  <c r="F567" i="40"/>
  <c r="G567" i="40" s="1"/>
  <c r="I567" i="40" s="1"/>
  <c r="F569" i="40"/>
  <c r="G569" i="40" s="1"/>
  <c r="I569" i="40" s="1"/>
  <c r="F572" i="40"/>
  <c r="G572" i="40" s="1"/>
  <c r="I572" i="40" s="1"/>
  <c r="F571" i="40"/>
  <c r="G571" i="40" s="1"/>
  <c r="I571" i="40" s="1"/>
  <c r="F576" i="40"/>
  <c r="G576" i="40" s="1"/>
  <c r="I576" i="40" s="1"/>
  <c r="F580" i="40"/>
  <c r="G580" i="40" s="1"/>
  <c r="I580" i="40" s="1"/>
  <c r="F582" i="40"/>
  <c r="G582" i="40" s="1"/>
  <c r="I582" i="40" s="1"/>
  <c r="F585" i="40"/>
  <c r="G585" i="40" s="1"/>
  <c r="I585" i="40" s="1"/>
  <c r="F587" i="40"/>
  <c r="G587" i="40" s="1"/>
  <c r="I587" i="40" s="1"/>
  <c r="F590" i="40"/>
  <c r="G590" i="40" s="1"/>
  <c r="I590" i="40" s="1"/>
  <c r="F592" i="40"/>
  <c r="G592" i="40" s="1"/>
  <c r="I592" i="40" s="1"/>
  <c r="F594" i="40"/>
  <c r="G594" i="40" s="1"/>
  <c r="I594" i="40" s="1"/>
  <c r="F596" i="40"/>
  <c r="G596" i="40" s="1"/>
  <c r="I596" i="40" s="1"/>
  <c r="F601" i="40"/>
  <c r="G601" i="40" s="1"/>
  <c r="I601" i="40" s="1"/>
  <c r="F603" i="40"/>
  <c r="G603" i="40" s="1"/>
  <c r="I603" i="40" s="1"/>
  <c r="F605" i="40"/>
  <c r="G605" i="40" s="1"/>
  <c r="I605" i="40" s="1"/>
  <c r="F607" i="40"/>
  <c r="G607" i="40" s="1"/>
  <c r="I607" i="40" s="1"/>
  <c r="F609" i="40"/>
  <c r="G609" i="40" s="1"/>
  <c r="I609" i="40" s="1"/>
  <c r="F614" i="40"/>
  <c r="G614" i="40" s="1"/>
  <c r="I614" i="40" s="1"/>
  <c r="F616" i="40"/>
  <c r="G616" i="40" s="1"/>
  <c r="I616" i="40" s="1"/>
  <c r="F618" i="40"/>
  <c r="G618" i="40" s="1"/>
  <c r="I618" i="40" s="1"/>
  <c r="F620" i="40"/>
  <c r="G620" i="40" s="1"/>
  <c r="I620" i="40" s="1"/>
  <c r="F622" i="40"/>
  <c r="G622" i="40" s="1"/>
  <c r="I622" i="40" s="1"/>
  <c r="F627" i="40"/>
  <c r="G627" i="40" s="1"/>
  <c r="I627" i="40" s="1"/>
  <c r="F629" i="40"/>
  <c r="G629" i="40" s="1"/>
  <c r="I629" i="40" s="1"/>
  <c r="F631" i="40"/>
  <c r="G631" i="40" s="1"/>
  <c r="I631" i="40" s="1"/>
  <c r="F633" i="40"/>
  <c r="G633" i="40" s="1"/>
  <c r="I633" i="40" s="1"/>
  <c r="F635" i="40"/>
  <c r="G635" i="40" s="1"/>
  <c r="I635" i="40" s="1"/>
  <c r="F637" i="40"/>
  <c r="G637" i="40" s="1"/>
  <c r="I637" i="40" s="1"/>
  <c r="F514" i="40"/>
  <c r="G514" i="40" s="1"/>
  <c r="I514" i="40" s="1"/>
  <c r="F520" i="40"/>
  <c r="G520" i="40" s="1"/>
  <c r="I520" i="40" s="1"/>
  <c r="F517" i="40"/>
  <c r="G517" i="40" s="1"/>
  <c r="I517" i="40" s="1"/>
  <c r="F519" i="40"/>
  <c r="G519" i="40" s="1"/>
  <c r="I519" i="40" s="1"/>
  <c r="E209" i="40"/>
  <c r="E199" i="40"/>
  <c r="E190" i="40"/>
  <c r="E180" i="40"/>
  <c r="E171" i="40"/>
  <c r="R63" i="24"/>
  <c r="S63" i="24"/>
  <c r="T63" i="24"/>
  <c r="U63" i="24"/>
  <c r="Q63" i="24"/>
  <c r="E162" i="40"/>
  <c r="E210" i="40"/>
  <c r="E181" i="40"/>
  <c r="E163" i="40"/>
  <c r="E152" i="40"/>
  <c r="E142" i="40"/>
  <c r="E134" i="40"/>
  <c r="E132" i="40"/>
  <c r="J520" i="30"/>
  <c r="J519" i="30"/>
  <c r="J454" i="30"/>
  <c r="J453" i="30"/>
  <c r="J445" i="30"/>
  <c r="J444" i="30"/>
  <c r="J432" i="30"/>
  <c r="J941" i="30" l="1"/>
  <c r="J940" i="30"/>
  <c r="J928" i="30"/>
  <c r="J927" i="30"/>
  <c r="J915" i="30"/>
  <c r="J914" i="30"/>
  <c r="J902" i="30"/>
  <c r="J901" i="30"/>
  <c r="J889" i="30"/>
  <c r="J888" i="30"/>
  <c r="J992" i="30"/>
  <c r="J991" i="30"/>
  <c r="J980" i="30"/>
  <c r="J979" i="30"/>
  <c r="J967" i="30"/>
  <c r="J966" i="30"/>
  <c r="J954" i="30"/>
  <c r="J953" i="30"/>
  <c r="J969" i="30" l="1"/>
  <c r="H92" i="17" s="1"/>
  <c r="J994" i="30"/>
  <c r="H94" i="17" s="1"/>
  <c r="J956" i="30"/>
  <c r="H91" i="17" s="1"/>
  <c r="J981" i="30"/>
  <c r="H93" i="17" s="1"/>
  <c r="J943" i="30"/>
  <c r="H90" i="17" s="1"/>
  <c r="J930" i="30"/>
  <c r="H89" i="17" s="1"/>
  <c r="J891" i="30"/>
  <c r="H86" i="17" s="1"/>
  <c r="J904" i="30"/>
  <c r="H87" i="17" s="1"/>
  <c r="I87" i="17" s="1"/>
  <c r="J917" i="30"/>
  <c r="H88" i="17" s="1"/>
  <c r="I88" i="17" s="1"/>
  <c r="J361" i="40" l="1"/>
  <c r="J388" i="40"/>
  <c r="J372" i="40"/>
  <c r="J369" i="40"/>
  <c r="J365" i="40"/>
  <c r="J360" i="40"/>
  <c r="J373" i="40"/>
  <c r="J370" i="40"/>
  <c r="J362" i="40"/>
  <c r="J366" i="40"/>
  <c r="J363" i="40"/>
  <c r="J367" i="40"/>
  <c r="J376" i="40"/>
  <c r="J379" i="40"/>
  <c r="J390" i="40"/>
  <c r="J386" i="40"/>
  <c r="J382" i="40"/>
  <c r="J389" i="40"/>
  <c r="J385" i="40"/>
  <c r="J381" i="40"/>
  <c r="J378" i="40"/>
  <c r="F981" i="30"/>
  <c r="F994" i="30"/>
  <c r="J383" i="40"/>
  <c r="F969" i="30"/>
  <c r="F956" i="30"/>
  <c r="F943" i="30"/>
  <c r="F930" i="30"/>
  <c r="F917" i="30"/>
  <c r="J375" i="40"/>
  <c r="F891" i="30"/>
  <c r="J892" i="30" s="1"/>
  <c r="J1270" i="30"/>
  <c r="J1271" i="30"/>
  <c r="J1272" i="30"/>
  <c r="J1269" i="30"/>
  <c r="J492" i="30"/>
  <c r="J374" i="40" l="1"/>
  <c r="J380" i="40"/>
  <c r="J377" i="40"/>
  <c r="J368" i="40"/>
  <c r="J384" i="40"/>
  <c r="J371" i="40"/>
  <c r="J359" i="40"/>
  <c r="J387" i="40"/>
  <c r="J364" i="40"/>
  <c r="J995" i="30"/>
  <c r="J982" i="30"/>
  <c r="J970" i="30"/>
  <c r="J957" i="30"/>
  <c r="J944" i="30"/>
  <c r="J918" i="30"/>
  <c r="J931" i="30"/>
  <c r="J905" i="30"/>
  <c r="J487" i="30"/>
  <c r="J486" i="30"/>
  <c r="J485" i="30"/>
  <c r="J1700" i="30"/>
  <c r="J1701" i="30" l="1"/>
  <c r="J787" i="40"/>
  <c r="J358" i="40"/>
  <c r="E205" i="40"/>
  <c r="E195" i="40"/>
  <c r="E186" i="40"/>
  <c r="E176" i="40"/>
  <c r="E158" i="40"/>
  <c r="E148" i="40"/>
  <c r="E139" i="40"/>
  <c r="E197" i="40"/>
  <c r="E207" i="40"/>
  <c r="E169" i="40"/>
  <c r="E188" i="40"/>
  <c r="E178" i="40"/>
  <c r="E160" i="40"/>
  <c r="E150" i="40"/>
  <c r="E206" i="40"/>
  <c r="E196" i="40"/>
  <c r="E187" i="40"/>
  <c r="E177" i="40"/>
  <c r="E168" i="40"/>
  <c r="E159" i="40"/>
  <c r="E149" i="40"/>
  <c r="E204" i="40"/>
  <c r="E165" i="40"/>
  <c r="E145" i="40"/>
  <c r="E203" i="40"/>
  <c r="E194" i="40"/>
  <c r="E185" i="40"/>
  <c r="E175" i="40"/>
  <c r="E167" i="40"/>
  <c r="E155" i="40"/>
  <c r="E138" i="40"/>
  <c r="E141" i="40"/>
  <c r="E140" i="40"/>
  <c r="E147" i="40"/>
  <c r="E130" i="40"/>
  <c r="E133" i="40"/>
  <c r="D207" i="40"/>
  <c r="E15" i="40"/>
  <c r="E14" i="40"/>
  <c r="E13" i="40"/>
  <c r="E11" i="40"/>
  <c r="F11" i="40" s="1"/>
  <c r="G11" i="40" s="1"/>
  <c r="F10" i="40"/>
  <c r="G10" i="40" s="1"/>
  <c r="E9" i="40"/>
  <c r="E8" i="40"/>
  <c r="F8" i="40" s="1"/>
  <c r="G8" i="40" s="1"/>
  <c r="F207" i="40" l="1"/>
  <c r="G207" i="40" s="1"/>
  <c r="I207" i="40" s="1"/>
  <c r="I10" i="40"/>
  <c r="I8" i="40"/>
  <c r="I11" i="40"/>
  <c r="E7" i="40"/>
  <c r="F7" i="40" s="1"/>
  <c r="G7" i="40" s="1"/>
  <c r="I7" i="40" s="1"/>
  <c r="E6" i="40"/>
  <c r="F6" i="40" s="1"/>
  <c r="G6" i="40" s="1"/>
  <c r="I6" i="40" s="1"/>
  <c r="F19" i="40" l="1"/>
  <c r="G19" i="40" s="1"/>
  <c r="I19" i="40" s="1"/>
  <c r="E22" i="40"/>
  <c r="E21" i="40"/>
  <c r="E20" i="40"/>
  <c r="E17" i="40"/>
  <c r="H105" i="39"/>
  <c r="G101" i="39"/>
  <c r="F1694" i="30" l="1"/>
  <c r="F1684" i="30"/>
  <c r="F1674" i="30"/>
  <c r="F1662" i="30"/>
  <c r="F1643" i="30"/>
  <c r="F1620" i="30"/>
  <c r="F1609" i="30"/>
  <c r="F1597" i="30"/>
  <c r="F1585" i="30"/>
  <c r="J2047" i="30"/>
  <c r="J920" i="40" s="1"/>
  <c r="J919" i="40" s="1"/>
  <c r="J1692" i="30"/>
  <c r="J1691" i="30"/>
  <c r="J1690" i="30"/>
  <c r="J1689" i="30"/>
  <c r="J1688" i="30"/>
  <c r="J1687" i="30"/>
  <c r="J1682" i="30"/>
  <c r="J1681" i="30"/>
  <c r="J1680" i="30"/>
  <c r="J1679" i="30"/>
  <c r="J1678" i="30"/>
  <c r="J1677" i="30"/>
  <c r="J1672" i="30"/>
  <c r="J1671" i="30"/>
  <c r="J1670" i="30"/>
  <c r="J1669" i="30"/>
  <c r="J1668" i="30"/>
  <c r="J1667" i="30"/>
  <c r="J1666" i="30"/>
  <c r="J1665" i="30"/>
  <c r="J1660" i="30"/>
  <c r="J1659" i="30"/>
  <c r="J1658" i="30"/>
  <c r="J1657" i="30"/>
  <c r="J1656" i="30"/>
  <c r="J1655" i="30"/>
  <c r="J1654" i="30"/>
  <c r="J1649" i="30"/>
  <c r="J1648" i="30"/>
  <c r="J1647" i="30"/>
  <c r="J1646" i="30"/>
  <c r="J1641" i="30"/>
  <c r="J1640" i="30"/>
  <c r="J1639" i="30"/>
  <c r="J1638" i="30"/>
  <c r="J1637" i="30"/>
  <c r="J1636" i="30"/>
  <c r="J1635" i="30"/>
  <c r="J1634" i="30"/>
  <c r="J1629" i="30"/>
  <c r="J1628" i="30"/>
  <c r="J1627" i="30"/>
  <c r="J1626" i="30"/>
  <c r="J1625" i="30"/>
  <c r="J1624" i="30"/>
  <c r="J1623" i="30"/>
  <c r="J1618" i="30"/>
  <c r="J1617" i="30"/>
  <c r="J1616" i="30"/>
  <c r="J1615" i="30"/>
  <c r="J1614" i="30"/>
  <c r="J1613" i="30"/>
  <c r="J1612" i="30"/>
  <c r="J1607" i="30"/>
  <c r="J1606" i="30"/>
  <c r="J1605" i="30"/>
  <c r="J1604" i="30"/>
  <c r="J1603" i="30"/>
  <c r="J1602" i="30"/>
  <c r="J1601" i="30"/>
  <c r="J1600" i="30"/>
  <c r="J1595" i="30"/>
  <c r="J1594" i="30"/>
  <c r="J1593" i="30"/>
  <c r="J1592" i="30"/>
  <c r="J1591" i="30"/>
  <c r="J1590" i="30"/>
  <c r="J1589" i="30"/>
  <c r="J1588" i="30"/>
  <c r="J1583" i="30"/>
  <c r="J1582" i="30"/>
  <c r="J1581" i="30"/>
  <c r="J1580" i="30"/>
  <c r="J1579" i="30"/>
  <c r="J1578" i="30"/>
  <c r="J1577" i="30"/>
  <c r="J1576" i="30"/>
  <c r="J1571" i="30"/>
  <c r="J1570" i="30"/>
  <c r="J1569" i="30"/>
  <c r="J1568" i="30"/>
  <c r="J1567" i="30"/>
  <c r="J1566" i="30"/>
  <c r="J1565" i="30"/>
  <c r="J1564" i="30"/>
  <c r="J1559" i="30"/>
  <c r="J1558" i="30"/>
  <c r="J1557" i="30"/>
  <c r="J1556" i="30"/>
  <c r="J1555" i="30"/>
  <c r="J1554" i="30"/>
  <c r="J1553" i="30"/>
  <c r="J1548" i="30"/>
  <c r="J1547" i="30"/>
  <c r="J1546" i="30"/>
  <c r="J1545" i="30"/>
  <c r="J1544" i="30"/>
  <c r="J1543" i="30"/>
  <c r="J1542" i="30"/>
  <c r="J1537" i="30"/>
  <c r="J1536" i="30"/>
  <c r="J1535" i="30"/>
  <c r="J1534" i="30"/>
  <c r="J1529" i="30"/>
  <c r="J1528" i="30"/>
  <c r="J1527" i="30"/>
  <c r="J1526" i="30"/>
  <c r="J1521" i="30"/>
  <c r="J1520" i="30"/>
  <c r="J1519" i="30"/>
  <c r="J1518" i="30"/>
  <c r="J1513" i="30"/>
  <c r="J1512" i="30"/>
  <c r="J1511" i="30"/>
  <c r="J1510" i="30"/>
  <c r="J1509" i="30"/>
  <c r="J1508" i="30"/>
  <c r="J1507" i="30"/>
  <c r="J1506" i="30"/>
  <c r="J1501" i="30"/>
  <c r="J1500" i="30"/>
  <c r="J1499" i="30"/>
  <c r="J1498" i="30"/>
  <c r="J1497" i="30"/>
  <c r="J1496" i="30"/>
  <c r="J1495" i="30"/>
  <c r="J1490" i="30"/>
  <c r="J1489" i="30"/>
  <c r="J1488" i="30"/>
  <c r="J1487" i="30"/>
  <c r="J1486" i="30"/>
  <c r="J1485" i="30"/>
  <c r="J1484" i="30"/>
  <c r="J1479" i="30"/>
  <c r="J1478" i="30"/>
  <c r="J1477" i="30"/>
  <c r="J1476" i="30"/>
  <c r="J1475" i="30"/>
  <c r="J1470" i="30"/>
  <c r="J1469" i="30"/>
  <c r="J1468" i="30"/>
  <c r="J1467" i="30"/>
  <c r="J1466" i="30"/>
  <c r="J1465" i="30"/>
  <c r="J1464" i="30"/>
  <c r="J1463" i="30"/>
  <c r="J1458" i="30"/>
  <c r="J1457" i="30"/>
  <c r="J1456" i="30"/>
  <c r="J1455" i="30"/>
  <c r="J1454" i="30"/>
  <c r="J1453" i="30"/>
  <c r="J1452" i="30"/>
  <c r="J1451" i="30"/>
  <c r="J1446" i="30"/>
  <c r="J1445" i="30"/>
  <c r="J1444" i="30"/>
  <c r="J1443" i="30"/>
  <c r="J1442" i="30"/>
  <c r="J1441" i="30"/>
  <c r="J1440" i="30"/>
  <c r="J1439" i="30"/>
  <c r="J1434" i="30"/>
  <c r="J1433" i="30"/>
  <c r="J1432" i="30"/>
  <c r="J1431" i="30"/>
  <c r="J1430" i="30"/>
  <c r="F15" i="39"/>
  <c r="H217" i="17" l="1"/>
  <c r="H250" i="17"/>
  <c r="I250" i="17" s="1"/>
  <c r="J1492" i="30"/>
  <c r="J1573" i="30"/>
  <c r="J1585" i="30"/>
  <c r="J1586" i="30" s="1"/>
  <c r="I205" i="17" s="1"/>
  <c r="J1597" i="30"/>
  <c r="J1598" i="30" s="1"/>
  <c r="I206" i="17" s="1"/>
  <c r="J1609" i="30"/>
  <c r="J1620" i="30"/>
  <c r="J1684" i="30"/>
  <c r="J1531" i="30"/>
  <c r="J724" i="40" s="1"/>
  <c r="J1550" i="30"/>
  <c r="J1460" i="30"/>
  <c r="J1472" i="30"/>
  <c r="J1481" i="30"/>
  <c r="J1674" i="30"/>
  <c r="H213" i="17" s="1"/>
  <c r="J1436" i="30"/>
  <c r="J640" i="40" s="1"/>
  <c r="J1515" i="30"/>
  <c r="J1539" i="30"/>
  <c r="J704" i="40" s="1"/>
  <c r="J1651" i="30"/>
  <c r="J1503" i="30"/>
  <c r="J721" i="40" s="1"/>
  <c r="J1631" i="30"/>
  <c r="J1694" i="30"/>
  <c r="I216" i="17"/>
  <c r="H216" i="17"/>
  <c r="J1643" i="30"/>
  <c r="J1561" i="30"/>
  <c r="J1523" i="30"/>
  <c r="J1662" i="30"/>
  <c r="J2048" i="30"/>
  <c r="I217" i="17" s="1"/>
  <c r="J1448" i="30"/>
  <c r="H215" i="17" l="1"/>
  <c r="J786" i="40"/>
  <c r="H214" i="17"/>
  <c r="J785" i="40"/>
  <c r="J761" i="40"/>
  <c r="J748" i="40"/>
  <c r="J735" i="40"/>
  <c r="J716" i="40"/>
  <c r="J775" i="40"/>
  <c r="J718" i="40"/>
  <c r="J763" i="40"/>
  <c r="J750" i="40"/>
  <c r="J737" i="40"/>
  <c r="J745" i="40"/>
  <c r="J782" i="40"/>
  <c r="J730" i="40"/>
  <c r="J711" i="40"/>
  <c r="J771" i="40"/>
  <c r="J758" i="40"/>
  <c r="H204" i="17"/>
  <c r="J779" i="40"/>
  <c r="J727" i="40"/>
  <c r="J666" i="40"/>
  <c r="J707" i="40"/>
  <c r="J684" i="40"/>
  <c r="J768" i="40"/>
  <c r="J755" i="40"/>
  <c r="J742" i="40"/>
  <c r="J766" i="40"/>
  <c r="J753" i="40"/>
  <c r="J740" i="40"/>
  <c r="J723" i="40"/>
  <c r="J777" i="40"/>
  <c r="J783" i="40"/>
  <c r="J746" i="40"/>
  <c r="J772" i="40"/>
  <c r="J759" i="40"/>
  <c r="J733" i="40"/>
  <c r="J767" i="40"/>
  <c r="J754" i="40"/>
  <c r="J741" i="40"/>
  <c r="J705" i="40"/>
  <c r="J778" i="40"/>
  <c r="J725" i="40"/>
  <c r="J770" i="40"/>
  <c r="J757" i="40"/>
  <c r="J708" i="40"/>
  <c r="J728" i="40"/>
  <c r="J769" i="40"/>
  <c r="J756" i="40"/>
  <c r="J743" i="40"/>
  <c r="J781" i="40"/>
  <c r="J744" i="40"/>
  <c r="J729" i="40"/>
  <c r="J710" i="40"/>
  <c r="J780" i="40"/>
  <c r="J709" i="40"/>
  <c r="J720" i="40"/>
  <c r="J765" i="40"/>
  <c r="J752" i="40"/>
  <c r="J739" i="40"/>
  <c r="J726" i="40"/>
  <c r="J706" i="40"/>
  <c r="J762" i="40"/>
  <c r="J749" i="40"/>
  <c r="J736" i="40"/>
  <c r="J774" i="40"/>
  <c r="J717" i="40"/>
  <c r="J731" i="40"/>
  <c r="J712" i="40"/>
  <c r="J732" i="40"/>
  <c r="H198" i="17"/>
  <c r="J722" i="40"/>
  <c r="J701" i="40"/>
  <c r="J680" i="40"/>
  <c r="J719" i="40"/>
  <c r="J776" i="40"/>
  <c r="J764" i="40"/>
  <c r="J751" i="40"/>
  <c r="J738" i="40"/>
  <c r="J700" i="40"/>
  <c r="J694" i="40"/>
  <c r="J696" i="40"/>
  <c r="J695" i="40"/>
  <c r="J702" i="40"/>
  <c r="J714" i="40"/>
  <c r="J699" i="40"/>
  <c r="J698" i="40"/>
  <c r="H200" i="17"/>
  <c r="J703" i="40"/>
  <c r="J713" i="40"/>
  <c r="J697" i="40"/>
  <c r="J675" i="40"/>
  <c r="J658" i="40"/>
  <c r="J642" i="40"/>
  <c r="J671" i="40"/>
  <c r="J654" i="40"/>
  <c r="J692" i="40"/>
  <c r="J664" i="40"/>
  <c r="J682" i="40"/>
  <c r="J648" i="40"/>
  <c r="J667" i="40"/>
  <c r="J650" i="40"/>
  <c r="J686" i="40"/>
  <c r="J687" i="40"/>
  <c r="J685" i="40"/>
  <c r="J678" i="40"/>
  <c r="J661" i="40"/>
  <c r="J645" i="40"/>
  <c r="J673" i="40"/>
  <c r="J656" i="40"/>
  <c r="J688" i="40"/>
  <c r="J689" i="40"/>
  <c r="J668" i="40"/>
  <c r="J651" i="40"/>
  <c r="J674" i="40"/>
  <c r="J657" i="40"/>
  <c r="J641" i="40"/>
  <c r="J683" i="40"/>
  <c r="J649" i="40"/>
  <c r="J665" i="40"/>
  <c r="J663" i="40"/>
  <c r="J681" i="40"/>
  <c r="J647" i="40"/>
  <c r="J677" i="40"/>
  <c r="J660" i="40"/>
  <c r="J644" i="40"/>
  <c r="J646" i="40"/>
  <c r="J679" i="40"/>
  <c r="J662" i="40"/>
  <c r="J669" i="40"/>
  <c r="J652" i="40"/>
  <c r="J690" i="40"/>
  <c r="J670" i="40"/>
  <c r="J653" i="40"/>
  <c r="J691" i="40"/>
  <c r="J676" i="40"/>
  <c r="J659" i="40"/>
  <c r="J643" i="40"/>
  <c r="H209" i="17"/>
  <c r="H211" i="17"/>
  <c r="H194" i="17"/>
  <c r="H202" i="17"/>
  <c r="H208" i="17"/>
  <c r="H197" i="17"/>
  <c r="H201" i="17"/>
  <c r="H191" i="17"/>
  <c r="H195" i="17"/>
  <c r="H193" i="17"/>
  <c r="J1610" i="30"/>
  <c r="I207" i="17" s="1"/>
  <c r="H196" i="17"/>
  <c r="H205" i="17"/>
  <c r="H207" i="17"/>
  <c r="J1685" i="30"/>
  <c r="I214" i="17" s="1"/>
  <c r="J1621" i="30"/>
  <c r="I208" i="17" s="1"/>
  <c r="H206" i="17"/>
  <c r="J1675" i="30"/>
  <c r="I213" i="17" s="1"/>
  <c r="J1695" i="30"/>
  <c r="I215" i="17" s="1"/>
  <c r="J1663" i="30"/>
  <c r="I212" i="17" s="1"/>
  <c r="H212" i="17"/>
  <c r="J1644" i="30"/>
  <c r="I210" i="17" s="1"/>
  <c r="H210" i="17"/>
  <c r="H203" i="17"/>
  <c r="H199" i="17"/>
  <c r="H192" i="17"/>
  <c r="J784" i="40" l="1"/>
  <c r="J773" i="40"/>
  <c r="J747" i="40"/>
  <c r="J760" i="40"/>
  <c r="J715" i="40"/>
  <c r="J693" i="40"/>
  <c r="J734" i="40"/>
  <c r="J655" i="40"/>
  <c r="J672" i="40"/>
  <c r="J639" i="40"/>
  <c r="C67" i="39"/>
  <c r="C63" i="39"/>
  <c r="C62" i="39"/>
  <c r="D58" i="39"/>
  <c r="D57" i="39"/>
  <c r="D52" i="39"/>
  <c r="D51" i="39"/>
  <c r="B41" i="39"/>
  <c r="B45" i="39" s="1"/>
  <c r="D38" i="39"/>
  <c r="C30" i="39"/>
  <c r="N520" i="40" l="1"/>
  <c r="J638" i="40"/>
  <c r="F58" i="39"/>
  <c r="D59" i="39"/>
  <c r="D45" i="39"/>
  <c r="H132" i="39"/>
  <c r="F63" i="39"/>
  <c r="F62" i="39"/>
  <c r="D48" i="39"/>
  <c r="F64" i="39"/>
  <c r="D49" i="39"/>
  <c r="D53" i="39"/>
  <c r="F57" i="39"/>
  <c r="F59" i="39" s="1"/>
  <c r="D41" i="39"/>
  <c r="D42" i="39" s="1"/>
  <c r="D46" i="39"/>
  <c r="D50" i="39"/>
  <c r="D54" i="39"/>
  <c r="D47" i="39"/>
  <c r="J536" i="30"/>
  <c r="J535" i="30"/>
  <c r="J534" i="30"/>
  <c r="J532" i="30"/>
  <c r="J525" i="30"/>
  <c r="J528" i="30"/>
  <c r="J527" i="30"/>
  <c r="J526" i="30"/>
  <c r="J524" i="30"/>
  <c r="M72" i="24"/>
  <c r="M71" i="24"/>
  <c r="J529" i="30" l="1"/>
  <c r="J537" i="30"/>
  <c r="F65" i="39"/>
  <c r="D55" i="39"/>
  <c r="D70" i="39" s="1"/>
  <c r="H77" i="17" l="1"/>
  <c r="H78" i="17"/>
  <c r="G163" i="17"/>
  <c r="F1128" i="30"/>
  <c r="D556" i="40" s="1"/>
  <c r="F556" i="40" s="1"/>
  <c r="G556" i="40" s="1"/>
  <c r="I556" i="40" s="1"/>
  <c r="J1128" i="30"/>
  <c r="J489" i="30"/>
  <c r="H163" i="17" l="1"/>
  <c r="I163" i="17" s="1"/>
  <c r="J556" i="40"/>
  <c r="H71" i="17"/>
  <c r="J1129" i="30"/>
  <c r="J517" i="30"/>
  <c r="J516" i="30"/>
  <c r="J515" i="30"/>
  <c r="J514" i="30"/>
  <c r="J509" i="30"/>
  <c r="J508" i="30"/>
  <c r="J507" i="30"/>
  <c r="J502" i="30"/>
  <c r="J501" i="30"/>
  <c r="J500" i="30"/>
  <c r="J499" i="30"/>
  <c r="J494" i="30"/>
  <c r="J493" i="30"/>
  <c r="J480" i="30"/>
  <c r="J479" i="30"/>
  <c r="J478" i="30"/>
  <c r="J477" i="30"/>
  <c r="J476" i="30"/>
  <c r="J471" i="30"/>
  <c r="J470" i="30"/>
  <c r="J469" i="30"/>
  <c r="J464" i="30"/>
  <c r="J463" i="30"/>
  <c r="J462" i="30"/>
  <c r="J461" i="30"/>
  <c r="J460" i="30"/>
  <c r="J459" i="30"/>
  <c r="J458" i="30"/>
  <c r="J451" i="30"/>
  <c r="J450" i="30"/>
  <c r="J449" i="30"/>
  <c r="J442" i="30"/>
  <c r="J441" i="30"/>
  <c r="J440" i="30"/>
  <c r="F1426" i="30"/>
  <c r="F1408" i="30"/>
  <c r="F1397" i="30"/>
  <c r="F1392" i="30"/>
  <c r="J1426" i="30"/>
  <c r="J1413" i="30"/>
  <c r="J1408" i="30"/>
  <c r="J528" i="40" s="1"/>
  <c r="J1397" i="30"/>
  <c r="J1392" i="30"/>
  <c r="J1385" i="30"/>
  <c r="J571" i="40" s="1"/>
  <c r="J1366" i="30"/>
  <c r="J1369" i="30" s="1"/>
  <c r="J1353" i="30"/>
  <c r="H180" i="17" s="1"/>
  <c r="J1337" i="30"/>
  <c r="H181" i="17" s="1"/>
  <c r="J1321" i="30"/>
  <c r="J1313" i="30"/>
  <c r="J1305" i="30"/>
  <c r="J1297" i="30"/>
  <c r="J1289" i="30"/>
  <c r="J1281" i="30"/>
  <c r="J1273" i="30"/>
  <c r="J1266" i="30"/>
  <c r="J1241" i="30"/>
  <c r="J1224" i="30"/>
  <c r="J1208" i="30"/>
  <c r="J1192" i="30"/>
  <c r="J1176" i="30"/>
  <c r="J1160" i="30"/>
  <c r="J1144" i="30"/>
  <c r="H164" i="17" l="1"/>
  <c r="J558" i="40"/>
  <c r="J585" i="40"/>
  <c r="J600" i="40"/>
  <c r="J576" i="40"/>
  <c r="J513" i="40"/>
  <c r="J542" i="40"/>
  <c r="J613" i="40"/>
  <c r="J626" i="40"/>
  <c r="H165" i="17"/>
  <c r="J515" i="40"/>
  <c r="J533" i="40"/>
  <c r="J587" i="40"/>
  <c r="J628" i="40"/>
  <c r="J544" i="40"/>
  <c r="J602" i="40"/>
  <c r="J615" i="40"/>
  <c r="J560" i="40"/>
  <c r="H171" i="17"/>
  <c r="J562" i="40"/>
  <c r="J629" i="40"/>
  <c r="J577" i="40"/>
  <c r="H166" i="17"/>
  <c r="J516" i="40"/>
  <c r="J546" i="40"/>
  <c r="H174" i="17"/>
  <c r="J604" i="40"/>
  <c r="J590" i="40"/>
  <c r="J631" i="40"/>
  <c r="J566" i="40"/>
  <c r="J617" i="40"/>
  <c r="J519" i="40"/>
  <c r="J537" i="40"/>
  <c r="J549" i="40"/>
  <c r="H176" i="17"/>
  <c r="J538" i="40"/>
  <c r="J550" i="40"/>
  <c r="J605" i="40"/>
  <c r="J618" i="40"/>
  <c r="J568" i="40"/>
  <c r="J521" i="40"/>
  <c r="J591" i="40"/>
  <c r="J632" i="40"/>
  <c r="J580" i="40"/>
  <c r="H178" i="17"/>
  <c r="J569" i="40"/>
  <c r="J607" i="40"/>
  <c r="J620" i="40"/>
  <c r="J593" i="40"/>
  <c r="J634" i="40"/>
  <c r="J523" i="40"/>
  <c r="J551" i="40"/>
  <c r="J581" i="40"/>
  <c r="J608" i="40"/>
  <c r="J552" i="40"/>
  <c r="J594" i="40"/>
  <c r="J635" i="40"/>
  <c r="J621" i="40"/>
  <c r="H182" i="17"/>
  <c r="J570" i="40"/>
  <c r="J554" i="40"/>
  <c r="J582" i="40"/>
  <c r="J596" i="40"/>
  <c r="J637" i="40"/>
  <c r="J525" i="40"/>
  <c r="J539" i="40"/>
  <c r="J610" i="40"/>
  <c r="J623" i="40"/>
  <c r="H185" i="17"/>
  <c r="J526" i="40"/>
  <c r="H184" i="17"/>
  <c r="J573" i="40"/>
  <c r="H168" i="17"/>
  <c r="J512" i="40"/>
  <c r="J575" i="40"/>
  <c r="J625" i="40"/>
  <c r="J557" i="40"/>
  <c r="J612" i="40"/>
  <c r="J541" i="40"/>
  <c r="J531" i="40"/>
  <c r="J584" i="40"/>
  <c r="J599" i="40"/>
  <c r="H167" i="17"/>
  <c r="J514" i="40"/>
  <c r="J543" i="40"/>
  <c r="J614" i="40"/>
  <c r="J627" i="40"/>
  <c r="J601" i="40"/>
  <c r="J532" i="40"/>
  <c r="J559" i="40"/>
  <c r="J586" i="40"/>
  <c r="H170" i="17"/>
  <c r="J545" i="40"/>
  <c r="J534" i="40"/>
  <c r="J561" i="40"/>
  <c r="H172" i="17"/>
  <c r="J563" i="40"/>
  <c r="H169" i="17"/>
  <c r="J517" i="40"/>
  <c r="J535" i="40"/>
  <c r="J547" i="40"/>
  <c r="J603" i="40"/>
  <c r="J616" i="40"/>
  <c r="J564" i="40"/>
  <c r="J578" i="40"/>
  <c r="J588" i="40"/>
  <c r="J630" i="40"/>
  <c r="J567" i="40"/>
  <c r="J520" i="40"/>
  <c r="H177" i="17"/>
  <c r="J522" i="40"/>
  <c r="J592" i="40"/>
  <c r="J633" i="40"/>
  <c r="J606" i="40"/>
  <c r="J619" i="40"/>
  <c r="H179" i="17"/>
  <c r="J524" i="40"/>
  <c r="J609" i="40"/>
  <c r="J622" i="40"/>
  <c r="J553" i="40"/>
  <c r="J595" i="40"/>
  <c r="J636" i="40"/>
  <c r="H186" i="17"/>
  <c r="J527" i="40"/>
  <c r="H188" i="17"/>
  <c r="J572" i="40"/>
  <c r="J529" i="40"/>
  <c r="J597" i="40"/>
  <c r="J521" i="30"/>
  <c r="J1409" i="30"/>
  <c r="H187" i="17"/>
  <c r="H175" i="17"/>
  <c r="J1386" i="30"/>
  <c r="H183" i="17"/>
  <c r="J496" i="30"/>
  <c r="J455" i="30"/>
  <c r="J504" i="30"/>
  <c r="J511" i="30"/>
  <c r="J473" i="30"/>
  <c r="J466" i="30"/>
  <c r="J446" i="30"/>
  <c r="J482" i="30"/>
  <c r="J1427" i="30"/>
  <c r="J1393" i="30"/>
  <c r="J1398" i="30"/>
  <c r="J555" i="40" l="1"/>
  <c r="J624" i="40"/>
  <c r="J540" i="40"/>
  <c r="J598" i="40"/>
  <c r="J611" i="40"/>
  <c r="J511" i="40"/>
  <c r="J583" i="40"/>
  <c r="J530" i="40"/>
  <c r="J574" i="40"/>
  <c r="H68" i="17"/>
  <c r="H74" i="17"/>
  <c r="H69" i="17"/>
  <c r="H67" i="17"/>
  <c r="H70" i="17"/>
  <c r="H75" i="17"/>
  <c r="J207" i="40"/>
  <c r="H73" i="17"/>
  <c r="H76" i="17"/>
  <c r="H72" i="17"/>
  <c r="J549" i="30"/>
  <c r="J548" i="30"/>
  <c r="J547" i="30"/>
  <c r="J546" i="30"/>
  <c r="J545" i="30"/>
  <c r="J544" i="30"/>
  <c r="J543" i="30"/>
  <c r="J542" i="30"/>
  <c r="J541" i="30"/>
  <c r="J407" i="30"/>
  <c r="J406" i="30"/>
  <c r="J405" i="30"/>
  <c r="J404" i="30"/>
  <c r="J403" i="30"/>
  <c r="J402" i="30"/>
  <c r="J401" i="30"/>
  <c r="J400" i="30"/>
  <c r="J399" i="30"/>
  <c r="J398" i="30"/>
  <c r="J397" i="30"/>
  <c r="J392" i="30"/>
  <c r="J391" i="30"/>
  <c r="J390" i="30"/>
  <c r="J389" i="30"/>
  <c r="J388" i="30"/>
  <c r="J387" i="30"/>
  <c r="J386" i="30"/>
  <c r="J385" i="30"/>
  <c r="J510" i="40" l="1"/>
  <c r="J409" i="30"/>
  <c r="J551" i="30"/>
  <c r="J394" i="30"/>
  <c r="H81" i="17" l="1"/>
  <c r="H56" i="17"/>
  <c r="H57" i="17"/>
  <c r="F1103" i="30"/>
  <c r="G156" i="17"/>
  <c r="J1101" i="30"/>
  <c r="J1100" i="30"/>
  <c r="I12" i="22"/>
  <c r="J1094" i="30"/>
  <c r="J1093" i="30"/>
  <c r="F1089" i="30"/>
  <c r="G154" i="17"/>
  <c r="J1087" i="30"/>
  <c r="J1086" i="30"/>
  <c r="J1085" i="30"/>
  <c r="F1081" i="30"/>
  <c r="G153" i="17"/>
  <c r="J1078" i="30"/>
  <c r="J1077" i="30"/>
  <c r="J1071" i="30"/>
  <c r="J1070" i="30"/>
  <c r="J1065" i="30"/>
  <c r="J1066" i="30" s="1"/>
  <c r="J1064" i="30"/>
  <c r="J1059" i="30"/>
  <c r="J1058" i="30"/>
  <c r="J1053" i="30"/>
  <c r="J1052" i="30"/>
  <c r="J1047" i="30"/>
  <c r="J1046" i="30"/>
  <c r="J1048" i="30" s="1"/>
  <c r="J1045" i="30"/>
  <c r="J1040" i="30"/>
  <c r="J1041" i="30" s="1"/>
  <c r="J1042" i="30" s="1"/>
  <c r="H147" i="17" s="1"/>
  <c r="J1034" i="30"/>
  <c r="J1035" i="30" s="1"/>
  <c r="J1021" i="30"/>
  <c r="J1029" i="30"/>
  <c r="J1030" i="30" s="1"/>
  <c r="H145" i="17" s="1"/>
  <c r="J1017" i="30"/>
  <c r="J1016" i="30"/>
  <c r="J1014" i="30"/>
  <c r="J1013" i="30"/>
  <c r="J1012" i="30"/>
  <c r="J1011" i="30"/>
  <c r="J1010" i="30"/>
  <c r="J1009" i="30"/>
  <c r="J1008" i="30"/>
  <c r="J1007" i="30"/>
  <c r="J1006" i="30"/>
  <c r="J1020" i="30"/>
  <c r="J1019" i="30"/>
  <c r="J1018" i="30"/>
  <c r="J998" i="30"/>
  <c r="J1001" i="30"/>
  <c r="J1000" i="30"/>
  <c r="J999" i="30"/>
  <c r="F2056" i="30"/>
  <c r="G253" i="17"/>
  <c r="J2054" i="30"/>
  <c r="J2053" i="30"/>
  <c r="J2055" i="30" s="1"/>
  <c r="J2052" i="30"/>
  <c r="J2051" i="30"/>
  <c r="F1096" i="30" l="1"/>
  <c r="M12" i="22"/>
  <c r="M16" i="22" s="1"/>
  <c r="M17" i="22" s="1"/>
  <c r="J486" i="40"/>
  <c r="J434" i="40"/>
  <c r="J408" i="40"/>
  <c r="J449" i="40"/>
  <c r="J475" i="40"/>
  <c r="J423" i="40"/>
  <c r="J464" i="40"/>
  <c r="J397" i="40"/>
  <c r="J497" i="40"/>
  <c r="J395" i="40"/>
  <c r="J473" i="40"/>
  <c r="J447" i="40"/>
  <c r="J421" i="40"/>
  <c r="J484" i="40"/>
  <c r="J406" i="40"/>
  <c r="J432" i="40"/>
  <c r="J495" i="40"/>
  <c r="J462" i="40"/>
  <c r="G155" i="17"/>
  <c r="J1102" i="30"/>
  <c r="J1103" i="30" s="1"/>
  <c r="J1095" i="30"/>
  <c r="J1096" i="30" s="1"/>
  <c r="H155" i="17" s="1"/>
  <c r="J1080" i="30"/>
  <c r="J1081" i="30" s="1"/>
  <c r="J1088" i="30"/>
  <c r="J1089" i="30" s="1"/>
  <c r="J1036" i="30"/>
  <c r="H146" i="17" s="1"/>
  <c r="J407" i="40" s="1"/>
  <c r="J1049" i="30"/>
  <c r="J2056" i="30"/>
  <c r="J1067" i="30"/>
  <c r="J1003" i="30"/>
  <c r="J1072" i="30"/>
  <c r="J1073" i="30" s="1"/>
  <c r="J1060" i="30"/>
  <c r="J1061" i="30" s="1"/>
  <c r="J1054" i="30"/>
  <c r="J1055" i="30" s="1"/>
  <c r="I155" i="17" l="1"/>
  <c r="J505" i="40"/>
  <c r="J416" i="40"/>
  <c r="J457" i="40"/>
  <c r="J442" i="40"/>
  <c r="J396" i="40"/>
  <c r="J474" i="40"/>
  <c r="J422" i="40"/>
  <c r="J485" i="40"/>
  <c r="J463" i="40"/>
  <c r="J448" i="40"/>
  <c r="J433" i="40"/>
  <c r="J496" i="40"/>
  <c r="J2057" i="30"/>
  <c r="H253" i="17"/>
  <c r="J1104" i="30"/>
  <c r="H156" i="17"/>
  <c r="J1097" i="30"/>
  <c r="J1090" i="30"/>
  <c r="H154" i="17"/>
  <c r="H153" i="17"/>
  <c r="J1082" i="30"/>
  <c r="H152" i="17"/>
  <c r="H151" i="17"/>
  <c r="H150" i="17"/>
  <c r="H149" i="17"/>
  <c r="H148" i="17"/>
  <c r="H143" i="17"/>
  <c r="I253" i="17" l="1"/>
  <c r="J922" i="40"/>
  <c r="J460" i="40"/>
  <c r="J404" i="40"/>
  <c r="J393" i="40"/>
  <c r="J471" i="40"/>
  <c r="J419" i="40"/>
  <c r="J493" i="40"/>
  <c r="J445" i="40"/>
  <c r="J482" i="40"/>
  <c r="J430" i="40"/>
  <c r="I153" i="17"/>
  <c r="J503" i="40"/>
  <c r="J414" i="40"/>
  <c r="J455" i="40"/>
  <c r="J440" i="40"/>
  <c r="I156" i="17"/>
  <c r="J458" i="40"/>
  <c r="J417" i="40"/>
  <c r="J506" i="40"/>
  <c r="J443" i="40"/>
  <c r="I154" i="17"/>
  <c r="J415" i="40"/>
  <c r="J504" i="40"/>
  <c r="J456" i="40"/>
  <c r="J441" i="40"/>
  <c r="J502" i="40"/>
  <c r="J413" i="40"/>
  <c r="J402" i="40"/>
  <c r="J491" i="40"/>
  <c r="J480" i="40"/>
  <c r="J469" i="40"/>
  <c r="J454" i="40"/>
  <c r="J439" i="40"/>
  <c r="J428" i="40"/>
  <c r="J479" i="40"/>
  <c r="J453" i="40"/>
  <c r="J401" i="40"/>
  <c r="J412" i="40"/>
  <c r="J490" i="40"/>
  <c r="J438" i="40"/>
  <c r="J468" i="40"/>
  <c r="J427" i="40"/>
  <c r="J501" i="40"/>
  <c r="J467" i="40"/>
  <c r="J411" i="40"/>
  <c r="J478" i="40"/>
  <c r="J437" i="40"/>
  <c r="J426" i="40"/>
  <c r="J400" i="40"/>
  <c r="J500" i="40"/>
  <c r="J489" i="40"/>
  <c r="J452" i="40"/>
  <c r="J499" i="40"/>
  <c r="J425" i="40"/>
  <c r="J399" i="40"/>
  <c r="J477" i="40"/>
  <c r="J466" i="40"/>
  <c r="J451" i="40"/>
  <c r="J488" i="40"/>
  <c r="J410" i="40"/>
  <c r="J436" i="40"/>
  <c r="J487" i="40"/>
  <c r="J409" i="40"/>
  <c r="J398" i="40"/>
  <c r="J476" i="40"/>
  <c r="J450" i="40"/>
  <c r="J465" i="40"/>
  <c r="J435" i="40"/>
  <c r="J424" i="40"/>
  <c r="J498" i="40"/>
  <c r="F2040" i="30"/>
  <c r="G249" i="17"/>
  <c r="I249" i="17" s="1"/>
  <c r="F2029" i="30"/>
  <c r="I248" i="17"/>
  <c r="F2018" i="30"/>
  <c r="J2016" i="30"/>
  <c r="J2015" i="30"/>
  <c r="J2014" i="30"/>
  <c r="J2013" i="30"/>
  <c r="J2012" i="30"/>
  <c r="J2011" i="30"/>
  <c r="J2010" i="30"/>
  <c r="J2009" i="30"/>
  <c r="J2008" i="30"/>
  <c r="J2003" i="30"/>
  <c r="J2002" i="30"/>
  <c r="J2001" i="30"/>
  <c r="J2000" i="30"/>
  <c r="J1999" i="30"/>
  <c r="J1998" i="30"/>
  <c r="J1997" i="30"/>
  <c r="J1996" i="30"/>
  <c r="J1995" i="30"/>
  <c r="J1990" i="30"/>
  <c r="J1989" i="30"/>
  <c r="J1988" i="30"/>
  <c r="J1987" i="30"/>
  <c r="J1986" i="30"/>
  <c r="J1985" i="30"/>
  <c r="J1984" i="30"/>
  <c r="J1983" i="30"/>
  <c r="J1978" i="30"/>
  <c r="J1977" i="30"/>
  <c r="J1976" i="30"/>
  <c r="J1975" i="30"/>
  <c r="J1974" i="30"/>
  <c r="J1973" i="30"/>
  <c r="J1972" i="30"/>
  <c r="J1971" i="30"/>
  <c r="J1970" i="30"/>
  <c r="F1967" i="30"/>
  <c r="G243" i="17"/>
  <c r="J1966" i="30"/>
  <c r="J1967" i="30" s="1"/>
  <c r="H243" i="17" s="1"/>
  <c r="F1960" i="30"/>
  <c r="G242" i="17"/>
  <c r="J1959" i="30"/>
  <c r="J1960" i="30" s="1"/>
  <c r="H242" i="17" s="1"/>
  <c r="J837" i="40" s="1"/>
  <c r="F1953" i="30"/>
  <c r="G241" i="17"/>
  <c r="J1952" i="30"/>
  <c r="J1953" i="30" s="1"/>
  <c r="H241" i="17" s="1"/>
  <c r="J836" i="40" s="1"/>
  <c r="F1946" i="30"/>
  <c r="G240" i="17"/>
  <c r="F1939" i="30"/>
  <c r="J1945" i="30"/>
  <c r="J1946" i="30" s="1"/>
  <c r="H240" i="17" s="1"/>
  <c r="J1938" i="30"/>
  <c r="J1939" i="30" s="1"/>
  <c r="H239" i="17" s="1"/>
  <c r="J860" i="40" s="1"/>
  <c r="F1932" i="30"/>
  <c r="G238" i="17"/>
  <c r="J1931" i="30"/>
  <c r="J1932" i="30" s="1"/>
  <c r="H238" i="17" s="1"/>
  <c r="J843" i="40" s="1"/>
  <c r="F1921" i="30"/>
  <c r="G237" i="17"/>
  <c r="J1920" i="30"/>
  <c r="J1921" i="30" s="1"/>
  <c r="H237" i="17" s="1"/>
  <c r="J842" i="40" s="1"/>
  <c r="F1910" i="30"/>
  <c r="J1909" i="30"/>
  <c r="I24" i="17"/>
  <c r="J19" i="40" s="1"/>
  <c r="H13" i="17"/>
  <c r="F627" i="30"/>
  <c r="G105" i="17"/>
  <c r="F620" i="30"/>
  <c r="G104" i="17"/>
  <c r="F613" i="30"/>
  <c r="G103" i="17"/>
  <c r="F606" i="30"/>
  <c r="G102" i="17"/>
  <c r="F599" i="30"/>
  <c r="G101" i="17"/>
  <c r="F592" i="30"/>
  <c r="G100" i="17"/>
  <c r="F585" i="30"/>
  <c r="G99" i="17"/>
  <c r="F578" i="30"/>
  <c r="G98" i="17"/>
  <c r="J128" i="30"/>
  <c r="M42" i="30"/>
  <c r="J47" i="30"/>
  <c r="J48" i="30"/>
  <c r="J49" i="30"/>
  <c r="J50" i="30"/>
  <c r="J413" i="30"/>
  <c r="J414" i="30"/>
  <c r="J415" i="30"/>
  <c r="J416" i="30"/>
  <c r="J430" i="30"/>
  <c r="J431" i="30"/>
  <c r="J433" i="30"/>
  <c r="J434" i="30"/>
  <c r="J1704" i="30"/>
  <c r="J1705" i="30"/>
  <c r="J1706" i="30"/>
  <c r="J1707" i="30"/>
  <c r="J1708" i="30"/>
  <c r="J1709" i="30"/>
  <c r="J1714" i="30"/>
  <c r="J1715" i="30"/>
  <c r="J1716" i="30"/>
  <c r="J1717" i="30"/>
  <c r="J1718" i="30"/>
  <c r="J1719" i="30"/>
  <c r="J1724" i="30"/>
  <c r="J1725" i="30"/>
  <c r="J1726" i="30"/>
  <c r="J1727" i="30"/>
  <c r="J1728" i="30"/>
  <c r="J1729" i="30"/>
  <c r="J1734" i="30"/>
  <c r="J1735" i="30"/>
  <c r="J1736" i="30"/>
  <c r="J1737" i="30"/>
  <c r="J1738" i="30"/>
  <c r="J1739" i="30"/>
  <c r="J1740" i="30"/>
  <c r="J1741" i="30"/>
  <c r="J1742" i="30"/>
  <c r="J1747" i="30"/>
  <c r="J1748" i="30"/>
  <c r="J1749" i="30"/>
  <c r="J1750" i="30"/>
  <c r="J1751" i="30"/>
  <c r="J1752" i="30"/>
  <c r="J1753" i="30"/>
  <c r="J1754" i="30"/>
  <c r="J1755" i="30"/>
  <c r="J1760" i="30"/>
  <c r="J1761" i="30"/>
  <c r="J1762" i="30"/>
  <c r="J1763" i="30"/>
  <c r="J1764" i="30"/>
  <c r="J1765" i="30"/>
  <c r="J1766" i="30"/>
  <c r="J1767" i="30"/>
  <c r="J1768" i="30"/>
  <c r="J1773" i="30"/>
  <c r="J1774" i="30"/>
  <c r="J1775" i="30"/>
  <c r="J1776" i="30"/>
  <c r="J1777" i="30"/>
  <c r="J1778" i="30"/>
  <c r="J1779" i="30"/>
  <c r="J1780" i="30"/>
  <c r="J1781" i="30"/>
  <c r="J1786" i="30"/>
  <c r="J1787" i="30"/>
  <c r="J1788" i="30"/>
  <c r="J1789" i="30"/>
  <c r="J1790" i="30"/>
  <c r="J1791" i="30"/>
  <c r="J1792" i="30"/>
  <c r="J1793" i="30"/>
  <c r="J1798" i="30"/>
  <c r="J1799" i="30"/>
  <c r="J1800" i="30"/>
  <c r="J1801" i="30"/>
  <c r="J1802" i="30"/>
  <c r="J1803" i="30"/>
  <c r="J1804" i="30"/>
  <c r="J1805" i="30"/>
  <c r="J1806" i="30"/>
  <c r="J1811" i="30"/>
  <c r="J1812" i="30"/>
  <c r="J1813" i="30"/>
  <c r="J1814" i="30"/>
  <c r="J1815" i="30"/>
  <c r="J1816" i="30"/>
  <c r="J1817" i="30"/>
  <c r="J1818" i="30"/>
  <c r="J1819" i="30"/>
  <c r="J1824" i="30"/>
  <c r="J1825" i="30"/>
  <c r="J1826" i="30"/>
  <c r="J1827" i="30"/>
  <c r="J1828" i="30"/>
  <c r="J1829" i="30"/>
  <c r="J1830" i="30"/>
  <c r="J1831" i="30"/>
  <c r="J1832" i="30"/>
  <c r="J1837" i="30"/>
  <c r="J1838" i="30"/>
  <c r="J1839" i="30"/>
  <c r="J1840" i="30"/>
  <c r="J1841" i="30"/>
  <c r="J1842" i="30"/>
  <c r="J1843" i="30"/>
  <c r="J1844" i="30"/>
  <c r="J1845" i="30"/>
  <c r="J1850" i="30"/>
  <c r="J1851" i="30"/>
  <c r="J1852" i="30"/>
  <c r="J1853" i="30"/>
  <c r="J1854" i="30"/>
  <c r="J1855" i="30"/>
  <c r="J1856" i="30"/>
  <c r="J1857" i="30"/>
  <c r="J1858" i="30"/>
  <c r="J1863" i="30"/>
  <c r="J1864" i="30"/>
  <c r="J1865" i="30"/>
  <c r="J1866" i="30"/>
  <c r="J1867" i="30"/>
  <c r="J1868" i="30"/>
  <c r="J1869" i="30"/>
  <c r="J1870" i="30"/>
  <c r="J1871" i="30"/>
  <c r="J1876" i="30"/>
  <c r="J1877" i="30"/>
  <c r="J1878" i="30"/>
  <c r="J1879" i="30"/>
  <c r="J1880" i="30"/>
  <c r="J1881" i="30"/>
  <c r="J1882" i="30"/>
  <c r="J1883" i="30"/>
  <c r="J1884" i="30"/>
  <c r="J1889" i="30"/>
  <c r="J1890" i="30"/>
  <c r="J1891" i="30"/>
  <c r="J1892" i="30"/>
  <c r="J1893" i="30"/>
  <c r="J1894" i="30"/>
  <c r="J1895" i="30"/>
  <c r="J1896" i="30"/>
  <c r="J1897" i="30"/>
  <c r="F1731" i="30"/>
  <c r="G222" i="17"/>
  <c r="F1721" i="30"/>
  <c r="G221" i="17"/>
  <c r="F1711" i="30"/>
  <c r="G220" i="17"/>
  <c r="D6" i="24"/>
  <c r="F6" i="24" s="1"/>
  <c r="D7" i="24"/>
  <c r="E7" i="24"/>
  <c r="D8" i="24"/>
  <c r="E8" i="24"/>
  <c r="D9" i="24"/>
  <c r="F9" i="24" s="1"/>
  <c r="D10" i="24"/>
  <c r="F10" i="24" s="1"/>
  <c r="D11" i="24"/>
  <c r="F11" i="24" s="1"/>
  <c r="D12" i="24"/>
  <c r="F12" i="24" s="1"/>
  <c r="D13" i="24"/>
  <c r="F13" i="24" s="1"/>
  <c r="D14" i="24"/>
  <c r="E14" i="24"/>
  <c r="D15" i="24"/>
  <c r="F15" i="24" s="1"/>
  <c r="D16" i="24"/>
  <c r="F16" i="24" s="1"/>
  <c r="D17" i="24"/>
  <c r="E17" i="24"/>
  <c r="D18" i="24"/>
  <c r="F18" i="24" s="1"/>
  <c r="D19" i="24"/>
  <c r="F19" i="24" s="1"/>
  <c r="D20" i="24"/>
  <c r="F20" i="24" s="1"/>
  <c r="D21" i="24"/>
  <c r="F21" i="24" s="1"/>
  <c r="D22" i="24"/>
  <c r="F22" i="24" s="1"/>
  <c r="D23" i="24"/>
  <c r="F23" i="24" s="1"/>
  <c r="D24" i="24"/>
  <c r="F24" i="24" s="1"/>
  <c r="D25" i="24"/>
  <c r="F25" i="24" s="1"/>
  <c r="F26" i="24"/>
  <c r="F27" i="24"/>
  <c r="F28" i="24"/>
  <c r="F29" i="24"/>
  <c r="D30" i="24"/>
  <c r="F30" i="24" s="1"/>
  <c r="D31" i="24"/>
  <c r="F31" i="24" s="1"/>
  <c r="D32" i="24"/>
  <c r="F32" i="24" s="1"/>
  <c r="D33" i="24"/>
  <c r="F33" i="24" s="1"/>
  <c r="H33" i="24" s="1"/>
  <c r="J423" i="30"/>
  <c r="J424" i="30"/>
  <c r="J425" i="30"/>
  <c r="AD52" i="31"/>
  <c r="AE52" i="31"/>
  <c r="AD51" i="31"/>
  <c r="AF51" i="31" s="1"/>
  <c r="AE51" i="31"/>
  <c r="AD50" i="31"/>
  <c r="AF50" i="31" s="1"/>
  <c r="AD49" i="31"/>
  <c r="AF49" i="31" s="1"/>
  <c r="AD48" i="31"/>
  <c r="AF48" i="31" s="1"/>
  <c r="AD47" i="31"/>
  <c r="AF47" i="31" s="1"/>
  <c r="AD46" i="31"/>
  <c r="AF46" i="31" s="1"/>
  <c r="AD45" i="31"/>
  <c r="AE45" i="31"/>
  <c r="AD43" i="31"/>
  <c r="AF43" i="31" s="1"/>
  <c r="AD42" i="31"/>
  <c r="AF42" i="31" s="1"/>
  <c r="AD41" i="31"/>
  <c r="AF41" i="31" s="1"/>
  <c r="AD40" i="31"/>
  <c r="AF40" i="31" s="1"/>
  <c r="AD39" i="31"/>
  <c r="AF39" i="31" s="1"/>
  <c r="AD38" i="31"/>
  <c r="AF38" i="31" s="1"/>
  <c r="AD37" i="31"/>
  <c r="AE37" i="31"/>
  <c r="AD35" i="31"/>
  <c r="AE35" i="31"/>
  <c r="AD34" i="31"/>
  <c r="AF34" i="31" s="1"/>
  <c r="AD33" i="31"/>
  <c r="AF33" i="31" s="1"/>
  <c r="AD32" i="31"/>
  <c r="AE32" i="31"/>
  <c r="AD31" i="31"/>
  <c r="AE31" i="31"/>
  <c r="AD30" i="31"/>
  <c r="AF30" i="31" s="1"/>
  <c r="AD29" i="31"/>
  <c r="AE29" i="31"/>
  <c r="AD27" i="31"/>
  <c r="AE27" i="31"/>
  <c r="AD26" i="31"/>
  <c r="AF26" i="31" s="1"/>
  <c r="AD25" i="31"/>
  <c r="AF25" i="31" s="1"/>
  <c r="AD24" i="31"/>
  <c r="AF24" i="31" s="1"/>
  <c r="AE24" i="31"/>
  <c r="AD23" i="31"/>
  <c r="AE23" i="31"/>
  <c r="AD22" i="31"/>
  <c r="AE22" i="31"/>
  <c r="AD21" i="31"/>
  <c r="AE21" i="31"/>
  <c r="AD20" i="31"/>
  <c r="AF20" i="31" s="1"/>
  <c r="AD19" i="31"/>
  <c r="AE19" i="31"/>
  <c r="AD17" i="31"/>
  <c r="AE17" i="31"/>
  <c r="AD16" i="31"/>
  <c r="AE16" i="31"/>
  <c r="AD15" i="31"/>
  <c r="AE15" i="31"/>
  <c r="AD14" i="31"/>
  <c r="AE14" i="31"/>
  <c r="AD13" i="31"/>
  <c r="AF13" i="31" s="1"/>
  <c r="AD12" i="31"/>
  <c r="AE12" i="31"/>
  <c r="AD10" i="31"/>
  <c r="AE10" i="31"/>
  <c r="AD9" i="31"/>
  <c r="AF9" i="31" s="1"/>
  <c r="AE9" i="31"/>
  <c r="AD8" i="31"/>
  <c r="AF8" i="31" s="1"/>
  <c r="AD7" i="31"/>
  <c r="AE7" i="31"/>
  <c r="AD6" i="31"/>
  <c r="AF6" i="31" s="1"/>
  <c r="F40" i="31"/>
  <c r="F39" i="31"/>
  <c r="F38" i="31"/>
  <c r="F36" i="31"/>
  <c r="F35" i="31"/>
  <c r="F34" i="31"/>
  <c r="F32" i="31"/>
  <c r="F31" i="31"/>
  <c r="F30" i="31"/>
  <c r="F28" i="31"/>
  <c r="F27" i="31"/>
  <c r="F26" i="31"/>
  <c r="F24" i="31"/>
  <c r="F23" i="31"/>
  <c r="F22" i="31"/>
  <c r="F19" i="23"/>
  <c r="F20" i="23"/>
  <c r="F21" i="23"/>
  <c r="F20" i="31"/>
  <c r="F19" i="31"/>
  <c r="F18" i="31"/>
  <c r="F15" i="23"/>
  <c r="F16" i="23"/>
  <c r="F17" i="23"/>
  <c r="F16" i="31"/>
  <c r="F15" i="31"/>
  <c r="F14" i="31"/>
  <c r="F11" i="23"/>
  <c r="F12" i="23"/>
  <c r="F13" i="23"/>
  <c r="F12" i="31"/>
  <c r="F11" i="31"/>
  <c r="F10" i="31"/>
  <c r="F7" i="23"/>
  <c r="F8" i="23"/>
  <c r="F9" i="23"/>
  <c r="F8" i="31"/>
  <c r="F7" i="31"/>
  <c r="F6" i="31"/>
  <c r="U10" i="31"/>
  <c r="W10" i="31" s="1"/>
  <c r="U11" i="31"/>
  <c r="W11" i="31" s="1"/>
  <c r="U12" i="31"/>
  <c r="W12" i="31" s="1"/>
  <c r="U13" i="31"/>
  <c r="W13" i="31" s="1"/>
  <c r="U14" i="31"/>
  <c r="W14" i="31" s="1"/>
  <c r="U15" i="31"/>
  <c r="W15" i="31" s="1"/>
  <c r="F23" i="23"/>
  <c r="F24" i="23"/>
  <c r="F25" i="23"/>
  <c r="F27" i="23"/>
  <c r="F28" i="23"/>
  <c r="F29" i="23"/>
  <c r="F31" i="23"/>
  <c r="F32" i="23"/>
  <c r="F33" i="23"/>
  <c r="F35" i="23"/>
  <c r="F36" i="23"/>
  <c r="F37" i="23"/>
  <c r="F39" i="23"/>
  <c r="F40" i="23"/>
  <c r="F41" i="23"/>
  <c r="M7" i="23"/>
  <c r="O7" i="23" s="1"/>
  <c r="M8" i="23"/>
  <c r="N8" i="23"/>
  <c r="M9" i="23"/>
  <c r="O9" i="23" s="1"/>
  <c r="M10" i="23"/>
  <c r="N10" i="23"/>
  <c r="M11" i="23"/>
  <c r="N11" i="23"/>
  <c r="M13" i="23"/>
  <c r="N13" i="23"/>
  <c r="M14" i="23"/>
  <c r="O14" i="23" s="1"/>
  <c r="M15" i="23"/>
  <c r="N15" i="23"/>
  <c r="M16" i="23"/>
  <c r="N16" i="23"/>
  <c r="M17" i="23"/>
  <c r="N17" i="23"/>
  <c r="M18" i="23"/>
  <c r="N18" i="23"/>
  <c r="M20" i="23"/>
  <c r="N20" i="23"/>
  <c r="M21" i="23"/>
  <c r="O21" i="23" s="1"/>
  <c r="M22" i="23"/>
  <c r="N22" i="23"/>
  <c r="M23" i="23"/>
  <c r="N23" i="23"/>
  <c r="M24" i="23"/>
  <c r="N24" i="23"/>
  <c r="M25" i="23"/>
  <c r="N25" i="23"/>
  <c r="M26" i="23"/>
  <c r="O26" i="23" s="1"/>
  <c r="M27" i="23"/>
  <c r="O27" i="23" s="1"/>
  <c r="M28" i="23"/>
  <c r="N28" i="23"/>
  <c r="M30" i="23"/>
  <c r="N30" i="23"/>
  <c r="M31" i="23"/>
  <c r="O31" i="23" s="1"/>
  <c r="M32" i="23"/>
  <c r="N32" i="23"/>
  <c r="M33" i="23"/>
  <c r="N33" i="23"/>
  <c r="M34" i="23"/>
  <c r="O34" i="23" s="1"/>
  <c r="M35" i="23"/>
  <c r="O35" i="23" s="1"/>
  <c r="M36" i="23"/>
  <c r="N36" i="23"/>
  <c r="O36" i="23" s="1"/>
  <c r="M38" i="23"/>
  <c r="N38" i="23"/>
  <c r="M39" i="23"/>
  <c r="O39" i="23" s="1"/>
  <c r="M40" i="23"/>
  <c r="O40" i="23" s="1"/>
  <c r="M41" i="23"/>
  <c r="O41" i="23" s="1"/>
  <c r="M42" i="23"/>
  <c r="O42" i="23" s="1"/>
  <c r="M43" i="23"/>
  <c r="O43" i="23" s="1"/>
  <c r="M44" i="23"/>
  <c r="O44" i="23" s="1"/>
  <c r="M46" i="23"/>
  <c r="N46" i="23"/>
  <c r="M47" i="23"/>
  <c r="O47" i="23" s="1"/>
  <c r="M48" i="23"/>
  <c r="O48" i="23" s="1"/>
  <c r="M49" i="23"/>
  <c r="O49" i="23" s="1"/>
  <c r="M50" i="23"/>
  <c r="O50" i="23" s="1"/>
  <c r="M51" i="23"/>
  <c r="O51" i="23" s="1"/>
  <c r="M52" i="23"/>
  <c r="N52" i="23"/>
  <c r="M53" i="23"/>
  <c r="N53" i="23"/>
  <c r="R11" i="31"/>
  <c r="R18" i="31"/>
  <c r="R28" i="31"/>
  <c r="R36" i="31"/>
  <c r="R44" i="31"/>
  <c r="T44" i="31" s="1"/>
  <c r="R53" i="31"/>
  <c r="M6" i="31"/>
  <c r="M7" i="31"/>
  <c r="M8" i="31"/>
  <c r="M10" i="31"/>
  <c r="M11" i="31"/>
  <c r="M12" i="31"/>
  <c r="M14" i="31"/>
  <c r="M15" i="31"/>
  <c r="M16" i="31"/>
  <c r="M18" i="31"/>
  <c r="M19" i="31"/>
  <c r="M20" i="31"/>
  <c r="M22" i="31"/>
  <c r="M23" i="31"/>
  <c r="M24" i="31"/>
  <c r="M26" i="31"/>
  <c r="M29" i="31"/>
  <c r="M30" i="31"/>
  <c r="M32" i="31"/>
  <c r="M36" i="31"/>
  <c r="M39" i="31"/>
  <c r="M40" i="31"/>
  <c r="M42" i="31"/>
  <c r="M46" i="31"/>
  <c r="M49" i="31"/>
  <c r="M50" i="31"/>
  <c r="M52" i="31"/>
  <c r="M56" i="31"/>
  <c r="M57" i="31"/>
  <c r="M58" i="31"/>
  <c r="J376" i="30"/>
  <c r="J377" i="30"/>
  <c r="J378" i="30"/>
  <c r="J379" i="30"/>
  <c r="J368" i="30"/>
  <c r="J369" i="30"/>
  <c r="J370" i="30"/>
  <c r="J371" i="30"/>
  <c r="J360" i="30"/>
  <c r="J361" i="30"/>
  <c r="J362" i="30"/>
  <c r="J363" i="30"/>
  <c r="J352" i="30"/>
  <c r="J353" i="30"/>
  <c r="J354" i="30"/>
  <c r="J355" i="30"/>
  <c r="J344" i="30"/>
  <c r="J345" i="30"/>
  <c r="J346" i="30"/>
  <c r="J347" i="30"/>
  <c r="J336" i="30"/>
  <c r="J337" i="30"/>
  <c r="J338" i="30"/>
  <c r="J339" i="30"/>
  <c r="J331" i="30"/>
  <c r="J330" i="30"/>
  <c r="J329" i="30"/>
  <c r="J328" i="30"/>
  <c r="J320" i="30"/>
  <c r="J321" i="30"/>
  <c r="J322" i="30"/>
  <c r="J323" i="30"/>
  <c r="J310" i="30"/>
  <c r="J311" i="30"/>
  <c r="J312" i="30"/>
  <c r="J313" i="30"/>
  <c r="J314" i="30"/>
  <c r="J315" i="30"/>
  <c r="J260" i="30"/>
  <c r="J261" i="30"/>
  <c r="J262" i="30"/>
  <c r="J263" i="30"/>
  <c r="J264" i="30"/>
  <c r="J265" i="30"/>
  <c r="J266" i="30"/>
  <c r="J188" i="30"/>
  <c r="J189" i="30"/>
  <c r="J190" i="30"/>
  <c r="J191" i="30"/>
  <c r="J192" i="30"/>
  <c r="J193" i="30"/>
  <c r="J194" i="30"/>
  <c r="F22" i="3"/>
  <c r="F6" i="3"/>
  <c r="G19" i="3" s="1"/>
  <c r="J163" i="30"/>
  <c r="J164" i="30"/>
  <c r="J165" i="30"/>
  <c r="J166" i="30"/>
  <c r="J167" i="30"/>
  <c r="J168" i="30"/>
  <c r="J169" i="30"/>
  <c r="J170" i="30"/>
  <c r="J171" i="30"/>
  <c r="J176" i="30"/>
  <c r="J178" i="30"/>
  <c r="J179" i="30"/>
  <c r="J180" i="30"/>
  <c r="J181" i="30"/>
  <c r="J182" i="30"/>
  <c r="J149" i="30"/>
  <c r="J150" i="30"/>
  <c r="J151" i="30"/>
  <c r="J152" i="30"/>
  <c r="J153" i="30"/>
  <c r="J154" i="30"/>
  <c r="J155" i="30"/>
  <c r="J156" i="30"/>
  <c r="J157" i="30"/>
  <c r="J121" i="30"/>
  <c r="J122" i="30"/>
  <c r="J127" i="30"/>
  <c r="J129" i="30"/>
  <c r="J130" i="30"/>
  <c r="J131" i="30"/>
  <c r="J132" i="30"/>
  <c r="J113" i="30"/>
  <c r="J114" i="30"/>
  <c r="J115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100" i="30"/>
  <c r="J101" i="30"/>
  <c r="J7" i="30"/>
  <c r="J8" i="30"/>
  <c r="J15" i="30"/>
  <c r="J16" i="30"/>
  <c r="J17" i="30"/>
  <c r="J18" i="30"/>
  <c r="J19" i="30"/>
  <c r="J20" i="30"/>
  <c r="J21" i="30"/>
  <c r="J22" i="30"/>
  <c r="J23" i="30"/>
  <c r="J24" i="30"/>
  <c r="J25" i="30"/>
  <c r="J71" i="30"/>
  <c r="J72" i="30"/>
  <c r="J84" i="30"/>
  <c r="J85" i="30"/>
  <c r="J86" i="30"/>
  <c r="J92" i="30"/>
  <c r="J93" i="30"/>
  <c r="J94" i="30"/>
  <c r="J95" i="30"/>
  <c r="J77" i="30"/>
  <c r="J78" i="30"/>
  <c r="J79" i="30"/>
  <c r="J61" i="30"/>
  <c r="J62" i="30"/>
  <c r="J63" i="30"/>
  <c r="J64" i="30"/>
  <c r="J65" i="30"/>
  <c r="J60" i="30"/>
  <c r="J58" i="30"/>
  <c r="J10" i="40" s="1"/>
  <c r="J55" i="30"/>
  <c r="G15" i="13"/>
  <c r="G20" i="14"/>
  <c r="F102" i="3"/>
  <c r="F107" i="3"/>
  <c r="B90" i="3"/>
  <c r="B89" i="3"/>
  <c r="B88" i="3"/>
  <c r="B67" i="3"/>
  <c r="B66" i="3"/>
  <c r="B56" i="3"/>
  <c r="B57" i="3"/>
  <c r="B46" i="3"/>
  <c r="B45" i="3"/>
  <c r="B44" i="3"/>
  <c r="B43" i="3"/>
  <c r="B42" i="3"/>
  <c r="I69" i="4"/>
  <c r="B30" i="3"/>
  <c r="B29" i="3"/>
  <c r="B28" i="3"/>
  <c r="B27" i="3"/>
  <c r="B26" i="3"/>
  <c r="D24" i="6"/>
  <c r="F115" i="3" s="1"/>
  <c r="F18" i="6"/>
  <c r="D18" i="6"/>
  <c r="D21" i="6" s="1"/>
  <c r="F113" i="3" s="1"/>
  <c r="F17" i="6"/>
  <c r="D17" i="6"/>
  <c r="F16" i="6"/>
  <c r="D16" i="6"/>
  <c r="F15" i="6"/>
  <c r="D15" i="6"/>
  <c r="F14" i="6"/>
  <c r="D14" i="6"/>
  <c r="I255" i="17"/>
  <c r="G13" i="17"/>
  <c r="G214" i="17"/>
  <c r="G215" i="17"/>
  <c r="G213" i="17"/>
  <c r="G212" i="17"/>
  <c r="G206" i="17"/>
  <c r="G207" i="17"/>
  <c r="G208" i="17"/>
  <c r="G210" i="17"/>
  <c r="G6" i="20"/>
  <c r="H6" i="20" s="1"/>
  <c r="G205" i="17"/>
  <c r="E7" i="28"/>
  <c r="J7" i="28"/>
  <c r="E8" i="28"/>
  <c r="H8" i="28"/>
  <c r="J8" i="28" s="1"/>
  <c r="E9" i="28"/>
  <c r="H9" i="28"/>
  <c r="J9" i="28" s="1"/>
  <c r="E10" i="28"/>
  <c r="H10" i="28"/>
  <c r="J10" i="28" s="1"/>
  <c r="E11" i="28"/>
  <c r="H11" i="28"/>
  <c r="J11" i="28" s="1"/>
  <c r="E12" i="28"/>
  <c r="E51" i="28" s="1"/>
  <c r="H12" i="28"/>
  <c r="J12" i="28" s="1"/>
  <c r="M12" i="28" s="1"/>
  <c r="M27" i="28" s="1"/>
  <c r="E13" i="28"/>
  <c r="H13" i="28"/>
  <c r="J13" i="28" s="1"/>
  <c r="E14" i="28"/>
  <c r="H14" i="28"/>
  <c r="J14" i="28" s="1"/>
  <c r="E15" i="28"/>
  <c r="H15" i="28"/>
  <c r="J15" i="28" s="1"/>
  <c r="J16" i="28"/>
  <c r="H17" i="28"/>
  <c r="J17" i="28" s="1"/>
  <c r="H18" i="28"/>
  <c r="J18" i="28" s="1"/>
  <c r="E19" i="28"/>
  <c r="H19" i="28"/>
  <c r="J19" i="28" s="1"/>
  <c r="E20" i="28"/>
  <c r="E58" i="28" s="1"/>
  <c r="E21" i="28"/>
  <c r="E62" i="28" s="1"/>
  <c r="J33" i="28"/>
  <c r="E37" i="28"/>
  <c r="E38" i="28"/>
  <c r="E60" i="28" s="1"/>
  <c r="E44" i="28"/>
  <c r="E45" i="28"/>
  <c r="E65" i="28" s="1"/>
  <c r="F1561" i="30" s="1"/>
  <c r="J1562" i="30" s="1"/>
  <c r="I203" i="17" s="1"/>
  <c r="E46" i="28"/>
  <c r="E47" i="28"/>
  <c r="E48" i="28"/>
  <c r="E55" i="28"/>
  <c r="E59" i="28"/>
  <c r="F1515" i="30" s="1"/>
  <c r="J1516" i="30" s="1"/>
  <c r="I198" i="17" s="1"/>
  <c r="E61" i="28"/>
  <c r="J82" i="28"/>
  <c r="L82" i="28" s="1"/>
  <c r="J83" i="28"/>
  <c r="E84" i="28"/>
  <c r="J84" i="28"/>
  <c r="E85" i="28"/>
  <c r="J85" i="28"/>
  <c r="L85" i="28" s="1"/>
  <c r="E86" i="28"/>
  <c r="J86" i="28"/>
  <c r="E108" i="28"/>
  <c r="E109" i="28"/>
  <c r="E110" i="28"/>
  <c r="E114" i="28"/>
  <c r="F1770" i="30" s="1"/>
  <c r="E116" i="28"/>
  <c r="F1795" i="30" s="1"/>
  <c r="E117" i="28"/>
  <c r="E119" i="28"/>
  <c r="G229" i="17" s="1"/>
  <c r="E123" i="28"/>
  <c r="G233" i="17" s="1"/>
  <c r="F1886" i="30"/>
  <c r="E125" i="28"/>
  <c r="F1899" i="30" s="1"/>
  <c r="H12" i="15"/>
  <c r="I12" i="15" s="1"/>
  <c r="G187" i="17"/>
  <c r="I187" i="17" s="1"/>
  <c r="G186" i="17"/>
  <c r="I186" i="17" s="1"/>
  <c r="G185" i="17"/>
  <c r="I185" i="17" s="1"/>
  <c r="G184" i="17"/>
  <c r="I184" i="17" s="1"/>
  <c r="G183" i="17"/>
  <c r="I183" i="17" s="1"/>
  <c r="I106" i="17"/>
  <c r="I107" i="17"/>
  <c r="I108" i="17"/>
  <c r="G92" i="17"/>
  <c r="I92" i="17" s="1"/>
  <c r="G93" i="17"/>
  <c r="I93" i="17" s="1"/>
  <c r="G94" i="17"/>
  <c r="I94" i="17" s="1"/>
  <c r="G91" i="17"/>
  <c r="I91" i="17" s="1"/>
  <c r="G90" i="17"/>
  <c r="I90" i="17" s="1"/>
  <c r="G89" i="17"/>
  <c r="I89" i="17" s="1"/>
  <c r="G86" i="17"/>
  <c r="I86" i="17" s="1"/>
  <c r="J2058" i="1"/>
  <c r="O2063" i="1"/>
  <c r="D2552" i="1"/>
  <c r="D2424" i="1"/>
  <c r="D2466" i="1"/>
  <c r="D2639" i="1"/>
  <c r="D2726" i="1"/>
  <c r="D2799" i="1"/>
  <c r="D2213" i="1"/>
  <c r="D2270" i="1"/>
  <c r="D2345" i="1"/>
  <c r="L633" i="11"/>
  <c r="L631" i="11"/>
  <c r="M613" i="11"/>
  <c r="J2165" i="1"/>
  <c r="K2165" i="1"/>
  <c r="O2165" i="1"/>
  <c r="H2162" i="1"/>
  <c r="H2143" i="1"/>
  <c r="I2124" i="1"/>
  <c r="H2124" i="1"/>
  <c r="I1911" i="1"/>
  <c r="J1911" i="1"/>
  <c r="K1911" i="1"/>
  <c r="N1911" i="1"/>
  <c r="O1911" i="1"/>
  <c r="H1911" i="1"/>
  <c r="I1368" i="1"/>
  <c r="H1368" i="1"/>
  <c r="O1368" i="1"/>
  <c r="N1368" i="1"/>
  <c r="M1368" i="1"/>
  <c r="L1368" i="1"/>
  <c r="K1368" i="1"/>
  <c r="J1368" i="1"/>
  <c r="I1351" i="1"/>
  <c r="J1351" i="1"/>
  <c r="K1351" i="1"/>
  <c r="L1351" i="1"/>
  <c r="M1351" i="1"/>
  <c r="N1351" i="1"/>
  <c r="O1351" i="1"/>
  <c r="H1351" i="1"/>
  <c r="N633" i="11"/>
  <c r="O633" i="11" s="1"/>
  <c r="W15" i="5"/>
  <c r="Y9" i="5"/>
  <c r="W9" i="5"/>
  <c r="W12" i="5" s="1"/>
  <c r="Y6" i="5"/>
  <c r="Y5" i="5"/>
  <c r="Y8" i="5"/>
  <c r="Y7" i="5"/>
  <c r="W8" i="5"/>
  <c r="W7" i="5"/>
  <c r="W6" i="5"/>
  <c r="W5" i="5"/>
  <c r="BA123" i="7"/>
  <c r="BA122" i="7"/>
  <c r="BA121" i="7"/>
  <c r="BA120" i="7"/>
  <c r="Q127" i="7"/>
  <c r="F1337" i="30" s="1"/>
  <c r="J1338" i="30" s="1"/>
  <c r="Q126" i="7"/>
  <c r="Q125" i="7"/>
  <c r="Q124" i="7"/>
  <c r="Q123" i="7"/>
  <c r="F1305" i="30" s="1"/>
  <c r="J1306" i="30" s="1"/>
  <c r="Q122" i="7"/>
  <c r="Q121" i="7"/>
  <c r="Q120" i="7"/>
  <c r="K134" i="7"/>
  <c r="K133" i="7"/>
  <c r="K132" i="7"/>
  <c r="K128" i="7"/>
  <c r="K127" i="7"/>
  <c r="K122" i="7"/>
  <c r="K131" i="7"/>
  <c r="G173" i="17"/>
  <c r="I173" i="17" s="1"/>
  <c r="K129" i="7"/>
  <c r="K124" i="7"/>
  <c r="K123" i="7"/>
  <c r="K120" i="7"/>
  <c r="K121" i="7"/>
  <c r="K126" i="7"/>
  <c r="K125" i="7"/>
  <c r="E129" i="7"/>
  <c r="E128" i="7"/>
  <c r="E127" i="7"/>
  <c r="F1273" i="30"/>
  <c r="J1274" i="30" s="1"/>
  <c r="G169" i="17"/>
  <c r="I169" i="17" s="1"/>
  <c r="E125" i="7"/>
  <c r="E124" i="7"/>
  <c r="E123" i="7"/>
  <c r="E122" i="7"/>
  <c r="E121" i="7"/>
  <c r="E120" i="7"/>
  <c r="N13" i="24"/>
  <c r="G63" i="26"/>
  <c r="F63" i="26"/>
  <c r="G62" i="26"/>
  <c r="F62" i="26"/>
  <c r="F61" i="26"/>
  <c r="H61" i="26" s="1"/>
  <c r="F60" i="26"/>
  <c r="H60" i="26" s="1"/>
  <c r="F59" i="26"/>
  <c r="H59" i="26" s="1"/>
  <c r="F58" i="26"/>
  <c r="H58" i="26" s="1"/>
  <c r="F57" i="26"/>
  <c r="H57" i="26" s="1"/>
  <c r="G56" i="26"/>
  <c r="F56" i="26"/>
  <c r="F54" i="26"/>
  <c r="H54" i="26" s="1"/>
  <c r="F53" i="26"/>
  <c r="H53" i="26" s="1"/>
  <c r="F52" i="26"/>
  <c r="H52" i="26" s="1"/>
  <c r="F51" i="26"/>
  <c r="H51" i="26" s="1"/>
  <c r="F50" i="26"/>
  <c r="H50" i="26" s="1"/>
  <c r="F49" i="26"/>
  <c r="H49" i="26" s="1"/>
  <c r="G48" i="26"/>
  <c r="F48" i="26"/>
  <c r="G46" i="26"/>
  <c r="F46" i="26"/>
  <c r="G45" i="26"/>
  <c r="F45" i="26"/>
  <c r="G44" i="26"/>
  <c r="F44" i="26"/>
  <c r="F43" i="26"/>
  <c r="H43" i="26" s="1"/>
  <c r="G42" i="26"/>
  <c r="F42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H34" i="26" s="1"/>
  <c r="G33" i="26"/>
  <c r="F33" i="26"/>
  <c r="G31" i="26"/>
  <c r="F31" i="26"/>
  <c r="G30" i="26"/>
  <c r="F30" i="26"/>
  <c r="G29" i="26"/>
  <c r="F29" i="26"/>
  <c r="G28" i="26"/>
  <c r="F28" i="26"/>
  <c r="G26" i="26"/>
  <c r="F26" i="26"/>
  <c r="F25" i="26"/>
  <c r="H25" i="26" s="1"/>
  <c r="G24" i="26"/>
  <c r="F24" i="26"/>
  <c r="H24" i="26" s="1"/>
  <c r="F23" i="26"/>
  <c r="H23" i="26" s="1"/>
  <c r="F12" i="26"/>
  <c r="D931" i="40" s="1"/>
  <c r="F11" i="26"/>
  <c r="E14" i="26" s="1"/>
  <c r="F10" i="26"/>
  <c r="D927" i="40" s="1"/>
  <c r="F9" i="26"/>
  <c r="D926" i="40" s="1"/>
  <c r="F8" i="26"/>
  <c r="D925" i="40" s="1"/>
  <c r="F7" i="26"/>
  <c r="D924" i="40" s="1"/>
  <c r="F6" i="26"/>
  <c r="D923" i="40" s="1"/>
  <c r="D20" i="25"/>
  <c r="D19" i="25"/>
  <c r="D18" i="25"/>
  <c r="D17" i="25"/>
  <c r="D14" i="25"/>
  <c r="P13" i="25"/>
  <c r="I13" i="25"/>
  <c r="P12" i="25"/>
  <c r="P11" i="25"/>
  <c r="P10" i="25"/>
  <c r="P9" i="25"/>
  <c r="P8" i="25"/>
  <c r="D8" i="25"/>
  <c r="F8" i="25" s="1"/>
  <c r="P7" i="25"/>
  <c r="D7" i="25"/>
  <c r="F7" i="25" s="1"/>
  <c r="P6" i="25"/>
  <c r="M65" i="24"/>
  <c r="D162" i="40" s="1"/>
  <c r="M62" i="24"/>
  <c r="M68" i="24" s="1"/>
  <c r="C59" i="24"/>
  <c r="E59" i="24" s="1"/>
  <c r="D210" i="40" s="1"/>
  <c r="C58" i="24"/>
  <c r="E58" i="24" s="1"/>
  <c r="D181" i="40" s="1"/>
  <c r="C57" i="24"/>
  <c r="E57" i="24" s="1"/>
  <c r="D163" i="40" s="1"/>
  <c r="C56" i="24"/>
  <c r="E56" i="24" s="1"/>
  <c r="D152" i="40" s="1"/>
  <c r="L55" i="24"/>
  <c r="D217" i="40" s="1"/>
  <c r="E55" i="24"/>
  <c r="D142" i="40" s="1"/>
  <c r="L54" i="24"/>
  <c r="D216" i="40" s="1"/>
  <c r="E54" i="24"/>
  <c r="D134" i="40" s="1"/>
  <c r="L53" i="24"/>
  <c r="L50" i="24"/>
  <c r="D222" i="40" s="1"/>
  <c r="C49" i="24"/>
  <c r="E49" i="24" s="1"/>
  <c r="C48" i="24"/>
  <c r="E48" i="24" s="1"/>
  <c r="L47" i="24"/>
  <c r="C47" i="24"/>
  <c r="E47" i="24" s="1"/>
  <c r="L46" i="24"/>
  <c r="C46" i="24"/>
  <c r="E46" i="24" s="1"/>
  <c r="E45" i="24"/>
  <c r="L44" i="24"/>
  <c r="E44" i="24"/>
  <c r="M31" i="24"/>
  <c r="M30" i="24"/>
  <c r="N30" i="24" s="1"/>
  <c r="M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2" i="24"/>
  <c r="N11" i="24"/>
  <c r="N10" i="24"/>
  <c r="N9" i="24"/>
  <c r="N8" i="24"/>
  <c r="N7" i="24"/>
  <c r="G114" i="17" s="1"/>
  <c r="N6" i="24"/>
  <c r="D17" i="22"/>
  <c r="L17" i="22" s="1"/>
  <c r="I16" i="22"/>
  <c r="D16" i="22"/>
  <c r="L16" i="22" s="1"/>
  <c r="D15" i="22"/>
  <c r="L15" i="22" s="1"/>
  <c r="D13" i="22"/>
  <c r="L13" i="22" s="1"/>
  <c r="D12" i="22"/>
  <c r="D11" i="22"/>
  <c r="L11" i="22" s="1"/>
  <c r="D10" i="22"/>
  <c r="D9" i="22"/>
  <c r="D8" i="22"/>
  <c r="D7" i="22"/>
  <c r="D6" i="22"/>
  <c r="L19" i="20"/>
  <c r="M19" i="20" s="1"/>
  <c r="L18" i="20"/>
  <c r="M18" i="20" s="1"/>
  <c r="L17" i="20"/>
  <c r="M17" i="20" s="1"/>
  <c r="M16" i="20"/>
  <c r="M15" i="20"/>
  <c r="L14" i="20"/>
  <c r="M14" i="20" s="1"/>
  <c r="F11" i="20"/>
  <c r="L10" i="20"/>
  <c r="D10" i="20"/>
  <c r="E10" i="20" s="1"/>
  <c r="F10" i="20" s="1"/>
  <c r="L7" i="20"/>
  <c r="G7" i="20"/>
  <c r="H7" i="20" s="1"/>
  <c r="L6" i="20"/>
  <c r="M19" i="19"/>
  <c r="L18" i="19"/>
  <c r="M18" i="19" s="1"/>
  <c r="L17" i="19"/>
  <c r="M17" i="19" s="1"/>
  <c r="M16" i="19"/>
  <c r="M15" i="19"/>
  <c r="L14" i="19"/>
  <c r="M14" i="19" s="1"/>
  <c r="D12" i="19"/>
  <c r="E12" i="19" s="1"/>
  <c r="F12" i="19" s="1"/>
  <c r="D11" i="19"/>
  <c r="F11" i="19" s="1"/>
  <c r="L10" i="19"/>
  <c r="F10" i="19"/>
  <c r="L7" i="19"/>
  <c r="G7" i="19"/>
  <c r="H7" i="19" s="1"/>
  <c r="G6" i="19"/>
  <c r="H6" i="19" s="1"/>
  <c r="H21" i="18"/>
  <c r="C11" i="18"/>
  <c r="D9" i="40" s="1"/>
  <c r="F9" i="40" s="1"/>
  <c r="G9" i="40" s="1"/>
  <c r="I9" i="40" s="1"/>
  <c r="N31" i="24"/>
  <c r="N29" i="24"/>
  <c r="H7" i="15"/>
  <c r="H8" i="15"/>
  <c r="D28" i="15"/>
  <c r="D27" i="15"/>
  <c r="D26" i="15"/>
  <c r="D8" i="15"/>
  <c r="D31" i="15" s="1"/>
  <c r="D25" i="15"/>
  <c r="D24" i="15"/>
  <c r="D23" i="15"/>
  <c r="D22" i="15"/>
  <c r="D21" i="15"/>
  <c r="D20" i="15"/>
  <c r="D19" i="15"/>
  <c r="D18" i="15"/>
  <c r="D17" i="15"/>
  <c r="D16" i="15"/>
  <c r="D15" i="15"/>
  <c r="D12" i="15"/>
  <c r="D14" i="15"/>
  <c r="D32" i="15" s="1"/>
  <c r="D13" i="15"/>
  <c r="D11" i="15"/>
  <c r="D10" i="15"/>
  <c r="D9" i="15"/>
  <c r="D7" i="15"/>
  <c r="D30" i="15" s="1"/>
  <c r="D6" i="15"/>
  <c r="D29" i="15" s="1"/>
  <c r="N12" i="12"/>
  <c r="D208" i="40" s="1"/>
  <c r="N11" i="12"/>
  <c r="D198" i="40" s="1"/>
  <c r="N10" i="12"/>
  <c r="D189" i="40" s="1"/>
  <c r="N9" i="12"/>
  <c r="D179" i="40" s="1"/>
  <c r="N7" i="12"/>
  <c r="D161" i="40" s="1"/>
  <c r="N6" i="12"/>
  <c r="N8" i="12"/>
  <c r="D170" i="40" s="1"/>
  <c r="I79" i="12"/>
  <c r="I73" i="12"/>
  <c r="D205" i="40" s="1"/>
  <c r="I70" i="12"/>
  <c r="D196" i="40" s="1"/>
  <c r="I67" i="12"/>
  <c r="D197" i="40" s="1"/>
  <c r="I64" i="12"/>
  <c r="I61" i="12"/>
  <c r="D187" i="40" s="1"/>
  <c r="I58" i="12"/>
  <c r="D188" i="40" s="1"/>
  <c r="I55" i="12"/>
  <c r="D186" i="40" s="1"/>
  <c r="I52" i="12"/>
  <c r="D177" i="40" s="1"/>
  <c r="I49" i="12"/>
  <c r="D178" i="40" s="1"/>
  <c r="I46" i="12"/>
  <c r="D176" i="40" s="1"/>
  <c r="I43" i="12"/>
  <c r="D168" i="40" s="1"/>
  <c r="I40" i="12"/>
  <c r="D169" i="40" s="1"/>
  <c r="I34" i="12"/>
  <c r="D160" i="40" s="1"/>
  <c r="I37" i="12"/>
  <c r="D159" i="40" s="1"/>
  <c r="I31" i="12"/>
  <c r="D158" i="40" s="1"/>
  <c r="I28" i="12"/>
  <c r="D149" i="40" s="1"/>
  <c r="I25" i="12"/>
  <c r="D150" i="40" s="1"/>
  <c r="I22" i="12"/>
  <c r="D148" i="40" s="1"/>
  <c r="I19" i="12"/>
  <c r="D140" i="40" s="1"/>
  <c r="I16" i="12"/>
  <c r="D141" i="40" s="1"/>
  <c r="I13" i="12"/>
  <c r="D139" i="40" s="1"/>
  <c r="I10" i="12"/>
  <c r="D133" i="40" s="1"/>
  <c r="I7" i="12"/>
  <c r="D132" i="40" s="1"/>
  <c r="D9" i="12"/>
  <c r="D131" i="40" s="1"/>
  <c r="D54" i="12"/>
  <c r="D49" i="12"/>
  <c r="D52" i="12"/>
  <c r="D203" i="40" s="1"/>
  <c r="D50" i="12"/>
  <c r="D202" i="40" s="1"/>
  <c r="D37" i="12"/>
  <c r="D175" i="40" s="1"/>
  <c r="D47" i="12"/>
  <c r="D45" i="12"/>
  <c r="D193" i="40" s="1"/>
  <c r="D44" i="12"/>
  <c r="D42" i="12"/>
  <c r="D185" i="40" s="1"/>
  <c r="D40" i="12"/>
  <c r="D184" i="40" s="1"/>
  <c r="D39" i="12"/>
  <c r="X17" i="42" s="1"/>
  <c r="D35" i="12"/>
  <c r="D174" i="40" s="1"/>
  <c r="D34" i="12"/>
  <c r="X16" i="42" s="1"/>
  <c r="D32" i="12"/>
  <c r="D167" i="40" s="1"/>
  <c r="D30" i="12"/>
  <c r="D166" i="40" s="1"/>
  <c r="D28" i="12"/>
  <c r="D27" i="12"/>
  <c r="D25" i="12"/>
  <c r="D155" i="40" s="1"/>
  <c r="D23" i="12"/>
  <c r="D156" i="40" s="1"/>
  <c r="D22" i="12"/>
  <c r="D20" i="12"/>
  <c r="D147" i="40" s="1"/>
  <c r="D18" i="12"/>
  <c r="D146" i="40" s="1"/>
  <c r="D16" i="12"/>
  <c r="D145" i="40" s="1"/>
  <c r="D15" i="12"/>
  <c r="D13" i="12"/>
  <c r="D138" i="40" s="1"/>
  <c r="D11" i="12"/>
  <c r="D137" i="40" s="1"/>
  <c r="D10" i="12"/>
  <c r="X12" i="42" s="1"/>
  <c r="D7" i="12"/>
  <c r="D130" i="40" s="1"/>
  <c r="D6" i="12"/>
  <c r="X11" i="42" s="1"/>
  <c r="S564" i="11"/>
  <c r="T564" i="11" s="1"/>
  <c r="U564" i="11" s="1"/>
  <c r="S565" i="11"/>
  <c r="T565" i="11" s="1"/>
  <c r="U565" i="11" s="1"/>
  <c r="S566" i="11"/>
  <c r="T566" i="11" s="1"/>
  <c r="U566" i="11" s="1"/>
  <c r="S567" i="11"/>
  <c r="T567" i="11" s="1"/>
  <c r="U567" i="11" s="1"/>
  <c r="S568" i="11"/>
  <c r="T568" i="11" s="1"/>
  <c r="U568" i="11" s="1"/>
  <c r="S569" i="11"/>
  <c r="T569" i="11" s="1"/>
  <c r="U569" i="11" s="1"/>
  <c r="S570" i="11"/>
  <c r="T570" i="11" s="1"/>
  <c r="U570" i="11" s="1"/>
  <c r="S571" i="11"/>
  <c r="T571" i="11" s="1"/>
  <c r="U571" i="11" s="1"/>
  <c r="S572" i="11"/>
  <c r="T572" i="11" s="1"/>
  <c r="U572" i="11" s="1"/>
  <c r="S573" i="11"/>
  <c r="T573" i="11" s="1"/>
  <c r="U573" i="11" s="1"/>
  <c r="S574" i="11"/>
  <c r="T574" i="11" s="1"/>
  <c r="U574" i="11" s="1"/>
  <c r="S575" i="11"/>
  <c r="T575" i="11" s="1"/>
  <c r="U575" i="11" s="1"/>
  <c r="S576" i="11"/>
  <c r="T576" i="11" s="1"/>
  <c r="U576" i="11" s="1"/>
  <c r="S577" i="11"/>
  <c r="T577" i="11" s="1"/>
  <c r="U577" i="11" s="1"/>
  <c r="S578" i="11"/>
  <c r="T578" i="11" s="1"/>
  <c r="U578" i="11" s="1"/>
  <c r="S579" i="11"/>
  <c r="T579" i="11" s="1"/>
  <c r="U579" i="11" s="1"/>
  <c r="S580" i="11"/>
  <c r="T580" i="11" s="1"/>
  <c r="U580" i="11" s="1"/>
  <c r="S581" i="11"/>
  <c r="T581" i="11" s="1"/>
  <c r="U581" i="11" s="1"/>
  <c r="S582" i="11"/>
  <c r="T582" i="11" s="1"/>
  <c r="U582" i="11" s="1"/>
  <c r="S583" i="11"/>
  <c r="T583" i="11" s="1"/>
  <c r="U583" i="11" s="1"/>
  <c r="S584" i="11"/>
  <c r="T584" i="11" s="1"/>
  <c r="U584" i="11" s="1"/>
  <c r="S585" i="11"/>
  <c r="T585" i="11" s="1"/>
  <c r="U585" i="11" s="1"/>
  <c r="S586" i="11"/>
  <c r="T586" i="11" s="1"/>
  <c r="U586" i="11" s="1"/>
  <c r="S587" i="11"/>
  <c r="T587" i="11" s="1"/>
  <c r="U587" i="11" s="1"/>
  <c r="S588" i="11"/>
  <c r="T588" i="11" s="1"/>
  <c r="U588" i="11" s="1"/>
  <c r="S589" i="11"/>
  <c r="T589" i="11" s="1"/>
  <c r="U589" i="11" s="1"/>
  <c r="S590" i="11"/>
  <c r="T590" i="11" s="1"/>
  <c r="U590" i="11" s="1"/>
  <c r="S591" i="11"/>
  <c r="T591" i="11" s="1"/>
  <c r="U591" i="11" s="1"/>
  <c r="S592" i="11"/>
  <c r="T592" i="11" s="1"/>
  <c r="U592" i="11" s="1"/>
  <c r="S593" i="11"/>
  <c r="T593" i="11" s="1"/>
  <c r="U593" i="11" s="1"/>
  <c r="S594" i="11"/>
  <c r="T594" i="11" s="1"/>
  <c r="U594" i="11" s="1"/>
  <c r="S595" i="11"/>
  <c r="T595" i="11" s="1"/>
  <c r="U595" i="11" s="1"/>
  <c r="S596" i="11"/>
  <c r="T596" i="11" s="1"/>
  <c r="U596" i="11" s="1"/>
  <c r="S597" i="11"/>
  <c r="T597" i="11" s="1"/>
  <c r="U597" i="11" s="1"/>
  <c r="S598" i="11"/>
  <c r="T598" i="11" s="1"/>
  <c r="U598" i="11" s="1"/>
  <c r="S599" i="11"/>
  <c r="T599" i="11" s="1"/>
  <c r="U599" i="11" s="1"/>
  <c r="S600" i="11"/>
  <c r="T600" i="11" s="1"/>
  <c r="U600" i="11" s="1"/>
  <c r="S601" i="11"/>
  <c r="T601" i="11" s="1"/>
  <c r="U601" i="11" s="1"/>
  <c r="S602" i="11"/>
  <c r="T602" i="11" s="1"/>
  <c r="U602" i="11" s="1"/>
  <c r="S603" i="11"/>
  <c r="T603" i="11" s="1"/>
  <c r="U603" i="11" s="1"/>
  <c r="S604" i="11"/>
  <c r="T604" i="11" s="1"/>
  <c r="U604" i="11" s="1"/>
  <c r="S605" i="11"/>
  <c r="T605" i="11" s="1"/>
  <c r="U605" i="11" s="1"/>
  <c r="S606" i="11"/>
  <c r="T606" i="11" s="1"/>
  <c r="U606" i="11" s="1"/>
  <c r="S607" i="11"/>
  <c r="T607" i="11" s="1"/>
  <c r="U607" i="11" s="1"/>
  <c r="S608" i="11"/>
  <c r="T608" i="11" s="1"/>
  <c r="U608" i="11" s="1"/>
  <c r="S609" i="11"/>
  <c r="T609" i="11" s="1"/>
  <c r="U609" i="11" s="1"/>
  <c r="S610" i="11"/>
  <c r="T610" i="11" s="1"/>
  <c r="U610" i="11" s="1"/>
  <c r="S611" i="11"/>
  <c r="T611" i="11" s="1"/>
  <c r="U611" i="11" s="1"/>
  <c r="S612" i="11"/>
  <c r="T612" i="11" s="1"/>
  <c r="U612" i="11" s="1"/>
  <c r="S613" i="11"/>
  <c r="T613" i="11" s="1"/>
  <c r="U613" i="11" s="1"/>
  <c r="S614" i="11"/>
  <c r="T614" i="11" s="1"/>
  <c r="U614" i="11" s="1"/>
  <c r="S615" i="11"/>
  <c r="T615" i="11" s="1"/>
  <c r="U615" i="11" s="1"/>
  <c r="S616" i="11"/>
  <c r="T616" i="11" s="1"/>
  <c r="U616" i="11" s="1"/>
  <c r="S617" i="11"/>
  <c r="T617" i="11" s="1"/>
  <c r="U617" i="11" s="1"/>
  <c r="S618" i="11"/>
  <c r="T618" i="11" s="1"/>
  <c r="U618" i="11" s="1"/>
  <c r="S619" i="11"/>
  <c r="T619" i="11" s="1"/>
  <c r="U619" i="11" s="1"/>
  <c r="S620" i="11"/>
  <c r="T620" i="11" s="1"/>
  <c r="U620" i="11" s="1"/>
  <c r="S621" i="11"/>
  <c r="T621" i="11" s="1"/>
  <c r="U621" i="11" s="1"/>
  <c r="S622" i="11"/>
  <c r="T622" i="11" s="1"/>
  <c r="U622" i="11" s="1"/>
  <c r="S623" i="11"/>
  <c r="T623" i="11" s="1"/>
  <c r="U623" i="11" s="1"/>
  <c r="S624" i="11"/>
  <c r="T624" i="11" s="1"/>
  <c r="U624" i="11" s="1"/>
  <c r="S625" i="11"/>
  <c r="T625" i="11" s="1"/>
  <c r="U625" i="11" s="1"/>
  <c r="S626" i="11"/>
  <c r="T626" i="11" s="1"/>
  <c r="U626" i="11" s="1"/>
  <c r="S627" i="11"/>
  <c r="T627" i="11" s="1"/>
  <c r="U627" i="11" s="1"/>
  <c r="S628" i="11"/>
  <c r="T628" i="11" s="1"/>
  <c r="U628" i="11" s="1"/>
  <c r="S629" i="11"/>
  <c r="T629" i="11" s="1"/>
  <c r="U629" i="11" s="1"/>
  <c r="S630" i="11"/>
  <c r="T630" i="11" s="1"/>
  <c r="U630" i="11" s="1"/>
  <c r="S631" i="11"/>
  <c r="T631" i="11" s="1"/>
  <c r="U631" i="11" s="1"/>
  <c r="S632" i="11"/>
  <c r="T632" i="11" s="1"/>
  <c r="U632" i="11" s="1"/>
  <c r="S633" i="11"/>
  <c r="T633" i="11" s="1"/>
  <c r="U633" i="11" s="1"/>
  <c r="S563" i="11"/>
  <c r="T563" i="11" s="1"/>
  <c r="U563" i="11" s="1"/>
  <c r="S477" i="11"/>
  <c r="T477" i="11" s="1"/>
  <c r="U477" i="11" s="1"/>
  <c r="S478" i="11"/>
  <c r="T478" i="11" s="1"/>
  <c r="U478" i="11" s="1"/>
  <c r="S479" i="11"/>
  <c r="T479" i="11" s="1"/>
  <c r="U479" i="11" s="1"/>
  <c r="S480" i="11"/>
  <c r="T480" i="11" s="1"/>
  <c r="U480" i="11" s="1"/>
  <c r="S481" i="11"/>
  <c r="T481" i="11" s="1"/>
  <c r="U481" i="11" s="1"/>
  <c r="S482" i="11"/>
  <c r="T482" i="11" s="1"/>
  <c r="U482" i="11" s="1"/>
  <c r="S483" i="11"/>
  <c r="T483" i="11" s="1"/>
  <c r="U483" i="11" s="1"/>
  <c r="S484" i="11"/>
  <c r="T484" i="11" s="1"/>
  <c r="U484" i="11" s="1"/>
  <c r="S485" i="11"/>
  <c r="T485" i="11" s="1"/>
  <c r="U485" i="11" s="1"/>
  <c r="S486" i="11"/>
  <c r="T486" i="11" s="1"/>
  <c r="U486" i="11" s="1"/>
  <c r="S487" i="11"/>
  <c r="T487" i="11" s="1"/>
  <c r="U487" i="11" s="1"/>
  <c r="S488" i="11"/>
  <c r="T488" i="11" s="1"/>
  <c r="U488" i="11" s="1"/>
  <c r="S489" i="11"/>
  <c r="T489" i="11" s="1"/>
  <c r="U489" i="11" s="1"/>
  <c r="S490" i="11"/>
  <c r="T490" i="11" s="1"/>
  <c r="U490" i="11" s="1"/>
  <c r="S491" i="11"/>
  <c r="T491" i="11" s="1"/>
  <c r="U491" i="11" s="1"/>
  <c r="S492" i="11"/>
  <c r="T492" i="11" s="1"/>
  <c r="U492" i="11" s="1"/>
  <c r="S493" i="11"/>
  <c r="T493" i="11" s="1"/>
  <c r="U493" i="11" s="1"/>
  <c r="S494" i="11"/>
  <c r="T494" i="11" s="1"/>
  <c r="U494" i="11" s="1"/>
  <c r="S495" i="11"/>
  <c r="T495" i="11" s="1"/>
  <c r="U495" i="11" s="1"/>
  <c r="S496" i="11"/>
  <c r="T496" i="11" s="1"/>
  <c r="U496" i="11" s="1"/>
  <c r="S497" i="11"/>
  <c r="T497" i="11" s="1"/>
  <c r="U497" i="11" s="1"/>
  <c r="S498" i="11"/>
  <c r="T498" i="11" s="1"/>
  <c r="U498" i="11" s="1"/>
  <c r="S499" i="11"/>
  <c r="T499" i="11" s="1"/>
  <c r="U499" i="11" s="1"/>
  <c r="S500" i="11"/>
  <c r="T500" i="11" s="1"/>
  <c r="U500" i="11" s="1"/>
  <c r="S501" i="11"/>
  <c r="T501" i="11" s="1"/>
  <c r="U501" i="11" s="1"/>
  <c r="S503" i="11"/>
  <c r="T503" i="11" s="1"/>
  <c r="U503" i="11" s="1"/>
  <c r="S504" i="11"/>
  <c r="T504" i="11" s="1"/>
  <c r="U504" i="11" s="1"/>
  <c r="S505" i="11"/>
  <c r="T505" i="11" s="1"/>
  <c r="U505" i="11" s="1"/>
  <c r="S506" i="11"/>
  <c r="T506" i="11" s="1"/>
  <c r="U506" i="11" s="1"/>
  <c r="S507" i="11"/>
  <c r="T507" i="11" s="1"/>
  <c r="U507" i="11" s="1"/>
  <c r="S508" i="11"/>
  <c r="T508" i="11" s="1"/>
  <c r="U508" i="11" s="1"/>
  <c r="S509" i="11"/>
  <c r="T509" i="11" s="1"/>
  <c r="U509" i="11" s="1"/>
  <c r="S510" i="11"/>
  <c r="T510" i="11" s="1"/>
  <c r="U510" i="11" s="1"/>
  <c r="S511" i="11"/>
  <c r="T511" i="11" s="1"/>
  <c r="U511" i="11" s="1"/>
  <c r="S512" i="11"/>
  <c r="T512" i="11" s="1"/>
  <c r="U512" i="11" s="1"/>
  <c r="S513" i="11"/>
  <c r="T513" i="11" s="1"/>
  <c r="U513" i="11" s="1"/>
  <c r="S514" i="11"/>
  <c r="T514" i="11" s="1"/>
  <c r="U514" i="11" s="1"/>
  <c r="S515" i="11"/>
  <c r="T515" i="11" s="1"/>
  <c r="U515" i="11" s="1"/>
  <c r="S516" i="11"/>
  <c r="T516" i="11" s="1"/>
  <c r="U516" i="11" s="1"/>
  <c r="S517" i="11"/>
  <c r="T517" i="11" s="1"/>
  <c r="U517" i="11" s="1"/>
  <c r="S518" i="11"/>
  <c r="T518" i="11" s="1"/>
  <c r="U518" i="11" s="1"/>
  <c r="S519" i="11"/>
  <c r="T519" i="11" s="1"/>
  <c r="U519" i="11" s="1"/>
  <c r="S520" i="11"/>
  <c r="T520" i="11" s="1"/>
  <c r="U520" i="11" s="1"/>
  <c r="S521" i="11"/>
  <c r="T521" i="11" s="1"/>
  <c r="U521" i="11" s="1"/>
  <c r="S522" i="11"/>
  <c r="T522" i="11" s="1"/>
  <c r="U522" i="11" s="1"/>
  <c r="S523" i="11"/>
  <c r="T523" i="11" s="1"/>
  <c r="U523" i="11" s="1"/>
  <c r="S524" i="11"/>
  <c r="T524" i="11" s="1"/>
  <c r="U524" i="11" s="1"/>
  <c r="S525" i="11"/>
  <c r="T525" i="11" s="1"/>
  <c r="U525" i="11" s="1"/>
  <c r="S526" i="11"/>
  <c r="T526" i="11" s="1"/>
  <c r="U526" i="11" s="1"/>
  <c r="S527" i="11"/>
  <c r="T527" i="11" s="1"/>
  <c r="U527" i="11" s="1"/>
  <c r="S528" i="11"/>
  <c r="T528" i="11" s="1"/>
  <c r="U528" i="11" s="1"/>
  <c r="S529" i="11"/>
  <c r="T529" i="11" s="1"/>
  <c r="U529" i="11" s="1"/>
  <c r="S530" i="11"/>
  <c r="T530" i="11"/>
  <c r="U530" i="11" s="1"/>
  <c r="S531" i="11"/>
  <c r="T531" i="11"/>
  <c r="U531" i="11" s="1"/>
  <c r="S532" i="11"/>
  <c r="T532" i="11"/>
  <c r="U532" i="11" s="1"/>
  <c r="S533" i="11"/>
  <c r="T533" i="11" s="1"/>
  <c r="U533" i="11" s="1"/>
  <c r="S534" i="11"/>
  <c r="T534" i="11" s="1"/>
  <c r="U534" i="11" s="1"/>
  <c r="S535" i="11"/>
  <c r="T535" i="11" s="1"/>
  <c r="U535" i="11" s="1"/>
  <c r="S536" i="11"/>
  <c r="T536" i="11" s="1"/>
  <c r="U536" i="11" s="1"/>
  <c r="S537" i="11"/>
  <c r="T537" i="11" s="1"/>
  <c r="U537" i="11" s="1"/>
  <c r="S538" i="11"/>
  <c r="T538" i="11" s="1"/>
  <c r="U538" i="11" s="1"/>
  <c r="S539" i="11"/>
  <c r="T539" i="11" s="1"/>
  <c r="U539" i="11" s="1"/>
  <c r="S540" i="11"/>
  <c r="T540" i="11" s="1"/>
  <c r="U540" i="11" s="1"/>
  <c r="S541" i="11"/>
  <c r="T541" i="11" s="1"/>
  <c r="U541" i="11" s="1"/>
  <c r="S542" i="11"/>
  <c r="T542" i="11" s="1"/>
  <c r="U542" i="11" s="1"/>
  <c r="S543" i="11"/>
  <c r="T543" i="11" s="1"/>
  <c r="U543" i="11" s="1"/>
  <c r="S544" i="11"/>
  <c r="T544" i="11" s="1"/>
  <c r="U544" i="11" s="1"/>
  <c r="S545" i="11"/>
  <c r="T545" i="11" s="1"/>
  <c r="U545" i="11" s="1"/>
  <c r="S546" i="11"/>
  <c r="T546" i="11" s="1"/>
  <c r="U546" i="11" s="1"/>
  <c r="S547" i="11"/>
  <c r="T547" i="11" s="1"/>
  <c r="U547" i="11" s="1"/>
  <c r="S548" i="11"/>
  <c r="T548" i="11" s="1"/>
  <c r="U548" i="11" s="1"/>
  <c r="S549" i="11"/>
  <c r="T549" i="11" s="1"/>
  <c r="U549" i="11" s="1"/>
  <c r="S550" i="11"/>
  <c r="T550" i="11" s="1"/>
  <c r="U550" i="11" s="1"/>
  <c r="S551" i="11"/>
  <c r="T551" i="11" s="1"/>
  <c r="U551" i="11" s="1"/>
  <c r="S552" i="11"/>
  <c r="T552" i="11" s="1"/>
  <c r="U552" i="11" s="1"/>
  <c r="S553" i="11"/>
  <c r="T553" i="11" s="1"/>
  <c r="U553" i="11" s="1"/>
  <c r="S554" i="11"/>
  <c r="T554" i="11" s="1"/>
  <c r="U554" i="11" s="1"/>
  <c r="S555" i="11"/>
  <c r="T555" i="11" s="1"/>
  <c r="U555" i="11" s="1"/>
  <c r="S556" i="11"/>
  <c r="T556" i="11" s="1"/>
  <c r="U556" i="11" s="1"/>
  <c r="S557" i="11"/>
  <c r="T557" i="11" s="1"/>
  <c r="U557" i="11" s="1"/>
  <c r="S558" i="11"/>
  <c r="T558" i="11" s="1"/>
  <c r="U558" i="11" s="1"/>
  <c r="S559" i="11"/>
  <c r="T559" i="11" s="1"/>
  <c r="U559" i="11" s="1"/>
  <c r="S560" i="11"/>
  <c r="T560" i="11" s="1"/>
  <c r="U560" i="11" s="1"/>
  <c r="S476" i="11"/>
  <c r="T476" i="11" s="1"/>
  <c r="U476" i="11" s="1"/>
  <c r="S473" i="11"/>
  <c r="T473" i="11" s="1"/>
  <c r="U473" i="11" s="1"/>
  <c r="S390" i="11"/>
  <c r="T390" i="11" s="1"/>
  <c r="U390" i="11" s="1"/>
  <c r="S391" i="11"/>
  <c r="T391" i="11" s="1"/>
  <c r="U391" i="11" s="1"/>
  <c r="S392" i="11"/>
  <c r="T392" i="11" s="1"/>
  <c r="U392" i="11" s="1"/>
  <c r="S393" i="11"/>
  <c r="T393" i="11" s="1"/>
  <c r="U393" i="11" s="1"/>
  <c r="S394" i="11"/>
  <c r="T394" i="11" s="1"/>
  <c r="U394" i="11" s="1"/>
  <c r="S395" i="11"/>
  <c r="T395" i="11" s="1"/>
  <c r="U395" i="11" s="1"/>
  <c r="S396" i="11"/>
  <c r="T396" i="11" s="1"/>
  <c r="U396" i="11" s="1"/>
  <c r="S397" i="11"/>
  <c r="T397" i="11" s="1"/>
  <c r="U397" i="11" s="1"/>
  <c r="S398" i="11"/>
  <c r="T398" i="11" s="1"/>
  <c r="U398" i="11" s="1"/>
  <c r="S399" i="11"/>
  <c r="T399" i="11" s="1"/>
  <c r="U399" i="11" s="1"/>
  <c r="S400" i="11"/>
  <c r="T400" i="11" s="1"/>
  <c r="U400" i="11" s="1"/>
  <c r="S401" i="11"/>
  <c r="T401" i="11" s="1"/>
  <c r="U401" i="11" s="1"/>
  <c r="S402" i="11"/>
  <c r="T402" i="11" s="1"/>
  <c r="U402" i="11" s="1"/>
  <c r="S403" i="11"/>
  <c r="T403" i="11" s="1"/>
  <c r="U403" i="11" s="1"/>
  <c r="S404" i="11"/>
  <c r="T404" i="11" s="1"/>
  <c r="U404" i="11" s="1"/>
  <c r="S405" i="11"/>
  <c r="T405" i="11" s="1"/>
  <c r="U405" i="11" s="1"/>
  <c r="S406" i="11"/>
  <c r="T406" i="11" s="1"/>
  <c r="U406" i="11" s="1"/>
  <c r="S407" i="11"/>
  <c r="T407" i="11" s="1"/>
  <c r="U407" i="11" s="1"/>
  <c r="S408" i="11"/>
  <c r="T408" i="11" s="1"/>
  <c r="U408" i="11" s="1"/>
  <c r="S409" i="11"/>
  <c r="T409" i="11" s="1"/>
  <c r="U409" i="11" s="1"/>
  <c r="S410" i="11"/>
  <c r="T410" i="11" s="1"/>
  <c r="U410" i="11" s="1"/>
  <c r="S411" i="11"/>
  <c r="T411" i="11" s="1"/>
  <c r="U411" i="11" s="1"/>
  <c r="S412" i="11"/>
  <c r="T412" i="11" s="1"/>
  <c r="U412" i="11" s="1"/>
  <c r="S413" i="11"/>
  <c r="T413" i="11" s="1"/>
  <c r="U413" i="11" s="1"/>
  <c r="S414" i="11"/>
  <c r="T414" i="11" s="1"/>
  <c r="U414" i="11" s="1"/>
  <c r="S416" i="11"/>
  <c r="T416" i="11" s="1"/>
  <c r="U416" i="11" s="1"/>
  <c r="S417" i="11"/>
  <c r="T417" i="11" s="1"/>
  <c r="U417" i="11" s="1"/>
  <c r="S418" i="11"/>
  <c r="T418" i="11" s="1"/>
  <c r="U418" i="11" s="1"/>
  <c r="S419" i="11"/>
  <c r="T419" i="11" s="1"/>
  <c r="U419" i="11" s="1"/>
  <c r="S420" i="11"/>
  <c r="T420" i="11" s="1"/>
  <c r="U420" i="11" s="1"/>
  <c r="S421" i="11"/>
  <c r="T421" i="11" s="1"/>
  <c r="U421" i="11" s="1"/>
  <c r="S422" i="11"/>
  <c r="T422" i="11" s="1"/>
  <c r="U422" i="11" s="1"/>
  <c r="S423" i="11"/>
  <c r="T423" i="11" s="1"/>
  <c r="U423" i="11" s="1"/>
  <c r="S424" i="11"/>
  <c r="T424" i="11" s="1"/>
  <c r="U424" i="11" s="1"/>
  <c r="S425" i="11"/>
  <c r="T425" i="11" s="1"/>
  <c r="U425" i="11" s="1"/>
  <c r="S426" i="11"/>
  <c r="T426" i="11" s="1"/>
  <c r="U426" i="11" s="1"/>
  <c r="S427" i="11"/>
  <c r="T427" i="11" s="1"/>
  <c r="U427" i="11" s="1"/>
  <c r="S428" i="11"/>
  <c r="T428" i="11" s="1"/>
  <c r="U428" i="11" s="1"/>
  <c r="S429" i="11"/>
  <c r="T429" i="11" s="1"/>
  <c r="U429" i="11" s="1"/>
  <c r="S430" i="11"/>
  <c r="T430" i="11" s="1"/>
  <c r="U430" i="11" s="1"/>
  <c r="S431" i="11"/>
  <c r="T431" i="11" s="1"/>
  <c r="U431" i="11" s="1"/>
  <c r="S432" i="11"/>
  <c r="T432" i="11" s="1"/>
  <c r="U432" i="11" s="1"/>
  <c r="S433" i="11"/>
  <c r="T433" i="11" s="1"/>
  <c r="U433" i="11" s="1"/>
  <c r="S434" i="11"/>
  <c r="T434" i="11" s="1"/>
  <c r="U434" i="11" s="1"/>
  <c r="S435" i="11"/>
  <c r="T435" i="11" s="1"/>
  <c r="U435" i="11" s="1"/>
  <c r="S436" i="11"/>
  <c r="T436" i="11" s="1"/>
  <c r="U436" i="11" s="1"/>
  <c r="S437" i="11"/>
  <c r="T437" i="11" s="1"/>
  <c r="U437" i="11" s="1"/>
  <c r="S438" i="11"/>
  <c r="T438" i="11" s="1"/>
  <c r="U438" i="11" s="1"/>
  <c r="S439" i="11"/>
  <c r="T439" i="11" s="1"/>
  <c r="U439" i="11" s="1"/>
  <c r="S440" i="11"/>
  <c r="T440" i="11" s="1"/>
  <c r="U440" i="11" s="1"/>
  <c r="S441" i="11"/>
  <c r="T441" i="11" s="1"/>
  <c r="U441" i="11" s="1"/>
  <c r="S442" i="11"/>
  <c r="T442" i="11" s="1"/>
  <c r="U442" i="11" s="1"/>
  <c r="S443" i="11"/>
  <c r="T443" i="11" s="1"/>
  <c r="U443" i="11" s="1"/>
  <c r="S444" i="11"/>
  <c r="T444" i="11" s="1"/>
  <c r="U444" i="11" s="1"/>
  <c r="S445" i="11"/>
  <c r="T445" i="11" s="1"/>
  <c r="U445" i="11" s="1"/>
  <c r="S446" i="11"/>
  <c r="T446" i="11" s="1"/>
  <c r="U446" i="11" s="1"/>
  <c r="S447" i="11"/>
  <c r="T447" i="11" s="1"/>
  <c r="U447" i="11" s="1"/>
  <c r="S448" i="11"/>
  <c r="T448" i="11" s="1"/>
  <c r="U448" i="11" s="1"/>
  <c r="S449" i="11"/>
  <c r="T449" i="11" s="1"/>
  <c r="U449" i="11" s="1"/>
  <c r="S450" i="11"/>
  <c r="T450" i="11" s="1"/>
  <c r="U450" i="11" s="1"/>
  <c r="S451" i="11"/>
  <c r="T451" i="11" s="1"/>
  <c r="U451" i="11" s="1"/>
  <c r="S452" i="11"/>
  <c r="T452" i="11" s="1"/>
  <c r="U452" i="11" s="1"/>
  <c r="S453" i="11"/>
  <c r="T453" i="11" s="1"/>
  <c r="U453" i="11" s="1"/>
  <c r="S454" i="11"/>
  <c r="T454" i="11" s="1"/>
  <c r="U454" i="11" s="1"/>
  <c r="S455" i="11"/>
  <c r="T455" i="11" s="1"/>
  <c r="U455" i="11" s="1"/>
  <c r="S456" i="11"/>
  <c r="T456" i="11" s="1"/>
  <c r="U456" i="11" s="1"/>
  <c r="S457" i="11"/>
  <c r="T457" i="11" s="1"/>
  <c r="U457" i="11" s="1"/>
  <c r="S458" i="11"/>
  <c r="T458" i="11" s="1"/>
  <c r="U458" i="11" s="1"/>
  <c r="S459" i="11"/>
  <c r="T459" i="11" s="1"/>
  <c r="U459" i="11" s="1"/>
  <c r="S460" i="11"/>
  <c r="T460" i="11" s="1"/>
  <c r="U460" i="11" s="1"/>
  <c r="S461" i="11"/>
  <c r="T461" i="11" s="1"/>
  <c r="U461" i="11" s="1"/>
  <c r="S462" i="11"/>
  <c r="T462" i="11" s="1"/>
  <c r="U462" i="11" s="1"/>
  <c r="S463" i="11"/>
  <c r="T463" i="11" s="1"/>
  <c r="U463" i="11" s="1"/>
  <c r="S464" i="11"/>
  <c r="T464" i="11" s="1"/>
  <c r="U464" i="11" s="1"/>
  <c r="S465" i="11"/>
  <c r="T465" i="11" s="1"/>
  <c r="U465" i="11" s="1"/>
  <c r="S466" i="11"/>
  <c r="T466" i="11" s="1"/>
  <c r="U466" i="11" s="1"/>
  <c r="S467" i="11"/>
  <c r="T467" i="11" s="1"/>
  <c r="U467" i="11" s="1"/>
  <c r="S468" i="11"/>
  <c r="T468" i="11" s="1"/>
  <c r="U468" i="11" s="1"/>
  <c r="S469" i="11"/>
  <c r="T469" i="11" s="1"/>
  <c r="U469" i="11" s="1"/>
  <c r="S470" i="11"/>
  <c r="T470" i="11" s="1"/>
  <c r="U470" i="11" s="1"/>
  <c r="S471" i="11"/>
  <c r="T471" i="11" s="1"/>
  <c r="U471" i="11" s="1"/>
  <c r="S472" i="11"/>
  <c r="T472" i="11" s="1"/>
  <c r="U472" i="11" s="1"/>
  <c r="S389" i="11"/>
  <c r="T389" i="11" s="1"/>
  <c r="U389" i="11" s="1"/>
  <c r="S303" i="11"/>
  <c r="T303" i="11" s="1"/>
  <c r="U303" i="11" s="1"/>
  <c r="S304" i="11"/>
  <c r="T304" i="11" s="1"/>
  <c r="U304" i="11" s="1"/>
  <c r="S305" i="11"/>
  <c r="T305" i="11" s="1"/>
  <c r="U305" i="11" s="1"/>
  <c r="S306" i="11"/>
  <c r="T306" i="11" s="1"/>
  <c r="U306" i="11" s="1"/>
  <c r="S307" i="11"/>
  <c r="T307" i="11" s="1"/>
  <c r="U307" i="11" s="1"/>
  <c r="S308" i="11"/>
  <c r="T308" i="11" s="1"/>
  <c r="U308" i="11" s="1"/>
  <c r="S309" i="11"/>
  <c r="T309" i="11" s="1"/>
  <c r="U309" i="11" s="1"/>
  <c r="S310" i="11"/>
  <c r="T310" i="11" s="1"/>
  <c r="U310" i="11" s="1"/>
  <c r="S311" i="11"/>
  <c r="T311" i="11" s="1"/>
  <c r="U311" i="11" s="1"/>
  <c r="S312" i="11"/>
  <c r="T312" i="11" s="1"/>
  <c r="U312" i="11" s="1"/>
  <c r="S313" i="11"/>
  <c r="T313" i="11" s="1"/>
  <c r="U313" i="11" s="1"/>
  <c r="S314" i="11"/>
  <c r="T314" i="11" s="1"/>
  <c r="U314" i="11" s="1"/>
  <c r="S315" i="11"/>
  <c r="T315" i="11" s="1"/>
  <c r="U315" i="11" s="1"/>
  <c r="S316" i="11"/>
  <c r="T316" i="11" s="1"/>
  <c r="U316" i="11" s="1"/>
  <c r="S317" i="11"/>
  <c r="T317" i="11" s="1"/>
  <c r="U317" i="11" s="1"/>
  <c r="S318" i="11"/>
  <c r="T318" i="11" s="1"/>
  <c r="U318" i="11" s="1"/>
  <c r="S319" i="11"/>
  <c r="T319" i="11" s="1"/>
  <c r="U319" i="11" s="1"/>
  <c r="S320" i="11"/>
  <c r="T320" i="11" s="1"/>
  <c r="U320" i="11" s="1"/>
  <c r="S321" i="11"/>
  <c r="T321" i="11" s="1"/>
  <c r="U321" i="11" s="1"/>
  <c r="S322" i="11"/>
  <c r="T322" i="11" s="1"/>
  <c r="U322" i="11" s="1"/>
  <c r="S323" i="11"/>
  <c r="T323" i="11" s="1"/>
  <c r="U323" i="11" s="1"/>
  <c r="S324" i="11"/>
  <c r="T324" i="11" s="1"/>
  <c r="U324" i="11" s="1"/>
  <c r="S325" i="11"/>
  <c r="T325" i="11" s="1"/>
  <c r="U325" i="11" s="1"/>
  <c r="S326" i="11"/>
  <c r="T326" i="11" s="1"/>
  <c r="U326" i="11" s="1"/>
  <c r="S327" i="11"/>
  <c r="T327" i="11" s="1"/>
  <c r="U327" i="11" s="1"/>
  <c r="S329" i="11"/>
  <c r="T329" i="11" s="1"/>
  <c r="U329" i="11" s="1"/>
  <c r="S330" i="11"/>
  <c r="T330" i="11" s="1"/>
  <c r="U330" i="11" s="1"/>
  <c r="S331" i="11"/>
  <c r="T331" i="11" s="1"/>
  <c r="U331" i="11" s="1"/>
  <c r="S332" i="11"/>
  <c r="T332" i="11" s="1"/>
  <c r="U332" i="11" s="1"/>
  <c r="S333" i="11"/>
  <c r="T333" i="11" s="1"/>
  <c r="U333" i="11" s="1"/>
  <c r="S334" i="11"/>
  <c r="T334" i="11" s="1"/>
  <c r="U334" i="11" s="1"/>
  <c r="S335" i="11"/>
  <c r="T335" i="11" s="1"/>
  <c r="U335" i="11" s="1"/>
  <c r="S336" i="11"/>
  <c r="T336" i="11" s="1"/>
  <c r="U336" i="11" s="1"/>
  <c r="S337" i="11"/>
  <c r="T337" i="11" s="1"/>
  <c r="U337" i="11" s="1"/>
  <c r="S338" i="11"/>
  <c r="T338" i="11" s="1"/>
  <c r="U338" i="11" s="1"/>
  <c r="S339" i="11"/>
  <c r="T339" i="11" s="1"/>
  <c r="U339" i="11" s="1"/>
  <c r="S340" i="11"/>
  <c r="T340" i="11" s="1"/>
  <c r="U340" i="11" s="1"/>
  <c r="S341" i="11"/>
  <c r="T341" i="11" s="1"/>
  <c r="U341" i="11" s="1"/>
  <c r="S342" i="11"/>
  <c r="T342" i="11" s="1"/>
  <c r="U342" i="11" s="1"/>
  <c r="S343" i="11"/>
  <c r="T343" i="11" s="1"/>
  <c r="U343" i="11" s="1"/>
  <c r="S344" i="11"/>
  <c r="T344" i="11" s="1"/>
  <c r="U344" i="11" s="1"/>
  <c r="S345" i="11"/>
  <c r="T345" i="11" s="1"/>
  <c r="U345" i="11" s="1"/>
  <c r="S346" i="11"/>
  <c r="T346" i="11" s="1"/>
  <c r="U346" i="11" s="1"/>
  <c r="S347" i="11"/>
  <c r="T347" i="11" s="1"/>
  <c r="U347" i="11" s="1"/>
  <c r="S348" i="11"/>
  <c r="T348" i="11" s="1"/>
  <c r="U348" i="11" s="1"/>
  <c r="S349" i="11"/>
  <c r="T349" i="11" s="1"/>
  <c r="U349" i="11" s="1"/>
  <c r="S350" i="11"/>
  <c r="T350" i="11" s="1"/>
  <c r="U350" i="11" s="1"/>
  <c r="S351" i="11"/>
  <c r="T351" i="11" s="1"/>
  <c r="U351" i="11" s="1"/>
  <c r="S352" i="11"/>
  <c r="T352" i="11" s="1"/>
  <c r="U352" i="11" s="1"/>
  <c r="S353" i="11"/>
  <c r="T353" i="11" s="1"/>
  <c r="U353" i="11" s="1"/>
  <c r="S354" i="11"/>
  <c r="T354" i="11" s="1"/>
  <c r="U354" i="11" s="1"/>
  <c r="S355" i="11"/>
  <c r="T355" i="11" s="1"/>
  <c r="U355" i="11" s="1"/>
  <c r="S356" i="11"/>
  <c r="T356" i="11" s="1"/>
  <c r="U356" i="11" s="1"/>
  <c r="S357" i="11"/>
  <c r="T357" i="11" s="1"/>
  <c r="U357" i="11" s="1"/>
  <c r="S358" i="11"/>
  <c r="T358" i="11" s="1"/>
  <c r="U358" i="11" s="1"/>
  <c r="S359" i="11"/>
  <c r="T359" i="11" s="1"/>
  <c r="U359" i="11" s="1"/>
  <c r="S360" i="11"/>
  <c r="T360" i="11" s="1"/>
  <c r="U360" i="11" s="1"/>
  <c r="S361" i="11"/>
  <c r="T361" i="11" s="1"/>
  <c r="U361" i="11" s="1"/>
  <c r="S362" i="11"/>
  <c r="T362" i="11" s="1"/>
  <c r="U362" i="11" s="1"/>
  <c r="S363" i="11"/>
  <c r="T363" i="11" s="1"/>
  <c r="U363" i="11" s="1"/>
  <c r="S364" i="11"/>
  <c r="T364" i="11" s="1"/>
  <c r="U364" i="11" s="1"/>
  <c r="S365" i="11"/>
  <c r="T365" i="11" s="1"/>
  <c r="U365" i="11" s="1"/>
  <c r="S366" i="11"/>
  <c r="T366" i="11" s="1"/>
  <c r="U366" i="11" s="1"/>
  <c r="S367" i="11"/>
  <c r="T367" i="11" s="1"/>
  <c r="U367" i="11" s="1"/>
  <c r="S368" i="11"/>
  <c r="T368" i="11" s="1"/>
  <c r="U368" i="11" s="1"/>
  <c r="S369" i="11"/>
  <c r="T369" i="11" s="1"/>
  <c r="U369" i="11" s="1"/>
  <c r="S370" i="11"/>
  <c r="T370" i="11" s="1"/>
  <c r="U370" i="11" s="1"/>
  <c r="S371" i="11"/>
  <c r="T371" i="11" s="1"/>
  <c r="U371" i="11" s="1"/>
  <c r="S372" i="11"/>
  <c r="T372" i="11" s="1"/>
  <c r="U372" i="11" s="1"/>
  <c r="S373" i="11"/>
  <c r="T373" i="11" s="1"/>
  <c r="U373" i="11" s="1"/>
  <c r="S374" i="11"/>
  <c r="T374" i="11" s="1"/>
  <c r="U374" i="11" s="1"/>
  <c r="S375" i="11"/>
  <c r="T375" i="11" s="1"/>
  <c r="U375" i="11" s="1"/>
  <c r="S376" i="11"/>
  <c r="T376" i="11" s="1"/>
  <c r="U376" i="11" s="1"/>
  <c r="S377" i="11"/>
  <c r="T377" i="11" s="1"/>
  <c r="U377" i="11" s="1"/>
  <c r="S378" i="11"/>
  <c r="T378" i="11" s="1"/>
  <c r="U378" i="11" s="1"/>
  <c r="S379" i="11"/>
  <c r="T379" i="11" s="1"/>
  <c r="U379" i="11" s="1"/>
  <c r="S380" i="11"/>
  <c r="T380" i="11" s="1"/>
  <c r="U380" i="11" s="1"/>
  <c r="S381" i="11"/>
  <c r="T381" i="11" s="1"/>
  <c r="U381" i="11" s="1"/>
  <c r="S382" i="11"/>
  <c r="T382" i="11" s="1"/>
  <c r="U382" i="11" s="1"/>
  <c r="S383" i="11"/>
  <c r="T383" i="11" s="1"/>
  <c r="U383" i="11" s="1"/>
  <c r="S384" i="11"/>
  <c r="T384" i="11" s="1"/>
  <c r="U384" i="11" s="1"/>
  <c r="S385" i="11"/>
  <c r="T385" i="11" s="1"/>
  <c r="U385" i="11" s="1"/>
  <c r="S386" i="11"/>
  <c r="T386" i="11" s="1"/>
  <c r="U386" i="11" s="1"/>
  <c r="S302" i="11"/>
  <c r="T302" i="11" s="1"/>
  <c r="U302" i="11" s="1"/>
  <c r="S262" i="11"/>
  <c r="T262" i="11" s="1"/>
  <c r="U262" i="11" s="1"/>
  <c r="S263" i="11"/>
  <c r="T263" i="11" s="1"/>
  <c r="U263" i="11" s="1"/>
  <c r="S264" i="11"/>
  <c r="T264" i="11" s="1"/>
  <c r="U264" i="11" s="1"/>
  <c r="S265" i="11"/>
  <c r="T265" i="11" s="1"/>
  <c r="U265" i="11" s="1"/>
  <c r="S266" i="11"/>
  <c r="T266" i="11" s="1"/>
  <c r="U266" i="11" s="1"/>
  <c r="S267" i="11"/>
  <c r="T267" i="11" s="1"/>
  <c r="U267" i="11" s="1"/>
  <c r="S268" i="11"/>
  <c r="T268" i="11" s="1"/>
  <c r="U268" i="11" s="1"/>
  <c r="S269" i="11"/>
  <c r="T269" i="11" s="1"/>
  <c r="U269" i="11" s="1"/>
  <c r="S270" i="11"/>
  <c r="T270" i="11" s="1"/>
  <c r="U270" i="11" s="1"/>
  <c r="S271" i="11"/>
  <c r="T271" i="11" s="1"/>
  <c r="U271" i="11" s="1"/>
  <c r="S272" i="11"/>
  <c r="T272" i="11" s="1"/>
  <c r="U272" i="11" s="1"/>
  <c r="S273" i="11"/>
  <c r="T273" i="11" s="1"/>
  <c r="U273" i="11" s="1"/>
  <c r="S274" i="11"/>
  <c r="T274" i="11" s="1"/>
  <c r="U274" i="11" s="1"/>
  <c r="S275" i="11"/>
  <c r="T275" i="11" s="1"/>
  <c r="U275" i="11" s="1"/>
  <c r="S276" i="11"/>
  <c r="T276" i="11" s="1"/>
  <c r="U276" i="11" s="1"/>
  <c r="S277" i="11"/>
  <c r="T277" i="11" s="1"/>
  <c r="U277" i="11" s="1"/>
  <c r="S278" i="11"/>
  <c r="T278" i="11" s="1"/>
  <c r="U278" i="11" s="1"/>
  <c r="S279" i="11"/>
  <c r="T279" i="11" s="1"/>
  <c r="U279" i="11" s="1"/>
  <c r="S280" i="11"/>
  <c r="T280" i="11" s="1"/>
  <c r="U280" i="11" s="1"/>
  <c r="S281" i="11"/>
  <c r="T281" i="11" s="1"/>
  <c r="U281" i="11" s="1"/>
  <c r="S282" i="11"/>
  <c r="T282" i="11" s="1"/>
  <c r="U282" i="11" s="1"/>
  <c r="S283" i="11"/>
  <c r="T283" i="11" s="1"/>
  <c r="U283" i="11" s="1"/>
  <c r="S284" i="11"/>
  <c r="T284" i="11" s="1"/>
  <c r="U284" i="11" s="1"/>
  <c r="S285" i="11"/>
  <c r="T285" i="11" s="1"/>
  <c r="U285" i="11" s="1"/>
  <c r="S286" i="11"/>
  <c r="T286" i="11" s="1"/>
  <c r="U286" i="11" s="1"/>
  <c r="S287" i="11"/>
  <c r="T287" i="11" s="1"/>
  <c r="U287" i="11" s="1"/>
  <c r="S288" i="11"/>
  <c r="T288" i="11" s="1"/>
  <c r="U288" i="11" s="1"/>
  <c r="S289" i="11"/>
  <c r="T289" i="11" s="1"/>
  <c r="U289" i="11" s="1"/>
  <c r="S290" i="11"/>
  <c r="T290" i="11" s="1"/>
  <c r="U290" i="11" s="1"/>
  <c r="S291" i="11"/>
  <c r="T291" i="11" s="1"/>
  <c r="U291" i="11" s="1"/>
  <c r="S292" i="11"/>
  <c r="T292" i="11" s="1"/>
  <c r="U292" i="11" s="1"/>
  <c r="S293" i="11"/>
  <c r="T293" i="11" s="1"/>
  <c r="U293" i="11" s="1"/>
  <c r="S294" i="11"/>
  <c r="T294" i="11" s="1"/>
  <c r="U294" i="11" s="1"/>
  <c r="S295" i="11"/>
  <c r="T295" i="11"/>
  <c r="U295" i="11" s="1"/>
  <c r="S296" i="11"/>
  <c r="T296" i="11" s="1"/>
  <c r="U296" i="11" s="1"/>
  <c r="S297" i="11"/>
  <c r="T297" i="11" s="1"/>
  <c r="U297" i="11" s="1"/>
  <c r="S298" i="11"/>
  <c r="T298" i="11" s="1"/>
  <c r="U298" i="11" s="1"/>
  <c r="S299" i="11"/>
  <c r="T299" i="11" s="1"/>
  <c r="U299" i="11" s="1"/>
  <c r="S300" i="11"/>
  <c r="T300" i="11" s="1"/>
  <c r="U300" i="11" s="1"/>
  <c r="S261" i="11"/>
  <c r="T261" i="11" s="1"/>
  <c r="U261" i="11" s="1"/>
  <c r="S183" i="11"/>
  <c r="T183" i="11" s="1"/>
  <c r="U183" i="11" s="1"/>
  <c r="S184" i="11"/>
  <c r="T184" i="11" s="1"/>
  <c r="U184" i="11" s="1"/>
  <c r="S185" i="11"/>
  <c r="T185" i="11" s="1"/>
  <c r="U185" i="11" s="1"/>
  <c r="S186" i="11"/>
  <c r="T186" i="11" s="1"/>
  <c r="U186" i="11" s="1"/>
  <c r="S187" i="11"/>
  <c r="T187" i="11"/>
  <c r="U187" i="11" s="1"/>
  <c r="S188" i="11"/>
  <c r="T188" i="11"/>
  <c r="U188" i="11" s="1"/>
  <c r="S189" i="11"/>
  <c r="T189" i="11" s="1"/>
  <c r="U189" i="11" s="1"/>
  <c r="S190" i="11"/>
  <c r="T190" i="11" s="1"/>
  <c r="U190" i="11" s="1"/>
  <c r="S191" i="11"/>
  <c r="T191" i="11" s="1"/>
  <c r="U191" i="11" s="1"/>
  <c r="S192" i="11"/>
  <c r="T192" i="11" s="1"/>
  <c r="U192" i="11" s="1"/>
  <c r="S193" i="11"/>
  <c r="T193" i="11" s="1"/>
  <c r="U193" i="11" s="1"/>
  <c r="S194" i="11"/>
  <c r="T194" i="11" s="1"/>
  <c r="U194" i="11" s="1"/>
  <c r="S195" i="11"/>
  <c r="T195" i="11" s="1"/>
  <c r="U195" i="11" s="1"/>
  <c r="S196" i="11"/>
  <c r="T196" i="11" s="1"/>
  <c r="U196" i="11" s="1"/>
  <c r="S197" i="11"/>
  <c r="T197" i="11" s="1"/>
  <c r="U197" i="11" s="1"/>
  <c r="S198" i="11"/>
  <c r="T198" i="11" s="1"/>
  <c r="U198" i="11" s="1"/>
  <c r="S199" i="11"/>
  <c r="T199" i="11" s="1"/>
  <c r="U199" i="11" s="1"/>
  <c r="S200" i="11"/>
  <c r="T200" i="11" s="1"/>
  <c r="U200" i="11" s="1"/>
  <c r="S201" i="11"/>
  <c r="T201" i="11" s="1"/>
  <c r="U201" i="11" s="1"/>
  <c r="S202" i="11"/>
  <c r="T202" i="11" s="1"/>
  <c r="U202" i="11" s="1"/>
  <c r="S203" i="11"/>
  <c r="T203" i="11" s="1"/>
  <c r="U203" i="11" s="1"/>
  <c r="S204" i="11"/>
  <c r="T204" i="11" s="1"/>
  <c r="U204" i="11" s="1"/>
  <c r="S205" i="11"/>
  <c r="T205" i="11" s="1"/>
  <c r="U205" i="11" s="1"/>
  <c r="S206" i="11"/>
  <c r="T206" i="11" s="1"/>
  <c r="U206" i="11" s="1"/>
  <c r="S207" i="11"/>
  <c r="T207" i="11" s="1"/>
  <c r="U207" i="11" s="1"/>
  <c r="S208" i="11"/>
  <c r="T208" i="11" s="1"/>
  <c r="U208" i="11" s="1"/>
  <c r="S209" i="11"/>
  <c r="T209" i="11" s="1"/>
  <c r="U209" i="11" s="1"/>
  <c r="S210" i="11"/>
  <c r="T210" i="11" s="1"/>
  <c r="U210" i="11" s="1"/>
  <c r="S211" i="11"/>
  <c r="T211" i="11" s="1"/>
  <c r="U211" i="11" s="1"/>
  <c r="S212" i="11"/>
  <c r="T212" i="11" s="1"/>
  <c r="U212" i="11" s="1"/>
  <c r="S213" i="11"/>
  <c r="T213" i="11" s="1"/>
  <c r="U213" i="11" s="1"/>
  <c r="S214" i="11"/>
  <c r="T214" i="11" s="1"/>
  <c r="U214" i="11" s="1"/>
  <c r="S215" i="11"/>
  <c r="T215" i="11" s="1"/>
  <c r="U215" i="11" s="1"/>
  <c r="S216" i="11"/>
  <c r="T216" i="11" s="1"/>
  <c r="U216" i="11" s="1"/>
  <c r="S217" i="11"/>
  <c r="T217" i="11" s="1"/>
  <c r="U217" i="11" s="1"/>
  <c r="S218" i="11"/>
  <c r="T218" i="11" s="1"/>
  <c r="U218" i="11" s="1"/>
  <c r="S219" i="11"/>
  <c r="T219" i="11" s="1"/>
  <c r="U219" i="11" s="1"/>
  <c r="S220" i="11"/>
  <c r="T220" i="11" s="1"/>
  <c r="U220" i="11" s="1"/>
  <c r="S221" i="11"/>
  <c r="T221" i="11" s="1"/>
  <c r="U221" i="11" s="1"/>
  <c r="S222" i="11"/>
  <c r="T222" i="11" s="1"/>
  <c r="U222" i="11" s="1"/>
  <c r="S223" i="11"/>
  <c r="T223" i="11" s="1"/>
  <c r="U223" i="11" s="1"/>
  <c r="S224" i="11"/>
  <c r="T224" i="11" s="1"/>
  <c r="U224" i="11" s="1"/>
  <c r="S225" i="11"/>
  <c r="T225" i="11" s="1"/>
  <c r="U225" i="11" s="1"/>
  <c r="S226" i="11"/>
  <c r="T226" i="11" s="1"/>
  <c r="U226" i="11" s="1"/>
  <c r="S227" i="11"/>
  <c r="T227" i="11" s="1"/>
  <c r="U227" i="11" s="1"/>
  <c r="S228" i="11"/>
  <c r="T228" i="11" s="1"/>
  <c r="U228" i="11" s="1"/>
  <c r="S229" i="11"/>
  <c r="T229" i="11" s="1"/>
  <c r="U229" i="11" s="1"/>
  <c r="S230" i="11"/>
  <c r="T230" i="11" s="1"/>
  <c r="U230" i="11" s="1"/>
  <c r="S231" i="11"/>
  <c r="T231" i="11" s="1"/>
  <c r="U231" i="11" s="1"/>
  <c r="S232" i="11"/>
  <c r="T232" i="11" s="1"/>
  <c r="U232" i="11" s="1"/>
  <c r="S233" i="11"/>
  <c r="T233" i="11" s="1"/>
  <c r="U233" i="11" s="1"/>
  <c r="S234" i="11"/>
  <c r="T234" i="11" s="1"/>
  <c r="U234" i="11" s="1"/>
  <c r="S235" i="11"/>
  <c r="T235" i="11" s="1"/>
  <c r="U235" i="11" s="1"/>
  <c r="S236" i="11"/>
  <c r="T236" i="11" s="1"/>
  <c r="U236" i="11" s="1"/>
  <c r="S237" i="11"/>
  <c r="T237" i="11" s="1"/>
  <c r="U237" i="11" s="1"/>
  <c r="S238" i="11"/>
  <c r="T238" i="11" s="1"/>
  <c r="U238" i="11" s="1"/>
  <c r="S239" i="11"/>
  <c r="T239" i="11" s="1"/>
  <c r="U239" i="11" s="1"/>
  <c r="S240" i="11"/>
  <c r="T240" i="11" s="1"/>
  <c r="U240" i="11" s="1"/>
  <c r="S241" i="11"/>
  <c r="T241" i="11" s="1"/>
  <c r="U241" i="11" s="1"/>
  <c r="S242" i="11"/>
  <c r="T242" i="11" s="1"/>
  <c r="U242" i="11" s="1"/>
  <c r="S243" i="11"/>
  <c r="T243" i="11" s="1"/>
  <c r="U243" i="11" s="1"/>
  <c r="S244" i="11"/>
  <c r="T244" i="11" s="1"/>
  <c r="U244" i="11" s="1"/>
  <c r="S245" i="11"/>
  <c r="T245" i="11" s="1"/>
  <c r="U245" i="11" s="1"/>
  <c r="S246" i="11"/>
  <c r="T246" i="11" s="1"/>
  <c r="U246" i="11" s="1"/>
  <c r="S247" i="11"/>
  <c r="T247" i="11" s="1"/>
  <c r="U247" i="11" s="1"/>
  <c r="S248" i="11"/>
  <c r="T248" i="11" s="1"/>
  <c r="U248" i="11" s="1"/>
  <c r="S249" i="11"/>
  <c r="T249" i="11" s="1"/>
  <c r="U249" i="11" s="1"/>
  <c r="S250" i="11"/>
  <c r="T250" i="11" s="1"/>
  <c r="U250" i="11" s="1"/>
  <c r="S251" i="11"/>
  <c r="T251" i="11" s="1"/>
  <c r="U251" i="11" s="1"/>
  <c r="S252" i="11"/>
  <c r="T252" i="11" s="1"/>
  <c r="U252" i="11" s="1"/>
  <c r="S253" i="11"/>
  <c r="T253" i="11" s="1"/>
  <c r="U253" i="11" s="1"/>
  <c r="S254" i="11"/>
  <c r="T254" i="11" s="1"/>
  <c r="U254" i="11" s="1"/>
  <c r="S255" i="11"/>
  <c r="T255" i="11" s="1"/>
  <c r="U255" i="11" s="1"/>
  <c r="S256" i="11"/>
  <c r="T256" i="11" s="1"/>
  <c r="U256" i="11" s="1"/>
  <c r="S257" i="11"/>
  <c r="T257" i="11" s="1"/>
  <c r="U257" i="11" s="1"/>
  <c r="S258" i="11"/>
  <c r="T258" i="11" s="1"/>
  <c r="U258" i="11" s="1"/>
  <c r="S182" i="11"/>
  <c r="T182" i="11" s="1"/>
  <c r="U182" i="11" s="1"/>
  <c r="S108" i="11"/>
  <c r="T108" i="11" s="1"/>
  <c r="U108" i="11" s="1"/>
  <c r="S109" i="11"/>
  <c r="T109" i="11" s="1"/>
  <c r="U109" i="11" s="1"/>
  <c r="S110" i="11"/>
  <c r="T110" i="11" s="1"/>
  <c r="U110" i="11" s="1"/>
  <c r="S112" i="11"/>
  <c r="T112" i="11" s="1"/>
  <c r="U112" i="11" s="1"/>
  <c r="S113" i="11"/>
  <c r="T113" i="11" s="1"/>
  <c r="U113" i="11" s="1"/>
  <c r="S114" i="11"/>
  <c r="T114" i="11" s="1"/>
  <c r="U114" i="11" s="1"/>
  <c r="S115" i="11"/>
  <c r="T115" i="11" s="1"/>
  <c r="U115" i="11" s="1"/>
  <c r="S116" i="11"/>
  <c r="T116" i="11" s="1"/>
  <c r="U116" i="11" s="1"/>
  <c r="S117" i="11"/>
  <c r="T117" i="11" s="1"/>
  <c r="U117" i="11" s="1"/>
  <c r="S118" i="11"/>
  <c r="T118" i="11" s="1"/>
  <c r="U118" i="11" s="1"/>
  <c r="S119" i="11"/>
  <c r="T119" i="11" s="1"/>
  <c r="U119" i="11" s="1"/>
  <c r="S120" i="11"/>
  <c r="T120" i="11" s="1"/>
  <c r="U120" i="11" s="1"/>
  <c r="S121" i="11"/>
  <c r="T121" i="11" s="1"/>
  <c r="U121" i="11" s="1"/>
  <c r="S123" i="11"/>
  <c r="T123" i="11" s="1"/>
  <c r="U123" i="11" s="1"/>
  <c r="S124" i="11"/>
  <c r="T124" i="11" s="1"/>
  <c r="U124" i="11" s="1"/>
  <c r="S125" i="11"/>
  <c r="T125" i="11" s="1"/>
  <c r="U125" i="11" s="1"/>
  <c r="S126" i="11"/>
  <c r="T126" i="11" s="1"/>
  <c r="U126" i="11" s="1"/>
  <c r="S127" i="11"/>
  <c r="T127" i="11" s="1"/>
  <c r="U127" i="11" s="1"/>
  <c r="S128" i="11"/>
  <c r="T128" i="11" s="1"/>
  <c r="U128" i="11" s="1"/>
  <c r="S129" i="11"/>
  <c r="T129" i="11" s="1"/>
  <c r="U129" i="11" s="1"/>
  <c r="S130" i="11"/>
  <c r="T130" i="11" s="1"/>
  <c r="U130" i="11" s="1"/>
  <c r="S131" i="11"/>
  <c r="T131" i="11" s="1"/>
  <c r="U131" i="11" s="1"/>
  <c r="S132" i="11"/>
  <c r="T132" i="11" s="1"/>
  <c r="U132" i="11" s="1"/>
  <c r="S133" i="11"/>
  <c r="T133" i="11" s="1"/>
  <c r="U133" i="11" s="1"/>
  <c r="S134" i="11"/>
  <c r="T134" i="11" s="1"/>
  <c r="U134" i="11" s="1"/>
  <c r="S135" i="11"/>
  <c r="T135" i="11" s="1"/>
  <c r="U135" i="11" s="1"/>
  <c r="S136" i="11"/>
  <c r="T136" i="11" s="1"/>
  <c r="U136" i="11" s="1"/>
  <c r="S137" i="11"/>
  <c r="T137" i="11" s="1"/>
  <c r="U137" i="11" s="1"/>
  <c r="S138" i="11"/>
  <c r="T138" i="11" s="1"/>
  <c r="U138" i="11" s="1"/>
  <c r="S139" i="11"/>
  <c r="T139" i="11" s="1"/>
  <c r="U139" i="11" s="1"/>
  <c r="S140" i="11"/>
  <c r="T140" i="11" s="1"/>
  <c r="U140" i="11" s="1"/>
  <c r="S141" i="11"/>
  <c r="T141" i="11" s="1"/>
  <c r="U141" i="11" s="1"/>
  <c r="S142" i="11"/>
  <c r="T142" i="11" s="1"/>
  <c r="U142" i="11" s="1"/>
  <c r="S143" i="11"/>
  <c r="T143" i="11" s="1"/>
  <c r="U143" i="11" s="1"/>
  <c r="S144" i="11"/>
  <c r="T144" i="11" s="1"/>
  <c r="U144" i="11" s="1"/>
  <c r="S145" i="11"/>
  <c r="T145" i="11"/>
  <c r="U145" i="11" s="1"/>
  <c r="S146" i="11"/>
  <c r="T146" i="11" s="1"/>
  <c r="U146" i="11"/>
  <c r="S147" i="11"/>
  <c r="T147" i="11" s="1"/>
  <c r="U147" i="11" s="1"/>
  <c r="S148" i="11"/>
  <c r="T148" i="11" s="1"/>
  <c r="U148" i="11" s="1"/>
  <c r="S149" i="11"/>
  <c r="T149" i="11"/>
  <c r="U149" i="11" s="1"/>
  <c r="S150" i="11"/>
  <c r="T150" i="11"/>
  <c r="U150" i="11" s="1"/>
  <c r="S151" i="11"/>
  <c r="T151" i="11"/>
  <c r="U151" i="11" s="1"/>
  <c r="S152" i="11"/>
  <c r="T152" i="11" s="1"/>
  <c r="U152" i="11" s="1"/>
  <c r="S153" i="11"/>
  <c r="T153" i="11" s="1"/>
  <c r="U153" i="11" s="1"/>
  <c r="S154" i="11"/>
  <c r="T154" i="11" s="1"/>
  <c r="U154" i="11" s="1"/>
  <c r="S155" i="11"/>
  <c r="T155" i="11" s="1"/>
  <c r="U155" i="11" s="1"/>
  <c r="S156" i="11"/>
  <c r="T156" i="11" s="1"/>
  <c r="U156" i="11"/>
  <c r="S157" i="11"/>
  <c r="T157" i="11"/>
  <c r="U157" i="11" s="1"/>
  <c r="S158" i="11"/>
  <c r="T158" i="11"/>
  <c r="U158" i="11" s="1"/>
  <c r="S159" i="11"/>
  <c r="T159" i="11" s="1"/>
  <c r="U159" i="11" s="1"/>
  <c r="S160" i="11"/>
  <c r="T160" i="11" s="1"/>
  <c r="U160" i="11" s="1"/>
  <c r="S161" i="11"/>
  <c r="T161" i="11"/>
  <c r="U161" i="11" s="1"/>
  <c r="S162" i="11"/>
  <c r="T162" i="11" s="1"/>
  <c r="U162" i="11"/>
  <c r="S163" i="11"/>
  <c r="T163" i="11" s="1"/>
  <c r="U163" i="11" s="1"/>
  <c r="S164" i="11"/>
  <c r="T164" i="11" s="1"/>
  <c r="U164" i="11" s="1"/>
  <c r="S165" i="11"/>
  <c r="T165" i="11"/>
  <c r="U165" i="11" s="1"/>
  <c r="S166" i="11"/>
  <c r="T166" i="11"/>
  <c r="U166" i="11" s="1"/>
  <c r="S167" i="11"/>
  <c r="T167" i="11" s="1"/>
  <c r="U167" i="11" s="1"/>
  <c r="S168" i="11"/>
  <c r="T168" i="11" s="1"/>
  <c r="U168" i="11" s="1"/>
  <c r="S169" i="11"/>
  <c r="T169" i="11"/>
  <c r="U169" i="11" s="1"/>
  <c r="S170" i="11"/>
  <c r="T170" i="11" s="1"/>
  <c r="U170" i="11"/>
  <c r="S171" i="11"/>
  <c r="T171" i="11" s="1"/>
  <c r="U171" i="11" s="1"/>
  <c r="S172" i="11"/>
  <c r="T172" i="11" s="1"/>
  <c r="U172" i="11" s="1"/>
  <c r="S173" i="11"/>
  <c r="T173" i="11" s="1"/>
  <c r="U173" i="11" s="1"/>
  <c r="S174" i="11"/>
  <c r="T174" i="11" s="1"/>
  <c r="U174" i="11" s="1"/>
  <c r="S175" i="11"/>
  <c r="T175" i="11" s="1"/>
  <c r="U175" i="11" s="1"/>
  <c r="S176" i="11"/>
  <c r="T176" i="11" s="1"/>
  <c r="U176" i="11" s="1"/>
  <c r="S177" i="11"/>
  <c r="T177" i="11"/>
  <c r="U177" i="11" s="1"/>
  <c r="S178" i="11"/>
  <c r="T178" i="11" s="1"/>
  <c r="U178" i="11"/>
  <c r="S179" i="11"/>
  <c r="T179" i="11" s="1"/>
  <c r="U179" i="11" s="1"/>
  <c r="S107" i="11"/>
  <c r="T107" i="11" s="1"/>
  <c r="U107" i="11" s="1"/>
  <c r="S51" i="11"/>
  <c r="T51" i="11" s="1"/>
  <c r="U51" i="11" s="1"/>
  <c r="S52" i="11"/>
  <c r="T52" i="11" s="1"/>
  <c r="U52" i="11" s="1"/>
  <c r="S53" i="11"/>
  <c r="T53" i="11"/>
  <c r="U53" i="11" s="1"/>
  <c r="S55" i="11"/>
  <c r="T55" i="11" s="1"/>
  <c r="U55" i="11" s="1"/>
  <c r="S56" i="11"/>
  <c r="T56" i="11" s="1"/>
  <c r="U56" i="11" s="1"/>
  <c r="S58" i="11"/>
  <c r="T58" i="11" s="1"/>
  <c r="U58" i="11" s="1"/>
  <c r="S60" i="11"/>
  <c r="T60" i="11" s="1"/>
  <c r="U60" i="11" s="1"/>
  <c r="S61" i="11"/>
  <c r="T61" i="11" s="1"/>
  <c r="U61" i="11"/>
  <c r="S62" i="11"/>
  <c r="T62" i="11"/>
  <c r="U62" i="11" s="1"/>
  <c r="S63" i="11"/>
  <c r="T63" i="11"/>
  <c r="U63" i="11" s="1"/>
  <c r="S64" i="11"/>
  <c r="T64" i="11"/>
  <c r="U64" i="11" s="1"/>
  <c r="S65" i="11"/>
  <c r="T65" i="11" s="1"/>
  <c r="U65" i="11" s="1"/>
  <c r="S66" i="11"/>
  <c r="T66" i="11" s="1"/>
  <c r="U66" i="11" s="1"/>
  <c r="S67" i="11"/>
  <c r="T67" i="11" s="1"/>
  <c r="U67" i="11" s="1"/>
  <c r="S70" i="11"/>
  <c r="T70" i="11" s="1"/>
  <c r="U70" i="11" s="1"/>
  <c r="S71" i="11"/>
  <c r="T71" i="11" s="1"/>
  <c r="U71" i="11" s="1"/>
  <c r="S72" i="11"/>
  <c r="T72" i="11" s="1"/>
  <c r="U72" i="11" s="1"/>
  <c r="S73" i="11"/>
  <c r="T73" i="11" s="1"/>
  <c r="U73" i="11" s="1"/>
  <c r="S74" i="11"/>
  <c r="T74" i="11" s="1"/>
  <c r="U74" i="11" s="1"/>
  <c r="S75" i="11"/>
  <c r="T75" i="11" s="1"/>
  <c r="U75" i="11" s="1"/>
  <c r="S76" i="11"/>
  <c r="T76" i="11" s="1"/>
  <c r="U76" i="11" s="1"/>
  <c r="S77" i="11"/>
  <c r="T77" i="11" s="1"/>
  <c r="U77" i="11" s="1"/>
  <c r="S79" i="11"/>
  <c r="T79" i="11" s="1"/>
  <c r="U79" i="11" s="1"/>
  <c r="S80" i="11"/>
  <c r="T80" i="11" s="1"/>
  <c r="U80" i="11" s="1"/>
  <c r="S81" i="11"/>
  <c r="T81" i="11" s="1"/>
  <c r="U81" i="11" s="1"/>
  <c r="S82" i="11"/>
  <c r="T82" i="11" s="1"/>
  <c r="U82" i="11" s="1"/>
  <c r="S83" i="11"/>
  <c r="T83" i="11" s="1"/>
  <c r="U83" i="11" s="1"/>
  <c r="S84" i="11"/>
  <c r="T84" i="11" s="1"/>
  <c r="U84" i="11" s="1"/>
  <c r="S85" i="11"/>
  <c r="T85" i="11" s="1"/>
  <c r="U85" i="11" s="1"/>
  <c r="S86" i="11"/>
  <c r="T86" i="11" s="1"/>
  <c r="U86" i="11" s="1"/>
  <c r="S87" i="11"/>
  <c r="T87" i="11" s="1"/>
  <c r="U87" i="11" s="1"/>
  <c r="S88" i="11"/>
  <c r="T88" i="11" s="1"/>
  <c r="U88" i="11" s="1"/>
  <c r="S89" i="11"/>
  <c r="T89" i="11" s="1"/>
  <c r="U89" i="11" s="1"/>
  <c r="S90" i="11"/>
  <c r="T90" i="11" s="1"/>
  <c r="U90" i="11" s="1"/>
  <c r="S91" i="11"/>
  <c r="T91" i="11" s="1"/>
  <c r="U91" i="11" s="1"/>
  <c r="S92" i="11"/>
  <c r="T92" i="11" s="1"/>
  <c r="U92" i="11" s="1"/>
  <c r="S93" i="11"/>
  <c r="T93" i="11" s="1"/>
  <c r="U93" i="11" s="1"/>
  <c r="S94" i="11"/>
  <c r="T94" i="11" s="1"/>
  <c r="U94" i="11" s="1"/>
  <c r="S95" i="11"/>
  <c r="T95" i="11" s="1"/>
  <c r="U95" i="11" s="1"/>
  <c r="S96" i="11"/>
  <c r="T96" i="11" s="1"/>
  <c r="U96" i="11" s="1"/>
  <c r="S97" i="11"/>
  <c r="T97" i="11" s="1"/>
  <c r="U97" i="11" s="1"/>
  <c r="S98" i="11"/>
  <c r="T98" i="11" s="1"/>
  <c r="U98" i="11" s="1"/>
  <c r="S99" i="11"/>
  <c r="T99" i="11" s="1"/>
  <c r="U99" i="11" s="1"/>
  <c r="S100" i="11"/>
  <c r="T100" i="11" s="1"/>
  <c r="U100" i="11" s="1"/>
  <c r="S101" i="11"/>
  <c r="T101" i="11" s="1"/>
  <c r="U101" i="11" s="1"/>
  <c r="S102" i="11"/>
  <c r="T102" i="11" s="1"/>
  <c r="U102" i="11" s="1"/>
  <c r="S103" i="11"/>
  <c r="T103" i="11" s="1"/>
  <c r="U103" i="11" s="1"/>
  <c r="S104" i="11"/>
  <c r="T104" i="11" s="1"/>
  <c r="U104" i="11" s="1"/>
  <c r="S50" i="11"/>
  <c r="T50" i="11" s="1"/>
  <c r="U50" i="11" s="1"/>
  <c r="S47" i="11"/>
  <c r="T47" i="11" s="1"/>
  <c r="U47" i="11" s="1"/>
  <c r="S30" i="11"/>
  <c r="T30" i="11" s="1"/>
  <c r="U30" i="11" s="1"/>
  <c r="S31" i="11"/>
  <c r="T31" i="11" s="1"/>
  <c r="U31" i="11" s="1"/>
  <c r="S32" i="11"/>
  <c r="T32" i="11" s="1"/>
  <c r="U32" i="11" s="1"/>
  <c r="S33" i="11"/>
  <c r="T33" i="11" s="1"/>
  <c r="U33" i="11" s="1"/>
  <c r="S34" i="11"/>
  <c r="T34" i="11" s="1"/>
  <c r="U34" i="11" s="1"/>
  <c r="S35" i="11"/>
  <c r="T35" i="11" s="1"/>
  <c r="U35" i="11" s="1"/>
  <c r="S36" i="11"/>
  <c r="T36" i="11" s="1"/>
  <c r="U36" i="11" s="1"/>
  <c r="S37" i="11"/>
  <c r="T37" i="11" s="1"/>
  <c r="U37" i="11" s="1"/>
  <c r="S38" i="11"/>
  <c r="T38" i="11" s="1"/>
  <c r="U38" i="11" s="1"/>
  <c r="S39" i="11"/>
  <c r="T39" i="11" s="1"/>
  <c r="U39" i="11" s="1"/>
  <c r="S40" i="11"/>
  <c r="T40" i="11" s="1"/>
  <c r="U40" i="11" s="1"/>
  <c r="S41" i="11"/>
  <c r="T41" i="11" s="1"/>
  <c r="U41" i="11" s="1"/>
  <c r="S42" i="11"/>
  <c r="T42" i="11" s="1"/>
  <c r="U42" i="11" s="1"/>
  <c r="S43" i="11"/>
  <c r="T43" i="11" s="1"/>
  <c r="U43" i="11" s="1"/>
  <c r="S44" i="11"/>
  <c r="T44" i="11" s="1"/>
  <c r="U44" i="11" s="1"/>
  <c r="S45" i="11"/>
  <c r="T45" i="11" s="1"/>
  <c r="U45" i="11" s="1"/>
  <c r="S46" i="11"/>
  <c r="T46" i="11" s="1"/>
  <c r="U46" i="11" s="1"/>
  <c r="S29" i="11"/>
  <c r="T29" i="11" s="1"/>
  <c r="U29" i="11" s="1"/>
  <c r="S9" i="11"/>
  <c r="T9" i="11" s="1"/>
  <c r="U9" i="11" s="1"/>
  <c r="S10" i="11"/>
  <c r="T10" i="11" s="1"/>
  <c r="U10" i="11" s="1"/>
  <c r="S11" i="11"/>
  <c r="T11" i="11" s="1"/>
  <c r="U11" i="11" s="1"/>
  <c r="S15" i="11"/>
  <c r="T15" i="11" s="1"/>
  <c r="U15" i="11" s="1"/>
  <c r="S16" i="11"/>
  <c r="T16" i="11" s="1"/>
  <c r="U16" i="11" s="1"/>
  <c r="S17" i="11"/>
  <c r="T17" i="11" s="1"/>
  <c r="U17" i="11" s="1"/>
  <c r="S19" i="11"/>
  <c r="T19" i="11" s="1"/>
  <c r="U19" i="11" s="1"/>
  <c r="S21" i="11"/>
  <c r="T21" i="11" s="1"/>
  <c r="U21" i="11" s="1"/>
  <c r="S22" i="11"/>
  <c r="T22" i="11" s="1"/>
  <c r="U22" i="11" s="1"/>
  <c r="S23" i="11"/>
  <c r="T23" i="11" s="1"/>
  <c r="U23" i="11" s="1"/>
  <c r="S24" i="11"/>
  <c r="T24" i="11" s="1"/>
  <c r="U24" i="11" s="1"/>
  <c r="S26" i="11"/>
  <c r="T26" i="11" s="1"/>
  <c r="U26" i="11" s="1"/>
  <c r="S27" i="11"/>
  <c r="T27" i="11" s="1"/>
  <c r="U27" i="11" s="1"/>
  <c r="S28" i="11"/>
  <c r="T28" i="11" s="1"/>
  <c r="U28" i="11" s="1"/>
  <c r="S8" i="11"/>
  <c r="T8" i="11" s="1"/>
  <c r="U8" i="11" s="1"/>
  <c r="L614" i="11"/>
  <c r="L615" i="11"/>
  <c r="N615" i="11" s="1"/>
  <c r="O615" i="11" s="1"/>
  <c r="L616" i="11"/>
  <c r="L617" i="11"/>
  <c r="L618" i="11"/>
  <c r="N618" i="11" s="1"/>
  <c r="O618" i="11" s="1"/>
  <c r="L619" i="11"/>
  <c r="N619" i="11" s="1"/>
  <c r="O619" i="11" s="1"/>
  <c r="L620" i="11"/>
  <c r="L621" i="11"/>
  <c r="N621" i="11" s="1"/>
  <c r="O621" i="11" s="1"/>
  <c r="L622" i="11"/>
  <c r="N622" i="11" s="1"/>
  <c r="O622" i="11" s="1"/>
  <c r="L623" i="11"/>
  <c r="L624" i="11"/>
  <c r="N624" i="11" s="1"/>
  <c r="O624" i="11" s="1"/>
  <c r="L625" i="11"/>
  <c r="L626" i="11"/>
  <c r="N626" i="11" s="1"/>
  <c r="O626" i="11" s="1"/>
  <c r="L627" i="11"/>
  <c r="L628" i="11"/>
  <c r="L629" i="11"/>
  <c r="L630" i="11"/>
  <c r="L632" i="11"/>
  <c r="L613" i="11"/>
  <c r="L611" i="11"/>
  <c r="L612" i="11"/>
  <c r="L610" i="11"/>
  <c r="L609" i="11"/>
  <c r="L608" i="11"/>
  <c r="L607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564" i="11"/>
  <c r="L563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22" i="11"/>
  <c r="L519" i="11"/>
  <c r="L520" i="11"/>
  <c r="L521" i="11"/>
  <c r="L518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477" i="11"/>
  <c r="L476" i="11"/>
  <c r="L433" i="11"/>
  <c r="L434" i="11"/>
  <c r="L466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7" i="11"/>
  <c r="L468" i="11"/>
  <c r="L469" i="11"/>
  <c r="L470" i="11"/>
  <c r="L471" i="11"/>
  <c r="L472" i="11"/>
  <c r="L473" i="11"/>
  <c r="L435" i="11"/>
  <c r="L432" i="11"/>
  <c r="L431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390" i="11"/>
  <c r="L389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48" i="11"/>
  <c r="L345" i="11"/>
  <c r="L346" i="11"/>
  <c r="L347" i="11"/>
  <c r="L344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03" i="11"/>
  <c r="L302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26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41" i="11"/>
  <c r="L236" i="11"/>
  <c r="L237" i="11"/>
  <c r="L238" i="11"/>
  <c r="L239" i="11"/>
  <c r="L240" i="11"/>
  <c r="L235" i="11"/>
  <c r="L234" i="11"/>
  <c r="L232" i="11"/>
  <c r="L233" i="11"/>
  <c r="L231" i="11"/>
  <c r="L229" i="11"/>
  <c r="L230" i="11"/>
  <c r="L228" i="11"/>
  <c r="L227" i="11"/>
  <c r="L226" i="11"/>
  <c r="L225" i="11"/>
  <c r="L217" i="11"/>
  <c r="L218" i="11"/>
  <c r="L219" i="11"/>
  <c r="L220" i="11"/>
  <c r="L221" i="11"/>
  <c r="L222" i="11"/>
  <c r="L223" i="11"/>
  <c r="L224" i="11"/>
  <c r="L216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197" i="11"/>
  <c r="L192" i="11"/>
  <c r="L193" i="11"/>
  <c r="L194" i="11"/>
  <c r="L195" i="11"/>
  <c r="L196" i="11"/>
  <c r="L191" i="11"/>
  <c r="L190" i="11"/>
  <c r="L183" i="11"/>
  <c r="L184" i="11"/>
  <c r="L185" i="11"/>
  <c r="L186" i="11"/>
  <c r="L187" i="11"/>
  <c r="L188" i="11"/>
  <c r="L189" i="11"/>
  <c r="L182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30" i="11"/>
  <c r="L108" i="11"/>
  <c r="L109" i="11"/>
  <c r="L110" i="11"/>
  <c r="L112" i="11"/>
  <c r="L113" i="11"/>
  <c r="L114" i="11"/>
  <c r="L115" i="11"/>
  <c r="L116" i="11"/>
  <c r="L117" i="11"/>
  <c r="L118" i="11"/>
  <c r="L119" i="11"/>
  <c r="L120" i="11"/>
  <c r="L121" i="11"/>
  <c r="L123" i="11"/>
  <c r="L124" i="11"/>
  <c r="L125" i="11"/>
  <c r="L126" i="11"/>
  <c r="L127" i="11"/>
  <c r="L128" i="11"/>
  <c r="L129" i="11"/>
  <c r="L10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82" i="11"/>
  <c r="L51" i="11"/>
  <c r="L52" i="11"/>
  <c r="L53" i="11"/>
  <c r="L55" i="11"/>
  <c r="L56" i="11"/>
  <c r="L58" i="11"/>
  <c r="L60" i="11"/>
  <c r="L61" i="11"/>
  <c r="L62" i="11"/>
  <c r="L63" i="11"/>
  <c r="L64" i="11"/>
  <c r="L65" i="11"/>
  <c r="L66" i="11"/>
  <c r="L67" i="11"/>
  <c r="L70" i="11"/>
  <c r="L71" i="11"/>
  <c r="L72" i="11"/>
  <c r="L73" i="11"/>
  <c r="L74" i="11"/>
  <c r="L75" i="11"/>
  <c r="L76" i="11"/>
  <c r="L77" i="11"/>
  <c r="L79" i="11"/>
  <c r="L80" i="11"/>
  <c r="L81" i="11"/>
  <c r="L50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29" i="11"/>
  <c r="L9" i="11"/>
  <c r="L10" i="11"/>
  <c r="L11" i="11"/>
  <c r="L15" i="11"/>
  <c r="L16" i="11"/>
  <c r="L17" i="11"/>
  <c r="L19" i="11"/>
  <c r="L21" i="11"/>
  <c r="L22" i="11"/>
  <c r="L23" i="11"/>
  <c r="L24" i="11"/>
  <c r="L26" i="11"/>
  <c r="L27" i="11"/>
  <c r="L28" i="11"/>
  <c r="L8" i="11"/>
  <c r="M608" i="11"/>
  <c r="M564" i="11"/>
  <c r="N599" i="11" s="1"/>
  <c r="O599" i="11" s="1"/>
  <c r="M522" i="11"/>
  <c r="M477" i="11"/>
  <c r="M435" i="11"/>
  <c r="N444" i="11" s="1"/>
  <c r="O444" i="11"/>
  <c r="M390" i="11"/>
  <c r="M610" i="11"/>
  <c r="M607" i="11"/>
  <c r="N607" i="11" s="1"/>
  <c r="O607" i="11" s="1"/>
  <c r="M563" i="11"/>
  <c r="N563" i="11" s="1"/>
  <c r="O563" i="11" s="1"/>
  <c r="M518" i="11"/>
  <c r="M476" i="11"/>
  <c r="M431" i="11"/>
  <c r="M389" i="11"/>
  <c r="N389" i="11" s="1"/>
  <c r="O389" i="11" s="1"/>
  <c r="M302" i="11"/>
  <c r="N302" i="11"/>
  <c r="O302" i="11" s="1"/>
  <c r="M241" i="11"/>
  <c r="M234" i="11"/>
  <c r="M235" i="11"/>
  <c r="M231" i="11"/>
  <c r="N233" i="11" s="1"/>
  <c r="O233" i="11" s="1"/>
  <c r="M228" i="11"/>
  <c r="M226" i="11"/>
  <c r="M225" i="11"/>
  <c r="M197" i="11"/>
  <c r="N199" i="11" s="1"/>
  <c r="O199" i="11" s="1"/>
  <c r="M216" i="11"/>
  <c r="N218" i="11" s="1"/>
  <c r="O218" i="11" s="1"/>
  <c r="M191" i="11"/>
  <c r="M190" i="11"/>
  <c r="M182" i="11"/>
  <c r="N186" i="11" s="1"/>
  <c r="O186" i="11" s="1"/>
  <c r="M130" i="11"/>
  <c r="M107" i="11"/>
  <c r="N117" i="11" s="1"/>
  <c r="O117" i="11" s="1"/>
  <c r="M82" i="11"/>
  <c r="N157" i="11"/>
  <c r="O157" i="11" s="1"/>
  <c r="N177" i="11"/>
  <c r="O177" i="11" s="1"/>
  <c r="N436" i="11"/>
  <c r="O436" i="11" s="1"/>
  <c r="N452" i="11"/>
  <c r="O452" i="11" s="1"/>
  <c r="N460" i="11"/>
  <c r="O460" i="11" s="1"/>
  <c r="N88" i="11"/>
  <c r="O88" i="11" s="1"/>
  <c r="N96" i="11"/>
  <c r="O96" i="11" s="1"/>
  <c r="H434" i="11"/>
  <c r="H433" i="11"/>
  <c r="H432" i="11"/>
  <c r="N137" i="11"/>
  <c r="O137" i="11" s="1"/>
  <c r="N153" i="11"/>
  <c r="O153" i="11" s="1"/>
  <c r="N169" i="11"/>
  <c r="O169" i="11" s="1"/>
  <c r="N102" i="11"/>
  <c r="O102" i="11" s="1"/>
  <c r="N92" i="11"/>
  <c r="O92" i="11" s="1"/>
  <c r="N173" i="11"/>
  <c r="O173" i="11" s="1"/>
  <c r="N149" i="11"/>
  <c r="O149" i="11" s="1"/>
  <c r="N576" i="11"/>
  <c r="O576" i="11" s="1"/>
  <c r="N565" i="11"/>
  <c r="O565" i="11" s="1"/>
  <c r="N601" i="11"/>
  <c r="O601" i="11" s="1"/>
  <c r="N594" i="11"/>
  <c r="O594" i="11" s="1"/>
  <c r="N86" i="11"/>
  <c r="O86" i="11" s="1"/>
  <c r="N90" i="11"/>
  <c r="O90" i="11" s="1"/>
  <c r="N94" i="11"/>
  <c r="O94" i="11" s="1"/>
  <c r="N98" i="11"/>
  <c r="O98" i="11" s="1"/>
  <c r="N165" i="11"/>
  <c r="O165" i="11" s="1"/>
  <c r="N145" i="11"/>
  <c r="O145" i="11" s="1"/>
  <c r="N235" i="11"/>
  <c r="O235" i="11" s="1"/>
  <c r="N237" i="11"/>
  <c r="O237" i="11" s="1"/>
  <c r="N104" i="11"/>
  <c r="O104" i="11" s="1"/>
  <c r="N100" i="11"/>
  <c r="O100" i="11" s="1"/>
  <c r="N84" i="11"/>
  <c r="O84" i="11" s="1"/>
  <c r="N161" i="11"/>
  <c r="O161" i="11" s="1"/>
  <c r="N141" i="11"/>
  <c r="O141" i="11" s="1"/>
  <c r="N133" i="11"/>
  <c r="O133" i="11" s="1"/>
  <c r="N556" i="11"/>
  <c r="O556" i="11" s="1"/>
  <c r="N552" i="11"/>
  <c r="O552" i="11" s="1"/>
  <c r="N548" i="11"/>
  <c r="O548" i="11" s="1"/>
  <c r="N540" i="11"/>
  <c r="O540" i="11" s="1"/>
  <c r="N536" i="11"/>
  <c r="O536" i="11" s="1"/>
  <c r="N532" i="11"/>
  <c r="O532" i="11" s="1"/>
  <c r="N524" i="11"/>
  <c r="O524" i="11" s="1"/>
  <c r="N609" i="11"/>
  <c r="O609" i="11" s="1"/>
  <c r="N230" i="11"/>
  <c r="O230" i="11" s="1"/>
  <c r="N547" i="11"/>
  <c r="O547" i="11" s="1"/>
  <c r="N535" i="11"/>
  <c r="O535" i="11" s="1"/>
  <c r="N558" i="11"/>
  <c r="O558" i="11" s="1"/>
  <c r="N554" i="11"/>
  <c r="O554" i="11" s="1"/>
  <c r="N550" i="11"/>
  <c r="O550" i="11" s="1"/>
  <c r="N546" i="11"/>
  <c r="O546" i="11" s="1"/>
  <c r="N542" i="11"/>
  <c r="O542" i="11" s="1"/>
  <c r="N538" i="11"/>
  <c r="O538" i="11" s="1"/>
  <c r="N534" i="11"/>
  <c r="O534" i="11" s="1"/>
  <c r="N530" i="11"/>
  <c r="O530" i="11" s="1"/>
  <c r="N526" i="11"/>
  <c r="O526" i="11" s="1"/>
  <c r="N222" i="11"/>
  <c r="O222" i="11" s="1"/>
  <c r="N545" i="11"/>
  <c r="O545" i="11" s="1"/>
  <c r="N234" i="11"/>
  <c r="O234" i="11" s="1"/>
  <c r="N225" i="11"/>
  <c r="O225" i="11" s="1"/>
  <c r="N476" i="11"/>
  <c r="O476" i="11" s="1"/>
  <c r="N207" i="11"/>
  <c r="O207" i="11" s="1"/>
  <c r="N391" i="11"/>
  <c r="O391" i="11" s="1"/>
  <c r="N393" i="11"/>
  <c r="O393" i="11" s="1"/>
  <c r="N395" i="11"/>
  <c r="O395" i="11" s="1"/>
  <c r="N399" i="11"/>
  <c r="O399" i="11" s="1"/>
  <c r="N401" i="11"/>
  <c r="O401" i="11" s="1"/>
  <c r="N403" i="11"/>
  <c r="O403" i="11" s="1"/>
  <c r="N407" i="11"/>
  <c r="O407" i="11" s="1"/>
  <c r="N409" i="11"/>
  <c r="O409" i="11" s="1"/>
  <c r="N411" i="11"/>
  <c r="O411" i="11" s="1"/>
  <c r="N421" i="11"/>
  <c r="O421" i="11" s="1"/>
  <c r="N390" i="11"/>
  <c r="O390" i="11" s="1"/>
  <c r="N406" i="11"/>
  <c r="O406" i="11" s="1"/>
  <c r="N418" i="11"/>
  <c r="O418" i="11" s="1"/>
  <c r="N426" i="11"/>
  <c r="O426" i="11" s="1"/>
  <c r="N479" i="11"/>
  <c r="O479" i="11" s="1"/>
  <c r="N487" i="11"/>
  <c r="O487" i="11" s="1"/>
  <c r="N495" i="11"/>
  <c r="O495" i="11" s="1"/>
  <c r="N499" i="11"/>
  <c r="O499" i="11" s="1"/>
  <c r="N507" i="11"/>
  <c r="O507" i="11" s="1"/>
  <c r="N515" i="11"/>
  <c r="O515" i="11" s="1"/>
  <c r="N486" i="11"/>
  <c r="O486" i="11" s="1"/>
  <c r="N514" i="11"/>
  <c r="O514" i="11" s="1"/>
  <c r="N191" i="11"/>
  <c r="O191" i="11" s="1"/>
  <c r="N202" i="11"/>
  <c r="O202" i="11" s="1"/>
  <c r="N231" i="11"/>
  <c r="O231" i="11" s="1"/>
  <c r="N428" i="11"/>
  <c r="O428" i="11" s="1"/>
  <c r="N420" i="11"/>
  <c r="O420" i="11" s="1"/>
  <c r="N404" i="11"/>
  <c r="O404" i="11" s="1"/>
  <c r="N496" i="11"/>
  <c r="O496" i="11" s="1"/>
  <c r="N136" i="11"/>
  <c r="O136" i="11" s="1"/>
  <c r="N142" i="11"/>
  <c r="O142" i="11" s="1"/>
  <c r="N146" i="11"/>
  <c r="O146" i="11" s="1"/>
  <c r="N152" i="11"/>
  <c r="O152" i="11" s="1"/>
  <c r="N154" i="11"/>
  <c r="O154" i="11" s="1"/>
  <c r="N160" i="11"/>
  <c r="O160" i="11" s="1"/>
  <c r="N162" i="11"/>
  <c r="O162" i="11" s="1"/>
  <c r="N166" i="11"/>
  <c r="O166" i="11" s="1"/>
  <c r="N174" i="11"/>
  <c r="O174" i="11" s="1"/>
  <c r="N190" i="11"/>
  <c r="O190" i="11" s="1"/>
  <c r="N219" i="11"/>
  <c r="O219" i="11" s="1"/>
  <c r="N216" i="11"/>
  <c r="O216" i="11" s="1"/>
  <c r="N236" i="11"/>
  <c r="O236" i="11" s="1"/>
  <c r="N238" i="11"/>
  <c r="O238" i="11" s="1"/>
  <c r="N240" i="11"/>
  <c r="O240" i="11" s="1"/>
  <c r="N432" i="11"/>
  <c r="O432" i="11" s="1"/>
  <c r="N443" i="11"/>
  <c r="O443" i="11" s="1"/>
  <c r="N449" i="11"/>
  <c r="O449" i="11" s="1"/>
  <c r="N451" i="11"/>
  <c r="O451" i="11" s="1"/>
  <c r="N453" i="11"/>
  <c r="O453" i="11" s="1"/>
  <c r="N459" i="11"/>
  <c r="O459" i="11" s="1"/>
  <c r="N461" i="11"/>
  <c r="O461" i="11" s="1"/>
  <c r="N465" i="11"/>
  <c r="O465" i="11" s="1"/>
  <c r="N469" i="11"/>
  <c r="O469" i="11" s="1"/>
  <c r="N471" i="11"/>
  <c r="O471" i="11" s="1"/>
  <c r="N473" i="11"/>
  <c r="O473" i="11" s="1"/>
  <c r="N438" i="11"/>
  <c r="O438" i="11" s="1"/>
  <c r="N442" i="11"/>
  <c r="O442" i="11" s="1"/>
  <c r="N446" i="11"/>
  <c r="O446" i="11" s="1"/>
  <c r="N450" i="11"/>
  <c r="O450" i="11" s="1"/>
  <c r="N454" i="11"/>
  <c r="O454" i="11" s="1"/>
  <c r="N458" i="11"/>
  <c r="O458" i="11" s="1"/>
  <c r="N462" i="11"/>
  <c r="O462" i="11" s="1"/>
  <c r="N466" i="11"/>
  <c r="O466" i="11" s="1"/>
  <c r="N470" i="11"/>
  <c r="O470" i="11" s="1"/>
  <c r="N435" i="11"/>
  <c r="O435" i="11" s="1"/>
  <c r="N126" i="11"/>
  <c r="O126" i="11" s="1"/>
  <c r="N179" i="11"/>
  <c r="O179" i="11" s="1"/>
  <c r="N171" i="11"/>
  <c r="O171" i="11" s="1"/>
  <c r="N163" i="11"/>
  <c r="O163" i="11" s="1"/>
  <c r="N155" i="11"/>
  <c r="O155" i="11" s="1"/>
  <c r="N147" i="11"/>
  <c r="O147" i="11" s="1"/>
  <c r="N139" i="11"/>
  <c r="O139" i="11" s="1"/>
  <c r="N131" i="11"/>
  <c r="O131" i="11" s="1"/>
  <c r="N183" i="11"/>
  <c r="O183" i="11" s="1"/>
  <c r="N197" i="11"/>
  <c r="O197" i="11" s="1"/>
  <c r="N208" i="11"/>
  <c r="O208" i="11" s="1"/>
  <c r="N200" i="11"/>
  <c r="O200" i="11" s="1"/>
  <c r="N220" i="11"/>
  <c r="O220" i="11" s="1"/>
  <c r="N239" i="11"/>
  <c r="O239" i="11" s="1"/>
  <c r="N424" i="11"/>
  <c r="O424" i="11" s="1"/>
  <c r="N416" i="11"/>
  <c r="O416" i="11" s="1"/>
  <c r="N408" i="11"/>
  <c r="O408" i="11" s="1"/>
  <c r="N400" i="11"/>
  <c r="O400" i="11" s="1"/>
  <c r="N392" i="11"/>
  <c r="O392" i="11" s="1"/>
  <c r="N464" i="11"/>
  <c r="O464" i="11" s="1"/>
  <c r="N456" i="11"/>
  <c r="O456" i="11" s="1"/>
  <c r="N448" i="11"/>
  <c r="O448" i="11" s="1"/>
  <c r="N440" i="11"/>
  <c r="O440" i="11" s="1"/>
  <c r="N516" i="11"/>
  <c r="O516" i="11" s="1"/>
  <c r="N508" i="11"/>
  <c r="O508" i="11" s="1"/>
  <c r="N500" i="11"/>
  <c r="O500" i="11" s="1"/>
  <c r="N492" i="11"/>
  <c r="O492" i="11" s="1"/>
  <c r="N484" i="11"/>
  <c r="O484" i="11" s="1"/>
  <c r="G614" i="11"/>
  <c r="I614" i="11" s="1"/>
  <c r="G615" i="11"/>
  <c r="I615" i="11" s="1"/>
  <c r="G616" i="11"/>
  <c r="I616" i="11" s="1"/>
  <c r="G617" i="11"/>
  <c r="I617" i="11" s="1"/>
  <c r="G618" i="11"/>
  <c r="I618" i="11" s="1"/>
  <c r="G619" i="11"/>
  <c r="I619" i="11" s="1"/>
  <c r="G620" i="11"/>
  <c r="I620" i="11" s="1"/>
  <c r="G621" i="11"/>
  <c r="I621" i="11" s="1"/>
  <c r="G622" i="11"/>
  <c r="I622" i="11" s="1"/>
  <c r="G623" i="11"/>
  <c r="I623" i="11" s="1"/>
  <c r="G624" i="11"/>
  <c r="I624" i="11" s="1"/>
  <c r="G625" i="11"/>
  <c r="I625" i="11" s="1"/>
  <c r="G626" i="11"/>
  <c r="I626" i="11" s="1"/>
  <c r="G627" i="11"/>
  <c r="I627" i="11" s="1"/>
  <c r="G628" i="11"/>
  <c r="I628" i="11" s="1"/>
  <c r="G629" i="11"/>
  <c r="I629" i="11" s="1"/>
  <c r="G630" i="11"/>
  <c r="I630" i="11" s="1"/>
  <c r="G631" i="11"/>
  <c r="I631" i="11" s="1"/>
  <c r="G632" i="11"/>
  <c r="I632" i="11" s="1"/>
  <c r="G633" i="11"/>
  <c r="I633" i="11" s="1"/>
  <c r="G613" i="11"/>
  <c r="I613" i="11" s="1"/>
  <c r="G612" i="11"/>
  <c r="G611" i="11"/>
  <c r="G610" i="11"/>
  <c r="I610" i="11" s="1"/>
  <c r="G609" i="11"/>
  <c r="I609" i="11" s="1"/>
  <c r="G608" i="11"/>
  <c r="I608" i="11" s="1"/>
  <c r="G607" i="11"/>
  <c r="I607" i="11" s="1"/>
  <c r="G565" i="11"/>
  <c r="I565" i="11" s="1"/>
  <c r="G566" i="11"/>
  <c r="I566" i="11" s="1"/>
  <c r="G567" i="11"/>
  <c r="I567" i="11" s="1"/>
  <c r="G568" i="11"/>
  <c r="I568" i="11" s="1"/>
  <c r="G569" i="11"/>
  <c r="I569" i="11" s="1"/>
  <c r="G570" i="11"/>
  <c r="I570" i="11" s="1"/>
  <c r="G571" i="11"/>
  <c r="I571" i="11" s="1"/>
  <c r="G572" i="11"/>
  <c r="I572" i="11" s="1"/>
  <c r="G573" i="11"/>
  <c r="I573" i="11" s="1"/>
  <c r="G574" i="11"/>
  <c r="I574" i="11" s="1"/>
  <c r="G575" i="11"/>
  <c r="I575" i="11" s="1"/>
  <c r="G576" i="11"/>
  <c r="I576" i="11" s="1"/>
  <c r="G577" i="11"/>
  <c r="I577" i="11" s="1"/>
  <c r="G578" i="11"/>
  <c r="I578" i="11" s="1"/>
  <c r="G579" i="11"/>
  <c r="I579" i="11" s="1"/>
  <c r="G580" i="11"/>
  <c r="I580" i="11" s="1"/>
  <c r="G581" i="11"/>
  <c r="I581" i="11" s="1"/>
  <c r="G582" i="11"/>
  <c r="I582" i="11" s="1"/>
  <c r="G583" i="11"/>
  <c r="I583" i="11" s="1"/>
  <c r="G584" i="11"/>
  <c r="I584" i="11" s="1"/>
  <c r="G585" i="11"/>
  <c r="I585" i="11" s="1"/>
  <c r="G586" i="11"/>
  <c r="I586" i="11" s="1"/>
  <c r="G587" i="11"/>
  <c r="I587" i="11" s="1"/>
  <c r="G588" i="11"/>
  <c r="I588" i="11" s="1"/>
  <c r="G589" i="11"/>
  <c r="I589" i="11" s="1"/>
  <c r="G590" i="11"/>
  <c r="I590" i="11" s="1"/>
  <c r="G591" i="11"/>
  <c r="I591" i="11" s="1"/>
  <c r="G592" i="11"/>
  <c r="G593" i="11"/>
  <c r="I593" i="11" s="1"/>
  <c r="G594" i="11"/>
  <c r="I594" i="11" s="1"/>
  <c r="G595" i="11"/>
  <c r="I595" i="11" s="1"/>
  <c r="G596" i="11"/>
  <c r="I596" i="11" s="1"/>
  <c r="G597" i="11"/>
  <c r="I597" i="11" s="1"/>
  <c r="G598" i="11"/>
  <c r="I598" i="11" s="1"/>
  <c r="G599" i="11"/>
  <c r="I599" i="11" s="1"/>
  <c r="G600" i="11"/>
  <c r="I600" i="11" s="1"/>
  <c r="G601" i="11"/>
  <c r="I601" i="11" s="1"/>
  <c r="G602" i="11"/>
  <c r="I602" i="11" s="1"/>
  <c r="G603" i="11"/>
  <c r="I603" i="11" s="1"/>
  <c r="G604" i="11"/>
  <c r="I604" i="11" s="1"/>
  <c r="G605" i="11"/>
  <c r="I605" i="11" s="1"/>
  <c r="G606" i="11"/>
  <c r="I606" i="11" s="1"/>
  <c r="G564" i="11"/>
  <c r="I564" i="11" s="1"/>
  <c r="G523" i="11"/>
  <c r="H523" i="11" s="1"/>
  <c r="I523" i="11" s="1"/>
  <c r="G524" i="11"/>
  <c r="H524" i="11" s="1"/>
  <c r="I524" i="11" s="1"/>
  <c r="G525" i="11"/>
  <c r="H525" i="11" s="1"/>
  <c r="I525" i="11" s="1"/>
  <c r="G526" i="11"/>
  <c r="H526" i="11" s="1"/>
  <c r="G527" i="11"/>
  <c r="H527" i="11" s="1"/>
  <c r="G528" i="11"/>
  <c r="H528" i="11" s="1"/>
  <c r="I528" i="11" s="1"/>
  <c r="G529" i="11"/>
  <c r="G530" i="11"/>
  <c r="H530" i="11" s="1"/>
  <c r="I530" i="11" s="1"/>
  <c r="G531" i="11"/>
  <c r="H531" i="11" s="1"/>
  <c r="I531" i="11" s="1"/>
  <c r="G532" i="11"/>
  <c r="H532" i="11" s="1"/>
  <c r="G533" i="11"/>
  <c r="H533" i="11" s="1"/>
  <c r="I533" i="11" s="1"/>
  <c r="G534" i="11"/>
  <c r="G535" i="11"/>
  <c r="G536" i="11"/>
  <c r="G537" i="11"/>
  <c r="H537" i="11" s="1"/>
  <c r="I537" i="11" s="1"/>
  <c r="G538" i="11"/>
  <c r="H538" i="11" s="1"/>
  <c r="G539" i="11"/>
  <c r="G540" i="11"/>
  <c r="H540" i="11" s="1"/>
  <c r="I540" i="11" s="1"/>
  <c r="G541" i="11"/>
  <c r="H541" i="11" s="1"/>
  <c r="G542" i="11"/>
  <c r="I542" i="11" s="1"/>
  <c r="G543" i="11"/>
  <c r="I543" i="11" s="1"/>
  <c r="G544" i="11"/>
  <c r="I544" i="11" s="1"/>
  <c r="G545" i="11"/>
  <c r="I545" i="11" s="1"/>
  <c r="G546" i="11"/>
  <c r="I546" i="11" s="1"/>
  <c r="G547" i="11"/>
  <c r="I547" i="11" s="1"/>
  <c r="G548" i="11"/>
  <c r="I548" i="11" s="1"/>
  <c r="G549" i="11"/>
  <c r="I549" i="11" s="1"/>
  <c r="G550" i="11"/>
  <c r="I550" i="11" s="1"/>
  <c r="G551" i="11"/>
  <c r="I551" i="11" s="1"/>
  <c r="G552" i="11"/>
  <c r="I552" i="11" s="1"/>
  <c r="G553" i="11"/>
  <c r="I553" i="11" s="1"/>
  <c r="G554" i="11"/>
  <c r="I554" i="11" s="1"/>
  <c r="G555" i="11"/>
  <c r="I555" i="11" s="1"/>
  <c r="G556" i="11"/>
  <c r="I556" i="11" s="1"/>
  <c r="G557" i="11"/>
  <c r="I557" i="11" s="1"/>
  <c r="G558" i="11"/>
  <c r="G559" i="11"/>
  <c r="I559" i="11" s="1"/>
  <c r="G560" i="11"/>
  <c r="I560" i="11" s="1"/>
  <c r="G522" i="11"/>
  <c r="G520" i="11"/>
  <c r="G518" i="11"/>
  <c r="I518" i="11" s="1"/>
  <c r="G519" i="11"/>
  <c r="G521" i="11"/>
  <c r="G478" i="11"/>
  <c r="I478" i="11" s="1"/>
  <c r="G479" i="11"/>
  <c r="I479" i="11" s="1"/>
  <c r="G480" i="11"/>
  <c r="I480" i="11" s="1"/>
  <c r="G481" i="11"/>
  <c r="I481" i="11" s="1"/>
  <c r="G482" i="11"/>
  <c r="I482" i="11" s="1"/>
  <c r="G483" i="11"/>
  <c r="I483" i="11" s="1"/>
  <c r="G484" i="11"/>
  <c r="I484" i="11" s="1"/>
  <c r="G485" i="11"/>
  <c r="I485" i="11" s="1"/>
  <c r="G486" i="11"/>
  <c r="I486" i="11" s="1"/>
  <c r="G487" i="11"/>
  <c r="I487" i="11" s="1"/>
  <c r="G488" i="11"/>
  <c r="I488" i="11" s="1"/>
  <c r="G489" i="11"/>
  <c r="G490" i="11"/>
  <c r="I490" i="11" s="1"/>
  <c r="G491" i="11"/>
  <c r="I491" i="11" s="1"/>
  <c r="G492" i="11"/>
  <c r="I492" i="11" s="1"/>
  <c r="G493" i="11"/>
  <c r="I493" i="11" s="1"/>
  <c r="G494" i="11"/>
  <c r="I494" i="11" s="1"/>
  <c r="G495" i="11"/>
  <c r="I495" i="11" s="1"/>
  <c r="G496" i="11"/>
  <c r="I496" i="11" s="1"/>
  <c r="G497" i="11"/>
  <c r="I497" i="11" s="1"/>
  <c r="G498" i="11"/>
  <c r="I498" i="11" s="1"/>
  <c r="G499" i="11"/>
  <c r="I499" i="11" s="1"/>
  <c r="G500" i="11"/>
  <c r="I500" i="11" s="1"/>
  <c r="G501" i="11"/>
  <c r="I501" i="11" s="1"/>
  <c r="G503" i="11"/>
  <c r="I503" i="11" s="1"/>
  <c r="G504" i="11"/>
  <c r="I504" i="11" s="1"/>
  <c r="G505" i="11"/>
  <c r="I505" i="11" s="1"/>
  <c r="G506" i="11"/>
  <c r="I506" i="11" s="1"/>
  <c r="G507" i="11"/>
  <c r="I507" i="11" s="1"/>
  <c r="G508" i="11"/>
  <c r="I508" i="11" s="1"/>
  <c r="G509" i="11"/>
  <c r="I509" i="11" s="1"/>
  <c r="G510" i="11"/>
  <c r="I510" i="11" s="1"/>
  <c r="G511" i="11"/>
  <c r="I511" i="11" s="1"/>
  <c r="G512" i="11"/>
  <c r="I512" i="11" s="1"/>
  <c r="G513" i="11"/>
  <c r="I513" i="11" s="1"/>
  <c r="G514" i="11"/>
  <c r="I514" i="11" s="1"/>
  <c r="G515" i="11"/>
  <c r="G516" i="11"/>
  <c r="I516" i="11" s="1"/>
  <c r="G517" i="11"/>
  <c r="I517" i="11" s="1"/>
  <c r="G477" i="11"/>
  <c r="I477" i="11" s="1"/>
  <c r="G391" i="11"/>
  <c r="I391" i="11" s="1"/>
  <c r="G392" i="11"/>
  <c r="I392" i="11" s="1"/>
  <c r="G393" i="11"/>
  <c r="I393" i="11" s="1"/>
  <c r="G394" i="11"/>
  <c r="I394" i="11" s="1"/>
  <c r="G395" i="11"/>
  <c r="I395" i="11" s="1"/>
  <c r="G396" i="11"/>
  <c r="I396" i="11" s="1"/>
  <c r="G397" i="11"/>
  <c r="I397" i="11" s="1"/>
  <c r="G398" i="11"/>
  <c r="I398" i="11" s="1"/>
  <c r="G399" i="11"/>
  <c r="G400" i="11"/>
  <c r="I400" i="11" s="1"/>
  <c r="G401" i="11"/>
  <c r="I401" i="11" s="1"/>
  <c r="G402" i="11"/>
  <c r="I402" i="11" s="1"/>
  <c r="G403" i="11"/>
  <c r="I403" i="11" s="1"/>
  <c r="G404" i="11"/>
  <c r="I404" i="11" s="1"/>
  <c r="G405" i="11"/>
  <c r="I405" i="11" s="1"/>
  <c r="G406" i="11"/>
  <c r="I406" i="11" s="1"/>
  <c r="G407" i="11"/>
  <c r="I407" i="11" s="1"/>
  <c r="G408" i="11"/>
  <c r="I408" i="11" s="1"/>
  <c r="G409" i="11"/>
  <c r="I409" i="11" s="1"/>
  <c r="G410" i="11"/>
  <c r="I410" i="11" s="1"/>
  <c r="G411" i="11"/>
  <c r="I411" i="11" s="1"/>
  <c r="G412" i="11"/>
  <c r="I412" i="11" s="1"/>
  <c r="G413" i="11"/>
  <c r="I413" i="11" s="1"/>
  <c r="G414" i="11"/>
  <c r="I414" i="11" s="1"/>
  <c r="G416" i="11"/>
  <c r="I416" i="11" s="1"/>
  <c r="G417" i="11"/>
  <c r="I417" i="11" s="1"/>
  <c r="G418" i="11"/>
  <c r="I418" i="11" s="1"/>
  <c r="G419" i="11"/>
  <c r="I419" i="11" s="1"/>
  <c r="G420" i="11"/>
  <c r="I420" i="11" s="1"/>
  <c r="G421" i="11"/>
  <c r="I421" i="11" s="1"/>
  <c r="G422" i="11"/>
  <c r="I422" i="11" s="1"/>
  <c r="G423" i="11"/>
  <c r="G424" i="11"/>
  <c r="I424" i="11" s="1"/>
  <c r="G425" i="11"/>
  <c r="I425" i="11" s="1"/>
  <c r="G426" i="11"/>
  <c r="I426" i="11" s="1"/>
  <c r="G427" i="11"/>
  <c r="I427" i="11" s="1"/>
  <c r="G428" i="11"/>
  <c r="G429" i="11"/>
  <c r="I429" i="11" s="1"/>
  <c r="G430" i="11"/>
  <c r="I430" i="11" s="1"/>
  <c r="G390" i="11"/>
  <c r="G432" i="11"/>
  <c r="G433" i="11"/>
  <c r="G434" i="11"/>
  <c r="I434" i="11" s="1"/>
  <c r="G431" i="11"/>
  <c r="G436" i="11"/>
  <c r="H436" i="11" s="1"/>
  <c r="I436" i="11" s="1"/>
  <c r="G437" i="11"/>
  <c r="H437" i="11" s="1"/>
  <c r="G438" i="11"/>
  <c r="G439" i="11"/>
  <c r="G440" i="11"/>
  <c r="H440" i="11" s="1"/>
  <c r="I440" i="11" s="1"/>
  <c r="G441" i="11"/>
  <c r="H441" i="11" s="1"/>
  <c r="I441" i="11" s="1"/>
  <c r="G442" i="11"/>
  <c r="H442" i="11" s="1"/>
  <c r="G443" i="11"/>
  <c r="G444" i="11"/>
  <c r="H444" i="11" s="1"/>
  <c r="I444" i="11" s="1"/>
  <c r="G445" i="11"/>
  <c r="G446" i="11"/>
  <c r="G447" i="11"/>
  <c r="H447" i="11" s="1"/>
  <c r="G448" i="11"/>
  <c r="H448" i="11" s="1"/>
  <c r="G449" i="11"/>
  <c r="G450" i="11"/>
  <c r="G451" i="11"/>
  <c r="G452" i="11"/>
  <c r="H452" i="11" s="1"/>
  <c r="I452" i="11" s="1"/>
  <c r="G453" i="11"/>
  <c r="H453" i="11" s="1"/>
  <c r="G454" i="11"/>
  <c r="H454" i="11" s="1"/>
  <c r="G455" i="11"/>
  <c r="I455" i="11" s="1"/>
  <c r="G456" i="11"/>
  <c r="I456" i="11" s="1"/>
  <c r="G457" i="11"/>
  <c r="I457" i="11" s="1"/>
  <c r="G458" i="11"/>
  <c r="I458" i="11" s="1"/>
  <c r="G459" i="11"/>
  <c r="I459" i="11" s="1"/>
  <c r="G460" i="11"/>
  <c r="I460" i="11" s="1"/>
  <c r="G461" i="11"/>
  <c r="I461" i="11" s="1"/>
  <c r="G462" i="11"/>
  <c r="I462" i="11" s="1"/>
  <c r="G463" i="11"/>
  <c r="I463" i="11" s="1"/>
  <c r="G464" i="11"/>
  <c r="I464" i="11" s="1"/>
  <c r="G465" i="11"/>
  <c r="I465" i="11" s="1"/>
  <c r="G466" i="11"/>
  <c r="I466" i="11" s="1"/>
  <c r="G467" i="11"/>
  <c r="I467" i="11" s="1"/>
  <c r="G468" i="11"/>
  <c r="I468" i="11" s="1"/>
  <c r="G469" i="11"/>
  <c r="I469" i="11" s="1"/>
  <c r="G470" i="11"/>
  <c r="G471" i="11"/>
  <c r="I471" i="11" s="1"/>
  <c r="G472" i="11"/>
  <c r="I472" i="11" s="1"/>
  <c r="G473" i="11"/>
  <c r="I473" i="11" s="1"/>
  <c r="G435" i="11"/>
  <c r="G302" i="11"/>
  <c r="I302" i="11" s="1"/>
  <c r="E303" i="11"/>
  <c r="E348" i="11"/>
  <c r="E344" i="11"/>
  <c r="E261" i="11"/>
  <c r="E29" i="11"/>
  <c r="G236" i="11"/>
  <c r="I236" i="11" s="1"/>
  <c r="G235" i="11"/>
  <c r="I235" i="11" s="1"/>
  <c r="G234" i="11"/>
  <c r="G232" i="11"/>
  <c r="G233" i="11"/>
  <c r="I233" i="11" s="1"/>
  <c r="G231" i="11"/>
  <c r="I231" i="11" s="1"/>
  <c r="G229" i="11"/>
  <c r="I229" i="11" s="1"/>
  <c r="G230" i="11"/>
  <c r="I230" i="11" s="1"/>
  <c r="G228" i="11"/>
  <c r="I228" i="11" s="1"/>
  <c r="G227" i="11"/>
  <c r="I227" i="11" s="1"/>
  <c r="G226" i="11"/>
  <c r="I226" i="11" s="1"/>
  <c r="G225" i="11"/>
  <c r="I225" i="11" s="1"/>
  <c r="G217" i="11"/>
  <c r="G218" i="11"/>
  <c r="G219" i="11"/>
  <c r="G220" i="11"/>
  <c r="I220" i="11" s="1"/>
  <c r="G221" i="11"/>
  <c r="I221" i="11" s="1"/>
  <c r="G222" i="11"/>
  <c r="G223" i="11"/>
  <c r="G224" i="11"/>
  <c r="G216" i="11"/>
  <c r="I216" i="11" s="1"/>
  <c r="G198" i="11"/>
  <c r="I198" i="11" s="1"/>
  <c r="G199" i="11"/>
  <c r="I199" i="11" s="1"/>
  <c r="G200" i="11"/>
  <c r="I200" i="11" s="1"/>
  <c r="G201" i="11"/>
  <c r="I201" i="11" s="1"/>
  <c r="G202" i="11"/>
  <c r="I202" i="11" s="1"/>
  <c r="G203" i="11"/>
  <c r="I203" i="11" s="1"/>
  <c r="G204" i="11"/>
  <c r="I204" i="11" s="1"/>
  <c r="G205" i="11"/>
  <c r="I205" i="11" s="1"/>
  <c r="G206" i="11"/>
  <c r="I206" i="11" s="1"/>
  <c r="G207" i="11"/>
  <c r="I207" i="11" s="1"/>
  <c r="G208" i="11"/>
  <c r="I208" i="11" s="1"/>
  <c r="G209" i="11"/>
  <c r="G210" i="11"/>
  <c r="I210" i="11" s="1"/>
  <c r="G211" i="11"/>
  <c r="I211" i="11" s="1"/>
  <c r="G212" i="11"/>
  <c r="I212" i="11" s="1"/>
  <c r="G213" i="11"/>
  <c r="I213" i="11" s="1"/>
  <c r="G214" i="11"/>
  <c r="I214" i="11" s="1"/>
  <c r="G215" i="11"/>
  <c r="I215" i="11" s="1"/>
  <c r="G197" i="11"/>
  <c r="I197" i="11" s="1"/>
  <c r="G237" i="11"/>
  <c r="I237" i="11" s="1"/>
  <c r="G238" i="11"/>
  <c r="I238" i="11" s="1"/>
  <c r="G239" i="11"/>
  <c r="G240" i="11"/>
  <c r="I240" i="11" s="1"/>
  <c r="G242" i="11"/>
  <c r="I242" i="11" s="1"/>
  <c r="G243" i="11"/>
  <c r="I243" i="11" s="1"/>
  <c r="G244" i="11"/>
  <c r="I244" i="11" s="1"/>
  <c r="G245" i="11"/>
  <c r="I245" i="11" s="1"/>
  <c r="G246" i="11"/>
  <c r="I246" i="11" s="1"/>
  <c r="G247" i="11"/>
  <c r="I247" i="11" s="1"/>
  <c r="G248" i="11"/>
  <c r="I248" i="11" s="1"/>
  <c r="G249" i="11"/>
  <c r="I249" i="11" s="1"/>
  <c r="G250" i="11"/>
  <c r="I250" i="11" s="1"/>
  <c r="G251" i="11"/>
  <c r="I251" i="11" s="1"/>
  <c r="G252" i="11"/>
  <c r="G253" i="11"/>
  <c r="I253" i="11" s="1"/>
  <c r="G254" i="11"/>
  <c r="I254" i="11" s="1"/>
  <c r="G255" i="11"/>
  <c r="I255" i="11" s="1"/>
  <c r="G256" i="11"/>
  <c r="G257" i="11"/>
  <c r="I257" i="11" s="1"/>
  <c r="G258" i="11"/>
  <c r="I258" i="11" s="1"/>
  <c r="G241" i="11"/>
  <c r="I241" i="11" s="1"/>
  <c r="G192" i="11"/>
  <c r="I192" i="11" s="1"/>
  <c r="G193" i="11"/>
  <c r="G194" i="11"/>
  <c r="G195" i="11"/>
  <c r="G196" i="11"/>
  <c r="I209" i="11"/>
  <c r="G191" i="11"/>
  <c r="I191" i="11" s="1"/>
  <c r="G190" i="11"/>
  <c r="I190" i="11" s="1"/>
  <c r="G182" i="11"/>
  <c r="G131" i="11"/>
  <c r="I131" i="11" s="1"/>
  <c r="G132" i="11"/>
  <c r="I132" i="11" s="1"/>
  <c r="G133" i="11"/>
  <c r="I133" i="11" s="1"/>
  <c r="G134" i="11"/>
  <c r="G135" i="11"/>
  <c r="I135" i="11" s="1"/>
  <c r="G136" i="11"/>
  <c r="I136" i="11" s="1"/>
  <c r="G137" i="11"/>
  <c r="I137" i="11" s="1"/>
  <c r="G138" i="11"/>
  <c r="I138" i="11" s="1"/>
  <c r="G139" i="11"/>
  <c r="G140" i="11"/>
  <c r="I140" i="11" s="1"/>
  <c r="G141" i="11"/>
  <c r="I141" i="11" s="1"/>
  <c r="G142" i="11"/>
  <c r="I142" i="11" s="1"/>
  <c r="G143" i="11"/>
  <c r="G144" i="11"/>
  <c r="I144" i="11" s="1"/>
  <c r="G145" i="11"/>
  <c r="I145" i="11" s="1"/>
  <c r="G146" i="11"/>
  <c r="G147" i="11"/>
  <c r="I147" i="11" s="1"/>
  <c r="G148" i="11"/>
  <c r="I148" i="11" s="1"/>
  <c r="G149" i="11"/>
  <c r="I149" i="11" s="1"/>
  <c r="G150" i="11"/>
  <c r="I150" i="11" s="1"/>
  <c r="G151" i="11"/>
  <c r="I151" i="11" s="1"/>
  <c r="G152" i="11"/>
  <c r="I152" i="11" s="1"/>
  <c r="G153" i="11"/>
  <c r="I153" i="11" s="1"/>
  <c r="G154" i="11"/>
  <c r="I154" i="11" s="1"/>
  <c r="G155" i="11"/>
  <c r="G156" i="11"/>
  <c r="I156" i="11" s="1"/>
  <c r="G157" i="11"/>
  <c r="I157" i="11" s="1"/>
  <c r="G158" i="11"/>
  <c r="I158" i="11" s="1"/>
  <c r="G159" i="11"/>
  <c r="G160" i="11"/>
  <c r="I160" i="11" s="1"/>
  <c r="G161" i="11"/>
  <c r="I161" i="11" s="1"/>
  <c r="G162" i="11"/>
  <c r="I162" i="11" s="1"/>
  <c r="G163" i="11"/>
  <c r="I163" i="11" s="1"/>
  <c r="G164" i="11"/>
  <c r="I164" i="11" s="1"/>
  <c r="G165" i="11"/>
  <c r="I165" i="11" s="1"/>
  <c r="G166" i="11"/>
  <c r="I166" i="11" s="1"/>
  <c r="G167" i="11"/>
  <c r="I167" i="11" s="1"/>
  <c r="G168" i="11"/>
  <c r="I168" i="11" s="1"/>
  <c r="G169" i="11"/>
  <c r="I169" i="11" s="1"/>
  <c r="G170" i="11"/>
  <c r="I170" i="11" s="1"/>
  <c r="G171" i="11"/>
  <c r="I171" i="11" s="1"/>
  <c r="G172" i="11"/>
  <c r="I172" i="11" s="1"/>
  <c r="G173" i="11"/>
  <c r="I173" i="11" s="1"/>
  <c r="G174" i="11"/>
  <c r="I174" i="11" s="1"/>
  <c r="G175" i="11"/>
  <c r="I175" i="11" s="1"/>
  <c r="G176" i="11"/>
  <c r="I176" i="11" s="1"/>
  <c r="G177" i="11"/>
  <c r="I177" i="11" s="1"/>
  <c r="G178" i="11"/>
  <c r="I178" i="11" s="1"/>
  <c r="G179" i="11"/>
  <c r="I179" i="11" s="1"/>
  <c r="G130" i="11"/>
  <c r="I130" i="11" s="1"/>
  <c r="G83" i="11"/>
  <c r="I83" i="11" s="1"/>
  <c r="G84" i="11"/>
  <c r="G85" i="11"/>
  <c r="G86" i="11"/>
  <c r="I86" i="11" s="1"/>
  <c r="G87" i="11"/>
  <c r="I87" i="11" s="1"/>
  <c r="G88" i="11"/>
  <c r="I88" i="11" s="1"/>
  <c r="G89" i="11"/>
  <c r="G90" i="11"/>
  <c r="I90" i="11" s="1"/>
  <c r="G91" i="11"/>
  <c r="G92" i="11"/>
  <c r="I92" i="11" s="1"/>
  <c r="G93" i="11"/>
  <c r="I93" i="11" s="1"/>
  <c r="G94" i="11"/>
  <c r="I94" i="11" s="1"/>
  <c r="G95" i="11"/>
  <c r="G96" i="11"/>
  <c r="I96" i="11" s="1"/>
  <c r="G97" i="11"/>
  <c r="I97" i="11" s="1"/>
  <c r="G98" i="11"/>
  <c r="G99" i="11"/>
  <c r="G100" i="11"/>
  <c r="G101" i="11"/>
  <c r="I101" i="11" s="1"/>
  <c r="G102" i="11"/>
  <c r="I102" i="11" s="1"/>
  <c r="G103" i="11"/>
  <c r="I103" i="11" s="1"/>
  <c r="G104" i="11"/>
  <c r="I104" i="11" s="1"/>
  <c r="G82" i="11"/>
  <c r="G30" i="11"/>
  <c r="I30" i="11" s="1"/>
  <c r="G46" i="11"/>
  <c r="I46" i="11" s="1"/>
  <c r="E8" i="11"/>
  <c r="M8" i="11" s="1"/>
  <c r="H612" i="11"/>
  <c r="H611" i="11"/>
  <c r="H521" i="11"/>
  <c r="I521" i="11" s="1"/>
  <c r="H347" i="11"/>
  <c r="H520" i="11"/>
  <c r="I520" i="11" s="1"/>
  <c r="H519" i="11"/>
  <c r="H346" i="11"/>
  <c r="H345" i="11"/>
  <c r="H234" i="11"/>
  <c r="H239" i="11"/>
  <c r="H224" i="11"/>
  <c r="H223" i="11"/>
  <c r="H222" i="11"/>
  <c r="I222" i="11" s="1"/>
  <c r="H219" i="11"/>
  <c r="H218" i="11"/>
  <c r="H217" i="11"/>
  <c r="H193" i="11"/>
  <c r="H194" i="11"/>
  <c r="H196" i="11"/>
  <c r="H195" i="11"/>
  <c r="H183" i="11"/>
  <c r="H182" i="11"/>
  <c r="I182" i="11" s="1"/>
  <c r="H129" i="11"/>
  <c r="H126" i="11"/>
  <c r="H125" i="11"/>
  <c r="H124" i="11"/>
  <c r="H123" i="11"/>
  <c r="H120" i="11"/>
  <c r="H122" i="11"/>
  <c r="H119" i="11"/>
  <c r="H134" i="11"/>
  <c r="I134" i="11" s="1"/>
  <c r="H146" i="11"/>
  <c r="H118" i="11"/>
  <c r="H139" i="11"/>
  <c r="H115" i="11"/>
  <c r="H114" i="11"/>
  <c r="H113" i="11"/>
  <c r="H112" i="11"/>
  <c r="H111" i="11"/>
  <c r="H116" i="11"/>
  <c r="H108" i="11"/>
  <c r="H109" i="11"/>
  <c r="H70" i="11"/>
  <c r="H69" i="11"/>
  <c r="H73" i="11"/>
  <c r="H74" i="11"/>
  <c r="H71" i="11"/>
  <c r="H72" i="11"/>
  <c r="H80" i="11"/>
  <c r="H75" i="11"/>
  <c r="H64" i="11"/>
  <c r="H51" i="11"/>
  <c r="H52" i="11"/>
  <c r="H54" i="11"/>
  <c r="H55" i="11"/>
  <c r="H56" i="11"/>
  <c r="H57" i="11"/>
  <c r="H59" i="11"/>
  <c r="H58" i="11"/>
  <c r="H25" i="11"/>
  <c r="H23" i="11"/>
  <c r="H21" i="11"/>
  <c r="H20" i="11"/>
  <c r="H18" i="11"/>
  <c r="H14" i="11"/>
  <c r="H13" i="11"/>
  <c r="H12" i="11"/>
  <c r="H10" i="11"/>
  <c r="H9" i="11"/>
  <c r="I592" i="11"/>
  <c r="G563" i="11"/>
  <c r="I563" i="11" s="1"/>
  <c r="I489" i="11"/>
  <c r="I515" i="11"/>
  <c r="I526" i="11"/>
  <c r="I558" i="11"/>
  <c r="G476" i="11"/>
  <c r="I476" i="11" s="1"/>
  <c r="I541" i="11"/>
  <c r="F502" i="11"/>
  <c r="L502" i="11" s="1"/>
  <c r="N502" i="11" s="1"/>
  <c r="O502" i="11" s="1"/>
  <c r="I390" i="11"/>
  <c r="I399" i="11"/>
  <c r="I423" i="11"/>
  <c r="I428" i="11"/>
  <c r="I431" i="11"/>
  <c r="I432" i="11"/>
  <c r="I470" i="11"/>
  <c r="G389" i="11"/>
  <c r="I389" i="11" s="1"/>
  <c r="F415" i="11"/>
  <c r="G415" i="11" s="1"/>
  <c r="I415" i="11" s="1"/>
  <c r="F328" i="11"/>
  <c r="G275" i="11"/>
  <c r="I275" i="11" s="1"/>
  <c r="G291" i="11"/>
  <c r="I291" i="11" s="1"/>
  <c r="G183" i="11"/>
  <c r="I183" i="11" s="1"/>
  <c r="G184" i="11"/>
  <c r="I184" i="11" s="1"/>
  <c r="G185" i="11"/>
  <c r="I185" i="11" s="1"/>
  <c r="G186" i="11"/>
  <c r="I186" i="11" s="1"/>
  <c r="G187" i="11"/>
  <c r="I187" i="11" s="1"/>
  <c r="G188" i="11"/>
  <c r="I188" i="11" s="1"/>
  <c r="G189" i="11"/>
  <c r="I189" i="11" s="1"/>
  <c r="I232" i="11"/>
  <c r="I252" i="11"/>
  <c r="I256" i="11"/>
  <c r="G108" i="11"/>
  <c r="G109" i="11"/>
  <c r="G110" i="11"/>
  <c r="I110" i="11" s="1"/>
  <c r="G112" i="11"/>
  <c r="G113" i="11"/>
  <c r="G114" i="11"/>
  <c r="G115" i="11"/>
  <c r="G116" i="11"/>
  <c r="G117" i="11"/>
  <c r="I117" i="11" s="1"/>
  <c r="G118" i="11"/>
  <c r="G119" i="11"/>
  <c r="G120" i="11"/>
  <c r="G121" i="11"/>
  <c r="I121" i="11" s="1"/>
  <c r="G123" i="11"/>
  <c r="I123" i="11" s="1"/>
  <c r="G124" i="11"/>
  <c r="G125" i="11"/>
  <c r="I125" i="11" s="1"/>
  <c r="G126" i="11"/>
  <c r="G127" i="11"/>
  <c r="I127" i="11" s="1"/>
  <c r="G128" i="11"/>
  <c r="I128" i="11" s="1"/>
  <c r="G129" i="11"/>
  <c r="I143" i="11"/>
  <c r="I155" i="11"/>
  <c r="I159" i="11"/>
  <c r="G107" i="11"/>
  <c r="I107" i="11" s="1"/>
  <c r="F122" i="11"/>
  <c r="L122" i="11" s="1"/>
  <c r="N122" i="11" s="1"/>
  <c r="O122" i="11" s="1"/>
  <c r="F111" i="11"/>
  <c r="F78" i="11"/>
  <c r="S78" i="11" s="1"/>
  <c r="T78" i="11" s="1"/>
  <c r="U78" i="11" s="1"/>
  <c r="F69" i="11"/>
  <c r="F68" i="11"/>
  <c r="L68" i="11" s="1"/>
  <c r="F59" i="11"/>
  <c r="F57" i="11"/>
  <c r="F54" i="11"/>
  <c r="L54" i="11" s="1"/>
  <c r="E50" i="11"/>
  <c r="F25" i="11"/>
  <c r="F18" i="11"/>
  <c r="L18" i="11" s="1"/>
  <c r="F20" i="11"/>
  <c r="F14" i="11"/>
  <c r="F13" i="11"/>
  <c r="S13" i="11" s="1"/>
  <c r="T13" i="11" s="1"/>
  <c r="U13" i="11" s="1"/>
  <c r="F12" i="11"/>
  <c r="I442" i="11"/>
  <c r="G360" i="11"/>
  <c r="S54" i="11"/>
  <c r="T54" i="11" s="1"/>
  <c r="U54" i="11" s="1"/>
  <c r="S18" i="11"/>
  <c r="T18" i="11" s="1"/>
  <c r="U18" i="11" s="1"/>
  <c r="S502" i="11"/>
  <c r="T502" i="11" s="1"/>
  <c r="U502" i="11" s="1"/>
  <c r="S122" i="11"/>
  <c r="T122" i="11" s="1"/>
  <c r="U122" i="11" s="1"/>
  <c r="I118" i="11"/>
  <c r="G42" i="11"/>
  <c r="I42" i="11" s="1"/>
  <c r="I146" i="11"/>
  <c r="G334" i="11"/>
  <c r="I334" i="11" s="1"/>
  <c r="G318" i="11"/>
  <c r="I318" i="11" s="1"/>
  <c r="H522" i="11"/>
  <c r="I522" i="11" s="1"/>
  <c r="G111" i="11"/>
  <c r="I111" i="11" s="1"/>
  <c r="I454" i="11"/>
  <c r="G29" i="11"/>
  <c r="I29" i="11" s="1"/>
  <c r="G40" i="11"/>
  <c r="G32" i="11"/>
  <c r="I32" i="11" s="1"/>
  <c r="G338" i="11"/>
  <c r="I338" i="11" s="1"/>
  <c r="G322" i="11"/>
  <c r="I322" i="11" s="1"/>
  <c r="G306" i="11"/>
  <c r="I306" i="11" s="1"/>
  <c r="G354" i="11"/>
  <c r="H439" i="11"/>
  <c r="I532" i="11"/>
  <c r="G33" i="11"/>
  <c r="I33" i="11" s="1"/>
  <c r="G37" i="11"/>
  <c r="I37" i="11" s="1"/>
  <c r="G41" i="11"/>
  <c r="I41" i="11" s="1"/>
  <c r="G45" i="11"/>
  <c r="I45" i="11" s="1"/>
  <c r="G305" i="11"/>
  <c r="I305" i="11" s="1"/>
  <c r="G311" i="11"/>
  <c r="I311" i="11" s="1"/>
  <c r="G315" i="11"/>
  <c r="I315" i="11" s="1"/>
  <c r="G319" i="11"/>
  <c r="I319" i="11" s="1"/>
  <c r="G323" i="11"/>
  <c r="I323" i="11" s="1"/>
  <c r="G327" i="11"/>
  <c r="I327" i="11" s="1"/>
  <c r="G331" i="11"/>
  <c r="I331" i="11" s="1"/>
  <c r="G335" i="11"/>
  <c r="I335" i="11" s="1"/>
  <c r="G339" i="11"/>
  <c r="I339" i="11" s="1"/>
  <c r="G341" i="11"/>
  <c r="I341" i="11" s="1"/>
  <c r="G303" i="11"/>
  <c r="I303" i="11" s="1"/>
  <c r="G336" i="11"/>
  <c r="I336" i="11" s="1"/>
  <c r="G324" i="11"/>
  <c r="I324" i="11" s="1"/>
  <c r="G316" i="11"/>
  <c r="I316" i="11" s="1"/>
  <c r="G308" i="11"/>
  <c r="I308" i="11" s="1"/>
  <c r="G385" i="11"/>
  <c r="I385" i="11" s="1"/>
  <c r="G373" i="11"/>
  <c r="I373" i="11" s="1"/>
  <c r="G363" i="11"/>
  <c r="H363" i="11" s="1"/>
  <c r="I218" i="11"/>
  <c r="G62" i="11"/>
  <c r="I62" i="11" s="1"/>
  <c r="I82" i="11"/>
  <c r="I100" i="11"/>
  <c r="G55" i="11"/>
  <c r="G67" i="11"/>
  <c r="I67" i="11" s="1"/>
  <c r="G77" i="11"/>
  <c r="I77" i="11" s="1"/>
  <c r="I85" i="11"/>
  <c r="I91" i="11"/>
  <c r="I95" i="11"/>
  <c r="I99" i="11"/>
  <c r="G50" i="11"/>
  <c r="I50" i="11" s="1"/>
  <c r="G58" i="11"/>
  <c r="I58" i="11" s="1"/>
  <c r="G66" i="11"/>
  <c r="I66" i="11" s="1"/>
  <c r="G80" i="11"/>
  <c r="I84" i="11"/>
  <c r="I98" i="11"/>
  <c r="G10" i="11"/>
  <c r="I10" i="11" s="1"/>
  <c r="G22" i="11"/>
  <c r="I22" i="11" s="1"/>
  <c r="I89" i="11"/>
  <c r="I106" i="11" s="1"/>
  <c r="D91" i="40" s="1"/>
  <c r="G16" i="11"/>
  <c r="I16" i="11" s="1"/>
  <c r="G24" i="11"/>
  <c r="I24" i="11" s="1"/>
  <c r="G28" i="11"/>
  <c r="I28" i="11" s="1"/>
  <c r="I40" i="11"/>
  <c r="G25" i="11"/>
  <c r="G23" i="11"/>
  <c r="G21" i="11"/>
  <c r="G17" i="11"/>
  <c r="I17" i="11" s="1"/>
  <c r="G15" i="11"/>
  <c r="I15" i="11" s="1"/>
  <c r="G9" i="11"/>
  <c r="I9" i="11" s="1"/>
  <c r="H9" i="9"/>
  <c r="AF68" i="4"/>
  <c r="AF69" i="4"/>
  <c r="AF70" i="4"/>
  <c r="AF71" i="4"/>
  <c r="AF72" i="4"/>
  <c r="AF73" i="4"/>
  <c r="AF74" i="4"/>
  <c r="AF75" i="4"/>
  <c r="AF76" i="4"/>
  <c r="AF77" i="4"/>
  <c r="AF78" i="4"/>
  <c r="AF67" i="4"/>
  <c r="AG67" i="4"/>
  <c r="AI67" i="4" s="1"/>
  <c r="AJ78" i="4"/>
  <c r="AG78" i="4"/>
  <c r="AI78" i="4" s="1"/>
  <c r="AJ77" i="4"/>
  <c r="AG77" i="4"/>
  <c r="AI77" i="4" s="1"/>
  <c r="AJ76" i="4"/>
  <c r="AG76" i="4"/>
  <c r="AI76" i="4" s="1"/>
  <c r="AJ75" i="4"/>
  <c r="AG75" i="4"/>
  <c r="AI75" i="4" s="1"/>
  <c r="AJ74" i="4"/>
  <c r="AG74" i="4"/>
  <c r="AI74" i="4" s="1"/>
  <c r="AJ73" i="4"/>
  <c r="AG73" i="4"/>
  <c r="AI73" i="4" s="1"/>
  <c r="AJ72" i="4"/>
  <c r="AG72" i="4"/>
  <c r="AI72" i="4" s="1"/>
  <c r="AJ71" i="4"/>
  <c r="AG71" i="4"/>
  <c r="AI71" i="4" s="1"/>
  <c r="AJ70" i="4"/>
  <c r="AG70" i="4"/>
  <c r="AI70" i="4" s="1"/>
  <c r="AJ69" i="4"/>
  <c r="AG69" i="4"/>
  <c r="AI69" i="4" s="1"/>
  <c r="AJ68" i="4"/>
  <c r="AG68" i="4"/>
  <c r="AI68" i="4" s="1"/>
  <c r="AJ67" i="4"/>
  <c r="AK58" i="4"/>
  <c r="AJ58" i="4"/>
  <c r="AI58" i="4"/>
  <c r="AK57" i="4"/>
  <c r="AJ57" i="4"/>
  <c r="AI57" i="4"/>
  <c r="AK56" i="4"/>
  <c r="AJ56" i="4"/>
  <c r="AI56" i="4"/>
  <c r="AJ55" i="4"/>
  <c r="AI55" i="4"/>
  <c r="AK54" i="4"/>
  <c r="AJ54" i="4"/>
  <c r="AI54" i="4"/>
  <c r="AK53" i="4"/>
  <c r="AJ53" i="4"/>
  <c r="AI53" i="4"/>
  <c r="AK52" i="4"/>
  <c r="AJ52" i="4"/>
  <c r="AI52" i="4"/>
  <c r="AK51" i="4"/>
  <c r="AJ51" i="4"/>
  <c r="AI51" i="4"/>
  <c r="AK50" i="4"/>
  <c r="AJ50" i="4"/>
  <c r="AI50" i="4"/>
  <c r="AK49" i="4"/>
  <c r="AJ49" i="4"/>
  <c r="AI49" i="4"/>
  <c r="AK48" i="4"/>
  <c r="AJ48" i="4"/>
  <c r="AI48" i="4"/>
  <c r="AJ47" i="4"/>
  <c r="AI47" i="4"/>
  <c r="C2161" i="1"/>
  <c r="E2161" i="1" s="1"/>
  <c r="I2162" i="1" s="1"/>
  <c r="E2160" i="1"/>
  <c r="E2159" i="1"/>
  <c r="E2158" i="1"/>
  <c r="E2157" i="1"/>
  <c r="E2156" i="1"/>
  <c r="E2155" i="1"/>
  <c r="E2154" i="1"/>
  <c r="E2153" i="1"/>
  <c r="M2162" i="1" s="1"/>
  <c r="M2165" i="1" s="1"/>
  <c r="F68" i="3" s="1"/>
  <c r="E2152" i="1"/>
  <c r="E2151" i="1"/>
  <c r="E2150" i="1"/>
  <c r="E2149" i="1"/>
  <c r="E2148" i="1"/>
  <c r="E2147" i="1"/>
  <c r="C2142" i="1"/>
  <c r="E2142" i="1" s="1"/>
  <c r="I2143" i="1" s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G2123" i="1"/>
  <c r="F2123" i="1"/>
  <c r="G2122" i="1"/>
  <c r="F2122" i="1"/>
  <c r="F2121" i="1"/>
  <c r="G2120" i="1"/>
  <c r="F2120" i="1"/>
  <c r="G2119" i="1"/>
  <c r="F2119" i="1"/>
  <c r="F2118" i="1"/>
  <c r="N2117" i="1"/>
  <c r="N2116" i="1"/>
  <c r="N2115" i="1"/>
  <c r="O2114" i="1"/>
  <c r="O2113" i="1"/>
  <c r="O2112" i="1"/>
  <c r="O2111" i="1"/>
  <c r="G2110" i="1"/>
  <c r="F2110" i="1"/>
  <c r="G2109" i="1"/>
  <c r="F2109" i="1"/>
  <c r="F2108" i="1"/>
  <c r="F2107" i="1"/>
  <c r="F2106" i="1"/>
  <c r="G2105" i="1"/>
  <c r="F2105" i="1"/>
  <c r="L2104" i="1"/>
  <c r="L2103" i="1"/>
  <c r="N2102" i="1"/>
  <c r="O2101" i="1"/>
  <c r="O2100" i="1"/>
  <c r="O2099" i="1"/>
  <c r="O2098" i="1"/>
  <c r="O2097" i="1"/>
  <c r="G2096" i="1"/>
  <c r="F2096" i="1"/>
  <c r="G2095" i="1"/>
  <c r="F2095" i="1"/>
  <c r="F2094" i="1"/>
  <c r="G2093" i="1"/>
  <c r="F2093" i="1"/>
  <c r="G2092" i="1"/>
  <c r="F2092" i="1"/>
  <c r="F2091" i="1"/>
  <c r="N2090" i="1"/>
  <c r="N2089" i="1"/>
  <c r="N2088" i="1"/>
  <c r="N2087" i="1"/>
  <c r="O2086" i="1"/>
  <c r="O2085" i="1"/>
  <c r="G2084" i="1"/>
  <c r="F2084" i="1"/>
  <c r="G2083" i="1"/>
  <c r="F2083" i="1"/>
  <c r="F2082" i="1"/>
  <c r="G2081" i="1"/>
  <c r="F2081" i="1"/>
  <c r="G2080" i="1"/>
  <c r="F2080" i="1"/>
  <c r="F2079" i="1"/>
  <c r="O2078" i="1"/>
  <c r="O2077" i="1"/>
  <c r="O2076" i="1"/>
  <c r="O2075" i="1"/>
  <c r="O2074" i="1"/>
  <c r="O2073" i="1"/>
  <c r="G2072" i="1"/>
  <c r="F2072" i="1"/>
  <c r="G2071" i="1"/>
  <c r="F2071" i="1"/>
  <c r="F2070" i="1"/>
  <c r="O2069" i="1"/>
  <c r="O2068" i="1"/>
  <c r="O2067" i="1"/>
  <c r="O2066" i="1"/>
  <c r="O2065" i="1"/>
  <c r="O2064" i="1"/>
  <c r="F2062" i="1"/>
  <c r="F2061" i="1"/>
  <c r="F2060" i="1"/>
  <c r="J2059" i="1"/>
  <c r="F2057" i="1"/>
  <c r="F2056" i="1"/>
  <c r="F2055" i="1"/>
  <c r="K2054" i="1"/>
  <c r="K2053" i="1"/>
  <c r="G2052" i="1"/>
  <c r="F2052" i="1"/>
  <c r="F2051" i="1"/>
  <c r="F2050" i="1"/>
  <c r="M2049" i="1"/>
  <c r="M2048" i="1"/>
  <c r="G2047" i="1"/>
  <c r="F2047" i="1"/>
  <c r="G2046" i="1"/>
  <c r="F2046" i="1"/>
  <c r="F2045" i="1"/>
  <c r="G2044" i="1"/>
  <c r="F2044" i="1"/>
  <c r="G2043" i="1"/>
  <c r="F2043" i="1"/>
  <c r="F2042" i="1"/>
  <c r="M2041" i="1"/>
  <c r="M2040" i="1"/>
  <c r="N2039" i="1"/>
  <c r="N2038" i="1"/>
  <c r="O2037" i="1"/>
  <c r="O2036" i="1"/>
  <c r="O2035" i="1"/>
  <c r="O2034" i="1"/>
  <c r="O2033" i="1"/>
  <c r="G2032" i="1"/>
  <c r="F2032" i="1"/>
  <c r="G2031" i="1"/>
  <c r="F2031" i="1"/>
  <c r="F2030" i="1"/>
  <c r="G2029" i="1"/>
  <c r="F2029" i="1"/>
  <c r="G2028" i="1"/>
  <c r="F2028" i="1"/>
  <c r="F2027" i="1"/>
  <c r="L2026" i="1"/>
  <c r="L2025" i="1"/>
  <c r="L2024" i="1"/>
  <c r="N2023" i="1"/>
  <c r="O2022" i="1"/>
  <c r="O2021" i="1"/>
  <c r="O2020" i="1"/>
  <c r="O2019" i="1"/>
  <c r="O2018" i="1"/>
  <c r="G2017" i="1"/>
  <c r="F2017" i="1"/>
  <c r="G2016" i="1"/>
  <c r="F2016" i="1"/>
  <c r="F2015" i="1"/>
  <c r="G2014" i="1"/>
  <c r="F2014" i="1"/>
  <c r="G2013" i="1"/>
  <c r="F2013" i="1"/>
  <c r="F2012" i="1"/>
  <c r="M2011" i="1"/>
  <c r="M2010" i="1"/>
  <c r="N2009" i="1"/>
  <c r="N2008" i="1"/>
  <c r="N2007" i="1"/>
  <c r="N2006" i="1"/>
  <c r="N2005" i="1"/>
  <c r="G2004" i="1"/>
  <c r="F2004" i="1"/>
  <c r="G2003" i="1"/>
  <c r="F2003" i="1"/>
  <c r="F2002" i="1"/>
  <c r="G2001" i="1"/>
  <c r="F2001" i="1"/>
  <c r="G2000" i="1"/>
  <c r="F2000" i="1"/>
  <c r="F1999" i="1"/>
  <c r="M1998" i="1"/>
  <c r="M1997" i="1"/>
  <c r="M1996" i="1"/>
  <c r="N1995" i="1"/>
  <c r="N1994" i="1"/>
  <c r="N1993" i="1"/>
  <c r="N1992" i="1"/>
  <c r="G1991" i="1"/>
  <c r="F1991" i="1"/>
  <c r="G1990" i="1"/>
  <c r="F1990" i="1"/>
  <c r="F1989" i="1"/>
  <c r="G1988" i="1"/>
  <c r="F1988" i="1"/>
  <c r="G1987" i="1"/>
  <c r="F1987" i="1"/>
  <c r="F1986" i="1"/>
  <c r="M1985" i="1"/>
  <c r="O1984" i="1"/>
  <c r="O1983" i="1"/>
  <c r="O1982" i="1"/>
  <c r="O1981" i="1"/>
  <c r="O1980" i="1"/>
  <c r="O1979" i="1"/>
  <c r="G1978" i="1"/>
  <c r="F1978" i="1"/>
  <c r="G1977" i="1"/>
  <c r="F1977" i="1"/>
  <c r="F1976" i="1"/>
  <c r="O1975" i="1"/>
  <c r="O1974" i="1"/>
  <c r="G1973" i="1"/>
  <c r="F1973" i="1"/>
  <c r="G1972" i="1"/>
  <c r="F1972" i="1"/>
  <c r="F1971" i="1"/>
  <c r="M1970" i="1"/>
  <c r="M1969" i="1"/>
  <c r="O1968" i="1"/>
  <c r="O1967" i="1"/>
  <c r="O1966" i="1"/>
  <c r="O1965" i="1"/>
  <c r="O1964" i="1"/>
  <c r="G1963" i="1"/>
  <c r="F1963" i="1"/>
  <c r="G1962" i="1"/>
  <c r="F1962" i="1"/>
  <c r="F1961" i="1"/>
  <c r="L1960" i="1"/>
  <c r="L1959" i="1"/>
  <c r="L1958" i="1"/>
  <c r="M1957" i="1"/>
  <c r="M1956" i="1"/>
  <c r="N1955" i="1"/>
  <c r="N1954" i="1"/>
  <c r="G1953" i="1"/>
  <c r="F1953" i="1"/>
  <c r="G1952" i="1"/>
  <c r="F1952" i="1"/>
  <c r="F1951" i="1"/>
  <c r="N1950" i="1"/>
  <c r="N1949" i="1"/>
  <c r="N1948" i="1"/>
  <c r="O1947" i="1"/>
  <c r="O1946" i="1"/>
  <c r="O1945" i="1"/>
  <c r="O1944" i="1"/>
  <c r="G1943" i="1"/>
  <c r="F1943" i="1"/>
  <c r="G1942" i="1"/>
  <c r="F1942" i="1"/>
  <c r="F1941" i="1"/>
  <c r="L1940" i="1"/>
  <c r="L1939" i="1"/>
  <c r="L1938" i="1"/>
  <c r="M1937" i="1"/>
  <c r="M1936" i="1"/>
  <c r="N1935" i="1"/>
  <c r="N1934" i="1"/>
  <c r="O1929" i="1"/>
  <c r="N1929" i="1"/>
  <c r="M1929" i="1"/>
  <c r="L1929" i="1"/>
  <c r="K1929" i="1"/>
  <c r="I1929" i="1"/>
  <c r="H1929" i="1"/>
  <c r="G1928" i="1"/>
  <c r="E1928" i="1"/>
  <c r="G1927" i="1"/>
  <c r="C1927" i="1"/>
  <c r="E1927" i="1" s="1"/>
  <c r="G1926" i="1"/>
  <c r="C1926" i="1"/>
  <c r="E1926" i="1" s="1"/>
  <c r="G1925" i="1"/>
  <c r="E1925" i="1"/>
  <c r="G1924" i="1"/>
  <c r="E1924" i="1"/>
  <c r="G1923" i="1"/>
  <c r="E1923" i="1"/>
  <c r="G1922" i="1"/>
  <c r="E1922" i="1"/>
  <c r="G1921" i="1"/>
  <c r="E1921" i="1"/>
  <c r="G1920" i="1"/>
  <c r="E1920" i="1"/>
  <c r="G1919" i="1"/>
  <c r="E1919" i="1"/>
  <c r="G1918" i="1"/>
  <c r="E1918" i="1"/>
  <c r="J1918" i="1" s="1"/>
  <c r="G1917" i="1"/>
  <c r="E1917" i="1"/>
  <c r="F1910" i="1"/>
  <c r="M1910" i="1" s="1"/>
  <c r="D1909" i="1"/>
  <c r="F1909" i="1" s="1"/>
  <c r="M1909" i="1" s="1"/>
  <c r="D1908" i="1"/>
  <c r="F1908" i="1" s="1"/>
  <c r="L1908" i="1" s="1"/>
  <c r="F1907" i="1"/>
  <c r="M1907" i="1" s="1"/>
  <c r="F1906" i="1"/>
  <c r="L1906" i="1" s="1"/>
  <c r="F1905" i="1"/>
  <c r="L1905" i="1" s="1"/>
  <c r="F1904" i="1"/>
  <c r="L1904" i="1" s="1"/>
  <c r="F1903" i="1"/>
  <c r="L1903" i="1" s="1"/>
  <c r="F1902" i="1"/>
  <c r="L1902" i="1" s="1"/>
  <c r="F1901" i="1"/>
  <c r="L1901" i="1" s="1"/>
  <c r="F1900" i="1"/>
  <c r="L1900" i="1" s="1"/>
  <c r="F1899" i="1"/>
  <c r="L1899" i="1" s="1"/>
  <c r="O1889" i="1"/>
  <c r="N1889" i="1"/>
  <c r="M1889" i="1"/>
  <c r="H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O1862" i="1"/>
  <c r="N1862" i="1"/>
  <c r="M1862" i="1"/>
  <c r="H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L1850" i="1" s="1"/>
  <c r="G1849" i="1"/>
  <c r="F1849" i="1"/>
  <c r="G1848" i="1"/>
  <c r="F1848" i="1"/>
  <c r="O1845" i="1"/>
  <c r="N1845" i="1"/>
  <c r="M1845" i="1"/>
  <c r="H1845" i="1"/>
  <c r="G1844" i="1"/>
  <c r="F1844" i="1"/>
  <c r="I1844" i="1" s="1"/>
  <c r="G1843" i="1"/>
  <c r="F1843" i="1"/>
  <c r="I1843" i="1" s="1"/>
  <c r="G1842" i="1"/>
  <c r="F1842" i="1"/>
  <c r="L1842" i="1" s="1"/>
  <c r="L1845" i="1" s="1"/>
  <c r="G1841" i="1"/>
  <c r="F1841" i="1"/>
  <c r="G1840" i="1"/>
  <c r="F1840" i="1"/>
  <c r="O1837" i="1"/>
  <c r="N1837" i="1"/>
  <c r="M1837" i="1"/>
  <c r="H1837" i="1"/>
  <c r="G1836" i="1"/>
  <c r="F1836" i="1"/>
  <c r="G1835" i="1"/>
  <c r="F1835" i="1"/>
  <c r="G1834" i="1"/>
  <c r="F1834" i="1"/>
  <c r="G1833" i="1"/>
  <c r="F1833" i="1"/>
  <c r="L1833" i="1" s="1"/>
  <c r="G1832" i="1"/>
  <c r="F1832" i="1"/>
  <c r="G1831" i="1"/>
  <c r="F1831" i="1"/>
  <c r="G1830" i="1"/>
  <c r="F1830" i="1"/>
  <c r="G1829" i="1"/>
  <c r="F1829" i="1"/>
  <c r="K1829" i="1" s="1"/>
  <c r="G1828" i="1"/>
  <c r="F1828" i="1"/>
  <c r="G1827" i="1"/>
  <c r="F1827" i="1"/>
  <c r="G1826" i="1"/>
  <c r="F1826" i="1"/>
  <c r="G1825" i="1"/>
  <c r="F1825" i="1"/>
  <c r="K1825" i="1" s="1"/>
  <c r="G1824" i="1"/>
  <c r="F1824" i="1"/>
  <c r="J1824" i="1" s="1"/>
  <c r="G1823" i="1"/>
  <c r="F1823" i="1"/>
  <c r="G1822" i="1"/>
  <c r="F1822" i="1"/>
  <c r="G1821" i="1"/>
  <c r="F1821" i="1"/>
  <c r="L1821" i="1" s="1"/>
  <c r="G1820" i="1"/>
  <c r="F1820" i="1"/>
  <c r="G1819" i="1"/>
  <c r="F1819" i="1"/>
  <c r="L1819" i="1" s="1"/>
  <c r="G1818" i="1"/>
  <c r="F1818" i="1"/>
  <c r="G1817" i="1"/>
  <c r="F1817" i="1"/>
  <c r="J1817" i="1" s="1"/>
  <c r="G1816" i="1"/>
  <c r="F1816" i="1"/>
  <c r="K1816" i="1" s="1"/>
  <c r="G1815" i="1"/>
  <c r="F1815" i="1"/>
  <c r="O1812" i="1"/>
  <c r="N1812" i="1"/>
  <c r="M1812" i="1"/>
  <c r="H1812" i="1"/>
  <c r="G1811" i="1"/>
  <c r="F1811" i="1"/>
  <c r="G1810" i="1"/>
  <c r="F1810" i="1"/>
  <c r="G1809" i="1"/>
  <c r="F1809" i="1"/>
  <c r="G1808" i="1"/>
  <c r="F1808" i="1"/>
  <c r="J1808" i="1" s="1"/>
  <c r="G1807" i="1"/>
  <c r="F1807" i="1"/>
  <c r="G1806" i="1"/>
  <c r="F1806" i="1"/>
  <c r="G1805" i="1"/>
  <c r="F1805" i="1"/>
  <c r="G1804" i="1"/>
  <c r="F1804" i="1"/>
  <c r="L1804" i="1" s="1"/>
  <c r="G1803" i="1"/>
  <c r="F1803" i="1"/>
  <c r="G1802" i="1"/>
  <c r="F1802" i="1"/>
  <c r="G1801" i="1"/>
  <c r="F1801" i="1"/>
  <c r="G1800" i="1"/>
  <c r="F1800" i="1"/>
  <c r="L1800" i="1" s="1"/>
  <c r="G1799" i="1"/>
  <c r="F1799" i="1"/>
  <c r="G1798" i="1"/>
  <c r="F1798" i="1"/>
  <c r="J1798" i="1" s="1"/>
  <c r="G1797" i="1"/>
  <c r="F1797" i="1"/>
  <c r="O1794" i="1"/>
  <c r="N1794" i="1"/>
  <c r="M1794" i="1"/>
  <c r="H1794" i="1"/>
  <c r="G1793" i="1"/>
  <c r="F1793" i="1"/>
  <c r="I1793" i="1" s="1"/>
  <c r="G1792" i="1"/>
  <c r="F1792" i="1"/>
  <c r="G1791" i="1"/>
  <c r="F1791" i="1"/>
  <c r="L1791" i="1" s="1"/>
  <c r="G1790" i="1"/>
  <c r="F1790" i="1"/>
  <c r="G1789" i="1"/>
  <c r="F1789" i="1"/>
  <c r="G1788" i="1"/>
  <c r="F1788" i="1"/>
  <c r="G1787" i="1"/>
  <c r="F1787" i="1"/>
  <c r="L1787" i="1" s="1"/>
  <c r="G1786" i="1"/>
  <c r="F1786" i="1"/>
  <c r="K1786" i="1" s="1"/>
  <c r="G1785" i="1"/>
  <c r="F1785" i="1"/>
  <c r="G1784" i="1"/>
  <c r="F1784" i="1"/>
  <c r="G1783" i="1"/>
  <c r="F1783" i="1"/>
  <c r="L1783" i="1" s="1"/>
  <c r="G1782" i="1"/>
  <c r="F1782" i="1"/>
  <c r="G1781" i="1"/>
  <c r="F1781" i="1"/>
  <c r="L1781" i="1" s="1"/>
  <c r="G1780" i="1"/>
  <c r="F1780" i="1"/>
  <c r="G1779" i="1"/>
  <c r="F1779" i="1"/>
  <c r="O1776" i="1"/>
  <c r="N1776" i="1"/>
  <c r="M1776" i="1"/>
  <c r="H1776" i="1"/>
  <c r="G1775" i="1"/>
  <c r="F1775" i="1"/>
  <c r="G1774" i="1"/>
  <c r="F1774" i="1"/>
  <c r="I1774" i="1" s="1"/>
  <c r="G1773" i="1"/>
  <c r="F1773" i="1"/>
  <c r="G1772" i="1"/>
  <c r="F1772" i="1"/>
  <c r="G1771" i="1"/>
  <c r="F1771" i="1"/>
  <c r="G1770" i="1"/>
  <c r="F1770" i="1"/>
  <c r="K1770" i="1" s="1"/>
  <c r="G1769" i="1"/>
  <c r="F1769" i="1"/>
  <c r="G1768" i="1"/>
  <c r="F1768" i="1"/>
  <c r="G1767" i="1"/>
  <c r="F1767" i="1"/>
  <c r="K1767" i="1" s="1"/>
  <c r="G1766" i="1"/>
  <c r="F1766" i="1"/>
  <c r="L1766" i="1" s="1"/>
  <c r="G1765" i="1"/>
  <c r="F1765" i="1"/>
  <c r="G1764" i="1"/>
  <c r="F1764" i="1"/>
  <c r="G1763" i="1"/>
  <c r="F1763" i="1"/>
  <c r="G1762" i="1"/>
  <c r="F1762" i="1"/>
  <c r="G1761" i="1"/>
  <c r="F1761" i="1"/>
  <c r="K1761" i="1" s="1"/>
  <c r="G1760" i="1"/>
  <c r="F1760" i="1"/>
  <c r="L1760" i="1" s="1"/>
  <c r="G1759" i="1"/>
  <c r="F1759" i="1"/>
  <c r="G1758" i="1"/>
  <c r="F1758" i="1"/>
  <c r="J1758" i="1" s="1"/>
  <c r="G1757" i="1"/>
  <c r="F1757" i="1"/>
  <c r="G1756" i="1"/>
  <c r="F1756" i="1"/>
  <c r="J1756" i="1" s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K1750" i="1" s="1"/>
  <c r="G1749" i="1"/>
  <c r="F1749" i="1"/>
  <c r="G1748" i="1"/>
  <c r="F1748" i="1"/>
  <c r="O1745" i="1"/>
  <c r="N1745" i="1"/>
  <c r="M1745" i="1"/>
  <c r="H1745" i="1"/>
  <c r="G1744" i="1"/>
  <c r="F1744" i="1"/>
  <c r="I1744" i="1" s="1"/>
  <c r="G1743" i="1"/>
  <c r="F1743" i="1"/>
  <c r="G1742" i="1"/>
  <c r="F1742" i="1"/>
  <c r="G1741" i="1"/>
  <c r="F1741" i="1"/>
  <c r="K1741" i="1" s="1"/>
  <c r="G1740" i="1"/>
  <c r="F1740" i="1"/>
  <c r="G1739" i="1"/>
  <c r="F1739" i="1"/>
  <c r="G1738" i="1"/>
  <c r="F1738" i="1"/>
  <c r="G1737" i="1"/>
  <c r="F1737" i="1"/>
  <c r="K1737" i="1" s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O1728" i="1"/>
  <c r="N1728" i="1"/>
  <c r="M1728" i="1"/>
  <c r="H1728" i="1"/>
  <c r="G1727" i="1"/>
  <c r="F1727" i="1"/>
  <c r="I1727" i="1" s="1"/>
  <c r="G1726" i="1"/>
  <c r="F1726" i="1"/>
  <c r="G1725" i="1"/>
  <c r="F1725" i="1"/>
  <c r="L1725" i="1" s="1"/>
  <c r="G1724" i="1"/>
  <c r="F1724" i="1"/>
  <c r="K1724" i="1" s="1"/>
  <c r="G1723" i="1"/>
  <c r="F1723" i="1"/>
  <c r="G1722" i="1"/>
  <c r="F1722" i="1"/>
  <c r="G1721" i="1"/>
  <c r="F1721" i="1"/>
  <c r="G1720" i="1"/>
  <c r="F1720" i="1"/>
  <c r="L1720" i="1" s="1"/>
  <c r="G1719" i="1"/>
  <c r="F1719" i="1"/>
  <c r="G1718" i="1"/>
  <c r="F1718" i="1"/>
  <c r="L1718" i="1" s="1"/>
  <c r="G1717" i="1"/>
  <c r="F1717" i="1"/>
  <c r="G1716" i="1"/>
  <c r="F1716" i="1"/>
  <c r="L1716" i="1" s="1"/>
  <c r="G1715" i="1"/>
  <c r="F1715" i="1"/>
  <c r="G1714" i="1"/>
  <c r="F1714" i="1"/>
  <c r="O1711" i="1"/>
  <c r="N1711" i="1"/>
  <c r="M1711" i="1"/>
  <c r="H1711" i="1"/>
  <c r="G1710" i="1"/>
  <c r="F1710" i="1"/>
  <c r="G1709" i="1"/>
  <c r="F1709" i="1"/>
  <c r="I1709" i="1" s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L1703" i="1" s="1"/>
  <c r="G1702" i="1"/>
  <c r="F1702" i="1"/>
  <c r="G1701" i="1"/>
  <c r="F1701" i="1"/>
  <c r="G1700" i="1"/>
  <c r="F1700" i="1"/>
  <c r="G1699" i="1"/>
  <c r="F1699" i="1"/>
  <c r="J1699" i="1" s="1"/>
  <c r="O1696" i="1"/>
  <c r="N1696" i="1"/>
  <c r="M1696" i="1"/>
  <c r="H1696" i="1"/>
  <c r="G1695" i="1"/>
  <c r="F1695" i="1"/>
  <c r="G1694" i="1"/>
  <c r="F1694" i="1"/>
  <c r="I1694" i="1" s="1"/>
  <c r="G1693" i="1"/>
  <c r="F1693" i="1"/>
  <c r="K1693" i="1" s="1"/>
  <c r="G1692" i="1"/>
  <c r="F1692" i="1"/>
  <c r="G1691" i="1"/>
  <c r="F1691" i="1"/>
  <c r="G1690" i="1"/>
  <c r="F1690" i="1"/>
  <c r="K1690" i="1" s="1"/>
  <c r="G1689" i="1"/>
  <c r="F1689" i="1"/>
  <c r="G1688" i="1"/>
  <c r="F1688" i="1"/>
  <c r="G1687" i="1"/>
  <c r="F1687" i="1"/>
  <c r="G1686" i="1"/>
  <c r="F1686" i="1"/>
  <c r="L1686" i="1" s="1"/>
  <c r="G1685" i="1"/>
  <c r="F1685" i="1"/>
  <c r="G1684" i="1"/>
  <c r="F1684" i="1"/>
  <c r="G1683" i="1"/>
  <c r="F1683" i="1"/>
  <c r="O1680" i="1"/>
  <c r="N1680" i="1"/>
  <c r="M1680" i="1"/>
  <c r="H1680" i="1"/>
  <c r="G1679" i="1"/>
  <c r="F1679" i="1"/>
  <c r="G1678" i="1"/>
  <c r="F1678" i="1"/>
  <c r="G1677" i="1"/>
  <c r="F1677" i="1"/>
  <c r="G1676" i="1"/>
  <c r="F1676" i="1"/>
  <c r="G1675" i="1"/>
  <c r="F1675" i="1"/>
  <c r="L1675" i="1" s="1"/>
  <c r="G1674" i="1"/>
  <c r="F1674" i="1"/>
  <c r="G1673" i="1"/>
  <c r="F1673" i="1"/>
  <c r="J1673" i="1" s="1"/>
  <c r="G1672" i="1"/>
  <c r="F1672" i="1"/>
  <c r="G1671" i="1"/>
  <c r="F1671" i="1"/>
  <c r="K1671" i="1" s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K1665" i="1" s="1"/>
  <c r="G1664" i="1"/>
  <c r="F1664" i="1"/>
  <c r="G1663" i="1"/>
  <c r="F1663" i="1"/>
  <c r="G1662" i="1"/>
  <c r="F1662" i="1"/>
  <c r="G1661" i="1"/>
  <c r="F1661" i="1"/>
  <c r="K1661" i="1" s="1"/>
  <c r="G1660" i="1"/>
  <c r="F1660" i="1"/>
  <c r="K1660" i="1" s="1"/>
  <c r="G1659" i="1"/>
  <c r="F1659" i="1"/>
  <c r="L1659" i="1" s="1"/>
  <c r="G1658" i="1"/>
  <c r="F1658" i="1"/>
  <c r="G1657" i="1"/>
  <c r="F1657" i="1"/>
  <c r="G1656" i="1"/>
  <c r="F1656" i="1"/>
  <c r="G1655" i="1"/>
  <c r="F1655" i="1"/>
  <c r="J1655" i="1" s="1"/>
  <c r="G1654" i="1"/>
  <c r="F1654" i="1"/>
  <c r="O1651" i="1"/>
  <c r="N1651" i="1"/>
  <c r="M1651" i="1"/>
  <c r="H1651" i="1"/>
  <c r="G1650" i="1"/>
  <c r="F1650" i="1"/>
  <c r="G1649" i="1"/>
  <c r="F1649" i="1"/>
  <c r="G1648" i="1"/>
  <c r="F1648" i="1"/>
  <c r="K1648" i="1" s="1"/>
  <c r="G1647" i="1"/>
  <c r="F1647" i="1"/>
  <c r="G1646" i="1"/>
  <c r="F1646" i="1"/>
  <c r="L1646" i="1" s="1"/>
  <c r="G1645" i="1"/>
  <c r="F1645" i="1"/>
  <c r="G1644" i="1"/>
  <c r="F1644" i="1"/>
  <c r="J1644" i="1" s="1"/>
  <c r="G1643" i="1"/>
  <c r="F1643" i="1"/>
  <c r="G1642" i="1"/>
  <c r="F1642" i="1"/>
  <c r="G1641" i="1"/>
  <c r="F1641" i="1"/>
  <c r="G1640" i="1"/>
  <c r="F1640" i="1"/>
  <c r="L1640" i="1" s="1"/>
  <c r="G1639" i="1"/>
  <c r="F1639" i="1"/>
  <c r="K1639" i="1" s="1"/>
  <c r="G1638" i="1"/>
  <c r="F1638" i="1"/>
  <c r="G1637" i="1"/>
  <c r="F1637" i="1"/>
  <c r="O1634" i="1"/>
  <c r="N1634" i="1"/>
  <c r="M1634" i="1"/>
  <c r="H1634" i="1"/>
  <c r="G1633" i="1"/>
  <c r="F1633" i="1"/>
  <c r="G1632" i="1"/>
  <c r="F1632" i="1"/>
  <c r="G1631" i="1"/>
  <c r="F1631" i="1"/>
  <c r="K1631" i="1" s="1"/>
  <c r="G1630" i="1"/>
  <c r="F1630" i="1"/>
  <c r="G1629" i="1"/>
  <c r="F1629" i="1"/>
  <c r="G1628" i="1"/>
  <c r="F1628" i="1"/>
  <c r="G1627" i="1"/>
  <c r="F1627" i="1"/>
  <c r="G1626" i="1"/>
  <c r="F1626" i="1"/>
  <c r="K1626" i="1" s="1"/>
  <c r="G1625" i="1"/>
  <c r="F1625" i="1"/>
  <c r="G1624" i="1"/>
  <c r="F1624" i="1"/>
  <c r="G1623" i="1"/>
  <c r="F1623" i="1"/>
  <c r="K1623" i="1" s="1"/>
  <c r="G1622" i="1"/>
  <c r="F1622" i="1"/>
  <c r="J1622" i="1" s="1"/>
  <c r="O1619" i="1"/>
  <c r="N1619" i="1"/>
  <c r="M1619" i="1"/>
  <c r="H1619" i="1"/>
  <c r="G1618" i="1"/>
  <c r="F1618" i="1"/>
  <c r="I1618" i="1" s="1"/>
  <c r="G1617" i="1"/>
  <c r="F1617" i="1"/>
  <c r="G1616" i="1"/>
  <c r="F1616" i="1"/>
  <c r="G1615" i="1"/>
  <c r="F1615" i="1"/>
  <c r="G1614" i="1"/>
  <c r="F1614" i="1"/>
  <c r="L1614" i="1" s="1"/>
  <c r="G1613" i="1"/>
  <c r="F1613" i="1"/>
  <c r="K1613" i="1" s="1"/>
  <c r="G1612" i="1"/>
  <c r="F1612" i="1"/>
  <c r="G1611" i="1"/>
  <c r="F1611" i="1"/>
  <c r="G1610" i="1"/>
  <c r="F1610" i="1"/>
  <c r="K1610" i="1" s="1"/>
  <c r="G1609" i="1"/>
  <c r="F1609" i="1"/>
  <c r="G1608" i="1"/>
  <c r="F1608" i="1"/>
  <c r="J1608" i="1" s="1"/>
  <c r="G1607" i="1"/>
  <c r="F1607" i="1"/>
  <c r="G1606" i="1"/>
  <c r="F1606" i="1"/>
  <c r="L1606" i="1" s="1"/>
  <c r="G1605" i="1"/>
  <c r="F1605" i="1"/>
  <c r="G1604" i="1"/>
  <c r="F1604" i="1"/>
  <c r="L1604" i="1" s="1"/>
  <c r="G1603" i="1"/>
  <c r="F1603" i="1"/>
  <c r="G1602" i="1"/>
  <c r="F1602" i="1"/>
  <c r="K1602" i="1" s="1"/>
  <c r="G1601" i="1"/>
  <c r="F1601" i="1"/>
  <c r="O1598" i="1"/>
  <c r="N1598" i="1"/>
  <c r="M1598" i="1"/>
  <c r="H1598" i="1"/>
  <c r="G1597" i="1"/>
  <c r="F1597" i="1"/>
  <c r="I1597" i="1" s="1"/>
  <c r="G1596" i="1"/>
  <c r="F1596" i="1"/>
  <c r="G1595" i="1"/>
  <c r="F1595" i="1"/>
  <c r="G1594" i="1"/>
  <c r="F1594" i="1"/>
  <c r="G1593" i="1"/>
  <c r="F1593" i="1"/>
  <c r="J1593" i="1" s="1"/>
  <c r="J1598" i="1" s="1"/>
  <c r="O1590" i="1"/>
  <c r="N1590" i="1"/>
  <c r="M1590" i="1"/>
  <c r="H1590" i="1"/>
  <c r="G1589" i="1"/>
  <c r="F1589" i="1"/>
  <c r="G1588" i="1"/>
  <c r="F1588" i="1"/>
  <c r="I1588" i="1" s="1"/>
  <c r="G1587" i="1"/>
  <c r="F1587" i="1"/>
  <c r="G1586" i="1"/>
  <c r="F1586" i="1"/>
  <c r="K1586" i="1" s="1"/>
  <c r="G1585" i="1"/>
  <c r="F1585" i="1"/>
  <c r="G1584" i="1"/>
  <c r="F1584" i="1"/>
  <c r="K1584" i="1" s="1"/>
  <c r="G1583" i="1"/>
  <c r="F1583" i="1"/>
  <c r="G1582" i="1"/>
  <c r="F1582" i="1"/>
  <c r="G1581" i="1"/>
  <c r="F1581" i="1"/>
  <c r="G1580" i="1"/>
  <c r="F1580" i="1"/>
  <c r="G1579" i="1"/>
  <c r="F1579" i="1"/>
  <c r="O1576" i="1"/>
  <c r="N1576" i="1"/>
  <c r="M1576" i="1"/>
  <c r="H1576" i="1"/>
  <c r="G1575" i="1"/>
  <c r="F1575" i="1"/>
  <c r="I1575" i="1" s="1"/>
  <c r="G1574" i="1"/>
  <c r="F1574" i="1"/>
  <c r="I1574" i="1" s="1"/>
  <c r="I1576" i="1" s="1"/>
  <c r="G1573" i="1"/>
  <c r="F1573" i="1"/>
  <c r="G1572" i="1"/>
  <c r="F1572" i="1"/>
  <c r="G1571" i="1"/>
  <c r="F1571" i="1"/>
  <c r="K1571" i="1" s="1"/>
  <c r="G1570" i="1"/>
  <c r="F1570" i="1"/>
  <c r="G1569" i="1"/>
  <c r="F1569" i="1"/>
  <c r="G1568" i="1"/>
  <c r="F1568" i="1"/>
  <c r="G1567" i="1"/>
  <c r="F1567" i="1"/>
  <c r="L1567" i="1" s="1"/>
  <c r="G1566" i="1"/>
  <c r="F1566" i="1"/>
  <c r="G1565" i="1"/>
  <c r="F1565" i="1"/>
  <c r="G1564" i="1"/>
  <c r="F1564" i="1"/>
  <c r="G1563" i="1"/>
  <c r="F1563" i="1"/>
  <c r="J1563" i="1" s="1"/>
  <c r="G1562" i="1"/>
  <c r="F1562" i="1"/>
  <c r="G1561" i="1"/>
  <c r="F1561" i="1"/>
  <c r="G1560" i="1"/>
  <c r="F1560" i="1"/>
  <c r="G1559" i="1"/>
  <c r="F1559" i="1"/>
  <c r="K1559" i="1" s="1"/>
  <c r="G1558" i="1"/>
  <c r="F1558" i="1"/>
  <c r="G1557" i="1"/>
  <c r="F1557" i="1"/>
  <c r="O1554" i="1"/>
  <c r="N1554" i="1"/>
  <c r="M1554" i="1"/>
  <c r="H1554" i="1"/>
  <c r="G1553" i="1"/>
  <c r="F1553" i="1"/>
  <c r="G1552" i="1"/>
  <c r="F1552" i="1"/>
  <c r="G1551" i="1"/>
  <c r="F1551" i="1"/>
  <c r="G1550" i="1"/>
  <c r="F1550" i="1"/>
  <c r="L1550" i="1" s="1"/>
  <c r="G1549" i="1"/>
  <c r="F1549" i="1"/>
  <c r="L1549" i="1" s="1"/>
  <c r="G1548" i="1"/>
  <c r="F1548" i="1"/>
  <c r="G1547" i="1"/>
  <c r="F1547" i="1"/>
  <c r="J1547" i="1" s="1"/>
  <c r="G1546" i="1"/>
  <c r="F1546" i="1"/>
  <c r="G1545" i="1"/>
  <c r="F1545" i="1"/>
  <c r="G1544" i="1"/>
  <c r="F1544" i="1"/>
  <c r="G1543" i="1"/>
  <c r="F1543" i="1"/>
  <c r="G1542" i="1"/>
  <c r="F1542" i="1"/>
  <c r="K1542" i="1" s="1"/>
  <c r="G1541" i="1"/>
  <c r="F1541" i="1"/>
  <c r="G1540" i="1"/>
  <c r="F1540" i="1"/>
  <c r="L1540" i="1" s="1"/>
  <c r="G1539" i="1"/>
  <c r="F1539" i="1"/>
  <c r="G1538" i="1"/>
  <c r="F1538" i="1"/>
  <c r="G1537" i="1"/>
  <c r="F1537" i="1"/>
  <c r="J1537" i="1" s="1"/>
  <c r="G1536" i="1"/>
  <c r="F1536" i="1"/>
  <c r="G1535" i="1"/>
  <c r="F1535" i="1"/>
  <c r="G1534" i="1"/>
  <c r="F1534" i="1"/>
  <c r="G1533" i="1"/>
  <c r="F1533" i="1"/>
  <c r="G1532" i="1"/>
  <c r="F1532" i="1"/>
  <c r="L1532" i="1" s="1"/>
  <c r="G1531" i="1"/>
  <c r="F1531" i="1"/>
  <c r="G1530" i="1"/>
  <c r="F1530" i="1"/>
  <c r="J1530" i="1" s="1"/>
  <c r="G1529" i="1"/>
  <c r="F1529" i="1"/>
  <c r="O1526" i="1"/>
  <c r="N1526" i="1"/>
  <c r="M1526" i="1"/>
  <c r="H1526" i="1"/>
  <c r="G1525" i="1"/>
  <c r="F1525" i="1"/>
  <c r="G1524" i="1"/>
  <c r="F1524" i="1"/>
  <c r="G1523" i="1"/>
  <c r="F1523" i="1"/>
  <c r="G1522" i="1"/>
  <c r="F1522" i="1"/>
  <c r="G1521" i="1"/>
  <c r="F1521" i="1"/>
  <c r="J1521" i="1" s="1"/>
  <c r="G1520" i="1"/>
  <c r="F1520" i="1"/>
  <c r="G1519" i="1"/>
  <c r="F1519" i="1"/>
  <c r="G1518" i="1"/>
  <c r="F1518" i="1"/>
  <c r="G1517" i="1"/>
  <c r="F1517" i="1"/>
  <c r="K1517" i="1" s="1"/>
  <c r="G1516" i="1"/>
  <c r="F1516" i="1"/>
  <c r="G1515" i="1"/>
  <c r="F1515" i="1"/>
  <c r="G1514" i="1"/>
  <c r="F1514" i="1"/>
  <c r="L1514" i="1" s="1"/>
  <c r="G1513" i="1"/>
  <c r="F1513" i="1"/>
  <c r="L1513" i="1" s="1"/>
  <c r="G1512" i="1"/>
  <c r="F1512" i="1"/>
  <c r="G1511" i="1"/>
  <c r="F1511" i="1"/>
  <c r="G1510" i="1"/>
  <c r="F1510" i="1"/>
  <c r="G1509" i="1"/>
  <c r="F1509" i="1"/>
  <c r="O1506" i="1"/>
  <c r="N1506" i="1"/>
  <c r="M1506" i="1"/>
  <c r="H1506" i="1"/>
  <c r="G1505" i="1"/>
  <c r="F1505" i="1"/>
  <c r="G1504" i="1"/>
  <c r="F1504" i="1"/>
  <c r="I1504" i="1" s="1"/>
  <c r="G1503" i="1"/>
  <c r="F1503" i="1"/>
  <c r="G1502" i="1"/>
  <c r="F1502" i="1"/>
  <c r="L1502" i="1" s="1"/>
  <c r="G1501" i="1"/>
  <c r="F1501" i="1"/>
  <c r="G1500" i="1"/>
  <c r="F1500" i="1"/>
  <c r="K1500" i="1" s="1"/>
  <c r="G1499" i="1"/>
  <c r="F1499" i="1"/>
  <c r="J1499" i="1" s="1"/>
  <c r="G1498" i="1"/>
  <c r="F1498" i="1"/>
  <c r="G1497" i="1"/>
  <c r="F1497" i="1"/>
  <c r="G1496" i="1"/>
  <c r="F1496" i="1"/>
  <c r="J1496" i="1" s="1"/>
  <c r="G1495" i="1"/>
  <c r="F1495" i="1"/>
  <c r="G1494" i="1"/>
  <c r="F1494" i="1"/>
  <c r="G1493" i="1"/>
  <c r="F1493" i="1"/>
  <c r="G1492" i="1"/>
  <c r="F1492" i="1"/>
  <c r="K1492" i="1" s="1"/>
  <c r="G1491" i="1"/>
  <c r="F1491" i="1"/>
  <c r="J1491" i="1" s="1"/>
  <c r="G1490" i="1"/>
  <c r="F1490" i="1"/>
  <c r="G1489" i="1"/>
  <c r="F1489" i="1"/>
  <c r="G1488" i="1"/>
  <c r="F1488" i="1"/>
  <c r="K1488" i="1" s="1"/>
  <c r="G1487" i="1"/>
  <c r="F1487" i="1"/>
  <c r="G1486" i="1"/>
  <c r="F1486" i="1"/>
  <c r="G1485" i="1"/>
  <c r="F1485" i="1"/>
  <c r="K1485" i="1" s="1"/>
  <c r="G1484" i="1"/>
  <c r="F1484" i="1"/>
  <c r="J1484" i="1" s="1"/>
  <c r="G1483" i="1"/>
  <c r="F1483" i="1"/>
  <c r="G1482" i="1"/>
  <c r="F1482" i="1"/>
  <c r="H1479" i="1"/>
  <c r="F1478" i="1"/>
  <c r="C1478" i="1"/>
  <c r="G1478" i="1" s="1"/>
  <c r="F1477" i="1"/>
  <c r="C1477" i="1"/>
  <c r="G1477" i="1" s="1"/>
  <c r="F1476" i="1"/>
  <c r="I1476" i="1" s="1"/>
  <c r="C1476" i="1"/>
  <c r="G1476" i="1" s="1"/>
  <c r="F1475" i="1"/>
  <c r="C1475" i="1"/>
  <c r="G1475" i="1" s="1"/>
  <c r="G1474" i="1"/>
  <c r="M1474" i="1" s="1"/>
  <c r="F1474" i="1"/>
  <c r="G1473" i="1"/>
  <c r="N1473" i="1" s="1"/>
  <c r="F1473" i="1"/>
  <c r="G1472" i="1"/>
  <c r="O1472" i="1" s="1"/>
  <c r="F1472" i="1"/>
  <c r="G1471" i="1"/>
  <c r="F1471" i="1"/>
  <c r="G1470" i="1"/>
  <c r="K1470" i="1" s="1"/>
  <c r="F1470" i="1"/>
  <c r="G1469" i="1"/>
  <c r="L1469" i="1" s="1"/>
  <c r="F1469" i="1"/>
  <c r="G1468" i="1"/>
  <c r="N1468" i="1" s="1"/>
  <c r="F1468" i="1"/>
  <c r="G1467" i="1"/>
  <c r="O1467" i="1" s="1"/>
  <c r="F1467" i="1"/>
  <c r="G1466" i="1"/>
  <c r="N1466" i="1" s="1"/>
  <c r="F1466" i="1"/>
  <c r="G1465" i="1"/>
  <c r="O1465" i="1" s="1"/>
  <c r="F1465" i="1"/>
  <c r="G1464" i="1"/>
  <c r="O1464" i="1" s="1"/>
  <c r="F1464" i="1"/>
  <c r="G1463" i="1"/>
  <c r="F1463" i="1"/>
  <c r="G1462" i="1"/>
  <c r="L1462" i="1" s="1"/>
  <c r="F1462" i="1"/>
  <c r="G1461" i="1"/>
  <c r="M1461" i="1" s="1"/>
  <c r="F1461" i="1"/>
  <c r="G1460" i="1"/>
  <c r="L1460" i="1" s="1"/>
  <c r="F1460" i="1"/>
  <c r="G1459" i="1"/>
  <c r="F1459" i="1"/>
  <c r="G1458" i="1"/>
  <c r="F1458" i="1"/>
  <c r="G1457" i="1"/>
  <c r="O1457" i="1" s="1"/>
  <c r="F1457" i="1"/>
  <c r="G1456" i="1"/>
  <c r="N1456" i="1" s="1"/>
  <c r="F1456" i="1"/>
  <c r="G1455" i="1"/>
  <c r="N1455" i="1" s="1"/>
  <c r="F1455" i="1"/>
  <c r="G1454" i="1"/>
  <c r="N1454" i="1" s="1"/>
  <c r="F1454" i="1"/>
  <c r="G1453" i="1"/>
  <c r="O1453" i="1" s="1"/>
  <c r="F1453" i="1"/>
  <c r="G1452" i="1"/>
  <c r="L1452" i="1" s="1"/>
  <c r="L1479" i="1" s="1"/>
  <c r="F1452" i="1"/>
  <c r="G1451" i="1"/>
  <c r="F1451" i="1"/>
  <c r="G1450" i="1"/>
  <c r="N1450" i="1" s="1"/>
  <c r="F1450" i="1"/>
  <c r="G1449" i="1"/>
  <c r="O1449" i="1" s="1"/>
  <c r="F1449" i="1"/>
  <c r="G1448" i="1"/>
  <c r="F1448" i="1"/>
  <c r="G1447" i="1"/>
  <c r="F1447" i="1"/>
  <c r="G1446" i="1"/>
  <c r="M1446" i="1" s="1"/>
  <c r="F1446" i="1"/>
  <c r="G1445" i="1"/>
  <c r="M1445" i="1" s="1"/>
  <c r="F1445" i="1"/>
  <c r="G1444" i="1"/>
  <c r="N1444" i="1" s="1"/>
  <c r="F1444" i="1"/>
  <c r="G1443" i="1"/>
  <c r="M1443" i="1" s="1"/>
  <c r="F1443" i="1"/>
  <c r="O1440" i="1"/>
  <c r="N1440" i="1"/>
  <c r="M1440" i="1"/>
  <c r="H1440" i="1"/>
  <c r="F1439" i="1"/>
  <c r="C1439" i="1"/>
  <c r="G1439" i="1" s="1"/>
  <c r="F1438" i="1"/>
  <c r="C1438" i="1"/>
  <c r="G1438" i="1" s="1"/>
  <c r="G1437" i="1"/>
  <c r="L1437" i="1" s="1"/>
  <c r="F1437" i="1"/>
  <c r="G1436" i="1"/>
  <c r="L1436" i="1" s="1"/>
  <c r="F1436" i="1"/>
  <c r="G1435" i="1"/>
  <c r="K1435" i="1" s="1"/>
  <c r="F1435" i="1"/>
  <c r="G1434" i="1"/>
  <c r="J1434" i="1" s="1"/>
  <c r="F1434" i="1"/>
  <c r="G1433" i="1"/>
  <c r="J1433" i="1" s="1"/>
  <c r="F1433" i="1"/>
  <c r="G1432" i="1"/>
  <c r="K1432" i="1" s="1"/>
  <c r="F1432" i="1"/>
  <c r="G1431" i="1"/>
  <c r="F1431" i="1"/>
  <c r="G1430" i="1"/>
  <c r="L1430" i="1" s="1"/>
  <c r="F1430" i="1"/>
  <c r="G1429" i="1"/>
  <c r="L1429" i="1" s="1"/>
  <c r="F1429" i="1"/>
  <c r="G1428" i="1"/>
  <c r="F1428" i="1"/>
  <c r="G1427" i="1"/>
  <c r="F1427" i="1"/>
  <c r="G1426" i="1"/>
  <c r="J1426" i="1" s="1"/>
  <c r="F1426" i="1"/>
  <c r="G1425" i="1"/>
  <c r="K1425" i="1" s="1"/>
  <c r="F1425" i="1"/>
  <c r="G1424" i="1"/>
  <c r="K1424" i="1" s="1"/>
  <c r="F1424" i="1"/>
  <c r="G1423" i="1"/>
  <c r="L1423" i="1" s="1"/>
  <c r="F1423" i="1"/>
  <c r="G1422" i="1"/>
  <c r="L1422" i="1" s="1"/>
  <c r="F1422" i="1"/>
  <c r="G1421" i="1"/>
  <c r="K1421" i="1" s="1"/>
  <c r="F1421" i="1"/>
  <c r="G1420" i="1"/>
  <c r="J1420" i="1" s="1"/>
  <c r="F1420" i="1"/>
  <c r="G1419" i="1"/>
  <c r="F1419" i="1"/>
  <c r="G1418" i="1"/>
  <c r="K1418" i="1" s="1"/>
  <c r="F1418" i="1"/>
  <c r="G1417" i="1"/>
  <c r="K1417" i="1" s="1"/>
  <c r="F1417" i="1"/>
  <c r="G1416" i="1"/>
  <c r="L1416" i="1" s="1"/>
  <c r="F1416" i="1"/>
  <c r="G1415" i="1"/>
  <c r="F1415" i="1"/>
  <c r="G1414" i="1"/>
  <c r="K1414" i="1" s="1"/>
  <c r="F1414" i="1"/>
  <c r="G1413" i="1"/>
  <c r="J1413" i="1" s="1"/>
  <c r="F1413" i="1"/>
  <c r="G1412" i="1"/>
  <c r="F1412" i="1"/>
  <c r="G1411" i="1"/>
  <c r="F1411" i="1"/>
  <c r="O1408" i="1"/>
  <c r="N1408" i="1"/>
  <c r="H1408" i="1"/>
  <c r="F1407" i="1"/>
  <c r="C1407" i="1"/>
  <c r="G1407" i="1" s="1"/>
  <c r="I1407" i="1" s="1"/>
  <c r="F1406" i="1"/>
  <c r="C1406" i="1"/>
  <c r="G1406" i="1" s="1"/>
  <c r="I1406" i="1" s="1"/>
  <c r="G1405" i="1"/>
  <c r="F1405" i="1"/>
  <c r="L1405" i="1" s="1"/>
  <c r="G1404" i="1"/>
  <c r="F1404" i="1"/>
  <c r="G1403" i="1"/>
  <c r="F1403" i="1"/>
  <c r="G1402" i="1"/>
  <c r="F1402" i="1"/>
  <c r="G1401" i="1"/>
  <c r="F1401" i="1"/>
  <c r="G1400" i="1"/>
  <c r="F1400" i="1"/>
  <c r="K1400" i="1" s="1"/>
  <c r="G1399" i="1"/>
  <c r="F1399" i="1"/>
  <c r="L1399" i="1" s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K1392" i="1" s="1"/>
  <c r="G1391" i="1"/>
  <c r="F1391" i="1"/>
  <c r="L1391" i="1" s="1"/>
  <c r="G1390" i="1"/>
  <c r="F1390" i="1"/>
  <c r="G1389" i="1"/>
  <c r="F1389" i="1"/>
  <c r="G1388" i="1"/>
  <c r="L1388" i="1" s="1"/>
  <c r="G1387" i="1"/>
  <c r="F1387" i="1"/>
  <c r="G1386" i="1"/>
  <c r="F1386" i="1"/>
  <c r="G1385" i="1"/>
  <c r="L1385" i="1" s="1"/>
  <c r="F1385" i="1"/>
  <c r="G1384" i="1"/>
  <c r="F1384" i="1"/>
  <c r="G1383" i="1"/>
  <c r="J1383" i="1" s="1"/>
  <c r="F1383" i="1"/>
  <c r="G1382" i="1"/>
  <c r="F1382" i="1"/>
  <c r="G1381" i="1"/>
  <c r="F1381" i="1"/>
  <c r="G1380" i="1"/>
  <c r="F1380" i="1"/>
  <c r="G1379" i="1"/>
  <c r="L1379" i="1" s="1"/>
  <c r="F1379" i="1"/>
  <c r="G1378" i="1"/>
  <c r="J1378" i="1" s="1"/>
  <c r="F1378" i="1"/>
  <c r="G1377" i="1"/>
  <c r="F1377" i="1"/>
  <c r="G1376" i="1"/>
  <c r="F1376" i="1"/>
  <c r="P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AH38" i="4"/>
  <c r="AJ35" i="4"/>
  <c r="AJ34" i="4"/>
  <c r="AJ33" i="4"/>
  <c r="AJ32" i="4"/>
  <c r="AJ31" i="4"/>
  <c r="AJ30" i="4"/>
  <c r="AJ29" i="4"/>
  <c r="AJ28" i="4"/>
  <c r="AJ27" i="4"/>
  <c r="AJ26" i="4"/>
  <c r="AJ25" i="4"/>
  <c r="AH20" i="4"/>
  <c r="AJ17" i="4"/>
  <c r="AJ16" i="4"/>
  <c r="AJ15" i="4"/>
  <c r="AJ14" i="4"/>
  <c r="AJ13" i="4"/>
  <c r="AJ12" i="4"/>
  <c r="AJ11" i="4"/>
  <c r="AJ10" i="4"/>
  <c r="AJ9" i="4"/>
  <c r="AJ8" i="4"/>
  <c r="AJ7" i="4"/>
  <c r="G101" i="4"/>
  <c r="I101" i="4" s="1"/>
  <c r="G100" i="4"/>
  <c r="I100" i="4" s="1"/>
  <c r="G99" i="4"/>
  <c r="I99" i="4" s="1"/>
  <c r="G98" i="4"/>
  <c r="I98" i="4" s="1"/>
  <c r="G97" i="4"/>
  <c r="I97" i="4" s="1"/>
  <c r="G96" i="4"/>
  <c r="I96" i="4" s="1"/>
  <c r="G95" i="4"/>
  <c r="I95" i="4" s="1"/>
  <c r="G94" i="4"/>
  <c r="I94" i="4" s="1"/>
  <c r="G93" i="4"/>
  <c r="I93" i="4" s="1"/>
  <c r="G92" i="4"/>
  <c r="I92" i="4" s="1"/>
  <c r="G91" i="4"/>
  <c r="I91" i="4" s="1"/>
  <c r="G90" i="4"/>
  <c r="I90" i="4" s="1"/>
  <c r="G89" i="4"/>
  <c r="I89" i="4" s="1"/>
  <c r="G88" i="4"/>
  <c r="I88" i="4" s="1"/>
  <c r="G87" i="4"/>
  <c r="I87" i="4" s="1"/>
  <c r="G86" i="4"/>
  <c r="I86" i="4" s="1"/>
  <c r="G85" i="4"/>
  <c r="I85" i="4" s="1"/>
  <c r="G84" i="4"/>
  <c r="I84" i="4" s="1"/>
  <c r="G83" i="4"/>
  <c r="I83" i="4" s="1"/>
  <c r="G82" i="4"/>
  <c r="I82" i="4" s="1"/>
  <c r="G81" i="4"/>
  <c r="I81" i="4" s="1"/>
  <c r="G80" i="4"/>
  <c r="I80" i="4" s="1"/>
  <c r="G79" i="4"/>
  <c r="I79" i="4" s="1"/>
  <c r="G78" i="4"/>
  <c r="I78" i="4" s="1"/>
  <c r="R10" i="4"/>
  <c r="T10" i="4" s="1"/>
  <c r="R11" i="4"/>
  <c r="T11" i="4" s="1"/>
  <c r="Q49" i="4"/>
  <c r="T49" i="4" s="1"/>
  <c r="T50" i="4" s="1"/>
  <c r="N45" i="4"/>
  <c r="R45" i="4" s="1"/>
  <c r="T45" i="4" s="1"/>
  <c r="N44" i="4"/>
  <c r="R44" i="4" s="1"/>
  <c r="T44" i="4" s="1"/>
  <c r="R43" i="4"/>
  <c r="T43" i="4" s="1"/>
  <c r="N42" i="4"/>
  <c r="R42" i="4" s="1"/>
  <c r="T42" i="4" s="1"/>
  <c r="R41" i="4"/>
  <c r="T41" i="4" s="1"/>
  <c r="R40" i="4"/>
  <c r="T40" i="4" s="1"/>
  <c r="N39" i="4"/>
  <c r="R39" i="4" s="1"/>
  <c r="T39" i="4" s="1"/>
  <c r="N38" i="4"/>
  <c r="R38" i="4" s="1"/>
  <c r="T38" i="4" s="1"/>
  <c r="N37" i="4"/>
  <c r="R37" i="4" s="1"/>
  <c r="T37" i="4" s="1"/>
  <c r="R36" i="4"/>
  <c r="T36" i="4" s="1"/>
  <c r="N35" i="4"/>
  <c r="R35" i="4" s="1"/>
  <c r="T35" i="4" s="1"/>
  <c r="N34" i="4"/>
  <c r="R34" i="4" s="1"/>
  <c r="T34" i="4" s="1"/>
  <c r="N33" i="4"/>
  <c r="R33" i="4" s="1"/>
  <c r="T33" i="4" s="1"/>
  <c r="N32" i="4"/>
  <c r="R32" i="4" s="1"/>
  <c r="T32" i="4" s="1"/>
  <c r="R31" i="4"/>
  <c r="T31" i="4" s="1"/>
  <c r="R30" i="4"/>
  <c r="T30" i="4" s="1"/>
  <c r="R29" i="4"/>
  <c r="T29" i="4" s="1"/>
  <c r="R28" i="4"/>
  <c r="T28" i="4" s="1"/>
  <c r="N27" i="4"/>
  <c r="R27" i="4" s="1"/>
  <c r="T27" i="4" s="1"/>
  <c r="N26" i="4"/>
  <c r="R26" i="4" s="1"/>
  <c r="T26" i="4" s="1"/>
  <c r="N25" i="4"/>
  <c r="R25" i="4" s="1"/>
  <c r="T25" i="4" s="1"/>
  <c r="R24" i="4"/>
  <c r="T24" i="4" s="1"/>
  <c r="R23" i="4"/>
  <c r="T23" i="4" s="1"/>
  <c r="R22" i="4"/>
  <c r="T22" i="4" s="1"/>
  <c r="R21" i="4"/>
  <c r="T21" i="4" s="1"/>
  <c r="R20" i="4"/>
  <c r="T20" i="4" s="1"/>
  <c r="R16" i="4"/>
  <c r="T16" i="4" s="1"/>
  <c r="R15" i="4"/>
  <c r="T15" i="4" s="1"/>
  <c r="R14" i="4"/>
  <c r="T14" i="4" s="1"/>
  <c r="R13" i="4"/>
  <c r="T13" i="4" s="1"/>
  <c r="R12" i="4"/>
  <c r="T12" i="4" s="1"/>
  <c r="R9" i="4"/>
  <c r="T9" i="4" s="1"/>
  <c r="R8" i="4"/>
  <c r="T8" i="4" s="1"/>
  <c r="R7" i="4"/>
  <c r="T7" i="4" s="1"/>
  <c r="N6" i="4"/>
  <c r="R6" i="4" s="1"/>
  <c r="T6" i="4" s="1"/>
  <c r="F63" i="2"/>
  <c r="I63" i="2" s="1"/>
  <c r="F62" i="2"/>
  <c r="I62" i="2" s="1"/>
  <c r="F58" i="2"/>
  <c r="I58" i="2" s="1"/>
  <c r="F54" i="2"/>
  <c r="F50" i="2"/>
  <c r="I50" i="2" s="1"/>
  <c r="F46" i="2"/>
  <c r="I46" i="2" s="1"/>
  <c r="F42" i="2"/>
  <c r="I42" i="2"/>
  <c r="F38" i="2"/>
  <c r="G1187" i="1"/>
  <c r="J1187" i="1" s="1"/>
  <c r="J1190" i="1" s="1"/>
  <c r="G1188" i="1"/>
  <c r="K1188" i="1" s="1"/>
  <c r="K1190" i="1" s="1"/>
  <c r="G1189" i="1"/>
  <c r="H1189" i="1" s="1"/>
  <c r="H1190" i="1" s="1"/>
  <c r="G1193" i="1"/>
  <c r="J1193" i="1"/>
  <c r="G1194" i="1"/>
  <c r="G1195" i="1"/>
  <c r="H1195" i="1" s="1"/>
  <c r="H1196" i="1" s="1"/>
  <c r="K1184" i="1"/>
  <c r="L1184" i="1"/>
  <c r="O1184" i="1"/>
  <c r="O1336" i="1"/>
  <c r="N1336" i="1"/>
  <c r="M1336" i="1"/>
  <c r="L1336" i="1"/>
  <c r="K1336" i="1"/>
  <c r="H1336" i="1"/>
  <c r="G1335" i="1"/>
  <c r="F1335" i="1"/>
  <c r="G1334" i="1"/>
  <c r="I1334" i="1" s="1"/>
  <c r="F1334" i="1"/>
  <c r="G1333" i="1"/>
  <c r="I1333" i="1" s="1"/>
  <c r="F1333" i="1"/>
  <c r="G1332" i="1"/>
  <c r="J1332" i="1" s="1"/>
  <c r="J1336" i="1" s="1"/>
  <c r="F1332" i="1"/>
  <c r="G1331" i="1"/>
  <c r="I1331" i="1" s="1"/>
  <c r="F1331" i="1"/>
  <c r="K1328" i="1"/>
  <c r="F1327" i="1"/>
  <c r="C1327" i="1"/>
  <c r="G1327" i="1" s="1"/>
  <c r="F1326" i="1"/>
  <c r="C1326" i="1"/>
  <c r="G1326" i="1" s="1"/>
  <c r="J1326" i="1" s="1"/>
  <c r="F1325" i="1"/>
  <c r="C1325" i="1"/>
  <c r="G1325" i="1" s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N1317" i="1" s="1"/>
  <c r="N1328" i="1" s="1"/>
  <c r="G1316" i="1"/>
  <c r="F1316" i="1"/>
  <c r="O1313" i="1"/>
  <c r="N1313" i="1"/>
  <c r="M1313" i="1"/>
  <c r="L1313" i="1"/>
  <c r="J1313" i="1"/>
  <c r="I1313" i="1"/>
  <c r="H1313" i="1"/>
  <c r="K1312" i="1"/>
  <c r="K1311" i="1"/>
  <c r="O1308" i="1"/>
  <c r="N1308" i="1"/>
  <c r="M1308" i="1"/>
  <c r="L1308" i="1"/>
  <c r="K1308" i="1"/>
  <c r="J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O1299" i="1"/>
  <c r="N1299" i="1"/>
  <c r="M1299" i="1"/>
  <c r="L1299" i="1"/>
  <c r="K1299" i="1"/>
  <c r="J1299" i="1"/>
  <c r="H1299" i="1"/>
  <c r="G1298" i="1"/>
  <c r="F1298" i="1"/>
  <c r="I1298" i="1" s="1"/>
  <c r="G1297" i="1"/>
  <c r="F1297" i="1"/>
  <c r="I1297" i="1" s="1"/>
  <c r="G1296" i="1"/>
  <c r="F1296" i="1"/>
  <c r="G1295" i="1"/>
  <c r="F1295" i="1"/>
  <c r="O1292" i="1"/>
  <c r="N1292" i="1"/>
  <c r="M1292" i="1"/>
  <c r="J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K1286" i="1" s="1"/>
  <c r="K1292" i="1" s="1"/>
  <c r="O1283" i="1"/>
  <c r="N1283" i="1"/>
  <c r="M1283" i="1"/>
  <c r="L1283" i="1"/>
  <c r="K1283" i="1"/>
  <c r="J1283" i="1"/>
  <c r="H1283" i="1"/>
  <c r="I1282" i="1"/>
  <c r="I1281" i="1"/>
  <c r="I1280" i="1"/>
  <c r="I1279" i="1"/>
  <c r="O1276" i="1"/>
  <c r="L1276" i="1"/>
  <c r="K1276" i="1"/>
  <c r="I1276" i="1"/>
  <c r="G1275" i="1"/>
  <c r="E1275" i="1"/>
  <c r="F1275" i="1" s="1"/>
  <c r="G1274" i="1"/>
  <c r="F1274" i="1"/>
  <c r="G1273" i="1"/>
  <c r="F1273" i="1"/>
  <c r="G1272" i="1"/>
  <c r="F1272" i="1"/>
  <c r="G1271" i="1"/>
  <c r="J1271" i="1" s="1"/>
  <c r="F1271" i="1"/>
  <c r="G1270" i="1"/>
  <c r="M1270" i="1" s="1"/>
  <c r="M1276" i="1" s="1"/>
  <c r="F1270" i="1"/>
  <c r="O1267" i="1"/>
  <c r="L1267" i="1"/>
  <c r="K1267" i="1"/>
  <c r="G1266" i="1"/>
  <c r="E1266" i="1"/>
  <c r="F1266" i="1" s="1"/>
  <c r="G1265" i="1"/>
  <c r="F1265" i="1"/>
  <c r="J1265" i="1" s="1"/>
  <c r="G1264" i="1"/>
  <c r="F1264" i="1"/>
  <c r="G1263" i="1"/>
  <c r="F1263" i="1"/>
  <c r="I1263" i="1" s="1"/>
  <c r="I1267" i="1" s="1"/>
  <c r="G1262" i="1"/>
  <c r="F1262" i="1"/>
  <c r="J1262" i="1" s="1"/>
  <c r="G1261" i="1"/>
  <c r="F1261" i="1"/>
  <c r="J1261" i="1" s="1"/>
  <c r="G1260" i="1"/>
  <c r="F1260" i="1"/>
  <c r="M1260" i="1" s="1"/>
  <c r="M1267" i="1" s="1"/>
  <c r="G1259" i="1"/>
  <c r="F1259" i="1"/>
  <c r="O1256" i="1"/>
  <c r="N1256" i="1"/>
  <c r="M1256" i="1"/>
  <c r="L1256" i="1"/>
  <c r="K1256" i="1"/>
  <c r="J1256" i="1"/>
  <c r="H1256" i="1"/>
  <c r="I1255" i="1"/>
  <c r="I1254" i="1"/>
  <c r="I1253" i="1"/>
  <c r="O1250" i="1"/>
  <c r="N1250" i="1"/>
  <c r="M1250" i="1"/>
  <c r="L1250" i="1"/>
  <c r="K1250" i="1"/>
  <c r="G1249" i="1"/>
  <c r="F1249" i="1"/>
  <c r="G1248" i="1"/>
  <c r="I1248" i="1" s="1"/>
  <c r="F1248" i="1"/>
  <c r="G1247" i="1"/>
  <c r="I1247" i="1" s="1"/>
  <c r="F1247" i="1"/>
  <c r="G1246" i="1"/>
  <c r="F1246" i="1"/>
  <c r="G1245" i="1"/>
  <c r="F1245" i="1"/>
  <c r="G1244" i="1"/>
  <c r="I1244" i="1" s="1"/>
  <c r="F1244" i="1"/>
  <c r="G1243" i="1"/>
  <c r="F1243" i="1"/>
  <c r="O1240" i="1"/>
  <c r="L1240" i="1"/>
  <c r="K1240" i="1"/>
  <c r="J1240" i="1"/>
  <c r="G1239" i="1"/>
  <c r="H1239" i="1" s="1"/>
  <c r="H1240" i="1" s="1"/>
  <c r="E1239" i="1"/>
  <c r="F1239" i="1" s="1"/>
  <c r="G1238" i="1"/>
  <c r="F1238" i="1"/>
  <c r="G1237" i="1"/>
  <c r="N1237" i="1" s="1"/>
  <c r="F1237" i="1"/>
  <c r="G1236" i="1"/>
  <c r="M1236" i="1" s="1"/>
  <c r="F1236" i="1"/>
  <c r="G1235" i="1"/>
  <c r="M1235" i="1" s="1"/>
  <c r="F1235" i="1"/>
  <c r="G1234" i="1"/>
  <c r="F1234" i="1"/>
  <c r="G1233" i="1"/>
  <c r="F1233" i="1"/>
  <c r="G1232" i="1"/>
  <c r="F1232" i="1"/>
  <c r="O1229" i="1"/>
  <c r="N1229" i="1"/>
  <c r="M1229" i="1"/>
  <c r="L1229" i="1"/>
  <c r="K1229" i="1"/>
  <c r="G1228" i="1"/>
  <c r="E1228" i="1"/>
  <c r="F1228" i="1" s="1"/>
  <c r="G1227" i="1"/>
  <c r="F1227" i="1"/>
  <c r="I1227" i="1" s="1"/>
  <c r="G1226" i="1"/>
  <c r="F1226" i="1"/>
  <c r="G1225" i="1"/>
  <c r="F1225" i="1"/>
  <c r="J1225" i="1" s="1"/>
  <c r="G1224" i="1"/>
  <c r="F1224" i="1"/>
  <c r="G1223" i="1"/>
  <c r="F1223" i="1"/>
  <c r="J1223" i="1" s="1"/>
  <c r="M1220" i="1"/>
  <c r="L1220" i="1"/>
  <c r="K1220" i="1"/>
  <c r="J1220" i="1"/>
  <c r="G1219" i="1"/>
  <c r="F1219" i="1"/>
  <c r="G1218" i="1"/>
  <c r="E1218" i="1"/>
  <c r="F1218" i="1" s="1"/>
  <c r="G1217" i="1"/>
  <c r="F1217" i="1"/>
  <c r="G1216" i="1"/>
  <c r="F1216" i="1"/>
  <c r="G1215" i="1"/>
  <c r="F1215" i="1"/>
  <c r="N1215" i="1" s="1"/>
  <c r="G1214" i="1"/>
  <c r="F1214" i="1"/>
  <c r="G1213" i="1"/>
  <c r="F1213" i="1"/>
  <c r="G1212" i="1"/>
  <c r="F1212" i="1"/>
  <c r="O1209" i="1"/>
  <c r="N1209" i="1"/>
  <c r="M1209" i="1"/>
  <c r="L1209" i="1"/>
  <c r="K1209" i="1"/>
  <c r="J1209" i="1"/>
  <c r="F1208" i="1"/>
  <c r="C1208" i="1"/>
  <c r="G1208" i="1" s="1"/>
  <c r="H1208" i="1" s="1"/>
  <c r="H1209" i="1" s="1"/>
  <c r="G1207" i="1"/>
  <c r="F1207" i="1"/>
  <c r="I1207" i="1" s="1"/>
  <c r="G1206" i="1"/>
  <c r="F1206" i="1"/>
  <c r="O1203" i="1"/>
  <c r="N1203" i="1"/>
  <c r="M1203" i="1"/>
  <c r="L1203" i="1"/>
  <c r="K1203" i="1"/>
  <c r="I1203" i="1"/>
  <c r="G1202" i="1"/>
  <c r="H1202" i="1" s="1"/>
  <c r="H1203" i="1" s="1"/>
  <c r="G1201" i="1"/>
  <c r="J1201" i="1" s="1"/>
  <c r="J1200" i="1"/>
  <c r="G1199" i="1"/>
  <c r="J1199" i="1" s="1"/>
  <c r="O1196" i="1"/>
  <c r="N1196" i="1"/>
  <c r="M1196" i="1"/>
  <c r="L1196" i="1"/>
  <c r="K1196" i="1"/>
  <c r="I1196" i="1"/>
  <c r="J1194" i="1"/>
  <c r="O1190" i="1"/>
  <c r="N1190" i="1"/>
  <c r="M1190" i="1"/>
  <c r="L1190" i="1"/>
  <c r="I1190" i="1"/>
  <c r="G1183" i="1"/>
  <c r="F1183" i="1"/>
  <c r="H1183" i="1" s="1"/>
  <c r="H1184" i="1" s="1"/>
  <c r="G1182" i="1"/>
  <c r="F1182" i="1"/>
  <c r="G1181" i="1"/>
  <c r="F1181" i="1"/>
  <c r="I1181" i="1" s="1"/>
  <c r="G1180" i="1"/>
  <c r="F1180" i="1"/>
  <c r="G1179" i="1"/>
  <c r="F1179" i="1"/>
  <c r="I1179" i="1" s="1"/>
  <c r="G1178" i="1"/>
  <c r="F1178" i="1"/>
  <c r="I1178" i="1" s="1"/>
  <c r="G1177" i="1"/>
  <c r="F1177" i="1"/>
  <c r="N1177" i="1" s="1"/>
  <c r="N1184" i="1" s="1"/>
  <c r="G1176" i="1"/>
  <c r="F1176" i="1"/>
  <c r="I1176" i="1" s="1"/>
  <c r="G1175" i="1"/>
  <c r="F1175" i="1"/>
  <c r="G1174" i="1"/>
  <c r="F1174" i="1"/>
  <c r="M1171" i="1"/>
  <c r="L1171" i="1"/>
  <c r="G1170" i="1"/>
  <c r="E1170" i="1"/>
  <c r="F1170" i="1" s="1"/>
  <c r="H1170" i="1" s="1"/>
  <c r="H1171" i="1" s="1"/>
  <c r="G1169" i="1"/>
  <c r="F1169" i="1"/>
  <c r="J1169" i="1" s="1"/>
  <c r="G1168" i="1"/>
  <c r="F1168" i="1"/>
  <c r="G1167" i="1"/>
  <c r="F1167" i="1"/>
  <c r="G1166" i="1"/>
  <c r="F1166" i="1"/>
  <c r="I1166" i="1" s="1"/>
  <c r="I1171" i="1" s="1"/>
  <c r="G1165" i="1"/>
  <c r="F1165" i="1"/>
  <c r="J1165" i="1" s="1"/>
  <c r="G1164" i="1"/>
  <c r="F1164" i="1"/>
  <c r="G1163" i="1"/>
  <c r="F1163" i="1"/>
  <c r="G1162" i="1"/>
  <c r="F1162" i="1"/>
  <c r="N1162" i="1" s="1"/>
  <c r="O1159" i="1"/>
  <c r="N1159" i="1"/>
  <c r="K1159" i="1"/>
  <c r="J1159" i="1"/>
  <c r="G1158" i="1"/>
  <c r="E1158" i="1"/>
  <c r="F1158" i="1" s="1"/>
  <c r="H1158" i="1" s="1"/>
  <c r="H1159" i="1" s="1"/>
  <c r="G1157" i="1"/>
  <c r="F1157" i="1"/>
  <c r="I1157" i="1" s="1"/>
  <c r="G1156" i="1"/>
  <c r="F1156" i="1"/>
  <c r="M1156" i="1" s="1"/>
  <c r="G1155" i="1"/>
  <c r="F1155" i="1"/>
  <c r="L1155" i="1" s="1"/>
  <c r="L1159" i="1" s="1"/>
  <c r="G1154" i="1"/>
  <c r="F1154" i="1"/>
  <c r="G1153" i="1"/>
  <c r="F1153" i="1"/>
  <c r="M1153" i="1" s="1"/>
  <c r="G1152" i="1"/>
  <c r="F1152" i="1"/>
  <c r="I1152" i="1" s="1"/>
  <c r="G1151" i="1"/>
  <c r="F1151" i="1"/>
  <c r="O1148" i="1"/>
  <c r="N1148" i="1"/>
  <c r="M1148" i="1"/>
  <c r="L1148" i="1"/>
  <c r="J1148" i="1"/>
  <c r="I1148" i="1"/>
  <c r="H1148" i="1"/>
  <c r="K1147" i="1"/>
  <c r="K1146" i="1"/>
  <c r="O1143" i="1"/>
  <c r="N1143" i="1"/>
  <c r="M1143" i="1"/>
  <c r="K1143" i="1"/>
  <c r="J1143" i="1"/>
  <c r="I1143" i="1"/>
  <c r="G1142" i="1"/>
  <c r="E1142" i="1"/>
  <c r="F1142" i="1" s="1"/>
  <c r="G1141" i="1"/>
  <c r="L1141" i="1" s="1"/>
  <c r="F1141" i="1"/>
  <c r="G1140" i="1"/>
  <c r="L1140" i="1" s="1"/>
  <c r="L1143" i="1" s="1"/>
  <c r="F1140" i="1"/>
  <c r="O1137" i="1"/>
  <c r="M1137" i="1"/>
  <c r="L1137" i="1"/>
  <c r="J1137" i="1"/>
  <c r="F1136" i="1"/>
  <c r="C1136" i="1"/>
  <c r="G1136" i="1" s="1"/>
  <c r="F1135" i="1"/>
  <c r="C1135" i="1"/>
  <c r="G1135" i="1"/>
  <c r="H1135" i="1" s="1"/>
  <c r="H1137" i="1" s="1"/>
  <c r="G1134" i="1"/>
  <c r="F1134" i="1"/>
  <c r="K1134" i="1" s="1"/>
  <c r="G1133" i="1"/>
  <c r="F1133" i="1"/>
  <c r="N1133" i="1" s="1"/>
  <c r="G1132" i="1"/>
  <c r="F1132" i="1"/>
  <c r="G1131" i="1"/>
  <c r="F1131" i="1"/>
  <c r="K1131" i="1" s="1"/>
  <c r="G1130" i="1"/>
  <c r="F1130" i="1"/>
  <c r="N1130" i="1" s="1"/>
  <c r="O1127" i="1"/>
  <c r="N1127" i="1"/>
  <c r="M1127" i="1"/>
  <c r="K1127" i="1"/>
  <c r="J1127" i="1"/>
  <c r="I1127" i="1"/>
  <c r="G1126" i="1"/>
  <c r="F1126" i="1"/>
  <c r="H1126" i="1" s="1"/>
  <c r="H1127" i="1" s="1"/>
  <c r="G1125" i="1"/>
  <c r="F1125" i="1"/>
  <c r="L1125" i="1" s="1"/>
  <c r="G1124" i="1"/>
  <c r="F1124" i="1"/>
  <c r="L1124" i="1" s="1"/>
  <c r="O1121" i="1"/>
  <c r="F1120" i="1"/>
  <c r="C1120" i="1"/>
  <c r="G1120" i="1" s="1"/>
  <c r="F1119" i="1"/>
  <c r="C1119" i="1"/>
  <c r="G1119" i="1"/>
  <c r="H1119" i="1" s="1"/>
  <c r="H1121" i="1" s="1"/>
  <c r="G1118" i="1"/>
  <c r="F1118" i="1"/>
  <c r="N1118" i="1" s="1"/>
  <c r="N1121" i="1" s="1"/>
  <c r="G1117" i="1"/>
  <c r="F1117" i="1"/>
  <c r="G1116" i="1"/>
  <c r="F1116" i="1"/>
  <c r="G1115" i="1"/>
  <c r="F1115" i="1"/>
  <c r="I1115" i="1" s="1"/>
  <c r="G1114" i="1"/>
  <c r="F1114" i="1"/>
  <c r="J1114" i="1" s="1"/>
  <c r="J1121" i="1" s="1"/>
  <c r="G1113" i="1"/>
  <c r="F1113" i="1"/>
  <c r="G1112" i="1"/>
  <c r="F1112" i="1"/>
  <c r="M1112" i="1" s="1"/>
  <c r="M1121" i="1" s="1"/>
  <c r="G1111" i="1"/>
  <c r="F1111" i="1"/>
  <c r="I1111" i="1" s="1"/>
  <c r="G1110" i="1"/>
  <c r="F1110" i="1"/>
  <c r="L1110" i="1" s="1"/>
  <c r="G1109" i="1"/>
  <c r="F1109" i="1"/>
  <c r="K1109" i="1" s="1"/>
  <c r="H1100" i="1"/>
  <c r="F1099" i="1"/>
  <c r="C1099" i="1"/>
  <c r="G1099" i="1"/>
  <c r="I1099" i="1" s="1"/>
  <c r="I1100" i="1" s="1"/>
  <c r="F1098" i="1"/>
  <c r="C1098" i="1"/>
  <c r="G1098" i="1" s="1"/>
  <c r="J1098" i="1" s="1"/>
  <c r="J1100" i="1" s="1"/>
  <c r="F1097" i="1"/>
  <c r="C1097" i="1"/>
  <c r="G1097" i="1" s="1"/>
  <c r="G1096" i="1"/>
  <c r="F1096" i="1"/>
  <c r="G1095" i="1"/>
  <c r="F1095" i="1"/>
  <c r="G1094" i="1"/>
  <c r="F1094" i="1"/>
  <c r="G1093" i="1"/>
  <c r="F1093" i="1"/>
  <c r="M1093" i="1" s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K1087" i="1" s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O1075" i="1"/>
  <c r="H1075" i="1"/>
  <c r="F1074" i="1"/>
  <c r="C1074" i="1"/>
  <c r="G1074" i="1" s="1"/>
  <c r="F1073" i="1"/>
  <c r="C1073" i="1"/>
  <c r="G1073" i="1" s="1"/>
  <c r="G1072" i="1"/>
  <c r="F1072" i="1"/>
  <c r="N1072" i="1" s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M1060" i="1"/>
  <c r="L1060" i="1"/>
  <c r="J1060" i="1"/>
  <c r="I1060" i="1"/>
  <c r="H1060" i="1"/>
  <c r="F1059" i="1"/>
  <c r="C1059" i="1"/>
  <c r="G1059" i="1" s="1"/>
  <c r="G1058" i="1"/>
  <c r="N1058" i="1" s="1"/>
  <c r="F1058" i="1"/>
  <c r="G1057" i="1"/>
  <c r="N1057" i="1" s="1"/>
  <c r="F1057" i="1"/>
  <c r="G1056" i="1"/>
  <c r="N1056" i="1" s="1"/>
  <c r="F1056" i="1"/>
  <c r="G1055" i="1"/>
  <c r="O1055" i="1" s="1"/>
  <c r="F1055" i="1"/>
  <c r="G1054" i="1"/>
  <c r="F1054" i="1"/>
  <c r="G1053" i="1"/>
  <c r="F1053" i="1"/>
  <c r="G1052" i="1"/>
  <c r="O1052" i="1" s="1"/>
  <c r="F1052" i="1"/>
  <c r="I1049" i="1"/>
  <c r="H1049" i="1"/>
  <c r="F1048" i="1"/>
  <c r="C1048" i="1"/>
  <c r="G1048" i="1" s="1"/>
  <c r="F1047" i="1"/>
  <c r="C1047" i="1"/>
  <c r="G1047" i="1"/>
  <c r="G1046" i="1"/>
  <c r="F1046" i="1"/>
  <c r="N1046" i="1" s="1"/>
  <c r="G1045" i="1"/>
  <c r="F1045" i="1"/>
  <c r="G1044" i="1"/>
  <c r="F1044" i="1"/>
  <c r="G1043" i="1"/>
  <c r="F1043" i="1"/>
  <c r="L1043" i="1" s="1"/>
  <c r="G1042" i="1"/>
  <c r="F1042" i="1"/>
  <c r="J1042" i="1" s="1"/>
  <c r="G1041" i="1"/>
  <c r="F1041" i="1"/>
  <c r="K1041" i="1" s="1"/>
  <c r="G1040" i="1"/>
  <c r="F1040" i="1"/>
  <c r="G1039" i="1"/>
  <c r="F1039" i="1"/>
  <c r="L1039" i="1" s="1"/>
  <c r="G1038" i="1"/>
  <c r="F1038" i="1"/>
  <c r="M1038" i="1" s="1"/>
  <c r="G1037" i="1"/>
  <c r="F1037" i="1"/>
  <c r="G1036" i="1"/>
  <c r="F1036" i="1"/>
  <c r="G1035" i="1"/>
  <c r="F1035" i="1"/>
  <c r="N1035" i="1" s="1"/>
  <c r="G1034" i="1"/>
  <c r="F1034" i="1"/>
  <c r="N1034" i="1" s="1"/>
  <c r="G1033" i="1"/>
  <c r="F1033" i="1"/>
  <c r="M1033" i="1" s="1"/>
  <c r="G1032" i="1"/>
  <c r="F1032" i="1"/>
  <c r="G1031" i="1"/>
  <c r="F1031" i="1"/>
  <c r="N1031" i="1" s="1"/>
  <c r="O1028" i="1"/>
  <c r="N1028" i="1"/>
  <c r="M1028" i="1"/>
  <c r="H1028" i="1"/>
  <c r="F1027" i="1"/>
  <c r="C1027" i="1"/>
  <c r="G1027" i="1" s="1"/>
  <c r="G1026" i="1"/>
  <c r="F1026" i="1"/>
  <c r="J1026" i="1" s="1"/>
  <c r="G1025" i="1"/>
  <c r="F1025" i="1"/>
  <c r="K1025" i="1" s="1"/>
  <c r="G1024" i="1"/>
  <c r="F1024" i="1"/>
  <c r="K1024" i="1" s="1"/>
  <c r="G1023" i="1"/>
  <c r="F1023" i="1"/>
  <c r="G1022" i="1"/>
  <c r="F1022" i="1"/>
  <c r="J1022" i="1" s="1"/>
  <c r="G1021" i="1"/>
  <c r="F1021" i="1"/>
  <c r="K1021" i="1" s="1"/>
  <c r="G1020" i="1"/>
  <c r="F1020" i="1"/>
  <c r="K1020" i="1" s="1"/>
  <c r="G1019" i="1"/>
  <c r="F1019" i="1"/>
  <c r="G1018" i="1"/>
  <c r="F1018" i="1"/>
  <c r="J1018" i="1" s="1"/>
  <c r="G1017" i="1"/>
  <c r="F1017" i="1"/>
  <c r="K1017" i="1" s="1"/>
  <c r="G1016" i="1"/>
  <c r="F1016" i="1"/>
  <c r="L1016" i="1" s="1"/>
  <c r="O1013" i="1"/>
  <c r="N1013" i="1"/>
  <c r="M1013" i="1"/>
  <c r="H1013" i="1"/>
  <c r="F1012" i="1"/>
  <c r="C1012" i="1"/>
  <c r="G1012" i="1" s="1"/>
  <c r="I1012" i="1" s="1"/>
  <c r="I1013" i="1" s="1"/>
  <c r="G1011" i="1"/>
  <c r="F1011" i="1"/>
  <c r="G1010" i="1"/>
  <c r="F1010" i="1"/>
  <c r="K1010" i="1" s="1"/>
  <c r="G1009" i="1"/>
  <c r="F1009" i="1"/>
  <c r="L1009" i="1" s="1"/>
  <c r="G1008" i="1"/>
  <c r="F1008" i="1"/>
  <c r="L1008" i="1" s="1"/>
  <c r="G1007" i="1"/>
  <c r="F1007" i="1"/>
  <c r="J1007" i="1" s="1"/>
  <c r="G1006" i="1"/>
  <c r="F1006" i="1"/>
  <c r="K1006" i="1" s="1"/>
  <c r="K1013" i="1" s="1"/>
  <c r="G1005" i="1"/>
  <c r="F1005" i="1"/>
  <c r="L1005" i="1" s="1"/>
  <c r="H1002" i="1"/>
  <c r="F1001" i="1"/>
  <c r="J1001" i="1" s="1"/>
  <c r="J1002" i="1" s="1"/>
  <c r="C1001" i="1"/>
  <c r="G1001" i="1" s="1"/>
  <c r="F1000" i="1"/>
  <c r="C1000" i="1"/>
  <c r="G1000" i="1" s="1"/>
  <c r="G999" i="1"/>
  <c r="F999" i="1"/>
  <c r="G998" i="1"/>
  <c r="F998" i="1"/>
  <c r="G997" i="1"/>
  <c r="N997" i="1" s="1"/>
  <c r="F997" i="1"/>
  <c r="G996" i="1"/>
  <c r="O996" i="1" s="1"/>
  <c r="F996" i="1"/>
  <c r="G995" i="1"/>
  <c r="F995" i="1"/>
  <c r="G994" i="1"/>
  <c r="F994" i="1"/>
  <c r="G993" i="1"/>
  <c r="F993" i="1"/>
  <c r="G992" i="1"/>
  <c r="O992" i="1" s="1"/>
  <c r="F992" i="1"/>
  <c r="G991" i="1"/>
  <c r="F991" i="1"/>
  <c r="G990" i="1"/>
  <c r="F990" i="1"/>
  <c r="G989" i="1"/>
  <c r="K989" i="1" s="1"/>
  <c r="F989" i="1"/>
  <c r="G988" i="1"/>
  <c r="L988" i="1" s="1"/>
  <c r="F988" i="1"/>
  <c r="G987" i="1"/>
  <c r="F987" i="1"/>
  <c r="G986" i="1"/>
  <c r="F986" i="1"/>
  <c r="G985" i="1"/>
  <c r="N985" i="1" s="1"/>
  <c r="F985" i="1"/>
  <c r="G984" i="1"/>
  <c r="M984" i="1" s="1"/>
  <c r="F984" i="1"/>
  <c r="G983" i="1"/>
  <c r="F983" i="1"/>
  <c r="G982" i="1"/>
  <c r="F982" i="1"/>
  <c r="G981" i="1"/>
  <c r="L981" i="1" s="1"/>
  <c r="F981" i="1"/>
  <c r="G980" i="1"/>
  <c r="K980" i="1" s="1"/>
  <c r="F980" i="1"/>
  <c r="G979" i="1"/>
  <c r="F979" i="1"/>
  <c r="H976" i="1"/>
  <c r="F975" i="1"/>
  <c r="C975" i="1"/>
  <c r="G975" i="1" s="1"/>
  <c r="F974" i="1"/>
  <c r="C974" i="1"/>
  <c r="G974" i="1" s="1"/>
  <c r="I974" i="1" s="1"/>
  <c r="I976" i="1" s="1"/>
  <c r="G973" i="1"/>
  <c r="F973" i="1"/>
  <c r="G972" i="1"/>
  <c r="F972" i="1"/>
  <c r="G971" i="1"/>
  <c r="F971" i="1"/>
  <c r="M971" i="1" s="1"/>
  <c r="G970" i="1"/>
  <c r="F970" i="1"/>
  <c r="G969" i="1"/>
  <c r="F969" i="1"/>
  <c r="G968" i="1"/>
  <c r="F968" i="1"/>
  <c r="G967" i="1"/>
  <c r="F967" i="1"/>
  <c r="G966" i="1"/>
  <c r="F966" i="1"/>
  <c r="N966" i="1" s="1"/>
  <c r="G965" i="1"/>
  <c r="F965" i="1"/>
  <c r="N965" i="1" s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L955" i="1" s="1"/>
  <c r="G954" i="1"/>
  <c r="F954" i="1"/>
  <c r="L954" i="1" s="1"/>
  <c r="G953" i="1"/>
  <c r="F953" i="1"/>
  <c r="G952" i="1"/>
  <c r="F952" i="1"/>
  <c r="H949" i="1"/>
  <c r="F948" i="1"/>
  <c r="C948" i="1"/>
  <c r="G948" i="1" s="1"/>
  <c r="F947" i="1"/>
  <c r="C947" i="1"/>
  <c r="G947" i="1"/>
  <c r="J947" i="1" s="1"/>
  <c r="F946" i="1"/>
  <c r="C946" i="1"/>
  <c r="G946" i="1" s="1"/>
  <c r="F945" i="1"/>
  <c r="C945" i="1"/>
  <c r="G945" i="1" s="1"/>
  <c r="F944" i="1"/>
  <c r="C944" i="1"/>
  <c r="G944" i="1" s="1"/>
  <c r="I944" i="1" s="1"/>
  <c r="I949" i="1" s="1"/>
  <c r="G943" i="1"/>
  <c r="F943" i="1"/>
  <c r="G942" i="1"/>
  <c r="F942" i="1"/>
  <c r="G941" i="1"/>
  <c r="F941" i="1"/>
  <c r="K941" i="1" s="1"/>
  <c r="G940" i="1"/>
  <c r="F940" i="1"/>
  <c r="G939" i="1"/>
  <c r="F939" i="1"/>
  <c r="G938" i="1"/>
  <c r="F938" i="1"/>
  <c r="O938" i="1" s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O927" i="1" s="1"/>
  <c r="G926" i="1"/>
  <c r="F926" i="1"/>
  <c r="M923" i="1"/>
  <c r="L923" i="1"/>
  <c r="F922" i="1"/>
  <c r="C922" i="1"/>
  <c r="G922" i="1" s="1"/>
  <c r="F921" i="1"/>
  <c r="C921" i="1"/>
  <c r="G921" i="1" s="1"/>
  <c r="F920" i="1"/>
  <c r="C920" i="1"/>
  <c r="G920" i="1" s="1"/>
  <c r="G919" i="1"/>
  <c r="F919" i="1"/>
  <c r="G918" i="1"/>
  <c r="F918" i="1"/>
  <c r="G917" i="1"/>
  <c r="F917" i="1"/>
  <c r="N917" i="1" s="1"/>
  <c r="G916" i="1"/>
  <c r="F916" i="1"/>
  <c r="G915" i="1"/>
  <c r="F915" i="1"/>
  <c r="G914" i="1"/>
  <c r="F914" i="1"/>
  <c r="G913" i="1"/>
  <c r="F913" i="1"/>
  <c r="K1616" i="1"/>
  <c r="J1684" i="1"/>
  <c r="I1726" i="1"/>
  <c r="J1823" i="1"/>
  <c r="J1402" i="1"/>
  <c r="J1377" i="1"/>
  <c r="M1387" i="1"/>
  <c r="L1494" i="1"/>
  <c r="K1534" i="1"/>
  <c r="L1587" i="1"/>
  <c r="J1873" i="1"/>
  <c r="I1888" i="1"/>
  <c r="K1389" i="1"/>
  <c r="K1395" i="1"/>
  <c r="K1403" i="1"/>
  <c r="J1412" i="1"/>
  <c r="K1428" i="1"/>
  <c r="O1448" i="1"/>
  <c r="N1459" i="1"/>
  <c r="K1482" i="1"/>
  <c r="K1509" i="1"/>
  <c r="I1525" i="1"/>
  <c r="J1580" i="1"/>
  <c r="L1605" i="1"/>
  <c r="J1627" i="1"/>
  <c r="K1657" i="1"/>
  <c r="K1669" i="1"/>
  <c r="K1677" i="1"/>
  <c r="L1707" i="1"/>
  <c r="K1733" i="1"/>
  <c r="K1754" i="1"/>
  <c r="L1762" i="1"/>
  <c r="J1779" i="1"/>
  <c r="K1790" i="1"/>
  <c r="L1802" i="1"/>
  <c r="K1818" i="1"/>
  <c r="L1851" i="1"/>
  <c r="J1546" i="1"/>
  <c r="J1196" i="1"/>
  <c r="I1295" i="1"/>
  <c r="I1224" i="1"/>
  <c r="J1274" i="1"/>
  <c r="I1288" i="1"/>
  <c r="G42" i="2"/>
  <c r="J42" i="2" s="1"/>
  <c r="G50" i="2"/>
  <c r="J50" i="2" s="1"/>
  <c r="G58" i="2"/>
  <c r="J58" i="2" s="1"/>
  <c r="G63" i="2"/>
  <c r="J63" i="2" s="1"/>
  <c r="N993" i="1"/>
  <c r="L1116" i="1"/>
  <c r="J1175" i="1"/>
  <c r="J1184" i="1" s="1"/>
  <c r="I1219" i="1"/>
  <c r="N1233" i="1"/>
  <c r="J1246" i="1"/>
  <c r="N1264" i="1"/>
  <c r="I1289" i="1"/>
  <c r="I1305" i="1"/>
  <c r="J1321" i="1"/>
  <c r="O1053" i="1"/>
  <c r="H1325" i="1"/>
  <c r="H1328" i="1" s="1"/>
  <c r="E14" i="9"/>
  <c r="H14" i="9" s="1"/>
  <c r="E13" i="9"/>
  <c r="C36" i="9"/>
  <c r="G14" i="9"/>
  <c r="G24" i="9"/>
  <c r="F24" i="9"/>
  <c r="E24" i="9"/>
  <c r="G23" i="9"/>
  <c r="F23" i="9"/>
  <c r="E23" i="9"/>
  <c r="G22" i="9"/>
  <c r="F22" i="9"/>
  <c r="E22" i="9"/>
  <c r="H22" i="9" s="1"/>
  <c r="F21" i="9"/>
  <c r="E21" i="9"/>
  <c r="H21" i="9" s="1"/>
  <c r="G20" i="9"/>
  <c r="F20" i="9"/>
  <c r="E20" i="9"/>
  <c r="G19" i="9"/>
  <c r="F19" i="9"/>
  <c r="E19" i="9"/>
  <c r="H19" i="9" s="1"/>
  <c r="G18" i="9"/>
  <c r="F18" i="9"/>
  <c r="E18" i="9"/>
  <c r="G17" i="9"/>
  <c r="F17" i="9"/>
  <c r="E17" i="9"/>
  <c r="G16" i="9"/>
  <c r="F16" i="9"/>
  <c r="E16" i="9"/>
  <c r="G15" i="9"/>
  <c r="F15" i="9"/>
  <c r="E15" i="9"/>
  <c r="F14" i="9"/>
  <c r="F13" i="9"/>
  <c r="I80" i="1"/>
  <c r="C758" i="1"/>
  <c r="C757" i="1"/>
  <c r="H757" i="1" s="1"/>
  <c r="F757" i="1"/>
  <c r="C756" i="1"/>
  <c r="G756" i="1" s="1"/>
  <c r="E756" i="1"/>
  <c r="H756" i="1" s="1"/>
  <c r="I43" i="1"/>
  <c r="H43" i="1"/>
  <c r="O900" i="1"/>
  <c r="O903" i="1" s="1"/>
  <c r="N900" i="1"/>
  <c r="N903" i="1" s="1"/>
  <c r="M900" i="1"/>
  <c r="M903" i="1" s="1"/>
  <c r="L900" i="1"/>
  <c r="L903" i="1" s="1"/>
  <c r="K900" i="1"/>
  <c r="K903" i="1" s="1"/>
  <c r="J900" i="1"/>
  <c r="J903" i="1" s="1"/>
  <c r="H900" i="1"/>
  <c r="H903" i="1" s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O878" i="1"/>
  <c r="O882" i="1" s="1"/>
  <c r="N878" i="1"/>
  <c r="N882" i="1" s="1"/>
  <c r="M878" i="1"/>
  <c r="M882" i="1" s="1"/>
  <c r="L878" i="1"/>
  <c r="L882" i="1" s="1"/>
  <c r="K878" i="1"/>
  <c r="K882" i="1" s="1"/>
  <c r="J878" i="1"/>
  <c r="J882" i="1" s="1"/>
  <c r="I878" i="1"/>
  <c r="I882" i="1" s="1"/>
  <c r="G877" i="1"/>
  <c r="F877" i="1"/>
  <c r="G876" i="1"/>
  <c r="F876" i="1"/>
  <c r="I825" i="1"/>
  <c r="J825" i="1"/>
  <c r="K825" i="1"/>
  <c r="M825" i="1"/>
  <c r="N825" i="1"/>
  <c r="O825" i="1"/>
  <c r="I832" i="1"/>
  <c r="J832" i="1"/>
  <c r="K832" i="1"/>
  <c r="N832" i="1"/>
  <c r="O832" i="1"/>
  <c r="I842" i="1"/>
  <c r="K842" i="1"/>
  <c r="N842" i="1"/>
  <c r="O842" i="1"/>
  <c r="I863" i="1"/>
  <c r="J863" i="1"/>
  <c r="K863" i="1"/>
  <c r="L863" i="1"/>
  <c r="O863" i="1"/>
  <c r="E862" i="1"/>
  <c r="F862" i="1" s="1"/>
  <c r="C862" i="1"/>
  <c r="G862" i="1" s="1"/>
  <c r="E841" i="1"/>
  <c r="F841" i="1" s="1"/>
  <c r="C841" i="1"/>
  <c r="G841" i="1" s="1"/>
  <c r="F831" i="1"/>
  <c r="C831" i="1"/>
  <c r="G831" i="1" s="1"/>
  <c r="F824" i="1"/>
  <c r="C824" i="1"/>
  <c r="G824" i="1" s="1"/>
  <c r="I819" i="1"/>
  <c r="J819" i="1"/>
  <c r="M819" i="1"/>
  <c r="N819" i="1"/>
  <c r="O819" i="1"/>
  <c r="F818" i="1"/>
  <c r="C818" i="1"/>
  <c r="G818" i="1" s="1"/>
  <c r="L813" i="1"/>
  <c r="M813" i="1"/>
  <c r="N813" i="1"/>
  <c r="O813" i="1"/>
  <c r="E812" i="1"/>
  <c r="F812" i="1" s="1"/>
  <c r="C812" i="1"/>
  <c r="G812" i="1" s="1"/>
  <c r="M801" i="1"/>
  <c r="N801" i="1"/>
  <c r="O801" i="1"/>
  <c r="E800" i="1"/>
  <c r="F800" i="1" s="1"/>
  <c r="C800" i="1"/>
  <c r="G800" i="1" s="1"/>
  <c r="J792" i="1"/>
  <c r="H792" i="1"/>
  <c r="E791" i="1"/>
  <c r="F791" i="1" s="1"/>
  <c r="C791" i="1"/>
  <c r="G791" i="1" s="1"/>
  <c r="I729" i="1"/>
  <c r="J729" i="1"/>
  <c r="K729" i="1"/>
  <c r="L729" i="1"/>
  <c r="N729" i="1"/>
  <c r="O729" i="1"/>
  <c r="F728" i="1"/>
  <c r="C728" i="1"/>
  <c r="G728" i="1" s="1"/>
  <c r="J723" i="1"/>
  <c r="K723" i="1"/>
  <c r="L723" i="1"/>
  <c r="M723" i="1"/>
  <c r="N723" i="1"/>
  <c r="O723" i="1"/>
  <c r="F722" i="1"/>
  <c r="C722" i="1"/>
  <c r="G722" i="1" s="1"/>
  <c r="J717" i="1"/>
  <c r="K717" i="1"/>
  <c r="L717" i="1"/>
  <c r="M717" i="1"/>
  <c r="N717" i="1"/>
  <c r="O717" i="1"/>
  <c r="F716" i="1"/>
  <c r="C716" i="1"/>
  <c r="G716" i="1" s="1"/>
  <c r="J709" i="1"/>
  <c r="O709" i="1"/>
  <c r="E708" i="1"/>
  <c r="F708" i="1" s="1"/>
  <c r="C708" i="1"/>
  <c r="G708" i="1" s="1"/>
  <c r="H510" i="1"/>
  <c r="F509" i="1"/>
  <c r="C509" i="1"/>
  <c r="G509" i="1" s="1"/>
  <c r="F508" i="1"/>
  <c r="C508" i="1"/>
  <c r="G508" i="1" s="1"/>
  <c r="E507" i="1"/>
  <c r="F507" i="1" s="1"/>
  <c r="C507" i="1"/>
  <c r="G507" i="1" s="1"/>
  <c r="E506" i="1"/>
  <c r="F506" i="1" s="1"/>
  <c r="C506" i="1"/>
  <c r="G506" i="1" s="1"/>
  <c r="E505" i="1"/>
  <c r="F505" i="1" s="1"/>
  <c r="C505" i="1"/>
  <c r="G505" i="1" s="1"/>
  <c r="H424" i="1"/>
  <c r="H468" i="1"/>
  <c r="E467" i="1"/>
  <c r="F467" i="1" s="1"/>
  <c r="C467" i="1"/>
  <c r="G467" i="1" s="1"/>
  <c r="F466" i="1"/>
  <c r="C466" i="1"/>
  <c r="G466" i="1" s="1"/>
  <c r="F465" i="1"/>
  <c r="C465" i="1"/>
  <c r="G465" i="1" s="1"/>
  <c r="F464" i="1"/>
  <c r="C464" i="1"/>
  <c r="G464" i="1" s="1"/>
  <c r="F463" i="1"/>
  <c r="C463" i="1"/>
  <c r="G463" i="1" s="1"/>
  <c r="E462" i="1"/>
  <c r="F462" i="1" s="1"/>
  <c r="C462" i="1"/>
  <c r="G462" i="1" s="1"/>
  <c r="E423" i="1"/>
  <c r="F423" i="1" s="1"/>
  <c r="C423" i="1"/>
  <c r="G423" i="1" s="1"/>
  <c r="E422" i="1"/>
  <c r="F422" i="1" s="1"/>
  <c r="C422" i="1"/>
  <c r="G422" i="1" s="1"/>
  <c r="I889" i="1"/>
  <c r="F27" i="2"/>
  <c r="G27" i="2" s="1"/>
  <c r="J27" i="2" s="1"/>
  <c r="F23" i="2"/>
  <c r="I23" i="2" s="1"/>
  <c r="F19" i="2"/>
  <c r="I19" i="2" s="1"/>
  <c r="F15" i="2"/>
  <c r="I15" i="2" s="1"/>
  <c r="F11" i="2"/>
  <c r="G11" i="2" s="1"/>
  <c r="F7" i="2"/>
  <c r="I7" i="2" s="1"/>
  <c r="C9" i="6"/>
  <c r="F106" i="3" s="1"/>
  <c r="B9" i="6"/>
  <c r="F105" i="3" s="1"/>
  <c r="A9" i="6"/>
  <c r="F104" i="3" s="1"/>
  <c r="G74" i="5"/>
  <c r="F679" i="1"/>
  <c r="C679" i="1"/>
  <c r="G679" i="1" s="1"/>
  <c r="F678" i="1"/>
  <c r="C678" i="1"/>
  <c r="G678" i="1" s="1"/>
  <c r="I678" i="1" s="1"/>
  <c r="F677" i="1"/>
  <c r="C677" i="1"/>
  <c r="G677" i="1" s="1"/>
  <c r="O655" i="1"/>
  <c r="N655" i="1"/>
  <c r="M655" i="1"/>
  <c r="L655" i="1"/>
  <c r="K655" i="1"/>
  <c r="J655" i="1"/>
  <c r="F654" i="1"/>
  <c r="C654" i="1"/>
  <c r="G654" i="1" s="1"/>
  <c r="G653" i="1"/>
  <c r="F653" i="1"/>
  <c r="I653" i="1" s="1"/>
  <c r="G652" i="1"/>
  <c r="F652" i="1"/>
  <c r="F648" i="1"/>
  <c r="C648" i="1"/>
  <c r="G648" i="1" s="1"/>
  <c r="F637" i="1"/>
  <c r="C637" i="1"/>
  <c r="G637" i="1" s="1"/>
  <c r="F636" i="1"/>
  <c r="C636" i="1"/>
  <c r="G636" i="1" s="1"/>
  <c r="F635" i="1"/>
  <c r="C635" i="1"/>
  <c r="G635" i="1" s="1"/>
  <c r="H635" i="1" s="1"/>
  <c r="C604" i="1"/>
  <c r="I604" i="1" s="1"/>
  <c r="C603" i="1"/>
  <c r="G603" i="1" s="1"/>
  <c r="F604" i="1"/>
  <c r="F603" i="1"/>
  <c r="I568" i="1"/>
  <c r="K568" i="1"/>
  <c r="L568" i="1"/>
  <c r="M568" i="1"/>
  <c r="N568" i="1"/>
  <c r="O568" i="1"/>
  <c r="J566" i="1"/>
  <c r="J565" i="1"/>
  <c r="G566" i="1"/>
  <c r="G565" i="1"/>
  <c r="F567" i="1"/>
  <c r="C567" i="1"/>
  <c r="H567" i="1" s="1"/>
  <c r="H568" i="1" s="1"/>
  <c r="C573" i="1"/>
  <c r="H573" i="1" s="1"/>
  <c r="H574" i="1" s="1"/>
  <c r="C538" i="1"/>
  <c r="J11" i="2"/>
  <c r="G19" i="2"/>
  <c r="J19" i="2" s="1"/>
  <c r="F777" i="1"/>
  <c r="C777" i="1"/>
  <c r="G777" i="1" s="1"/>
  <c r="F691" i="1"/>
  <c r="G691" i="1"/>
  <c r="C687" i="1"/>
  <c r="G687" i="1" s="1"/>
  <c r="F687" i="1"/>
  <c r="C610" i="1"/>
  <c r="G610" i="1" s="1"/>
  <c r="F610" i="1"/>
  <c r="F573" i="1"/>
  <c r="C561" i="1"/>
  <c r="F561" i="1"/>
  <c r="C555" i="1"/>
  <c r="H555" i="1" s="1"/>
  <c r="H556" i="1" s="1"/>
  <c r="F555" i="1"/>
  <c r="C549" i="1"/>
  <c r="F549" i="1"/>
  <c r="F538" i="1"/>
  <c r="H544" i="1"/>
  <c r="C532" i="1"/>
  <c r="H391" i="1"/>
  <c r="F390" i="1"/>
  <c r="C390" i="1"/>
  <c r="G390" i="1" s="1"/>
  <c r="F389" i="1"/>
  <c r="C389" i="1"/>
  <c r="G389" i="1" s="1"/>
  <c r="M361" i="1"/>
  <c r="I361" i="1"/>
  <c r="H361" i="1"/>
  <c r="F360" i="1"/>
  <c r="C360" i="1"/>
  <c r="G360" i="1" s="1"/>
  <c r="F359" i="1"/>
  <c r="C359" i="1"/>
  <c r="G359" i="1" s="1"/>
  <c r="H342" i="1"/>
  <c r="F341" i="1"/>
  <c r="C341" i="1"/>
  <c r="G341" i="1" s="1"/>
  <c r="H321" i="1"/>
  <c r="F320" i="1"/>
  <c r="C320" i="1"/>
  <c r="G320" i="1" s="1"/>
  <c r="F319" i="1"/>
  <c r="C319" i="1"/>
  <c r="G319" i="1" s="1"/>
  <c r="F318" i="1"/>
  <c r="C318" i="1"/>
  <c r="G318" i="1" s="1"/>
  <c r="F317" i="1"/>
  <c r="C317" i="1"/>
  <c r="G317" i="1" s="1"/>
  <c r="H290" i="1"/>
  <c r="F289" i="1"/>
  <c r="J289" i="1" s="1"/>
  <c r="C289" i="1"/>
  <c r="F288" i="1"/>
  <c r="K288" i="1" s="1"/>
  <c r="K290" i="1" s="1"/>
  <c r="C288" i="1"/>
  <c r="F287" i="1"/>
  <c r="I287" i="1" s="1"/>
  <c r="I290" i="1" s="1"/>
  <c r="C287" i="1"/>
  <c r="G555" i="1"/>
  <c r="H610" i="1"/>
  <c r="H611" i="1" s="1"/>
  <c r="O759" i="1"/>
  <c r="I611" i="1"/>
  <c r="K611" i="1"/>
  <c r="L611" i="1"/>
  <c r="M611" i="1"/>
  <c r="N611" i="1"/>
  <c r="O611" i="1"/>
  <c r="N605" i="1"/>
  <c r="O605" i="1"/>
  <c r="I574" i="1"/>
  <c r="L574" i="1"/>
  <c r="M574" i="1"/>
  <c r="N574" i="1"/>
  <c r="O574" i="1"/>
  <c r="I562" i="1"/>
  <c r="K562" i="1"/>
  <c r="L562" i="1"/>
  <c r="M562" i="1"/>
  <c r="N562" i="1"/>
  <c r="O562" i="1"/>
  <c r="I556" i="1"/>
  <c r="J556" i="1"/>
  <c r="K556" i="1"/>
  <c r="L556" i="1"/>
  <c r="O556" i="1"/>
  <c r="I550" i="1"/>
  <c r="J550" i="1"/>
  <c r="K550" i="1"/>
  <c r="L550" i="1"/>
  <c r="O550" i="1"/>
  <c r="K544" i="1"/>
  <c r="L544" i="1"/>
  <c r="M544" i="1"/>
  <c r="N544" i="1"/>
  <c r="O544" i="1"/>
  <c r="I539" i="1"/>
  <c r="J539" i="1"/>
  <c r="K539" i="1"/>
  <c r="L539" i="1"/>
  <c r="N539" i="1"/>
  <c r="O539" i="1"/>
  <c r="L533" i="1"/>
  <c r="M533" i="1"/>
  <c r="N533" i="1"/>
  <c r="O533" i="1"/>
  <c r="E73" i="5"/>
  <c r="H73" i="5" s="1"/>
  <c r="E72" i="5"/>
  <c r="H72" i="5" s="1"/>
  <c r="E71" i="5"/>
  <c r="H71" i="5" s="1"/>
  <c r="E70" i="5"/>
  <c r="H70" i="5" s="1"/>
  <c r="E69" i="5"/>
  <c r="H69" i="5" s="1"/>
  <c r="E68" i="5"/>
  <c r="H68" i="5" s="1"/>
  <c r="E67" i="5"/>
  <c r="H67" i="5" s="1"/>
  <c r="E66" i="5"/>
  <c r="H66" i="5" s="1"/>
  <c r="E65" i="5"/>
  <c r="H65" i="5" s="1"/>
  <c r="E64" i="5"/>
  <c r="H64" i="5" s="1"/>
  <c r="E63" i="5"/>
  <c r="H63" i="5" s="1"/>
  <c r="E62" i="5"/>
  <c r="H62" i="5" s="1"/>
  <c r="E61" i="5"/>
  <c r="H61" i="5" s="1"/>
  <c r="E60" i="5"/>
  <c r="H60" i="5" s="1"/>
  <c r="E59" i="5"/>
  <c r="H59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H50" i="5" s="1"/>
  <c r="H224" i="1"/>
  <c r="E222" i="1"/>
  <c r="E223" i="1"/>
  <c r="C223" i="1"/>
  <c r="G223" i="1" s="1"/>
  <c r="J223" i="1" s="1"/>
  <c r="J224" i="1" s="1"/>
  <c r="C222" i="1"/>
  <c r="G222" i="1" s="1"/>
  <c r="I222" i="1" s="1"/>
  <c r="I224" i="1" s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179" i="1"/>
  <c r="M176" i="1"/>
  <c r="H176" i="1"/>
  <c r="E173" i="1"/>
  <c r="E174" i="1"/>
  <c r="E175" i="1"/>
  <c r="C174" i="1"/>
  <c r="G174" i="1" s="1"/>
  <c r="L174" i="1" s="1"/>
  <c r="C175" i="1"/>
  <c r="G175" i="1" s="1"/>
  <c r="K175" i="1" s="1"/>
  <c r="C173" i="1"/>
  <c r="G173" i="1" s="1"/>
  <c r="I173" i="1" s="1"/>
  <c r="I176" i="1" s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55" i="1"/>
  <c r="J136" i="1"/>
  <c r="H136" i="1"/>
  <c r="E135" i="1"/>
  <c r="C135" i="1"/>
  <c r="G135" i="1" s="1"/>
  <c r="I135" i="1" s="1"/>
  <c r="I136" i="1" s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17" i="1"/>
  <c r="H114" i="1"/>
  <c r="C112" i="1"/>
  <c r="G112" i="1" s="1"/>
  <c r="K112" i="1" s="1"/>
  <c r="K114" i="1" s="1"/>
  <c r="C113" i="1"/>
  <c r="G113" i="1" s="1"/>
  <c r="J113" i="1" s="1"/>
  <c r="E112" i="1"/>
  <c r="C111" i="1"/>
  <c r="G111" i="1" s="1"/>
  <c r="I111" i="1" s="1"/>
  <c r="I114" i="1" s="1"/>
  <c r="E111" i="1"/>
  <c r="E110" i="1"/>
  <c r="N110" i="1" s="1"/>
  <c r="H80" i="1"/>
  <c r="F79" i="1"/>
  <c r="C79" i="1"/>
  <c r="G79" i="1" s="1"/>
  <c r="F77" i="1"/>
  <c r="C77" i="1"/>
  <c r="G77" i="1" s="1"/>
  <c r="F78" i="1"/>
  <c r="C78" i="1"/>
  <c r="G78" i="1" s="1"/>
  <c r="F76" i="1"/>
  <c r="C76" i="1"/>
  <c r="G76" i="1" s="1"/>
  <c r="C75" i="1"/>
  <c r="G75" i="1" s="1"/>
  <c r="F75" i="1"/>
  <c r="C74" i="1"/>
  <c r="G74" i="1" s="1"/>
  <c r="F74" i="1"/>
  <c r="C41" i="1"/>
  <c r="F41" i="1"/>
  <c r="C42" i="1"/>
  <c r="C39" i="1"/>
  <c r="G39" i="1" s="1"/>
  <c r="C40" i="1"/>
  <c r="F40" i="1"/>
  <c r="K40" i="1" s="1"/>
  <c r="F39" i="1"/>
  <c r="F71" i="1"/>
  <c r="O71" i="1" s="1"/>
  <c r="K152" i="1"/>
  <c r="M152" i="1"/>
  <c r="H152" i="1"/>
  <c r="H256" i="1"/>
  <c r="F255" i="1"/>
  <c r="J255" i="1" s="1"/>
  <c r="C255" i="1"/>
  <c r="F254" i="1"/>
  <c r="I254" i="1" s="1"/>
  <c r="I256" i="1" s="1"/>
  <c r="C254" i="1"/>
  <c r="F151" i="1"/>
  <c r="L151" i="1" s="1"/>
  <c r="L152" i="1" s="1"/>
  <c r="C151" i="1"/>
  <c r="F150" i="1"/>
  <c r="J150" i="1" s="1"/>
  <c r="C150" i="1"/>
  <c r="C149" i="1"/>
  <c r="F149" i="1"/>
  <c r="I149" i="1" s="1"/>
  <c r="I152" i="1" s="1"/>
  <c r="F42" i="1"/>
  <c r="L42" i="1" s="1"/>
  <c r="E755" i="1"/>
  <c r="M755" i="1" s="1"/>
  <c r="E754" i="1"/>
  <c r="M754" i="1" s="1"/>
  <c r="E753" i="1"/>
  <c r="N753" i="1" s="1"/>
  <c r="E752" i="1"/>
  <c r="M752" i="1" s="1"/>
  <c r="E751" i="1"/>
  <c r="M751" i="1" s="1"/>
  <c r="E750" i="1"/>
  <c r="N750" i="1" s="1"/>
  <c r="E749" i="1"/>
  <c r="I749" i="1" s="1"/>
  <c r="E748" i="1"/>
  <c r="I748" i="1" s="1"/>
  <c r="E747" i="1"/>
  <c r="J747" i="1" s="1"/>
  <c r="E746" i="1"/>
  <c r="J746" i="1" s="1"/>
  <c r="E745" i="1"/>
  <c r="J745" i="1" s="1"/>
  <c r="E744" i="1"/>
  <c r="K744" i="1" s="1"/>
  <c r="E743" i="1"/>
  <c r="K743" i="1" s="1"/>
  <c r="E742" i="1"/>
  <c r="J742" i="1" s="1"/>
  <c r="E741" i="1"/>
  <c r="K741" i="1" s="1"/>
  <c r="E740" i="1"/>
  <c r="I740" i="1" s="1"/>
  <c r="E739" i="1"/>
  <c r="J739" i="1" s="1"/>
  <c r="E738" i="1"/>
  <c r="J738" i="1" s="1"/>
  <c r="E737" i="1"/>
  <c r="K737" i="1" s="1"/>
  <c r="E736" i="1"/>
  <c r="L736" i="1" s="1"/>
  <c r="E735" i="1"/>
  <c r="L735" i="1" s="1"/>
  <c r="E734" i="1"/>
  <c r="K734" i="1" s="1"/>
  <c r="E733" i="1"/>
  <c r="K733" i="1" s="1"/>
  <c r="E732" i="1"/>
  <c r="L732" i="1" s="1"/>
  <c r="E609" i="1"/>
  <c r="J609" i="1" s="1"/>
  <c r="E608" i="1"/>
  <c r="J608" i="1" s="1"/>
  <c r="E602" i="1"/>
  <c r="L602" i="1" s="1"/>
  <c r="E601" i="1"/>
  <c r="M601" i="1" s="1"/>
  <c r="E600" i="1"/>
  <c r="L600" i="1" s="1"/>
  <c r="E599" i="1"/>
  <c r="L599" i="1" s="1"/>
  <c r="E598" i="1"/>
  <c r="M598" i="1" s="1"/>
  <c r="E597" i="1"/>
  <c r="I597" i="1" s="1"/>
  <c r="E596" i="1"/>
  <c r="I596" i="1" s="1"/>
  <c r="E595" i="1"/>
  <c r="J595" i="1" s="1"/>
  <c r="E594" i="1"/>
  <c r="I594" i="1" s="1"/>
  <c r="E593" i="1"/>
  <c r="J593" i="1" s="1"/>
  <c r="E592" i="1"/>
  <c r="I592" i="1" s="1"/>
  <c r="E591" i="1"/>
  <c r="J591" i="1" s="1"/>
  <c r="E590" i="1"/>
  <c r="L590" i="1" s="1"/>
  <c r="E589" i="1"/>
  <c r="L589" i="1" s="1"/>
  <c r="E588" i="1"/>
  <c r="L588" i="1" s="1"/>
  <c r="E587" i="1"/>
  <c r="M587" i="1" s="1"/>
  <c r="E586" i="1"/>
  <c r="M586" i="1" s="1"/>
  <c r="E585" i="1"/>
  <c r="L585" i="1" s="1"/>
  <c r="E584" i="1"/>
  <c r="M584" i="1" s="1"/>
  <c r="E583" i="1"/>
  <c r="M583" i="1" s="1"/>
  <c r="E582" i="1"/>
  <c r="J582" i="1" s="1"/>
  <c r="E581" i="1"/>
  <c r="K581" i="1" s="1"/>
  <c r="E580" i="1"/>
  <c r="K580" i="1" s="1"/>
  <c r="E579" i="1"/>
  <c r="I579" i="1" s="1"/>
  <c r="E578" i="1"/>
  <c r="K578" i="1" s="1"/>
  <c r="E577" i="1"/>
  <c r="L577" i="1" s="1"/>
  <c r="E572" i="1"/>
  <c r="K572" i="1" s="1"/>
  <c r="K574" i="1" s="1"/>
  <c r="E571" i="1"/>
  <c r="J571" i="1" s="1"/>
  <c r="J574" i="1" s="1"/>
  <c r="E560" i="1"/>
  <c r="J560" i="1" s="1"/>
  <c r="J562" i="1" s="1"/>
  <c r="E559" i="1"/>
  <c r="J559" i="1" s="1"/>
  <c r="E554" i="1"/>
  <c r="N554" i="1" s="1"/>
  <c r="N556" i="1" s="1"/>
  <c r="E553" i="1"/>
  <c r="M553" i="1" s="1"/>
  <c r="M556" i="1" s="1"/>
  <c r="E548" i="1"/>
  <c r="N548" i="1" s="1"/>
  <c r="N550" i="1" s="1"/>
  <c r="E547" i="1"/>
  <c r="M547" i="1" s="1"/>
  <c r="M550" i="1" s="1"/>
  <c r="E543" i="1"/>
  <c r="J543" i="1" s="1"/>
  <c r="J544" i="1" s="1"/>
  <c r="E542" i="1"/>
  <c r="I542" i="1" s="1"/>
  <c r="I544" i="1" s="1"/>
  <c r="E537" i="1"/>
  <c r="M537" i="1" s="1"/>
  <c r="E536" i="1"/>
  <c r="M536" i="1" s="1"/>
  <c r="E531" i="1"/>
  <c r="I531" i="1" s="1"/>
  <c r="E530" i="1"/>
  <c r="I530" i="1" s="1"/>
  <c r="E529" i="1"/>
  <c r="E528" i="1"/>
  <c r="E527" i="1"/>
  <c r="K527" i="1" s="1"/>
  <c r="E526" i="1"/>
  <c r="K526" i="1" s="1"/>
  <c r="E525" i="1"/>
  <c r="K525" i="1" s="1"/>
  <c r="E524" i="1"/>
  <c r="K524" i="1" s="1"/>
  <c r="E523" i="1"/>
  <c r="K523" i="1" s="1"/>
  <c r="E522" i="1"/>
  <c r="I522" i="1" s="1"/>
  <c r="E521" i="1"/>
  <c r="I521" i="1" s="1"/>
  <c r="E520" i="1"/>
  <c r="I520" i="1" s="1"/>
  <c r="E519" i="1"/>
  <c r="J519" i="1" s="1"/>
  <c r="E518" i="1"/>
  <c r="J518" i="1" s="1"/>
  <c r="E221" i="1"/>
  <c r="N221" i="1" s="1"/>
  <c r="E220" i="1"/>
  <c r="O220" i="1" s="1"/>
  <c r="E219" i="1"/>
  <c r="N219" i="1" s="1"/>
  <c r="E218" i="1"/>
  <c r="O218" i="1" s="1"/>
  <c r="E217" i="1"/>
  <c r="M217" i="1" s="1"/>
  <c r="M224" i="1" s="1"/>
  <c r="E216" i="1"/>
  <c r="O216" i="1" s="1"/>
  <c r="E215" i="1"/>
  <c r="O215" i="1" s="1"/>
  <c r="E214" i="1"/>
  <c r="O214" i="1" s="1"/>
  <c r="E213" i="1"/>
  <c r="N213" i="1" s="1"/>
  <c r="E212" i="1"/>
  <c r="O212" i="1" s="1"/>
  <c r="E211" i="1"/>
  <c r="N211" i="1" s="1"/>
  <c r="E210" i="1"/>
  <c r="O210" i="1" s="1"/>
  <c r="E209" i="1"/>
  <c r="N209" i="1" s="1"/>
  <c r="E208" i="1"/>
  <c r="O208" i="1" s="1"/>
  <c r="E207" i="1"/>
  <c r="O207" i="1" s="1"/>
  <c r="E206" i="1"/>
  <c r="K206" i="1" s="1"/>
  <c r="E205" i="1"/>
  <c r="L205" i="1" s="1"/>
  <c r="E204" i="1"/>
  <c r="O204" i="1" s="1"/>
  <c r="E203" i="1"/>
  <c r="K203" i="1" s="1"/>
  <c r="E202" i="1"/>
  <c r="O202" i="1" s="1"/>
  <c r="E201" i="1"/>
  <c r="O201" i="1" s="1"/>
  <c r="E200" i="1"/>
  <c r="N200" i="1" s="1"/>
  <c r="E199" i="1"/>
  <c r="O199" i="1" s="1"/>
  <c r="E198" i="1"/>
  <c r="O198" i="1" s="1"/>
  <c r="E197" i="1"/>
  <c r="O197" i="1" s="1"/>
  <c r="E196" i="1"/>
  <c r="K196" i="1" s="1"/>
  <c r="E195" i="1"/>
  <c r="L195" i="1" s="1"/>
  <c r="E194" i="1"/>
  <c r="O194" i="1" s="1"/>
  <c r="E193" i="1"/>
  <c r="N193" i="1" s="1"/>
  <c r="E192" i="1"/>
  <c r="O192" i="1" s="1"/>
  <c r="E191" i="1"/>
  <c r="O191" i="1" s="1"/>
  <c r="E190" i="1"/>
  <c r="O190" i="1" s="1"/>
  <c r="E189" i="1"/>
  <c r="O189" i="1" s="1"/>
  <c r="E188" i="1"/>
  <c r="N188" i="1" s="1"/>
  <c r="E187" i="1"/>
  <c r="O187" i="1" s="1"/>
  <c r="E186" i="1"/>
  <c r="O186" i="1" s="1"/>
  <c r="E185" i="1"/>
  <c r="O185" i="1" s="1"/>
  <c r="E184" i="1"/>
  <c r="O184" i="1" s="1"/>
  <c r="E183" i="1"/>
  <c r="K183" i="1" s="1"/>
  <c r="E182" i="1"/>
  <c r="L182" i="1" s="1"/>
  <c r="E181" i="1"/>
  <c r="N181" i="1" s="1"/>
  <c r="E180" i="1"/>
  <c r="O180" i="1" s="1"/>
  <c r="E179" i="1"/>
  <c r="O179" i="1" s="1"/>
  <c r="E172" i="1"/>
  <c r="O172" i="1" s="1"/>
  <c r="E171" i="1"/>
  <c r="E170" i="1"/>
  <c r="O170" i="1" s="1"/>
  <c r="E169" i="1"/>
  <c r="E168" i="1"/>
  <c r="O168" i="1" s="1"/>
  <c r="E167" i="1"/>
  <c r="E166" i="1"/>
  <c r="O166" i="1" s="1"/>
  <c r="E165" i="1"/>
  <c r="E164" i="1"/>
  <c r="O164" i="1" s="1"/>
  <c r="E163" i="1"/>
  <c r="E162" i="1"/>
  <c r="N162" i="1" s="1"/>
  <c r="E161" i="1"/>
  <c r="E160" i="1"/>
  <c r="E159" i="1"/>
  <c r="E158" i="1"/>
  <c r="K158" i="1" s="1"/>
  <c r="E157" i="1"/>
  <c r="E156" i="1"/>
  <c r="N156" i="1" s="1"/>
  <c r="E155" i="1"/>
  <c r="E134" i="1"/>
  <c r="N134" i="1" s="1"/>
  <c r="E133" i="1"/>
  <c r="N133" i="1" s="1"/>
  <c r="E132" i="1"/>
  <c r="O132" i="1" s="1"/>
  <c r="E131" i="1"/>
  <c r="N131" i="1" s="1"/>
  <c r="E130" i="1"/>
  <c r="O130" i="1" s="1"/>
  <c r="E129" i="1"/>
  <c r="K129" i="1" s="1"/>
  <c r="E128" i="1"/>
  <c r="L128" i="1" s="1"/>
  <c r="L136" i="1" s="1"/>
  <c r="E127" i="1"/>
  <c r="N127" i="1" s="1"/>
  <c r="E126" i="1"/>
  <c r="O126" i="1" s="1"/>
  <c r="E125" i="1"/>
  <c r="M125" i="1" s="1"/>
  <c r="M136" i="1" s="1"/>
  <c r="E124" i="1"/>
  <c r="N124" i="1" s="1"/>
  <c r="E123" i="1"/>
  <c r="O123" i="1" s="1"/>
  <c r="E122" i="1"/>
  <c r="N122" i="1" s="1"/>
  <c r="E121" i="1"/>
  <c r="O121" i="1" s="1"/>
  <c r="E120" i="1"/>
  <c r="K120" i="1" s="1"/>
  <c r="E119" i="1"/>
  <c r="N119" i="1" s="1"/>
  <c r="E118" i="1"/>
  <c r="O118" i="1" s="1"/>
  <c r="E117" i="1"/>
  <c r="O117" i="1" s="1"/>
  <c r="E109" i="1"/>
  <c r="M109" i="1" s="1"/>
  <c r="E108" i="1"/>
  <c r="N108" i="1" s="1"/>
  <c r="E107" i="1"/>
  <c r="O107" i="1" s="1"/>
  <c r="E106" i="1"/>
  <c r="N106" i="1" s="1"/>
  <c r="E105" i="1"/>
  <c r="O105" i="1" s="1"/>
  <c r="E104" i="1"/>
  <c r="N104" i="1" s="1"/>
  <c r="E103" i="1"/>
  <c r="O103" i="1" s="1"/>
  <c r="E102" i="1"/>
  <c r="O102" i="1" s="1"/>
  <c r="E101" i="1"/>
  <c r="M101" i="1" s="1"/>
  <c r="E100" i="1"/>
  <c r="N100" i="1" s="1"/>
  <c r="E99" i="1"/>
  <c r="L99" i="1" s="1"/>
  <c r="E98" i="1"/>
  <c r="N98" i="1" s="1"/>
  <c r="E97" i="1"/>
  <c r="O97" i="1" s="1"/>
  <c r="E96" i="1"/>
  <c r="N96" i="1" s="1"/>
  <c r="E95" i="1"/>
  <c r="O95" i="1" s="1"/>
  <c r="E94" i="1"/>
  <c r="L94" i="1" s="1"/>
  <c r="E93" i="1"/>
  <c r="M93" i="1" s="1"/>
  <c r="E92" i="1"/>
  <c r="N92" i="1" s="1"/>
  <c r="E91" i="1"/>
  <c r="O91" i="1" s="1"/>
  <c r="E90" i="1"/>
  <c r="O90" i="1" s="1"/>
  <c r="E89" i="1"/>
  <c r="N89" i="1" s="1"/>
  <c r="E88" i="1"/>
  <c r="O88" i="1" s="1"/>
  <c r="E87" i="1"/>
  <c r="N87" i="1" s="1"/>
  <c r="E86" i="1"/>
  <c r="O86" i="1" s="1"/>
  <c r="E85" i="1"/>
  <c r="J85" i="1" s="1"/>
  <c r="E84" i="1"/>
  <c r="O84" i="1" s="1"/>
  <c r="E83" i="1"/>
  <c r="O83" i="1" s="1"/>
  <c r="F73" i="1"/>
  <c r="N73" i="1" s="1"/>
  <c r="F72" i="1"/>
  <c r="N72" i="1" s="1"/>
  <c r="F70" i="1"/>
  <c r="N70" i="1" s="1"/>
  <c r="F69" i="1"/>
  <c r="O69" i="1" s="1"/>
  <c r="F68" i="1"/>
  <c r="N68" i="1" s="1"/>
  <c r="F67" i="1"/>
  <c r="N67" i="1" s="1"/>
  <c r="F66" i="1"/>
  <c r="O66" i="1" s="1"/>
  <c r="F65" i="1"/>
  <c r="N65" i="1" s="1"/>
  <c r="F64" i="1"/>
  <c r="O64" i="1" s="1"/>
  <c r="F63" i="1"/>
  <c r="N63" i="1" s="1"/>
  <c r="F62" i="1"/>
  <c r="M62" i="1" s="1"/>
  <c r="F61" i="1"/>
  <c r="N61" i="1" s="1"/>
  <c r="F60" i="1"/>
  <c r="O60" i="1" s="1"/>
  <c r="F59" i="1"/>
  <c r="N59" i="1" s="1"/>
  <c r="F58" i="1"/>
  <c r="O58" i="1" s="1"/>
  <c r="F57" i="1"/>
  <c r="N57" i="1" s="1"/>
  <c r="F56" i="1"/>
  <c r="O56" i="1" s="1"/>
  <c r="F55" i="1"/>
  <c r="L55" i="1" s="1"/>
  <c r="F54" i="1"/>
  <c r="M54" i="1" s="1"/>
  <c r="F53" i="1"/>
  <c r="N53" i="1" s="1"/>
  <c r="F52" i="1"/>
  <c r="O52" i="1" s="1"/>
  <c r="F51" i="1"/>
  <c r="O51" i="1" s="1"/>
  <c r="F50" i="1"/>
  <c r="O50" i="1" s="1"/>
  <c r="F49" i="1"/>
  <c r="J49" i="1" s="1"/>
  <c r="F48" i="1"/>
  <c r="N48" i="1" s="1"/>
  <c r="F47" i="1"/>
  <c r="O47" i="1" s="1"/>
  <c r="F46" i="1"/>
  <c r="O46" i="1" s="1"/>
  <c r="F38" i="1"/>
  <c r="K38" i="1" s="1"/>
  <c r="F37" i="1"/>
  <c r="N37" i="1" s="1"/>
  <c r="F36" i="1"/>
  <c r="O36" i="1" s="1"/>
  <c r="F35" i="1"/>
  <c r="O35" i="1" s="1"/>
  <c r="F34" i="1"/>
  <c r="N34" i="1" s="1"/>
  <c r="F33" i="1"/>
  <c r="O33" i="1" s="1"/>
  <c r="F32" i="1"/>
  <c r="N32" i="1" s="1"/>
  <c r="F31" i="1"/>
  <c r="O31" i="1" s="1"/>
  <c r="F30" i="1"/>
  <c r="N30" i="1" s="1"/>
  <c r="F29" i="1"/>
  <c r="O29" i="1" s="1"/>
  <c r="F28" i="1"/>
  <c r="O28" i="1" s="1"/>
  <c r="F27" i="1"/>
  <c r="O27" i="1" s="1"/>
  <c r="F26" i="1"/>
  <c r="N26" i="1" s="1"/>
  <c r="F25" i="1"/>
  <c r="O25" i="1" s="1"/>
  <c r="F24" i="1"/>
  <c r="N24" i="1" s="1"/>
  <c r="F23" i="1"/>
  <c r="O23" i="1" s="1"/>
  <c r="F22" i="1"/>
  <c r="N22" i="1" s="1"/>
  <c r="F21" i="1"/>
  <c r="O21" i="1" s="1"/>
  <c r="F20" i="1"/>
  <c r="N20" i="1" s="1"/>
  <c r="F19" i="1"/>
  <c r="O19" i="1" s="1"/>
  <c r="F18" i="1"/>
  <c r="L18" i="1" s="1"/>
  <c r="F17" i="1"/>
  <c r="M17" i="1" s="1"/>
  <c r="M43" i="1" s="1"/>
  <c r="F16" i="1"/>
  <c r="K16" i="1" s="1"/>
  <c r="F15" i="1"/>
  <c r="L15" i="1" s="1"/>
  <c r="F14" i="1"/>
  <c r="O14" i="1" s="1"/>
  <c r="F13" i="1"/>
  <c r="O13" i="1" s="1"/>
  <c r="F12" i="1"/>
  <c r="J12" i="1" s="1"/>
  <c r="F11" i="1"/>
  <c r="N11" i="1" s="1"/>
  <c r="F10" i="1"/>
  <c r="O10" i="1" s="1"/>
  <c r="F9" i="1"/>
  <c r="O9" i="1" s="1"/>
  <c r="G39" i="4"/>
  <c r="I39" i="4" s="1"/>
  <c r="G53" i="4"/>
  <c r="I53" i="4" s="1"/>
  <c r="C52" i="4"/>
  <c r="G52" i="4" s="1"/>
  <c r="I52" i="4" s="1"/>
  <c r="G38" i="4"/>
  <c r="I38" i="4" s="1"/>
  <c r="C37" i="4"/>
  <c r="G37" i="4" s="1"/>
  <c r="I37" i="4" s="1"/>
  <c r="G36" i="4"/>
  <c r="I36" i="4" s="1"/>
  <c r="G35" i="4"/>
  <c r="I35" i="4" s="1"/>
  <c r="G34" i="4"/>
  <c r="I34" i="4" s="1"/>
  <c r="G33" i="4"/>
  <c r="I33" i="4" s="1"/>
  <c r="G32" i="4"/>
  <c r="I32" i="4" s="1"/>
  <c r="G31" i="4"/>
  <c r="I31" i="4" s="1"/>
  <c r="G30" i="4"/>
  <c r="I30" i="4" s="1"/>
  <c r="C29" i="4"/>
  <c r="G29" i="4" s="1"/>
  <c r="I29" i="4" s="1"/>
  <c r="F501" i="1"/>
  <c r="G501" i="1"/>
  <c r="F502" i="1"/>
  <c r="G502" i="1"/>
  <c r="F499" i="1"/>
  <c r="G499" i="1"/>
  <c r="O868" i="1"/>
  <c r="N868" i="1"/>
  <c r="M868" i="1"/>
  <c r="L868" i="1"/>
  <c r="I868" i="1"/>
  <c r="H868" i="1"/>
  <c r="G867" i="1"/>
  <c r="F867" i="1"/>
  <c r="G866" i="1"/>
  <c r="F866" i="1"/>
  <c r="G861" i="1"/>
  <c r="F861" i="1"/>
  <c r="G860" i="1"/>
  <c r="M860" i="1" s="1"/>
  <c r="M863" i="1" s="1"/>
  <c r="F860" i="1"/>
  <c r="O857" i="1"/>
  <c r="N857" i="1"/>
  <c r="M857" i="1"/>
  <c r="L857" i="1"/>
  <c r="J857" i="1"/>
  <c r="H857" i="1"/>
  <c r="G856" i="1"/>
  <c r="K856" i="1" s="1"/>
  <c r="K857" i="1" s="1"/>
  <c r="F856" i="1"/>
  <c r="G855" i="1"/>
  <c r="I855" i="1" s="1"/>
  <c r="F855" i="1"/>
  <c r="G854" i="1"/>
  <c r="I854" i="1" s="1"/>
  <c r="F854" i="1"/>
  <c r="G853" i="1"/>
  <c r="I853" i="1" s="1"/>
  <c r="F853" i="1"/>
  <c r="G852" i="1"/>
  <c r="I852" i="1" s="1"/>
  <c r="F852" i="1"/>
  <c r="G851" i="1"/>
  <c r="I851" i="1" s="1"/>
  <c r="F851" i="1"/>
  <c r="G850" i="1"/>
  <c r="F850" i="1"/>
  <c r="O847" i="1"/>
  <c r="N847" i="1"/>
  <c r="M847" i="1"/>
  <c r="L847" i="1"/>
  <c r="K847" i="1"/>
  <c r="J847" i="1"/>
  <c r="H847" i="1"/>
  <c r="G846" i="1"/>
  <c r="F846" i="1"/>
  <c r="I846" i="1" s="1"/>
  <c r="G845" i="1"/>
  <c r="F845" i="1"/>
  <c r="I845" i="1" s="1"/>
  <c r="G840" i="1"/>
  <c r="F840" i="1"/>
  <c r="M840" i="1" s="1"/>
  <c r="G839" i="1"/>
  <c r="F839" i="1"/>
  <c r="J839" i="1" s="1"/>
  <c r="G838" i="1"/>
  <c r="F838" i="1"/>
  <c r="L838" i="1" s="1"/>
  <c r="L842" i="1" s="1"/>
  <c r="G837" i="1"/>
  <c r="F837" i="1"/>
  <c r="J837" i="1" s="1"/>
  <c r="G836" i="1"/>
  <c r="F836" i="1"/>
  <c r="M836" i="1" s="1"/>
  <c r="G835" i="1"/>
  <c r="F835" i="1"/>
  <c r="M835" i="1" s="1"/>
  <c r="G830" i="1"/>
  <c r="F830" i="1"/>
  <c r="L830" i="1" s="1"/>
  <c r="G829" i="1"/>
  <c r="F829" i="1"/>
  <c r="M829" i="1" s="1"/>
  <c r="M832" i="1" s="1"/>
  <c r="G828" i="1"/>
  <c r="F828" i="1"/>
  <c r="L828" i="1" s="1"/>
  <c r="G823" i="1"/>
  <c r="F823" i="1"/>
  <c r="L823" i="1" s="1"/>
  <c r="G822" i="1"/>
  <c r="F822" i="1"/>
  <c r="L822" i="1" s="1"/>
  <c r="G817" i="1"/>
  <c r="F817" i="1"/>
  <c r="L817" i="1" s="1"/>
  <c r="L819" i="1" s="1"/>
  <c r="G816" i="1"/>
  <c r="F816" i="1"/>
  <c r="K816" i="1" s="1"/>
  <c r="K819" i="1" s="1"/>
  <c r="G811" i="1"/>
  <c r="F811" i="1"/>
  <c r="G810" i="1"/>
  <c r="F810" i="1"/>
  <c r="J810" i="1" s="1"/>
  <c r="G809" i="1"/>
  <c r="F809" i="1"/>
  <c r="J809" i="1" s="1"/>
  <c r="G808" i="1"/>
  <c r="F808" i="1"/>
  <c r="I808" i="1" s="1"/>
  <c r="G807" i="1"/>
  <c r="F807" i="1"/>
  <c r="G806" i="1"/>
  <c r="F806" i="1"/>
  <c r="J806" i="1" s="1"/>
  <c r="G805" i="1"/>
  <c r="F805" i="1"/>
  <c r="K805" i="1" s="1"/>
  <c r="K813" i="1" s="1"/>
  <c r="G804" i="1"/>
  <c r="F804" i="1"/>
  <c r="J804" i="1" s="1"/>
  <c r="G799" i="1"/>
  <c r="F799" i="1"/>
  <c r="G798" i="1"/>
  <c r="F798" i="1"/>
  <c r="J798" i="1" s="1"/>
  <c r="G797" i="1"/>
  <c r="F797" i="1"/>
  <c r="I797" i="1" s="1"/>
  <c r="I801" i="1" s="1"/>
  <c r="G796" i="1"/>
  <c r="F796" i="1"/>
  <c r="L796" i="1" s="1"/>
  <c r="L801" i="1" s="1"/>
  <c r="G795" i="1"/>
  <c r="F795" i="1"/>
  <c r="G790" i="1"/>
  <c r="F790" i="1"/>
  <c r="K790" i="1" s="1"/>
  <c r="G789" i="1"/>
  <c r="F789" i="1"/>
  <c r="L789" i="1" s="1"/>
  <c r="G788" i="1"/>
  <c r="F788" i="1"/>
  <c r="M788" i="1" s="1"/>
  <c r="M792" i="1" s="1"/>
  <c r="G787" i="1"/>
  <c r="F787" i="1"/>
  <c r="K787" i="1" s="1"/>
  <c r="G786" i="1"/>
  <c r="F786" i="1"/>
  <c r="N786" i="1" s="1"/>
  <c r="G785" i="1"/>
  <c r="F785" i="1"/>
  <c r="O785" i="1" s="1"/>
  <c r="G784" i="1"/>
  <c r="F784" i="1"/>
  <c r="K784" i="1" s="1"/>
  <c r="K792" i="1" s="1"/>
  <c r="G783" i="1"/>
  <c r="F783" i="1"/>
  <c r="G782" i="1"/>
  <c r="F782" i="1"/>
  <c r="N782" i="1" s="1"/>
  <c r="N792" i="1" s="1"/>
  <c r="G781" i="1"/>
  <c r="F781" i="1"/>
  <c r="O781" i="1" s="1"/>
  <c r="G727" i="1"/>
  <c r="F727" i="1"/>
  <c r="G726" i="1"/>
  <c r="F726" i="1"/>
  <c r="G721" i="1"/>
  <c r="F721" i="1"/>
  <c r="I721" i="1" s="1"/>
  <c r="G720" i="1"/>
  <c r="F720" i="1"/>
  <c r="I720" i="1" s="1"/>
  <c r="I723" i="1" s="1"/>
  <c r="G715" i="1"/>
  <c r="F715" i="1"/>
  <c r="G714" i="1"/>
  <c r="F714" i="1"/>
  <c r="I714" i="1" s="1"/>
  <c r="G713" i="1"/>
  <c r="F713" i="1"/>
  <c r="I713" i="1" s="1"/>
  <c r="G712" i="1"/>
  <c r="F712" i="1"/>
  <c r="I712" i="1" s="1"/>
  <c r="G707" i="1"/>
  <c r="F707" i="1"/>
  <c r="I707" i="1" s="1"/>
  <c r="G706" i="1"/>
  <c r="F706" i="1"/>
  <c r="G705" i="1"/>
  <c r="F705" i="1"/>
  <c r="L705" i="1" s="1"/>
  <c r="G704" i="1"/>
  <c r="F704" i="1"/>
  <c r="L704" i="1" s="1"/>
  <c r="G703" i="1"/>
  <c r="F703" i="1"/>
  <c r="K703" i="1" s="1"/>
  <c r="G702" i="1"/>
  <c r="F702" i="1"/>
  <c r="G701" i="1"/>
  <c r="F701" i="1"/>
  <c r="K701" i="1" s="1"/>
  <c r="G700" i="1"/>
  <c r="F700" i="1"/>
  <c r="M700" i="1" s="1"/>
  <c r="M709" i="1" s="1"/>
  <c r="G699" i="1"/>
  <c r="F699" i="1"/>
  <c r="N699" i="1" s="1"/>
  <c r="N709" i="1" s="1"/>
  <c r="G698" i="1"/>
  <c r="F698" i="1"/>
  <c r="G697" i="1"/>
  <c r="F697" i="1"/>
  <c r="L697" i="1" s="1"/>
  <c r="G696" i="1"/>
  <c r="F696" i="1"/>
  <c r="L696" i="1" s="1"/>
  <c r="G695" i="1"/>
  <c r="F695" i="1"/>
  <c r="K695" i="1" s="1"/>
  <c r="G694" i="1"/>
  <c r="F694" i="1"/>
  <c r="G693" i="1"/>
  <c r="F693" i="1"/>
  <c r="L693" i="1" s="1"/>
  <c r="G692" i="1"/>
  <c r="F692" i="1"/>
  <c r="I692" i="1" s="1"/>
  <c r="G51" i="4"/>
  <c r="I51" i="4" s="1"/>
  <c r="G50" i="4"/>
  <c r="I50" i="4" s="1"/>
  <c r="G49" i="4"/>
  <c r="I49" i="4" s="1"/>
  <c r="C48" i="4"/>
  <c r="G48" i="4" s="1"/>
  <c r="I48" i="4" s="1"/>
  <c r="C47" i="4"/>
  <c r="G47" i="4" s="1"/>
  <c r="I47" i="4" s="1"/>
  <c r="G65" i="4"/>
  <c r="I65" i="4" s="1"/>
  <c r="G64" i="4"/>
  <c r="I64" i="4" s="1"/>
  <c r="C63" i="4"/>
  <c r="G63" i="4" s="1"/>
  <c r="I63" i="4" s="1"/>
  <c r="G62" i="4"/>
  <c r="I62" i="4" s="1"/>
  <c r="C61" i="4"/>
  <c r="G61" i="4" s="1"/>
  <c r="I61" i="4" s="1"/>
  <c r="G60" i="4"/>
  <c r="I60" i="4" s="1"/>
  <c r="G59" i="4"/>
  <c r="I59" i="4" s="1"/>
  <c r="G58" i="4"/>
  <c r="I58" i="4" s="1"/>
  <c r="C57" i="4"/>
  <c r="G57" i="4" s="1"/>
  <c r="I57" i="4" s="1"/>
  <c r="C56" i="4"/>
  <c r="G56" i="4" s="1"/>
  <c r="I56" i="4" s="1"/>
  <c r="G55" i="4"/>
  <c r="I55" i="4" s="1"/>
  <c r="G44" i="4"/>
  <c r="I44" i="4" s="1"/>
  <c r="G43" i="4"/>
  <c r="I43" i="4" s="1"/>
  <c r="G45" i="4"/>
  <c r="I45" i="4" s="1"/>
  <c r="G46" i="4"/>
  <c r="I46" i="4" s="1"/>
  <c r="G40" i="4"/>
  <c r="I40" i="4" s="1"/>
  <c r="G41" i="4"/>
  <c r="I41" i="4" s="1"/>
  <c r="G42" i="4"/>
  <c r="I42" i="4" s="1"/>
  <c r="G54" i="4"/>
  <c r="I54" i="4" s="1"/>
  <c r="G23" i="4"/>
  <c r="I23" i="4" s="1"/>
  <c r="G24" i="4"/>
  <c r="I24" i="4" s="1"/>
  <c r="G25" i="4"/>
  <c r="I25" i="4" s="1"/>
  <c r="G7" i="4"/>
  <c r="I7" i="4" s="1"/>
  <c r="G8" i="4"/>
  <c r="I8" i="4" s="1"/>
  <c r="G9" i="4"/>
  <c r="I9" i="4" s="1"/>
  <c r="G10" i="4"/>
  <c r="I10" i="4" s="1"/>
  <c r="G11" i="4"/>
  <c r="I11" i="4" s="1"/>
  <c r="G12" i="4"/>
  <c r="I12" i="4" s="1"/>
  <c r="G13" i="4"/>
  <c r="I13" i="4" s="1"/>
  <c r="G14" i="4"/>
  <c r="I14" i="4" s="1"/>
  <c r="G15" i="4"/>
  <c r="I15" i="4" s="1"/>
  <c r="G16" i="4"/>
  <c r="I16" i="4" s="1"/>
  <c r="G17" i="4"/>
  <c r="I17" i="4" s="1"/>
  <c r="G18" i="4"/>
  <c r="I18" i="4" s="1"/>
  <c r="G19" i="4"/>
  <c r="I19" i="4" s="1"/>
  <c r="G20" i="4"/>
  <c r="I20" i="4" s="1"/>
  <c r="G21" i="4"/>
  <c r="I21" i="4" s="1"/>
  <c r="G22" i="4"/>
  <c r="I22" i="4" s="1"/>
  <c r="G6" i="4"/>
  <c r="I6" i="4" s="1"/>
  <c r="G504" i="1"/>
  <c r="F504" i="1"/>
  <c r="G503" i="1"/>
  <c r="F503" i="1"/>
  <c r="G500" i="1"/>
  <c r="F500" i="1"/>
  <c r="G498" i="1"/>
  <c r="K498" i="1" s="1"/>
  <c r="F498" i="1"/>
  <c r="G497" i="1"/>
  <c r="F497" i="1"/>
  <c r="G496" i="1"/>
  <c r="F496" i="1"/>
  <c r="G495" i="1"/>
  <c r="M495" i="1" s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N449" i="1" s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L435" i="1" s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N410" i="1" s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G358" i="1"/>
  <c r="F358" i="1"/>
  <c r="G357" i="1"/>
  <c r="F357" i="1"/>
  <c r="G356" i="1"/>
  <c r="F356" i="1"/>
  <c r="G355" i="1"/>
  <c r="F355" i="1"/>
  <c r="F354" i="1"/>
  <c r="C354" i="1"/>
  <c r="G354" i="1" s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148" i="1"/>
  <c r="F148" i="1"/>
  <c r="G147" i="1"/>
  <c r="N147" i="1" s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I715" i="1"/>
  <c r="O414" i="1"/>
  <c r="I850" i="1"/>
  <c r="M727" i="1"/>
  <c r="K479" i="1"/>
  <c r="J688" i="1"/>
  <c r="K688" i="1"/>
  <c r="L688" i="1"/>
  <c r="M688" i="1"/>
  <c r="N688" i="1"/>
  <c r="O688" i="1"/>
  <c r="N778" i="1"/>
  <c r="O778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K775" i="1" s="1"/>
  <c r="F776" i="1"/>
  <c r="I776" i="1" s="1"/>
  <c r="G762" i="1"/>
  <c r="F762" i="1"/>
  <c r="G684" i="1"/>
  <c r="G685" i="1"/>
  <c r="G686" i="1"/>
  <c r="F684" i="1"/>
  <c r="F685" i="1"/>
  <c r="F686" i="1"/>
  <c r="G683" i="1"/>
  <c r="F683" i="1"/>
  <c r="F676" i="1"/>
  <c r="G676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G675" i="1"/>
  <c r="G674" i="1"/>
  <c r="G673" i="1"/>
  <c r="G672" i="1"/>
  <c r="G671" i="1"/>
  <c r="G670" i="1"/>
  <c r="G669" i="1"/>
  <c r="G668" i="1"/>
  <c r="G659" i="1"/>
  <c r="G660" i="1"/>
  <c r="G661" i="1"/>
  <c r="G662" i="1"/>
  <c r="G663" i="1"/>
  <c r="G664" i="1"/>
  <c r="G665" i="1"/>
  <c r="G666" i="1"/>
  <c r="G667" i="1"/>
  <c r="G658" i="1"/>
  <c r="F658" i="1"/>
  <c r="J649" i="1"/>
  <c r="K649" i="1"/>
  <c r="N649" i="1"/>
  <c r="O649" i="1"/>
  <c r="G642" i="1"/>
  <c r="G643" i="1"/>
  <c r="G644" i="1"/>
  <c r="G645" i="1"/>
  <c r="G646" i="1"/>
  <c r="G647" i="1"/>
  <c r="F642" i="1"/>
  <c r="F643" i="1"/>
  <c r="F644" i="1"/>
  <c r="F645" i="1"/>
  <c r="F646" i="1"/>
  <c r="F647" i="1"/>
  <c r="G641" i="1"/>
  <c r="F641" i="1"/>
  <c r="N638" i="1"/>
  <c r="O638" i="1"/>
  <c r="F634" i="1"/>
  <c r="F633" i="1"/>
  <c r="G634" i="1"/>
  <c r="G633" i="1"/>
  <c r="I633" i="1" s="1"/>
  <c r="F632" i="1"/>
  <c r="F631" i="1"/>
  <c r="G632" i="1"/>
  <c r="K632" i="1" s="1"/>
  <c r="G631" i="1"/>
  <c r="F630" i="1"/>
  <c r="F629" i="1"/>
  <c r="F628" i="1"/>
  <c r="G630" i="1"/>
  <c r="G629" i="1"/>
  <c r="G628" i="1"/>
  <c r="F627" i="1"/>
  <c r="G627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F383" i="1"/>
  <c r="N383" i="1" s="1"/>
  <c r="F384" i="1"/>
  <c r="N384" i="1" s="1"/>
  <c r="F385" i="1"/>
  <c r="F386" i="1"/>
  <c r="J386" i="1" s="1"/>
  <c r="F387" i="1"/>
  <c r="N387" i="1" s="1"/>
  <c r="F388" i="1"/>
  <c r="M388" i="1" s="1"/>
  <c r="F365" i="1"/>
  <c r="O365" i="1" s="1"/>
  <c r="F366" i="1"/>
  <c r="F367" i="1"/>
  <c r="O367" i="1" s="1"/>
  <c r="F368" i="1"/>
  <c r="F369" i="1"/>
  <c r="N369" i="1" s="1"/>
  <c r="F370" i="1"/>
  <c r="L370" i="1" s="1"/>
  <c r="F371" i="1"/>
  <c r="F372" i="1"/>
  <c r="F373" i="1"/>
  <c r="K373" i="1" s="1"/>
  <c r="F374" i="1"/>
  <c r="F375" i="1"/>
  <c r="L375" i="1" s="1"/>
  <c r="F376" i="1"/>
  <c r="F377" i="1"/>
  <c r="N377" i="1" s="1"/>
  <c r="F378" i="1"/>
  <c r="F379" i="1"/>
  <c r="F380" i="1"/>
  <c r="N380" i="1" s="1"/>
  <c r="F381" i="1"/>
  <c r="F382" i="1"/>
  <c r="G364" i="1"/>
  <c r="F36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F325" i="1"/>
  <c r="N325" i="1" s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J338" i="1" s="1"/>
  <c r="J342" i="1" s="1"/>
  <c r="F339" i="1"/>
  <c r="O339" i="1" s="1"/>
  <c r="F340" i="1"/>
  <c r="G324" i="1"/>
  <c r="F324" i="1"/>
  <c r="F308" i="1"/>
  <c r="F309" i="1"/>
  <c r="F310" i="1"/>
  <c r="F311" i="1"/>
  <c r="F312" i="1"/>
  <c r="F313" i="1"/>
  <c r="F314" i="1"/>
  <c r="N314" i="1" s="1"/>
  <c r="F315" i="1"/>
  <c r="F316" i="1"/>
  <c r="F294" i="1"/>
  <c r="F295" i="1"/>
  <c r="F296" i="1"/>
  <c r="F297" i="1"/>
  <c r="F298" i="1"/>
  <c r="F299" i="1"/>
  <c r="F300" i="1"/>
  <c r="F301" i="1"/>
  <c r="L301" i="1" s="1"/>
  <c r="F302" i="1"/>
  <c r="F303" i="1"/>
  <c r="F304" i="1"/>
  <c r="F305" i="1"/>
  <c r="F306" i="1"/>
  <c r="F307" i="1"/>
  <c r="G316" i="1"/>
  <c r="G315" i="1"/>
  <c r="G314" i="1"/>
  <c r="G313" i="1"/>
  <c r="G312" i="1"/>
  <c r="G311" i="1"/>
  <c r="G310" i="1"/>
  <c r="G309" i="1"/>
  <c r="G308" i="1"/>
  <c r="G307" i="1"/>
  <c r="N307" i="1" s="1"/>
  <c r="G306" i="1"/>
  <c r="G305" i="1"/>
  <c r="O305" i="1" s="1"/>
  <c r="G304" i="1"/>
  <c r="G303" i="1"/>
  <c r="L303" i="1" s="1"/>
  <c r="G302" i="1"/>
  <c r="G301" i="1"/>
  <c r="G300" i="1"/>
  <c r="M300" i="1" s="1"/>
  <c r="G294" i="1"/>
  <c r="G295" i="1"/>
  <c r="G296" i="1"/>
  <c r="G297" i="1"/>
  <c r="G298" i="1"/>
  <c r="G299" i="1"/>
  <c r="G293" i="1"/>
  <c r="F293" i="1"/>
  <c r="O381" i="1"/>
  <c r="O385" i="1"/>
  <c r="L372" i="1"/>
  <c r="M371" i="1"/>
  <c r="O379" i="1"/>
  <c r="I634" i="1"/>
  <c r="L769" i="1"/>
  <c r="F286" i="1"/>
  <c r="F285" i="1"/>
  <c r="G286" i="1"/>
  <c r="O286" i="1" s="1"/>
  <c r="G285" i="1"/>
  <c r="F284" i="1"/>
  <c r="G284" i="1"/>
  <c r="F283" i="1"/>
  <c r="G283" i="1"/>
  <c r="F282" i="1"/>
  <c r="G282" i="1"/>
  <c r="F281" i="1"/>
  <c r="G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G280" i="1"/>
  <c r="G279" i="1"/>
  <c r="N279" i="1" s="1"/>
  <c r="G278" i="1"/>
  <c r="G277" i="1"/>
  <c r="L277" i="1" s="1"/>
  <c r="G276" i="1"/>
  <c r="N276" i="1" s="1"/>
  <c r="G275" i="1"/>
  <c r="G274" i="1"/>
  <c r="G273" i="1"/>
  <c r="G272" i="1"/>
  <c r="G271" i="1"/>
  <c r="O271" i="1" s="1"/>
  <c r="G270" i="1"/>
  <c r="G269" i="1"/>
  <c r="F268" i="1"/>
  <c r="G268" i="1"/>
  <c r="F267" i="1"/>
  <c r="F266" i="1"/>
  <c r="G267" i="1"/>
  <c r="G266" i="1"/>
  <c r="M266" i="1" s="1"/>
  <c r="G260" i="1"/>
  <c r="G261" i="1"/>
  <c r="G262" i="1"/>
  <c r="G263" i="1"/>
  <c r="G264" i="1"/>
  <c r="G265" i="1"/>
  <c r="G259" i="1"/>
  <c r="F260" i="1"/>
  <c r="F261" i="1"/>
  <c r="F262" i="1"/>
  <c r="F263" i="1"/>
  <c r="F264" i="1"/>
  <c r="F265" i="1"/>
  <c r="F259" i="1"/>
  <c r="F253" i="1"/>
  <c r="F252" i="1"/>
  <c r="F251" i="1"/>
  <c r="F250" i="1"/>
  <c r="F249" i="1"/>
  <c r="F248" i="1"/>
  <c r="F247" i="1"/>
  <c r="F246" i="1"/>
  <c r="G253" i="1"/>
  <c r="G252" i="1"/>
  <c r="G251" i="1"/>
  <c r="G250" i="1"/>
  <c r="G249" i="1"/>
  <c r="G248" i="1"/>
  <c r="G247" i="1"/>
  <c r="G246" i="1"/>
  <c r="G244" i="1"/>
  <c r="G245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F244" i="1"/>
  <c r="N244" i="1" s="1"/>
  <c r="F245" i="1"/>
  <c r="F228" i="1"/>
  <c r="O228" i="1" s="1"/>
  <c r="F229" i="1"/>
  <c r="O229" i="1" s="1"/>
  <c r="F230" i="1"/>
  <c r="J230" i="1" s="1"/>
  <c r="F231" i="1"/>
  <c r="O231" i="1" s="1"/>
  <c r="F232" i="1"/>
  <c r="F233" i="1"/>
  <c r="L233" i="1" s="1"/>
  <c r="F234" i="1"/>
  <c r="O234" i="1" s="1"/>
  <c r="F235" i="1"/>
  <c r="F236" i="1"/>
  <c r="O236" i="1" s="1"/>
  <c r="F237" i="1"/>
  <c r="L237" i="1" s="1"/>
  <c r="F238" i="1"/>
  <c r="K238" i="1" s="1"/>
  <c r="F239" i="1"/>
  <c r="N239" i="1" s="1"/>
  <c r="F240" i="1"/>
  <c r="F241" i="1"/>
  <c r="O241" i="1" s="1"/>
  <c r="F242" i="1"/>
  <c r="N242" i="1" s="1"/>
  <c r="F243" i="1"/>
  <c r="N272" i="1"/>
  <c r="J250" i="1"/>
  <c r="G227" i="1"/>
  <c r="E49" i="5"/>
  <c r="H49" i="5" s="1"/>
  <c r="E48" i="5"/>
  <c r="H48" i="5" s="1"/>
  <c r="E47" i="5"/>
  <c r="H47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H34" i="5" s="1"/>
  <c r="E33" i="5"/>
  <c r="H33" i="5" s="1"/>
  <c r="E32" i="5"/>
  <c r="H32" i="5" s="1"/>
  <c r="E31" i="5"/>
  <c r="H31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E10" i="5"/>
  <c r="H10" i="5" s="1"/>
  <c r="E9" i="5"/>
  <c r="H9" i="5" s="1"/>
  <c r="E8" i="5"/>
  <c r="H8" i="5" s="1"/>
  <c r="E7" i="5"/>
  <c r="H7" i="5" s="1"/>
  <c r="B14" i="3"/>
  <c r="B13" i="3"/>
  <c r="B12" i="3"/>
  <c r="B11" i="3"/>
  <c r="B10" i="3"/>
  <c r="Q18" i="2"/>
  <c r="R18" i="2" s="1"/>
  <c r="R10" i="2"/>
  <c r="F227" i="1"/>
  <c r="K762" i="1" l="1"/>
  <c r="K764" i="1"/>
  <c r="O269" i="1"/>
  <c r="N861" i="1"/>
  <c r="N863" i="1" s="1"/>
  <c r="J866" i="1"/>
  <c r="J868" i="1" s="1"/>
  <c r="J507" i="1"/>
  <c r="H759" i="1"/>
  <c r="N1240" i="1"/>
  <c r="J1855" i="1"/>
  <c r="L1859" i="1"/>
  <c r="J1866" i="1"/>
  <c r="K1867" i="1"/>
  <c r="L1868" i="1"/>
  <c r="K1871" i="1"/>
  <c r="J1872" i="1"/>
  <c r="K1876" i="1"/>
  <c r="K1878" i="1"/>
  <c r="L1880" i="1"/>
  <c r="J1884" i="1"/>
  <c r="L1886" i="1"/>
  <c r="AL47" i="4"/>
  <c r="AL48" i="4"/>
  <c r="AL57" i="4"/>
  <c r="I109" i="11"/>
  <c r="I635" i="11"/>
  <c r="D97" i="40" s="1"/>
  <c r="F97" i="40" s="1"/>
  <c r="G97" i="40" s="1"/>
  <c r="I97" i="40" s="1"/>
  <c r="N274" i="1"/>
  <c r="O324" i="1"/>
  <c r="M646" i="1"/>
  <c r="K664" i="1"/>
  <c r="L771" i="1"/>
  <c r="K767" i="1"/>
  <c r="N141" i="1"/>
  <c r="M617" i="1"/>
  <c r="O418" i="1"/>
  <c r="O443" i="1"/>
  <c r="O455" i="1"/>
  <c r="O458" i="1"/>
  <c r="N459" i="1"/>
  <c r="J487" i="1"/>
  <c r="N759" i="1"/>
  <c r="I341" i="1"/>
  <c r="I342" i="1" s="1"/>
  <c r="I1292" i="1"/>
  <c r="D58" i="12"/>
  <c r="Q10" i="12"/>
  <c r="D38" i="40" s="1"/>
  <c r="F38" i="40" s="1"/>
  <c r="G38" i="40" s="1"/>
  <c r="I38" i="40" s="1"/>
  <c r="X13" i="42"/>
  <c r="X20" i="42" s="1"/>
  <c r="X14" i="42"/>
  <c r="X15" i="42"/>
  <c r="X18" i="42"/>
  <c r="X19" i="42"/>
  <c r="L18" i="22"/>
  <c r="L19" i="22" s="1"/>
  <c r="N631" i="11"/>
  <c r="O631" i="11" s="1"/>
  <c r="AF14" i="31"/>
  <c r="J256" i="1"/>
  <c r="O246" i="1"/>
  <c r="O248" i="1"/>
  <c r="O293" i="1"/>
  <c r="N299" i="1"/>
  <c r="O295" i="1"/>
  <c r="O310" i="1"/>
  <c r="O312" i="1"/>
  <c r="N316" i="1"/>
  <c r="O298" i="1"/>
  <c r="N296" i="1"/>
  <c r="O294" i="1"/>
  <c r="O315" i="1"/>
  <c r="N313" i="1"/>
  <c r="N311" i="1"/>
  <c r="M309" i="1"/>
  <c r="N337" i="1"/>
  <c r="N335" i="1"/>
  <c r="O333" i="1"/>
  <c r="K331" i="1"/>
  <c r="K342" i="1" s="1"/>
  <c r="O329" i="1"/>
  <c r="N327" i="1"/>
  <c r="O326" i="1"/>
  <c r="O364" i="1"/>
  <c r="I627" i="1"/>
  <c r="K628" i="1"/>
  <c r="J630" i="1"/>
  <c r="J638" i="1" s="1"/>
  <c r="K629" i="1"/>
  <c r="I641" i="1"/>
  <c r="N667" i="1"/>
  <c r="L665" i="1"/>
  <c r="O663" i="1"/>
  <c r="O680" i="1" s="1"/>
  <c r="M661" i="1"/>
  <c r="I659" i="1"/>
  <c r="L669" i="1"/>
  <c r="L671" i="1"/>
  <c r="K673" i="1"/>
  <c r="J675" i="1"/>
  <c r="J680" i="1" s="1"/>
  <c r="K672" i="1"/>
  <c r="K670" i="1"/>
  <c r="N662" i="1"/>
  <c r="I676" i="1"/>
  <c r="I683" i="1"/>
  <c r="I684" i="1"/>
  <c r="K770" i="1"/>
  <c r="O346" i="1"/>
  <c r="L618" i="1"/>
  <c r="O395" i="1"/>
  <c r="N413" i="1"/>
  <c r="O433" i="1"/>
  <c r="O441" i="1"/>
  <c r="O446" i="1"/>
  <c r="N451" i="1"/>
  <c r="O472" i="1"/>
  <c r="M474" i="1"/>
  <c r="L482" i="1"/>
  <c r="O490" i="1"/>
  <c r="N1137" i="1"/>
  <c r="L157" i="1"/>
  <c r="L176" i="1" s="1"/>
  <c r="I317" i="1"/>
  <c r="I321" i="1" s="1"/>
  <c r="I466" i="1"/>
  <c r="I509" i="1"/>
  <c r="H812" i="1"/>
  <c r="H813" i="1" s="1"/>
  <c r="H877" i="1"/>
  <c r="G502" i="11"/>
  <c r="I502" i="11" s="1"/>
  <c r="I120" i="11"/>
  <c r="I116" i="11"/>
  <c r="I114" i="11"/>
  <c r="I519" i="11"/>
  <c r="N215" i="11"/>
  <c r="O215" i="11" s="1"/>
  <c r="N570" i="11"/>
  <c r="O570" i="11" s="1"/>
  <c r="N585" i="11"/>
  <c r="O585" i="11" s="1"/>
  <c r="N596" i="11"/>
  <c r="O596" i="11" s="1"/>
  <c r="F924" i="40"/>
  <c r="G924" i="40" s="1"/>
  <c r="I924" i="40" s="1"/>
  <c r="J924" i="40"/>
  <c r="F926" i="40"/>
  <c r="G926" i="40" s="1"/>
  <c r="I926" i="40" s="1"/>
  <c r="J926" i="40"/>
  <c r="D929" i="40"/>
  <c r="D930" i="40"/>
  <c r="D928" i="40"/>
  <c r="F9" i="31"/>
  <c r="F33" i="31"/>
  <c r="AF12" i="31"/>
  <c r="AF21" i="31"/>
  <c r="AF23" i="31"/>
  <c r="AF32" i="31"/>
  <c r="AF35" i="31"/>
  <c r="AF37" i="31"/>
  <c r="F7" i="24"/>
  <c r="L1049" i="1"/>
  <c r="L1127" i="1"/>
  <c r="J1634" i="1"/>
  <c r="I119" i="11"/>
  <c r="I219" i="11"/>
  <c r="I562" i="11"/>
  <c r="D96" i="40" s="1"/>
  <c r="J96" i="40" s="1"/>
  <c r="N82" i="11"/>
  <c r="O82" i="11" s="1"/>
  <c r="N103" i="11"/>
  <c r="O103" i="11" s="1"/>
  <c r="N99" i="11"/>
  <c r="O99" i="11" s="1"/>
  <c r="N95" i="11"/>
  <c r="O95" i="11" s="1"/>
  <c r="N93" i="11"/>
  <c r="O93" i="11" s="1"/>
  <c r="N91" i="11"/>
  <c r="O91" i="11" s="1"/>
  <c r="N89" i="11"/>
  <c r="O89" i="11" s="1"/>
  <c r="N178" i="11"/>
  <c r="O178" i="11" s="1"/>
  <c r="N176" i="11"/>
  <c r="O176" i="11" s="1"/>
  <c r="N170" i="11"/>
  <c r="O170" i="11" s="1"/>
  <c r="N168" i="11"/>
  <c r="O168" i="11" s="1"/>
  <c r="N158" i="11"/>
  <c r="O158" i="11" s="1"/>
  <c r="N150" i="11"/>
  <c r="O150" i="11" s="1"/>
  <c r="N144" i="11"/>
  <c r="O144" i="11" s="1"/>
  <c r="N138" i="11"/>
  <c r="O138" i="11" s="1"/>
  <c r="N134" i="11"/>
  <c r="O134" i="11" s="1"/>
  <c r="N223" i="11"/>
  <c r="O223" i="11" s="1"/>
  <c r="N217" i="11"/>
  <c r="O217" i="11" s="1"/>
  <c r="N248" i="11"/>
  <c r="O248" i="11" s="1"/>
  <c r="N429" i="11"/>
  <c r="O429" i="11" s="1"/>
  <c r="N425" i="11"/>
  <c r="O425" i="11" s="1"/>
  <c r="N423" i="11"/>
  <c r="O423" i="11" s="1"/>
  <c r="N417" i="11"/>
  <c r="O417" i="11" s="1"/>
  <c r="N414" i="11"/>
  <c r="O414" i="11" s="1"/>
  <c r="N412" i="11"/>
  <c r="O412" i="11" s="1"/>
  <c r="N410" i="11"/>
  <c r="O410" i="11" s="1"/>
  <c r="N398" i="11"/>
  <c r="O398" i="11" s="1"/>
  <c r="N396" i="11"/>
  <c r="O396" i="11" s="1"/>
  <c r="N394" i="11"/>
  <c r="O394" i="11" s="1"/>
  <c r="N431" i="11"/>
  <c r="O431" i="11" s="1"/>
  <c r="N468" i="11"/>
  <c r="O468" i="11" s="1"/>
  <c r="N457" i="11"/>
  <c r="O457" i="11" s="1"/>
  <c r="N445" i="11"/>
  <c r="O445" i="11" s="1"/>
  <c r="N441" i="11"/>
  <c r="O441" i="11" s="1"/>
  <c r="N437" i="11"/>
  <c r="O437" i="11" s="1"/>
  <c r="N522" i="11"/>
  <c r="O522" i="11" s="1"/>
  <c r="N559" i="11"/>
  <c r="O559" i="11" s="1"/>
  <c r="N555" i="11"/>
  <c r="O555" i="11" s="1"/>
  <c r="N553" i="11"/>
  <c r="O553" i="11" s="1"/>
  <c r="N551" i="11"/>
  <c r="O551" i="11" s="1"/>
  <c r="N543" i="11"/>
  <c r="O543" i="11" s="1"/>
  <c r="N541" i="11"/>
  <c r="O541" i="11" s="1"/>
  <c r="N539" i="11"/>
  <c r="O539" i="11" s="1"/>
  <c r="N537" i="11"/>
  <c r="O537" i="11" s="1"/>
  <c r="N531" i="11"/>
  <c r="O531" i="11" s="1"/>
  <c r="N529" i="11"/>
  <c r="O529" i="11" s="1"/>
  <c r="N527" i="11"/>
  <c r="O527" i="11" s="1"/>
  <c r="N525" i="11"/>
  <c r="O525" i="11" s="1"/>
  <c r="N523" i="11"/>
  <c r="O523" i="11" s="1"/>
  <c r="F923" i="40"/>
  <c r="G923" i="40" s="1"/>
  <c r="I923" i="40" s="1"/>
  <c r="J923" i="40"/>
  <c r="F925" i="40"/>
  <c r="G925" i="40" s="1"/>
  <c r="I925" i="40" s="1"/>
  <c r="J925" i="40"/>
  <c r="F927" i="40"/>
  <c r="G927" i="40" s="1"/>
  <c r="I927" i="40" s="1"/>
  <c r="J927" i="40"/>
  <c r="F931" i="40"/>
  <c r="G931" i="40" s="1"/>
  <c r="I931" i="40" s="1"/>
  <c r="J931" i="40"/>
  <c r="H29" i="26"/>
  <c r="H33" i="26"/>
  <c r="H35" i="26"/>
  <c r="H36" i="26"/>
  <c r="H63" i="26"/>
  <c r="O53" i="23"/>
  <c r="J68" i="40"/>
  <c r="N171" i="1"/>
  <c r="O167" i="1"/>
  <c r="O165" i="1"/>
  <c r="H17" i="9"/>
  <c r="L1121" i="1"/>
  <c r="G2107" i="1"/>
  <c r="G2106" i="1"/>
  <c r="H360" i="11"/>
  <c r="I360" i="11" s="1"/>
  <c r="L12" i="11"/>
  <c r="S12" i="11"/>
  <c r="T12" i="11" s="1"/>
  <c r="U12" i="11" s="1"/>
  <c r="G12" i="11"/>
  <c r="M50" i="11"/>
  <c r="G54" i="11"/>
  <c r="G72" i="11"/>
  <c r="I72" i="11" s="1"/>
  <c r="G53" i="11"/>
  <c r="I53" i="11" s="1"/>
  <c r="G61" i="11"/>
  <c r="I61" i="11" s="1"/>
  <c r="G65" i="11"/>
  <c r="I65" i="11" s="1"/>
  <c r="G71" i="11"/>
  <c r="G75" i="11"/>
  <c r="I75" i="11" s="1"/>
  <c r="G79" i="11"/>
  <c r="I79" i="11" s="1"/>
  <c r="G52" i="11"/>
  <c r="I52" i="11" s="1"/>
  <c r="G64" i="11"/>
  <c r="I64" i="11" s="1"/>
  <c r="G70" i="11"/>
  <c r="I70" i="11" s="1"/>
  <c r="G76" i="11"/>
  <c r="I76" i="11" s="1"/>
  <c r="S57" i="11"/>
  <c r="T57" i="11" s="1"/>
  <c r="U57" i="11" s="1"/>
  <c r="L57" i="11"/>
  <c r="G57" i="11"/>
  <c r="L78" i="11"/>
  <c r="N78" i="11" s="1"/>
  <c r="O78" i="11" s="1"/>
  <c r="G78" i="11"/>
  <c r="I78" i="11" s="1"/>
  <c r="G372" i="11"/>
  <c r="I372" i="11" s="1"/>
  <c r="M348" i="11"/>
  <c r="G386" i="11"/>
  <c r="I386" i="11" s="1"/>
  <c r="G362" i="11"/>
  <c r="H362" i="11" s="1"/>
  <c r="G381" i="11"/>
  <c r="I381" i="11" s="1"/>
  <c r="G377" i="11"/>
  <c r="I377" i="11" s="1"/>
  <c r="G371" i="11"/>
  <c r="I371" i="11" s="1"/>
  <c r="G365" i="11"/>
  <c r="H365" i="11" s="1"/>
  <c r="I365" i="11" s="1"/>
  <c r="G359" i="11"/>
  <c r="G353" i="11"/>
  <c r="L766" i="1"/>
  <c r="O169" i="1"/>
  <c r="J163" i="1"/>
  <c r="J176" i="1" s="1"/>
  <c r="N1002" i="1"/>
  <c r="J1028" i="1"/>
  <c r="J1506" i="1"/>
  <c r="G268" i="11"/>
  <c r="I268" i="11" s="1"/>
  <c r="G276" i="11"/>
  <c r="I276" i="11" s="1"/>
  <c r="G284" i="11"/>
  <c r="I284" i="11" s="1"/>
  <c r="G292" i="11"/>
  <c r="I292" i="11" s="1"/>
  <c r="G300" i="11"/>
  <c r="I300" i="11" s="1"/>
  <c r="H445" i="11"/>
  <c r="I445" i="11" s="1"/>
  <c r="H443" i="11"/>
  <c r="I443" i="11" s="1"/>
  <c r="H529" i="11"/>
  <c r="I529" i="11" s="1"/>
  <c r="D357" i="40"/>
  <c r="D302" i="40"/>
  <c r="D322" i="40"/>
  <c r="D342" i="40"/>
  <c r="O251" i="1"/>
  <c r="O265" i="1"/>
  <c r="J263" i="1"/>
  <c r="J290" i="1" s="1"/>
  <c r="O261" i="1"/>
  <c r="O259" i="1"/>
  <c r="N264" i="1"/>
  <c r="N262" i="1"/>
  <c r="L267" i="1"/>
  <c r="L290" i="1" s="1"/>
  <c r="O268" i="1"/>
  <c r="O281" i="1"/>
  <c r="N283" i="1"/>
  <c r="N284" i="1"/>
  <c r="J145" i="1"/>
  <c r="O345" i="1"/>
  <c r="O349" i="1"/>
  <c r="N354" i="1"/>
  <c r="K626" i="1"/>
  <c r="I625" i="1"/>
  <c r="K621" i="1"/>
  <c r="M615" i="1"/>
  <c r="O394" i="1"/>
  <c r="M396" i="1"/>
  <c r="O402" i="1"/>
  <c r="O404" i="1"/>
  <c r="M411" i="1"/>
  <c r="J416" i="1"/>
  <c r="M431" i="1"/>
  <c r="N434" i="1"/>
  <c r="N438" i="1"/>
  <c r="M442" i="1"/>
  <c r="O444" i="1"/>
  <c r="N447" i="1"/>
  <c r="O450" i="1"/>
  <c r="J454" i="1"/>
  <c r="O460" i="1"/>
  <c r="O476" i="1"/>
  <c r="N480" i="1"/>
  <c r="N484" i="1"/>
  <c r="O488" i="1"/>
  <c r="O492" i="1"/>
  <c r="M496" i="1"/>
  <c r="K503" i="1"/>
  <c r="M114" i="1"/>
  <c r="O155" i="1"/>
  <c r="K176" i="1"/>
  <c r="I605" i="1"/>
  <c r="L78" i="1"/>
  <c r="K359" i="1"/>
  <c r="K361" i="1" s="1"/>
  <c r="G604" i="1"/>
  <c r="G23" i="2"/>
  <c r="J23" i="2" s="1"/>
  <c r="G15" i="2"/>
  <c r="J15" i="2" s="1"/>
  <c r="H636" i="1"/>
  <c r="H638" i="1" s="1"/>
  <c r="I652" i="1"/>
  <c r="I462" i="1"/>
  <c r="K463" i="1"/>
  <c r="K464" i="1"/>
  <c r="I465" i="1"/>
  <c r="I508" i="1"/>
  <c r="H722" i="1"/>
  <c r="H723" i="1" s="1"/>
  <c r="H824" i="1"/>
  <c r="H825" i="1" s="1"/>
  <c r="H831" i="1"/>
  <c r="H832" i="1" s="1"/>
  <c r="H876" i="1"/>
  <c r="I887" i="1"/>
  <c r="I890" i="1"/>
  <c r="I893" i="1"/>
  <c r="I897" i="1"/>
  <c r="J1925" i="1"/>
  <c r="G18" i="11"/>
  <c r="I18" i="11" s="1"/>
  <c r="G68" i="11"/>
  <c r="I68" i="11" s="1"/>
  <c r="G74" i="11"/>
  <c r="G60" i="11"/>
  <c r="I60" i="11" s="1"/>
  <c r="G56" i="11"/>
  <c r="I56" i="11" s="1"/>
  <c r="G81" i="11"/>
  <c r="I81" i="11" s="1"/>
  <c r="G73" i="11"/>
  <c r="G63" i="11"/>
  <c r="I63" i="11" s="1"/>
  <c r="G51" i="11"/>
  <c r="I51" i="11" s="1"/>
  <c r="G355" i="11"/>
  <c r="G369" i="11"/>
  <c r="I369" i="11" s="1"/>
  <c r="G379" i="11"/>
  <c r="I379" i="11" s="1"/>
  <c r="G370" i="11"/>
  <c r="I370" i="11" s="1"/>
  <c r="G122" i="11"/>
  <c r="I122" i="11" s="1"/>
  <c r="S68" i="11"/>
  <c r="T68" i="11" s="1"/>
  <c r="U68" i="11" s="1"/>
  <c r="G295" i="11"/>
  <c r="I295" i="11" s="1"/>
  <c r="G279" i="11"/>
  <c r="I279" i="11" s="1"/>
  <c r="G263" i="11"/>
  <c r="I263" i="11" s="1"/>
  <c r="I195" i="11"/>
  <c r="I217" i="11"/>
  <c r="I234" i="11"/>
  <c r="M303" i="11"/>
  <c r="G342" i="11"/>
  <c r="I342" i="11" s="1"/>
  <c r="G326" i="11"/>
  <c r="I326" i="11" s="1"/>
  <c r="G310" i="11"/>
  <c r="I310" i="11" s="1"/>
  <c r="G330" i="11"/>
  <c r="I330" i="11" s="1"/>
  <c r="G314" i="11"/>
  <c r="I314" i="11" s="1"/>
  <c r="G307" i="11"/>
  <c r="I307" i="11" s="1"/>
  <c r="G309" i="11"/>
  <c r="I309" i="11" s="1"/>
  <c r="G313" i="11"/>
  <c r="I313" i="11" s="1"/>
  <c r="G317" i="11"/>
  <c r="I317" i="11" s="1"/>
  <c r="G321" i="11"/>
  <c r="I321" i="11" s="1"/>
  <c r="G325" i="11"/>
  <c r="I325" i="11" s="1"/>
  <c r="G329" i="11"/>
  <c r="I329" i="11" s="1"/>
  <c r="G333" i="11"/>
  <c r="I333" i="11" s="1"/>
  <c r="G337" i="11"/>
  <c r="I337" i="11" s="1"/>
  <c r="G343" i="11"/>
  <c r="I343" i="11" s="1"/>
  <c r="G340" i="11"/>
  <c r="I340" i="11" s="1"/>
  <c r="G332" i="11"/>
  <c r="I332" i="11" s="1"/>
  <c r="G320" i="11"/>
  <c r="I320" i="11" s="1"/>
  <c r="G312" i="11"/>
  <c r="I312" i="11" s="1"/>
  <c r="G304" i="11"/>
  <c r="I304" i="11" s="1"/>
  <c r="H438" i="11"/>
  <c r="I438" i="11"/>
  <c r="D154" i="40"/>
  <c r="J154" i="40" s="1"/>
  <c r="Q11" i="12"/>
  <c r="D43" i="40" s="1"/>
  <c r="F43" i="40" s="1"/>
  <c r="G43" i="40" s="1"/>
  <c r="I43" i="40" s="1"/>
  <c r="D165" i="40"/>
  <c r="F165" i="40" s="1"/>
  <c r="G165" i="40" s="1"/>
  <c r="I165" i="40" s="1"/>
  <c r="Q12" i="12"/>
  <c r="D48" i="40" s="1"/>
  <c r="D192" i="40"/>
  <c r="J192" i="40" s="1"/>
  <c r="Q15" i="12"/>
  <c r="D61" i="40" s="1"/>
  <c r="F61" i="40" s="1"/>
  <c r="G61" i="40" s="1"/>
  <c r="I61" i="40" s="1"/>
  <c r="D201" i="40"/>
  <c r="F201" i="40" s="1"/>
  <c r="G201" i="40" s="1"/>
  <c r="I201" i="40" s="1"/>
  <c r="Q16" i="12"/>
  <c r="D67" i="40" s="1"/>
  <c r="F67" i="40" s="1"/>
  <c r="G67" i="40" s="1"/>
  <c r="I67" i="40" s="1"/>
  <c r="D275" i="40"/>
  <c r="D247" i="40"/>
  <c r="D298" i="40"/>
  <c r="F298" i="40" s="1"/>
  <c r="G298" i="40" s="1"/>
  <c r="I298" i="40" s="1"/>
  <c r="D234" i="40"/>
  <c r="F234" i="40" s="1"/>
  <c r="G234" i="40" s="1"/>
  <c r="I234" i="40" s="1"/>
  <c r="D262" i="40"/>
  <c r="K914" i="1"/>
  <c r="K923" i="1" s="1"/>
  <c r="N915" i="1"/>
  <c r="O916" i="1"/>
  <c r="J928" i="1"/>
  <c r="O933" i="1"/>
  <c r="K1059" i="1"/>
  <c r="K1060" i="1" s="1"/>
  <c r="N1064" i="1"/>
  <c r="N1071" i="1"/>
  <c r="N1079" i="1"/>
  <c r="L1085" i="1"/>
  <c r="N1089" i="1"/>
  <c r="N1095" i="1"/>
  <c r="I1206" i="1"/>
  <c r="N1213" i="1"/>
  <c r="I1217" i="1"/>
  <c r="J1921" i="1"/>
  <c r="J1923" i="1"/>
  <c r="J1924" i="1"/>
  <c r="J1927" i="1"/>
  <c r="M2124" i="1"/>
  <c r="F91" i="3" s="1"/>
  <c r="G91" i="3" s="1"/>
  <c r="L2124" i="1"/>
  <c r="F90" i="3" s="1"/>
  <c r="G90" i="3" s="1"/>
  <c r="K2124" i="1"/>
  <c r="F89" i="3" s="1"/>
  <c r="G89" i="3" s="1"/>
  <c r="J2124" i="1"/>
  <c r="F88" i="3" s="1"/>
  <c r="G88" i="3" s="1"/>
  <c r="L2143" i="1"/>
  <c r="I25" i="11"/>
  <c r="I126" i="11"/>
  <c r="G328" i="11"/>
  <c r="I328" i="11" s="1"/>
  <c r="I115" i="11"/>
  <c r="N205" i="11"/>
  <c r="O205" i="11" s="1"/>
  <c r="N211" i="11"/>
  <c r="O211" i="11" s="1"/>
  <c r="N591" i="11"/>
  <c r="O591" i="11" s="1"/>
  <c r="N568" i="11"/>
  <c r="O568" i="11" s="1"/>
  <c r="N588" i="11"/>
  <c r="O588" i="11" s="1"/>
  <c r="N600" i="11"/>
  <c r="O600" i="11" s="1"/>
  <c r="N577" i="11"/>
  <c r="O577" i="11" s="1"/>
  <c r="N593" i="11"/>
  <c r="O593" i="11" s="1"/>
  <c r="N605" i="11"/>
  <c r="O605" i="11" s="1"/>
  <c r="N582" i="11"/>
  <c r="O582" i="11" s="1"/>
  <c r="N602" i="11"/>
  <c r="O602" i="11" s="1"/>
  <c r="D213" i="40"/>
  <c r="J213" i="40" s="1"/>
  <c r="L45" i="24"/>
  <c r="D332" i="40"/>
  <c r="D296" i="40"/>
  <c r="D274" i="40"/>
  <c r="D246" i="40"/>
  <c r="J246" i="40" s="1"/>
  <c r="D312" i="40"/>
  <c r="D232" i="40"/>
  <c r="D286" i="40"/>
  <c r="F286" i="40" s="1"/>
  <c r="G286" i="40" s="1"/>
  <c r="D261" i="40"/>
  <c r="E122" i="28"/>
  <c r="F1860" i="30" s="1"/>
  <c r="G110" i="28"/>
  <c r="F1834" i="30"/>
  <c r="G108" i="28"/>
  <c r="E115" i="28"/>
  <c r="G89" i="28"/>
  <c r="G88" i="28"/>
  <c r="F1744" i="30"/>
  <c r="G87" i="28"/>
  <c r="E66" i="28"/>
  <c r="E57" i="28"/>
  <c r="I433" i="11"/>
  <c r="D129" i="40"/>
  <c r="F129" i="40" s="1"/>
  <c r="G129" i="40" s="1"/>
  <c r="I129" i="40" s="1"/>
  <c r="Q8" i="12"/>
  <c r="D136" i="40"/>
  <c r="J136" i="40" s="1"/>
  <c r="Q9" i="12"/>
  <c r="D32" i="40" s="1"/>
  <c r="F32" i="40" s="1"/>
  <c r="G32" i="40" s="1"/>
  <c r="I32" i="40" s="1"/>
  <c r="D173" i="40"/>
  <c r="J173" i="40" s="1"/>
  <c r="Q13" i="12"/>
  <c r="D52" i="40" s="1"/>
  <c r="F52" i="40" s="1"/>
  <c r="G52" i="40" s="1"/>
  <c r="I52" i="40" s="1"/>
  <c r="D183" i="40"/>
  <c r="F183" i="40" s="1"/>
  <c r="G183" i="40" s="1"/>
  <c r="I183" i="40" s="1"/>
  <c r="Q14" i="12"/>
  <c r="D56" i="40" s="1"/>
  <c r="F56" i="40" s="1"/>
  <c r="G56" i="40" s="1"/>
  <c r="I56" i="40" s="1"/>
  <c r="G109" i="28"/>
  <c r="G246" i="17"/>
  <c r="L86" i="28"/>
  <c r="D892" i="40"/>
  <c r="D879" i="40"/>
  <c r="D849" i="40"/>
  <c r="D866" i="40"/>
  <c r="D827" i="40"/>
  <c r="F801" i="40"/>
  <c r="F1992" i="30"/>
  <c r="L84" i="28"/>
  <c r="F1980" i="30"/>
  <c r="L83" i="28"/>
  <c r="E64" i="28"/>
  <c r="O38" i="23"/>
  <c r="O22" i="23"/>
  <c r="F17" i="24"/>
  <c r="F14" i="24"/>
  <c r="J835" i="40"/>
  <c r="J795" i="40"/>
  <c r="I95" i="17"/>
  <c r="N224" i="1"/>
  <c r="K605" i="1"/>
  <c r="K253" i="1"/>
  <c r="M280" i="1"/>
  <c r="L114" i="1"/>
  <c r="J360" i="1"/>
  <c r="J361" i="1" s="1"/>
  <c r="H878" i="1"/>
  <c r="H879" i="1" s="1"/>
  <c r="G17" i="17"/>
  <c r="C7" i="9"/>
  <c r="C9" i="9" s="1"/>
  <c r="H359" i="11"/>
  <c r="I359" i="11" s="1"/>
  <c r="L13" i="11"/>
  <c r="G13" i="11"/>
  <c r="I13" i="11" s="1"/>
  <c r="S20" i="11"/>
  <c r="T20" i="11" s="1"/>
  <c r="U20" i="11" s="1"/>
  <c r="L20" i="11"/>
  <c r="L25" i="11"/>
  <c r="S25" i="11"/>
  <c r="T25" i="11" s="1"/>
  <c r="U25" i="11" s="1"/>
  <c r="L59" i="11"/>
  <c r="N59" i="11" s="1"/>
  <c r="O59" i="11" s="1"/>
  <c r="G59" i="11"/>
  <c r="I59" i="11" s="1"/>
  <c r="S111" i="11"/>
  <c r="T111" i="11" s="1"/>
  <c r="U111" i="11" s="1"/>
  <c r="L111" i="11"/>
  <c r="N111" i="11" s="1"/>
  <c r="O111" i="11" s="1"/>
  <c r="H449" i="11"/>
  <c r="I449" i="11" s="1"/>
  <c r="G113" i="17"/>
  <c r="F690" i="30"/>
  <c r="J691" i="30" s="1"/>
  <c r="F704" i="30"/>
  <c r="J705" i="30" s="1"/>
  <c r="G115" i="17"/>
  <c r="F718" i="30"/>
  <c r="J719" i="30" s="1"/>
  <c r="G117" i="17"/>
  <c r="F732" i="30"/>
  <c r="J733" i="30" s="1"/>
  <c r="G119" i="17"/>
  <c r="I119" i="17" s="1"/>
  <c r="J250" i="40" s="1"/>
  <c r="G122" i="17"/>
  <c r="I122" i="17" s="1"/>
  <c r="F753" i="30"/>
  <c r="J754" i="30" s="1"/>
  <c r="F767" i="30"/>
  <c r="J768" i="30" s="1"/>
  <c r="G124" i="17"/>
  <c r="F781" i="30"/>
  <c r="J782" i="30" s="1"/>
  <c r="G126" i="17"/>
  <c r="I126" i="17" s="1"/>
  <c r="F795" i="30"/>
  <c r="J796" i="30" s="1"/>
  <c r="G128" i="17"/>
  <c r="I128" i="17" s="1"/>
  <c r="F809" i="30"/>
  <c r="J810" i="30" s="1"/>
  <c r="G130" i="17"/>
  <c r="I130" i="17" s="1"/>
  <c r="F830" i="30"/>
  <c r="J831" i="30" s="1"/>
  <c r="G133" i="17"/>
  <c r="I133" i="17" s="1"/>
  <c r="F844" i="30"/>
  <c r="J845" i="30" s="1"/>
  <c r="G135" i="17"/>
  <c r="G137" i="17"/>
  <c r="F858" i="30"/>
  <c r="J859" i="30" s="1"/>
  <c r="F1176" i="30"/>
  <c r="J1177" i="30" s="1"/>
  <c r="G167" i="17"/>
  <c r="I167" i="17" s="1"/>
  <c r="F1224" i="30"/>
  <c r="J1225" i="30" s="1"/>
  <c r="G171" i="17"/>
  <c r="I171" i="17" s="1"/>
  <c r="F1321" i="30"/>
  <c r="J1322" i="30" s="1"/>
  <c r="G179" i="17"/>
  <c r="I179" i="17" s="1"/>
  <c r="N628" i="11"/>
  <c r="O628" i="11" s="1"/>
  <c r="M21" i="31"/>
  <c r="D121" i="40" s="1"/>
  <c r="F121" i="40" s="1"/>
  <c r="G121" i="40" s="1"/>
  <c r="I121" i="40" s="1"/>
  <c r="M13" i="31"/>
  <c r="D119" i="40" s="1"/>
  <c r="F119" i="40" s="1"/>
  <c r="G119" i="40" s="1"/>
  <c r="I119" i="40" s="1"/>
  <c r="F14" i="23"/>
  <c r="F18" i="23"/>
  <c r="F22" i="23"/>
  <c r="O334" i="1"/>
  <c r="M328" i="1"/>
  <c r="M342" i="1" s="1"/>
  <c r="J139" i="1"/>
  <c r="J152" i="1" s="1"/>
  <c r="O142" i="1"/>
  <c r="O143" i="1"/>
  <c r="O146" i="1"/>
  <c r="N347" i="1"/>
  <c r="O350" i="1"/>
  <c r="O351" i="1"/>
  <c r="O353" i="1"/>
  <c r="O355" i="1"/>
  <c r="L397" i="1"/>
  <c r="L424" i="1" s="1"/>
  <c r="K401" i="1"/>
  <c r="K424" i="1" s="1"/>
  <c r="N405" i="1"/>
  <c r="N409" i="1"/>
  <c r="O417" i="1"/>
  <c r="O421" i="1"/>
  <c r="O430" i="1"/>
  <c r="N471" i="1"/>
  <c r="L475" i="1"/>
  <c r="K483" i="1"/>
  <c r="K510" i="1" s="1"/>
  <c r="N491" i="1"/>
  <c r="N500" i="1"/>
  <c r="O499" i="1"/>
  <c r="N502" i="1"/>
  <c r="O501" i="1"/>
  <c r="L202" i="1"/>
  <c r="L43" i="1"/>
  <c r="O159" i="1"/>
  <c r="O161" i="1"/>
  <c r="M539" i="1"/>
  <c r="J605" i="1"/>
  <c r="J611" i="1"/>
  <c r="H612" i="1" s="1"/>
  <c r="J39" i="1"/>
  <c r="J43" i="1" s="1"/>
  <c r="G573" i="1"/>
  <c r="H687" i="1"/>
  <c r="H688" i="1" s="1"/>
  <c r="J390" i="1"/>
  <c r="J391" i="1" s="1"/>
  <c r="I691" i="1"/>
  <c r="I709" i="1" s="1"/>
  <c r="H777" i="1"/>
  <c r="H778" i="1" s="1"/>
  <c r="G567" i="1"/>
  <c r="J568" i="1"/>
  <c r="H654" i="1"/>
  <c r="H655" i="1" s="1"/>
  <c r="H677" i="1"/>
  <c r="J467" i="1"/>
  <c r="J468" i="1" s="1"/>
  <c r="I505" i="1"/>
  <c r="H716" i="1"/>
  <c r="H717" i="1" s="1"/>
  <c r="H818" i="1"/>
  <c r="H819" i="1" s="1"/>
  <c r="G757" i="1"/>
  <c r="J1328" i="1"/>
  <c r="J1229" i="1"/>
  <c r="G62" i="2"/>
  <c r="J62" i="2" s="1"/>
  <c r="J921" i="1"/>
  <c r="J923" i="1" s="1"/>
  <c r="H922" i="1"/>
  <c r="H923" i="1" s="1"/>
  <c r="O926" i="1"/>
  <c r="O929" i="1"/>
  <c r="O930" i="1"/>
  <c r="O931" i="1"/>
  <c r="O934" i="1"/>
  <c r="N935" i="1"/>
  <c r="N949" i="1" s="1"/>
  <c r="O936" i="1"/>
  <c r="K939" i="1"/>
  <c r="L942" i="1"/>
  <c r="L943" i="1"/>
  <c r="K948" i="1"/>
  <c r="K953" i="1"/>
  <c r="M957" i="1"/>
  <c r="N961" i="1"/>
  <c r="M967" i="1"/>
  <c r="N969" i="1"/>
  <c r="N973" i="1"/>
  <c r="J1048" i="1"/>
  <c r="J1049" i="1" s="1"/>
  <c r="N1063" i="1"/>
  <c r="M1067" i="1"/>
  <c r="L1068" i="1"/>
  <c r="L1075" i="1" s="1"/>
  <c r="I1073" i="1"/>
  <c r="I1075" i="1" s="1"/>
  <c r="J1074" i="1"/>
  <c r="J1075" i="1" s="1"/>
  <c r="M1078" i="1"/>
  <c r="O1080" i="1"/>
  <c r="J1917" i="1"/>
  <c r="H353" i="11"/>
  <c r="I353" i="11" s="1"/>
  <c r="N357" i="11"/>
  <c r="O357" i="11" s="1"/>
  <c r="N365" i="11"/>
  <c r="O365" i="11" s="1"/>
  <c r="N377" i="11"/>
  <c r="O377" i="11" s="1"/>
  <c r="N362" i="11"/>
  <c r="O362" i="11" s="1"/>
  <c r="N378" i="11"/>
  <c r="O378" i="11" s="1"/>
  <c r="N368" i="11"/>
  <c r="O368" i="11" s="1"/>
  <c r="I447" i="11"/>
  <c r="S59" i="11"/>
  <c r="T59" i="11" s="1"/>
  <c r="U59" i="11" s="1"/>
  <c r="S415" i="11"/>
  <c r="T415" i="11" s="1"/>
  <c r="U415" i="11" s="1"/>
  <c r="L415" i="11"/>
  <c r="N415" i="11" s="1"/>
  <c r="O415" i="11" s="1"/>
  <c r="I196" i="11"/>
  <c r="I194" i="11"/>
  <c r="M29" i="11"/>
  <c r="G38" i="11"/>
  <c r="I38" i="11" s="1"/>
  <c r="G34" i="11"/>
  <c r="I34" i="11" s="1"/>
  <c r="G44" i="11"/>
  <c r="I44" i="11" s="1"/>
  <c r="G36" i="11"/>
  <c r="I36" i="11" s="1"/>
  <c r="G31" i="11"/>
  <c r="I31" i="11" s="1"/>
  <c r="G35" i="11"/>
  <c r="I35" i="11" s="1"/>
  <c r="G39" i="11"/>
  <c r="I39" i="11" s="1"/>
  <c r="G43" i="11"/>
  <c r="I43" i="11" s="1"/>
  <c r="G47" i="11"/>
  <c r="I47" i="11" s="1"/>
  <c r="I49" i="11" s="1"/>
  <c r="D90" i="40" s="1"/>
  <c r="F90" i="40" s="1"/>
  <c r="G90" i="40" s="1"/>
  <c r="I90" i="40" s="1"/>
  <c r="N316" i="11"/>
  <c r="O316" i="11" s="1"/>
  <c r="N308" i="11"/>
  <c r="O308" i="11" s="1"/>
  <c r="N324" i="11"/>
  <c r="O324" i="11" s="1"/>
  <c r="N327" i="11"/>
  <c r="O327" i="11" s="1"/>
  <c r="H534" i="11"/>
  <c r="I534" i="11" s="1"/>
  <c r="M1084" i="1"/>
  <c r="L1086" i="1"/>
  <c r="O1088" i="1"/>
  <c r="N1090" i="1"/>
  <c r="M1092" i="1"/>
  <c r="M1094" i="1"/>
  <c r="N1096" i="1"/>
  <c r="I1136" i="1"/>
  <c r="I1137" i="1" s="1"/>
  <c r="K1148" i="1"/>
  <c r="M1154" i="1"/>
  <c r="K1163" i="1"/>
  <c r="K1171" i="1" s="1"/>
  <c r="J1164" i="1"/>
  <c r="O1167" i="1"/>
  <c r="O1171" i="1" s="1"/>
  <c r="N1168" i="1"/>
  <c r="N1171" i="1" s="1"/>
  <c r="H1218" i="1"/>
  <c r="H1220" i="1" s="1"/>
  <c r="I1226" i="1"/>
  <c r="H1228" i="1"/>
  <c r="H1229" i="1" s="1"/>
  <c r="I1232" i="1"/>
  <c r="M1234" i="1"/>
  <c r="I1238" i="1"/>
  <c r="J1245" i="1"/>
  <c r="H1249" i="1"/>
  <c r="H1250" i="1" s="1"/>
  <c r="N1259" i="1"/>
  <c r="N1267" i="1" s="1"/>
  <c r="H1266" i="1"/>
  <c r="H1267" i="1" s="1"/>
  <c r="H1275" i="1"/>
  <c r="H1276" i="1" s="1"/>
  <c r="L1287" i="1"/>
  <c r="L1290" i="1"/>
  <c r="I1302" i="1"/>
  <c r="I1303" i="1"/>
  <c r="I1306" i="1"/>
  <c r="H1307" i="1"/>
  <c r="H1308" i="1" s="1"/>
  <c r="K1313" i="1"/>
  <c r="H1314" i="1" s="1"/>
  <c r="M1319" i="1"/>
  <c r="O1323" i="1"/>
  <c r="O1328" i="1" s="1"/>
  <c r="K1376" i="1"/>
  <c r="L1380" i="1"/>
  <c r="K1384" i="1"/>
  <c r="L1393" i="1"/>
  <c r="L1397" i="1"/>
  <c r="J1401" i="1"/>
  <c r="I1475" i="1"/>
  <c r="I1479" i="1" s="1"/>
  <c r="J1477" i="1"/>
  <c r="J1478" i="1"/>
  <c r="K1483" i="1"/>
  <c r="K1489" i="1"/>
  <c r="L1493" i="1"/>
  <c r="K1495" i="1"/>
  <c r="L1497" i="1"/>
  <c r="L1501" i="1"/>
  <c r="K1503" i="1"/>
  <c r="I1505" i="1"/>
  <c r="J1510" i="1"/>
  <c r="L1512" i="1"/>
  <c r="L1516" i="1"/>
  <c r="J1518" i="1"/>
  <c r="K1520" i="1"/>
  <c r="K1526" i="1" s="1"/>
  <c r="L1522" i="1"/>
  <c r="I1524" i="1"/>
  <c r="I1526" i="1" s="1"/>
  <c r="K1531" i="1"/>
  <c r="L1533" i="1"/>
  <c r="J1535" i="1"/>
  <c r="K1539" i="1"/>
  <c r="L1541" i="1"/>
  <c r="K1543" i="1"/>
  <c r="K1545" i="1"/>
  <c r="K1551" i="1"/>
  <c r="I1553" i="1"/>
  <c r="J1558" i="1"/>
  <c r="L1560" i="1"/>
  <c r="K1562" i="1"/>
  <c r="J1564" i="1"/>
  <c r="K1566" i="1"/>
  <c r="L1568" i="1"/>
  <c r="J1570" i="1"/>
  <c r="L1572" i="1"/>
  <c r="J1579" i="1"/>
  <c r="J1581" i="1"/>
  <c r="L1583" i="1"/>
  <c r="L1585" i="1"/>
  <c r="I1589" i="1"/>
  <c r="K1594" i="1"/>
  <c r="K1598" i="1" s="1"/>
  <c r="I1596" i="1"/>
  <c r="I1598" i="1" s="1"/>
  <c r="L1601" i="1"/>
  <c r="J1603" i="1"/>
  <c r="K1607" i="1"/>
  <c r="L1609" i="1"/>
  <c r="J1611" i="1"/>
  <c r="L1615" i="1"/>
  <c r="I1617" i="1"/>
  <c r="I1619" i="1" s="1"/>
  <c r="L1624" i="1"/>
  <c r="K1628" i="1"/>
  <c r="L1630" i="1"/>
  <c r="I1632" i="1"/>
  <c r="K1637" i="1"/>
  <c r="L1641" i="1"/>
  <c r="K1643" i="1"/>
  <c r="K1645" i="1"/>
  <c r="L1647" i="1"/>
  <c r="I1649" i="1"/>
  <c r="K1654" i="1"/>
  <c r="J1656" i="1"/>
  <c r="L1658" i="1"/>
  <c r="J1662" i="1"/>
  <c r="J1664" i="1"/>
  <c r="L1666" i="1"/>
  <c r="L1668" i="1"/>
  <c r="L1670" i="1"/>
  <c r="J1672" i="1"/>
  <c r="K1674" i="1"/>
  <c r="L1676" i="1"/>
  <c r="I1678" i="1"/>
  <c r="K1683" i="1"/>
  <c r="L1685" i="1"/>
  <c r="K1687" i="1"/>
  <c r="J1689" i="1"/>
  <c r="L1691" i="1"/>
  <c r="I1695" i="1"/>
  <c r="J1700" i="1"/>
  <c r="L1702" i="1"/>
  <c r="K1704" i="1"/>
  <c r="L1706" i="1"/>
  <c r="K1708" i="1"/>
  <c r="I1710" i="1"/>
  <c r="I1711" i="1" s="1"/>
  <c r="K1715" i="1"/>
  <c r="K1717" i="1"/>
  <c r="K1719" i="1"/>
  <c r="J1721" i="1"/>
  <c r="L1723" i="1"/>
  <c r="L1728" i="1" s="1"/>
  <c r="J1732" i="1"/>
  <c r="L1734" i="1"/>
  <c r="L1736" i="1"/>
  <c r="J1738" i="1"/>
  <c r="L1740" i="1"/>
  <c r="L1742" i="1"/>
  <c r="J1749" i="1"/>
  <c r="L1751" i="1"/>
  <c r="L1753" i="1"/>
  <c r="J1755" i="1"/>
  <c r="J1757" i="1"/>
  <c r="K1759" i="1"/>
  <c r="K1763" i="1"/>
  <c r="K1765" i="1"/>
  <c r="J1769" i="1"/>
  <c r="L1771" i="1"/>
  <c r="L1773" i="1"/>
  <c r="I1775" i="1"/>
  <c r="K1780" i="1"/>
  <c r="J1784" i="1"/>
  <c r="K1788" i="1"/>
  <c r="I1792" i="1"/>
  <c r="I1794" i="1" s="1"/>
  <c r="J1797" i="1"/>
  <c r="K1799" i="1"/>
  <c r="K1801" i="1"/>
  <c r="K1803" i="1"/>
  <c r="K1805" i="1"/>
  <c r="J1807" i="1"/>
  <c r="K1809" i="1"/>
  <c r="K1820" i="1"/>
  <c r="K1822" i="1"/>
  <c r="L1826" i="1"/>
  <c r="L1828" i="1"/>
  <c r="J1830" i="1"/>
  <c r="L1832" i="1"/>
  <c r="K1834" i="1"/>
  <c r="I1836" i="1"/>
  <c r="K1841" i="1"/>
  <c r="K1845" i="1" s="1"/>
  <c r="J1848" i="1"/>
  <c r="K1852" i="1"/>
  <c r="K1854" i="1"/>
  <c r="K1856" i="1"/>
  <c r="K1858" i="1"/>
  <c r="I1860" i="1"/>
  <c r="K1865" i="1"/>
  <c r="K1869" i="1"/>
  <c r="L1877" i="1"/>
  <c r="L1879" i="1"/>
  <c r="L1881" i="1"/>
  <c r="K1883" i="1"/>
  <c r="L1885" i="1"/>
  <c r="I1887" i="1"/>
  <c r="I1889" i="1" s="1"/>
  <c r="J1919" i="1"/>
  <c r="AK75" i="4"/>
  <c r="AK76" i="4"/>
  <c r="I23" i="11"/>
  <c r="I12" i="11"/>
  <c r="I80" i="11"/>
  <c r="I73" i="11"/>
  <c r="I55" i="11"/>
  <c r="I129" i="11"/>
  <c r="I113" i="11"/>
  <c r="I108" i="11"/>
  <c r="I223" i="11"/>
  <c r="I239" i="11"/>
  <c r="N188" i="11"/>
  <c r="O188" i="11" s="1"/>
  <c r="N182" i="11"/>
  <c r="O182" i="11" s="1"/>
  <c r="N189" i="11"/>
  <c r="O189" i="11" s="1"/>
  <c r="N196" i="11"/>
  <c r="O196" i="11" s="1"/>
  <c r="N194" i="11"/>
  <c r="O194" i="11" s="1"/>
  <c r="N203" i="11"/>
  <c r="O203" i="11" s="1"/>
  <c r="N213" i="11"/>
  <c r="O213" i="11" s="1"/>
  <c r="N214" i="11"/>
  <c r="O214" i="11" s="1"/>
  <c r="N210" i="11"/>
  <c r="O210" i="11" s="1"/>
  <c r="N206" i="11"/>
  <c r="O206" i="11" s="1"/>
  <c r="N198" i="11"/>
  <c r="O198" i="11" s="1"/>
  <c r="N485" i="11"/>
  <c r="O485" i="11" s="1"/>
  <c r="N483" i="11"/>
  <c r="O483" i="11" s="1"/>
  <c r="N491" i="11"/>
  <c r="O491" i="11" s="1"/>
  <c r="N503" i="11"/>
  <c r="O503" i="11" s="1"/>
  <c r="N511" i="11"/>
  <c r="O511" i="11" s="1"/>
  <c r="N478" i="11"/>
  <c r="O478" i="11" s="1"/>
  <c r="N494" i="11"/>
  <c r="O494" i="11" s="1"/>
  <c r="N506" i="11"/>
  <c r="O506" i="11" s="1"/>
  <c r="N512" i="11"/>
  <c r="O512" i="11" s="1"/>
  <c r="N480" i="11"/>
  <c r="O480" i="11" s="1"/>
  <c r="N575" i="11"/>
  <c r="O575" i="11" s="1"/>
  <c r="N595" i="11"/>
  <c r="O595" i="11" s="1"/>
  <c r="N564" i="11"/>
  <c r="O564" i="11" s="1"/>
  <c r="N572" i="11"/>
  <c r="O572" i="11" s="1"/>
  <c r="N580" i="11"/>
  <c r="O580" i="11" s="1"/>
  <c r="N584" i="11"/>
  <c r="O584" i="11" s="1"/>
  <c r="N592" i="11"/>
  <c r="O592" i="11" s="1"/>
  <c r="N604" i="11"/>
  <c r="O604" i="11" s="1"/>
  <c r="N569" i="11"/>
  <c r="O569" i="11" s="1"/>
  <c r="N573" i="11"/>
  <c r="O573" i="11" s="1"/>
  <c r="N581" i="11"/>
  <c r="O581" i="11" s="1"/>
  <c r="N589" i="11"/>
  <c r="O589" i="11" s="1"/>
  <c r="N597" i="11"/>
  <c r="O597" i="11" s="1"/>
  <c r="N566" i="11"/>
  <c r="O566" i="11" s="1"/>
  <c r="N578" i="11"/>
  <c r="O578" i="11" s="1"/>
  <c r="N586" i="11"/>
  <c r="O586" i="11" s="1"/>
  <c r="N598" i="11"/>
  <c r="O598" i="11" s="1"/>
  <c r="N632" i="11"/>
  <c r="O632" i="11" s="1"/>
  <c r="N629" i="11"/>
  <c r="O629" i="11" s="1"/>
  <c r="D195" i="40"/>
  <c r="J195" i="40" s="1"/>
  <c r="I81" i="12"/>
  <c r="G73" i="17" s="1"/>
  <c r="I73" i="17" s="1"/>
  <c r="D206" i="40"/>
  <c r="J206" i="40" s="1"/>
  <c r="I83" i="12"/>
  <c r="G74" i="17" s="1"/>
  <c r="I74" i="17" s="1"/>
  <c r="N433" i="11"/>
  <c r="O433" i="11" s="1"/>
  <c r="N613" i="11"/>
  <c r="O613" i="11" s="1"/>
  <c r="N630" i="11"/>
  <c r="O630" i="11" s="1"/>
  <c r="N627" i="11"/>
  <c r="O627" i="11" s="1"/>
  <c r="N625" i="11"/>
  <c r="O625" i="11" s="1"/>
  <c r="N623" i="11"/>
  <c r="O623" i="11" s="1"/>
  <c r="N620" i="11"/>
  <c r="O620" i="11" s="1"/>
  <c r="N617" i="11"/>
  <c r="O617" i="11" s="1"/>
  <c r="N616" i="11"/>
  <c r="O616" i="11" s="1"/>
  <c r="N614" i="11"/>
  <c r="O614" i="11" s="1"/>
  <c r="F1208" i="30"/>
  <c r="J1209" i="30" s="1"/>
  <c r="G170" i="17"/>
  <c r="I170" i="17" s="1"/>
  <c r="F1241" i="30"/>
  <c r="J1242" i="30" s="1"/>
  <c r="G172" i="17"/>
  <c r="I172" i="17" s="1"/>
  <c r="F173" i="30"/>
  <c r="O45" i="23"/>
  <c r="Q45" i="23" s="1"/>
  <c r="AF16" i="31"/>
  <c r="AF29" i="31"/>
  <c r="G136" i="17"/>
  <c r="F851" i="30"/>
  <c r="J852" i="30" s="1"/>
  <c r="G138" i="17"/>
  <c r="F865" i="30"/>
  <c r="J866" i="30" s="1"/>
  <c r="F697" i="30"/>
  <c r="J698" i="30" s="1"/>
  <c r="I114" i="17"/>
  <c r="F711" i="30"/>
  <c r="J712" i="30" s="1"/>
  <c r="G116" i="17"/>
  <c r="I116" i="17" s="1"/>
  <c r="J236" i="40" s="1"/>
  <c r="F725" i="30"/>
  <c r="J726" i="30" s="1"/>
  <c r="G118" i="17"/>
  <c r="I118" i="17" s="1"/>
  <c r="G121" i="17"/>
  <c r="F746" i="30"/>
  <c r="J747" i="30" s="1"/>
  <c r="G123" i="17"/>
  <c r="I123" i="17" s="1"/>
  <c r="F760" i="30"/>
  <c r="J761" i="30" s="1"/>
  <c r="F774" i="30"/>
  <c r="J775" i="30" s="1"/>
  <c r="G125" i="17"/>
  <c r="I125" i="17" s="1"/>
  <c r="F788" i="30"/>
  <c r="J789" i="30" s="1"/>
  <c r="G127" i="17"/>
  <c r="I127" i="17" s="1"/>
  <c r="F802" i="30"/>
  <c r="J803" i="30" s="1"/>
  <c r="G129" i="17"/>
  <c r="I129" i="17" s="1"/>
  <c r="F816" i="30"/>
  <c r="J817" i="30" s="1"/>
  <c r="G131" i="17"/>
  <c r="I131" i="17" s="1"/>
  <c r="F823" i="30"/>
  <c r="J824" i="30" s="1"/>
  <c r="G132" i="17"/>
  <c r="I132" i="17" s="1"/>
  <c r="F837" i="30"/>
  <c r="J838" i="30" s="1"/>
  <c r="G134" i="17"/>
  <c r="E50" i="24"/>
  <c r="D59" i="25"/>
  <c r="H30" i="26"/>
  <c r="H40" i="26"/>
  <c r="H44" i="26"/>
  <c r="H48" i="26"/>
  <c r="H55" i="26" s="1"/>
  <c r="H62" i="26"/>
  <c r="F739" i="30"/>
  <c r="J740" i="30" s="1"/>
  <c r="G120" i="17"/>
  <c r="I120" i="17" s="1"/>
  <c r="J251" i="40" s="1"/>
  <c r="F662" i="30"/>
  <c r="J663" i="30" s="1"/>
  <c r="G109" i="17"/>
  <c r="I109" i="17" s="1"/>
  <c r="F159" i="30"/>
  <c r="M25" i="31"/>
  <c r="D122" i="40" s="1"/>
  <c r="O30" i="23"/>
  <c r="O28" i="23"/>
  <c r="O25" i="23"/>
  <c r="O23" i="23"/>
  <c r="O20" i="23"/>
  <c r="O18" i="23"/>
  <c r="O13" i="23"/>
  <c r="O11" i="23"/>
  <c r="F13" i="31"/>
  <c r="F17" i="31"/>
  <c r="F21" i="31"/>
  <c r="F25" i="31"/>
  <c r="F37" i="31"/>
  <c r="F41" i="31"/>
  <c r="AF15" i="31"/>
  <c r="AF27" i="31"/>
  <c r="F34" i="24"/>
  <c r="G140" i="17"/>
  <c r="I140" i="17" s="1"/>
  <c r="F877" i="30"/>
  <c r="J878" i="30" s="1"/>
  <c r="I240" i="17"/>
  <c r="I243" i="17"/>
  <c r="I238" i="17"/>
  <c r="I239" i="17"/>
  <c r="I242" i="17"/>
  <c r="I237" i="17"/>
  <c r="I241" i="17"/>
  <c r="H74" i="5"/>
  <c r="M302" i="1"/>
  <c r="M321" i="1" s="1"/>
  <c r="N340" i="1"/>
  <c r="L332" i="1"/>
  <c r="L342" i="1" s="1"/>
  <c r="L391" i="1"/>
  <c r="K374" i="1"/>
  <c r="K391" i="1" s="1"/>
  <c r="O366" i="1"/>
  <c r="L631" i="1"/>
  <c r="L647" i="1"/>
  <c r="L649" i="1" s="1"/>
  <c r="M645" i="1"/>
  <c r="I643" i="1"/>
  <c r="N680" i="1"/>
  <c r="N872" i="1" s="1"/>
  <c r="K774" i="1"/>
  <c r="K772" i="1"/>
  <c r="N152" i="1"/>
  <c r="M638" i="1"/>
  <c r="I717" i="1"/>
  <c r="H718" i="1" s="1"/>
  <c r="M842" i="1"/>
  <c r="J842" i="1"/>
  <c r="N43" i="1"/>
  <c r="O136" i="1"/>
  <c r="L224" i="1"/>
  <c r="O224" i="1"/>
  <c r="J759" i="1"/>
  <c r="H820" i="1"/>
  <c r="N24" i="11"/>
  <c r="O24" i="11" s="1"/>
  <c r="N18" i="11"/>
  <c r="O18" i="11" s="1"/>
  <c r="N16" i="11"/>
  <c r="O16" i="11" s="1"/>
  <c r="N28" i="11"/>
  <c r="O28" i="11" s="1"/>
  <c r="N17" i="11"/>
  <c r="O17" i="11" s="1"/>
  <c r="N25" i="11"/>
  <c r="O25" i="11" s="1"/>
  <c r="N27" i="11"/>
  <c r="O27" i="11" s="1"/>
  <c r="N21" i="11"/>
  <c r="O21" i="11" s="1"/>
  <c r="N22" i="11"/>
  <c r="O22" i="11" s="1"/>
  <c r="O240" i="1"/>
  <c r="M232" i="1"/>
  <c r="N247" i="1"/>
  <c r="N270" i="1"/>
  <c r="M278" i="1"/>
  <c r="O227" i="1"/>
  <c r="L256" i="1"/>
  <c r="O260" i="1"/>
  <c r="M290" i="1"/>
  <c r="O273" i="1"/>
  <c r="O275" i="1"/>
  <c r="O290" i="1" s="1"/>
  <c r="O282" i="1"/>
  <c r="N285" i="1"/>
  <c r="M391" i="1"/>
  <c r="N308" i="1"/>
  <c r="N321" i="1" s="1"/>
  <c r="O336" i="1"/>
  <c r="O342" i="1" s="1"/>
  <c r="N330" i="1"/>
  <c r="M644" i="1"/>
  <c r="I642" i="1"/>
  <c r="M666" i="1"/>
  <c r="M680" i="1" s="1"/>
  <c r="L660" i="1"/>
  <c r="K674" i="1"/>
  <c r="I685" i="1"/>
  <c r="J773" i="1"/>
  <c r="J778" i="1" s="1"/>
  <c r="M765" i="1"/>
  <c r="M778" i="1" s="1"/>
  <c r="I763" i="1"/>
  <c r="I778" i="1" s="1"/>
  <c r="M424" i="1"/>
  <c r="O792" i="1"/>
  <c r="O872" i="1" s="1"/>
  <c r="O140" i="1"/>
  <c r="O144" i="1"/>
  <c r="O148" i="1"/>
  <c r="L348" i="1"/>
  <c r="L361" i="1" s="1"/>
  <c r="N352" i="1"/>
  <c r="N356" i="1"/>
  <c r="O357" i="1"/>
  <c r="N358" i="1"/>
  <c r="K624" i="1"/>
  <c r="L623" i="1"/>
  <c r="L620" i="1"/>
  <c r="K619" i="1"/>
  <c r="L616" i="1"/>
  <c r="O398" i="1"/>
  <c r="O399" i="1"/>
  <c r="N400" i="1"/>
  <c r="N403" i="1"/>
  <c r="N406" i="1"/>
  <c r="N407" i="1"/>
  <c r="N408" i="1"/>
  <c r="O412" i="1"/>
  <c r="N415" i="1"/>
  <c r="N419" i="1"/>
  <c r="O420" i="1"/>
  <c r="O427" i="1"/>
  <c r="N428" i="1"/>
  <c r="O429" i="1"/>
  <c r="L432" i="1"/>
  <c r="K436" i="1"/>
  <c r="O437" i="1"/>
  <c r="L439" i="1"/>
  <c r="K440" i="1"/>
  <c r="K445" i="1"/>
  <c r="O448" i="1"/>
  <c r="N452" i="1"/>
  <c r="M453" i="1"/>
  <c r="M468" i="1" s="1"/>
  <c r="N456" i="1"/>
  <c r="O457" i="1"/>
  <c r="N461" i="1"/>
  <c r="O473" i="1"/>
  <c r="N477" i="1"/>
  <c r="L478" i="1"/>
  <c r="O481" i="1"/>
  <c r="O485" i="1"/>
  <c r="N486" i="1"/>
  <c r="N489" i="1"/>
  <c r="N493" i="1"/>
  <c r="N494" i="1"/>
  <c r="M497" i="1"/>
  <c r="M510" i="1" s="1"/>
  <c r="J504" i="1"/>
  <c r="L702" i="1"/>
  <c r="K706" i="1"/>
  <c r="M726" i="1"/>
  <c r="M729" i="1" s="1"/>
  <c r="I811" i="1"/>
  <c r="K867" i="1"/>
  <c r="K868" i="1" s="1"/>
  <c r="K43" i="1"/>
  <c r="K136" i="1"/>
  <c r="N136" i="1"/>
  <c r="H545" i="1"/>
  <c r="M605" i="1"/>
  <c r="J114" i="1"/>
  <c r="H514" i="1"/>
  <c r="H557" i="1"/>
  <c r="J91" i="40"/>
  <c r="F91" i="40"/>
  <c r="G91" i="40" s="1"/>
  <c r="I91" i="40" s="1"/>
  <c r="K759" i="1"/>
  <c r="J74" i="1"/>
  <c r="J80" i="1" s="1"/>
  <c r="N160" i="1"/>
  <c r="N176" i="1" s="1"/>
  <c r="K318" i="1"/>
  <c r="K321" i="1" s="1"/>
  <c r="J320" i="1"/>
  <c r="G7" i="2"/>
  <c r="J7" i="2" s="1"/>
  <c r="H603" i="1"/>
  <c r="H605" i="1" s="1"/>
  <c r="I637" i="1"/>
  <c r="H648" i="1"/>
  <c r="H649" i="1" s="1"/>
  <c r="H679" i="1"/>
  <c r="I11" i="2"/>
  <c r="I423" i="1"/>
  <c r="I424" i="1" s="1"/>
  <c r="I791" i="1"/>
  <c r="I792" i="1" s="1"/>
  <c r="H862" i="1"/>
  <c r="H863" i="1" s="1"/>
  <c r="I886" i="1"/>
  <c r="I888" i="1"/>
  <c r="I891" i="1"/>
  <c r="I894" i="1"/>
  <c r="I895" i="1"/>
  <c r="I898" i="1"/>
  <c r="I899" i="1"/>
  <c r="H15" i="9"/>
  <c r="H18" i="9"/>
  <c r="H13" i="9"/>
  <c r="O1060" i="1"/>
  <c r="J1267" i="1"/>
  <c r="I1250" i="1"/>
  <c r="K1590" i="1"/>
  <c r="N918" i="1"/>
  <c r="O919" i="1"/>
  <c r="O923" i="1" s="1"/>
  <c r="O937" i="1"/>
  <c r="J945" i="1"/>
  <c r="J949" i="1" s="1"/>
  <c r="K946" i="1"/>
  <c r="N956" i="1"/>
  <c r="N958" i="1"/>
  <c r="L959" i="1"/>
  <c r="K962" i="1"/>
  <c r="M963" i="1"/>
  <c r="M964" i="1"/>
  <c r="N970" i="1"/>
  <c r="L979" i="1"/>
  <c r="M986" i="1"/>
  <c r="L987" i="1"/>
  <c r="O990" i="1"/>
  <c r="O991" i="1"/>
  <c r="O994" i="1"/>
  <c r="O998" i="1"/>
  <c r="J1011" i="1"/>
  <c r="J1013" i="1" s="1"/>
  <c r="K1019" i="1"/>
  <c r="K1028" i="1" s="1"/>
  <c r="L1023" i="1"/>
  <c r="L1028" i="1" s="1"/>
  <c r="N1032" i="1"/>
  <c r="O1036" i="1"/>
  <c r="O1049" i="1" s="1"/>
  <c r="N1037" i="1"/>
  <c r="N1040" i="1"/>
  <c r="K1044" i="1"/>
  <c r="M1045" i="1"/>
  <c r="N1054" i="1"/>
  <c r="N1060" i="1" s="1"/>
  <c r="M1065" i="1"/>
  <c r="M1075" i="1" s="1"/>
  <c r="N1066" i="1"/>
  <c r="K1069" i="1"/>
  <c r="K1075" i="1" s="1"/>
  <c r="N1070" i="1"/>
  <c r="M1083" i="1"/>
  <c r="M1100" i="1" s="1"/>
  <c r="O1091" i="1"/>
  <c r="K1132" i="1"/>
  <c r="K1137" i="1" s="1"/>
  <c r="H1138" i="1" s="1"/>
  <c r="M1151" i="1"/>
  <c r="I1180" i="1"/>
  <c r="J1203" i="1"/>
  <c r="H1204" i="1" s="1"/>
  <c r="O1214" i="1"/>
  <c r="J1243" i="1"/>
  <c r="J1272" i="1"/>
  <c r="J1276" i="1" s="1"/>
  <c r="N1273" i="1"/>
  <c r="N1276" i="1" s="1"/>
  <c r="I1304" i="1"/>
  <c r="I1308" i="1" s="1"/>
  <c r="H1309" i="1" s="1"/>
  <c r="L1318" i="1"/>
  <c r="L1328" i="1" s="1"/>
  <c r="I1322" i="1"/>
  <c r="I1327" i="1"/>
  <c r="I1335" i="1"/>
  <c r="I1336" i="1" s="1"/>
  <c r="Q50" i="5"/>
  <c r="F35" i="3" s="1"/>
  <c r="G35" i="3" s="1"/>
  <c r="K1381" i="1"/>
  <c r="M1386" i="1"/>
  <c r="K1396" i="1"/>
  <c r="L1404" i="1"/>
  <c r="K1411" i="1"/>
  <c r="L1415" i="1"/>
  <c r="J1419" i="1"/>
  <c r="J1427" i="1"/>
  <c r="K1431" i="1"/>
  <c r="I1439" i="1"/>
  <c r="N1447" i="1"/>
  <c r="K1451" i="1"/>
  <c r="K1479" i="1" s="1"/>
  <c r="N1463" i="1"/>
  <c r="N1471" i="1"/>
  <c r="L1486" i="1"/>
  <c r="L1506" i="1" s="1"/>
  <c r="K1490" i="1"/>
  <c r="K1498" i="1"/>
  <c r="L1511" i="1"/>
  <c r="L1515" i="1"/>
  <c r="J1519" i="1"/>
  <c r="L1523" i="1"/>
  <c r="K1536" i="1"/>
  <c r="L1544" i="1"/>
  <c r="L1554" i="1" s="1"/>
  <c r="K1548" i="1"/>
  <c r="I1552" i="1"/>
  <c r="I1554" i="1" s="1"/>
  <c r="J1557" i="1"/>
  <c r="L1561" i="1"/>
  <c r="K1565" i="1"/>
  <c r="J1569" i="1"/>
  <c r="L1573" i="1"/>
  <c r="L1582" i="1"/>
  <c r="L1590" i="1" s="1"/>
  <c r="L1595" i="1"/>
  <c r="L1598" i="1" s="1"/>
  <c r="J1612" i="1"/>
  <c r="L1625" i="1"/>
  <c r="L1629" i="1"/>
  <c r="I1633" i="1"/>
  <c r="I1634" i="1" s="1"/>
  <c r="J1638" i="1"/>
  <c r="J1651" i="1" s="1"/>
  <c r="K1642" i="1"/>
  <c r="I1650" i="1"/>
  <c r="I1651" i="1" s="1"/>
  <c r="J1663" i="1"/>
  <c r="K1667" i="1"/>
  <c r="K1680" i="1" s="1"/>
  <c r="I1679" i="1"/>
  <c r="I1680" i="1" s="1"/>
  <c r="J1688" i="1"/>
  <c r="L1692" i="1"/>
  <c r="J1701" i="1"/>
  <c r="K1705" i="1"/>
  <c r="J1714" i="1"/>
  <c r="J1728" i="1" s="1"/>
  <c r="K1722" i="1"/>
  <c r="J1731" i="1"/>
  <c r="J1745" i="1" s="1"/>
  <c r="K1735" i="1"/>
  <c r="K1739" i="1"/>
  <c r="I1743" i="1"/>
  <c r="I1745" i="1" s="1"/>
  <c r="J1748" i="1"/>
  <c r="K1752" i="1"/>
  <c r="L1764" i="1"/>
  <c r="J1768" i="1"/>
  <c r="K1772" i="1"/>
  <c r="J1785" i="1"/>
  <c r="L1789" i="1"/>
  <c r="L1794" i="1" s="1"/>
  <c r="L1806" i="1"/>
  <c r="L1812" i="1" s="1"/>
  <c r="I1810" i="1"/>
  <c r="J1815" i="1"/>
  <c r="K1827" i="1"/>
  <c r="J1831" i="1"/>
  <c r="I1835" i="1"/>
  <c r="I1837" i="1" s="1"/>
  <c r="J1840" i="1"/>
  <c r="J1845" i="1" s="1"/>
  <c r="J1849" i="1"/>
  <c r="J1853" i="1"/>
  <c r="L1857" i="1"/>
  <c r="I1861" i="1"/>
  <c r="L1870" i="1"/>
  <c r="K1874" i="1"/>
  <c r="L1882" i="1"/>
  <c r="J1920" i="1"/>
  <c r="N12" i="11"/>
  <c r="O12" i="11" s="1"/>
  <c r="I57" i="11"/>
  <c r="I71" i="11"/>
  <c r="I224" i="11"/>
  <c r="H569" i="1"/>
  <c r="I655" i="1"/>
  <c r="H680" i="1"/>
  <c r="J422" i="1"/>
  <c r="J424" i="1" s="1"/>
  <c r="H708" i="1"/>
  <c r="H709" i="1" s="1"/>
  <c r="H800" i="1"/>
  <c r="H801" i="1" s="1"/>
  <c r="J1680" i="1"/>
  <c r="I1845" i="1"/>
  <c r="J1696" i="1"/>
  <c r="I920" i="1"/>
  <c r="I923" i="1" s="1"/>
  <c r="L1013" i="1"/>
  <c r="M1049" i="1"/>
  <c r="K1047" i="1"/>
  <c r="L1100" i="1"/>
  <c r="K1097" i="1"/>
  <c r="K1100" i="1" s="1"/>
  <c r="J1171" i="1"/>
  <c r="H1172" i="1" s="1"/>
  <c r="H1191" i="1"/>
  <c r="I1209" i="1"/>
  <c r="H1210" i="1" s="1"/>
  <c r="N1220" i="1"/>
  <c r="I1256" i="1"/>
  <c r="H1257" i="1" s="1"/>
  <c r="I1283" i="1"/>
  <c r="I1408" i="1"/>
  <c r="L1440" i="1"/>
  <c r="I1506" i="1"/>
  <c r="J1554" i="1"/>
  <c r="I1590" i="1"/>
  <c r="J1619" i="1"/>
  <c r="K1619" i="1"/>
  <c r="L1634" i="1"/>
  <c r="K1696" i="1"/>
  <c r="K1711" i="1"/>
  <c r="I1776" i="1"/>
  <c r="J1812" i="1"/>
  <c r="N2143" i="1"/>
  <c r="H2144" i="1" s="1"/>
  <c r="I2165" i="1"/>
  <c r="F66" i="3" s="1"/>
  <c r="AL53" i="4"/>
  <c r="J97" i="40"/>
  <c r="N13" i="11"/>
  <c r="O13" i="11" s="1"/>
  <c r="I74" i="11"/>
  <c r="I112" i="11"/>
  <c r="I193" i="11"/>
  <c r="I611" i="11"/>
  <c r="N8" i="11"/>
  <c r="O8" i="11" s="1"/>
  <c r="N19" i="11"/>
  <c r="O19" i="11" s="1"/>
  <c r="N75" i="11"/>
  <c r="O75" i="11" s="1"/>
  <c r="N65" i="11"/>
  <c r="O65" i="11" s="1"/>
  <c r="N55" i="11"/>
  <c r="O55" i="11" s="1"/>
  <c r="N101" i="11"/>
  <c r="O101" i="11" s="1"/>
  <c r="N97" i="11"/>
  <c r="O97" i="11" s="1"/>
  <c r="N87" i="11"/>
  <c r="O87" i="11" s="1"/>
  <c r="N85" i="11"/>
  <c r="O85" i="11" s="1"/>
  <c r="N83" i="11"/>
  <c r="O83" i="11" s="1"/>
  <c r="N125" i="11"/>
  <c r="O125" i="11" s="1"/>
  <c r="N130" i="11"/>
  <c r="O130" i="11" s="1"/>
  <c r="N172" i="11"/>
  <c r="O172" i="11" s="1"/>
  <c r="N164" i="11"/>
  <c r="O164" i="11" s="1"/>
  <c r="N156" i="11"/>
  <c r="O156" i="11" s="1"/>
  <c r="N148" i="11"/>
  <c r="O148" i="11" s="1"/>
  <c r="N140" i="11"/>
  <c r="O140" i="11" s="1"/>
  <c r="N132" i="11"/>
  <c r="O132" i="11" s="1"/>
  <c r="N209" i="11"/>
  <c r="O209" i="11" s="1"/>
  <c r="N201" i="11"/>
  <c r="O201" i="11" s="1"/>
  <c r="N221" i="11"/>
  <c r="O221" i="11" s="1"/>
  <c r="N228" i="11"/>
  <c r="O228" i="11" s="1"/>
  <c r="N229" i="11"/>
  <c r="O229" i="11" s="1"/>
  <c r="N427" i="11"/>
  <c r="O427" i="11" s="1"/>
  <c r="N419" i="11"/>
  <c r="O419" i="11" s="1"/>
  <c r="N402" i="11"/>
  <c r="O402" i="11" s="1"/>
  <c r="N472" i="11"/>
  <c r="O472" i="11" s="1"/>
  <c r="N463" i="11"/>
  <c r="O463" i="11" s="1"/>
  <c r="N455" i="11"/>
  <c r="O455" i="11" s="1"/>
  <c r="N447" i="11"/>
  <c r="O447" i="11" s="1"/>
  <c r="N439" i="11"/>
  <c r="O439" i="11" s="1"/>
  <c r="N557" i="11"/>
  <c r="O557" i="11" s="1"/>
  <c r="N549" i="11"/>
  <c r="O549" i="11" s="1"/>
  <c r="N533" i="11"/>
  <c r="O533" i="11" s="1"/>
  <c r="N603" i="11"/>
  <c r="O603" i="11" s="1"/>
  <c r="N579" i="11"/>
  <c r="O579" i="11" s="1"/>
  <c r="I475" i="11"/>
  <c r="D95" i="40" s="1"/>
  <c r="I538" i="11"/>
  <c r="I612" i="11"/>
  <c r="N175" i="11"/>
  <c r="O175" i="11" s="1"/>
  <c r="N167" i="11"/>
  <c r="O167" i="11" s="1"/>
  <c r="N159" i="11"/>
  <c r="O159" i="11" s="1"/>
  <c r="N151" i="11"/>
  <c r="O151" i="11" s="1"/>
  <c r="N143" i="11"/>
  <c r="O143" i="11" s="1"/>
  <c r="N135" i="11"/>
  <c r="O135" i="11" s="1"/>
  <c r="N187" i="11"/>
  <c r="O187" i="11" s="1"/>
  <c r="N195" i="11"/>
  <c r="O195" i="11" s="1"/>
  <c r="N212" i="11"/>
  <c r="O212" i="11" s="1"/>
  <c r="N204" i="11"/>
  <c r="O204" i="11" s="1"/>
  <c r="N224" i="11"/>
  <c r="O224" i="11" s="1"/>
  <c r="N232" i="11"/>
  <c r="O232" i="11" s="1"/>
  <c r="N430" i="11"/>
  <c r="O430" i="11" s="1"/>
  <c r="N422" i="11"/>
  <c r="O422" i="11" s="1"/>
  <c r="N413" i="11"/>
  <c r="O413" i="11" s="1"/>
  <c r="N405" i="11"/>
  <c r="O405" i="11" s="1"/>
  <c r="N397" i="11"/>
  <c r="O397" i="11" s="1"/>
  <c r="N467" i="11"/>
  <c r="O467" i="11" s="1"/>
  <c r="N434" i="11"/>
  <c r="O434" i="11" s="1"/>
  <c r="N560" i="11"/>
  <c r="O560" i="11" s="1"/>
  <c r="N544" i="11"/>
  <c r="O544" i="11" s="1"/>
  <c r="N528" i="11"/>
  <c r="O528" i="11" s="1"/>
  <c r="N606" i="11"/>
  <c r="O606" i="11" s="1"/>
  <c r="N590" i="11"/>
  <c r="O590" i="11" s="1"/>
  <c r="N574" i="11"/>
  <c r="O574" i="11" s="1"/>
  <c r="U301" i="11"/>
  <c r="F130" i="40"/>
  <c r="G130" i="40" s="1"/>
  <c r="I130" i="40" s="1"/>
  <c r="J130" i="40"/>
  <c r="F137" i="40"/>
  <c r="G137" i="40" s="1"/>
  <c r="I137" i="40" s="1"/>
  <c r="J137" i="40"/>
  <c r="D55" i="12"/>
  <c r="D144" i="40"/>
  <c r="F146" i="40"/>
  <c r="G146" i="40" s="1"/>
  <c r="I146" i="40" s="1"/>
  <c r="J146" i="40"/>
  <c r="F154" i="40"/>
  <c r="G154" i="40" s="1"/>
  <c r="I154" i="40" s="1"/>
  <c r="F155" i="40"/>
  <c r="G155" i="40" s="1"/>
  <c r="I155" i="40" s="1"/>
  <c r="J155" i="40"/>
  <c r="F167" i="40"/>
  <c r="G167" i="40" s="1"/>
  <c r="I167" i="40" s="1"/>
  <c r="J167" i="40"/>
  <c r="J174" i="40"/>
  <c r="F174" i="40"/>
  <c r="G174" i="40" s="1"/>
  <c r="I174" i="40" s="1"/>
  <c r="F184" i="40"/>
  <c r="G184" i="40" s="1"/>
  <c r="I184" i="40" s="1"/>
  <c r="J184" i="40"/>
  <c r="F192" i="40"/>
  <c r="G192" i="40" s="1"/>
  <c r="I192" i="40" s="1"/>
  <c r="D57" i="12"/>
  <c r="D194" i="40"/>
  <c r="J202" i="40"/>
  <c r="F202" i="40"/>
  <c r="G202" i="40" s="1"/>
  <c r="I202" i="40" s="1"/>
  <c r="F131" i="40"/>
  <c r="G131" i="40" s="1"/>
  <c r="I131" i="40" s="1"/>
  <c r="J131" i="40"/>
  <c r="F133" i="40"/>
  <c r="G133" i="40" s="1"/>
  <c r="I133" i="40" s="1"/>
  <c r="J133" i="40"/>
  <c r="F141" i="40"/>
  <c r="G141" i="40" s="1"/>
  <c r="I141" i="40" s="1"/>
  <c r="J141" i="40"/>
  <c r="F148" i="40"/>
  <c r="G148" i="40" s="1"/>
  <c r="I148" i="40" s="1"/>
  <c r="J148" i="40"/>
  <c r="F149" i="40"/>
  <c r="G149" i="40" s="1"/>
  <c r="I149" i="40" s="1"/>
  <c r="J149" i="40"/>
  <c r="F159" i="40"/>
  <c r="G159" i="40" s="1"/>
  <c r="I159" i="40" s="1"/>
  <c r="J159" i="40"/>
  <c r="F169" i="40"/>
  <c r="G169" i="40" s="1"/>
  <c r="I169" i="40" s="1"/>
  <c r="J169" i="40"/>
  <c r="F176" i="40"/>
  <c r="G176" i="40" s="1"/>
  <c r="I176" i="40" s="1"/>
  <c r="J176" i="40"/>
  <c r="F177" i="40"/>
  <c r="G177" i="40" s="1"/>
  <c r="I177" i="40" s="1"/>
  <c r="J177" i="40"/>
  <c r="F188" i="40"/>
  <c r="G188" i="40" s="1"/>
  <c r="I188" i="40" s="1"/>
  <c r="J188" i="40"/>
  <c r="F196" i="40"/>
  <c r="G196" i="40" s="1"/>
  <c r="I196" i="40" s="1"/>
  <c r="J196" i="40"/>
  <c r="N13" i="12"/>
  <c r="G76" i="17" s="1"/>
  <c r="I76" i="17" s="1"/>
  <c r="D151" i="40"/>
  <c r="J179" i="40"/>
  <c r="F179" i="40"/>
  <c r="G179" i="40" s="1"/>
  <c r="I179" i="40" s="1"/>
  <c r="F198" i="40"/>
  <c r="G198" i="40" s="1"/>
  <c r="I198" i="40" s="1"/>
  <c r="J198" i="40"/>
  <c r="G82" i="17"/>
  <c r="I82" i="17" s="1"/>
  <c r="F557" i="30"/>
  <c r="J558" i="30" s="1"/>
  <c r="D212" i="40"/>
  <c r="F222" i="40"/>
  <c r="G222" i="40" s="1"/>
  <c r="I222" i="40" s="1"/>
  <c r="J222" i="40"/>
  <c r="F134" i="40"/>
  <c r="G134" i="40" s="1"/>
  <c r="I134" i="40" s="1"/>
  <c r="J134" i="40"/>
  <c r="F142" i="40"/>
  <c r="G142" i="40" s="1"/>
  <c r="I142" i="40" s="1"/>
  <c r="J142" i="40"/>
  <c r="F152" i="40"/>
  <c r="G152" i="40" s="1"/>
  <c r="I152" i="40" s="1"/>
  <c r="J152" i="40"/>
  <c r="F181" i="40"/>
  <c r="G181" i="40" s="1"/>
  <c r="I181" i="40" s="1"/>
  <c r="J181" i="40"/>
  <c r="F210" i="40"/>
  <c r="G210" i="40" s="1"/>
  <c r="I210" i="40" s="1"/>
  <c r="J210" i="40"/>
  <c r="F162" i="40"/>
  <c r="G162" i="40" s="1"/>
  <c r="I162" i="40" s="1"/>
  <c r="J162" i="40"/>
  <c r="H26" i="26"/>
  <c r="H27" i="26" s="1"/>
  <c r="H28" i="26"/>
  <c r="H31" i="26"/>
  <c r="M55" i="31"/>
  <c r="D125" i="40" s="1"/>
  <c r="F125" i="40" s="1"/>
  <c r="G125" i="40" s="1"/>
  <c r="I125" i="40" s="1"/>
  <c r="M45" i="31"/>
  <c r="D124" i="40" s="1"/>
  <c r="F124" i="40" s="1"/>
  <c r="G124" i="40" s="1"/>
  <c r="I124" i="40" s="1"/>
  <c r="M17" i="31"/>
  <c r="D120" i="40" s="1"/>
  <c r="F120" i="40" s="1"/>
  <c r="G120" i="40" s="1"/>
  <c r="I120" i="40" s="1"/>
  <c r="R54" i="31"/>
  <c r="O52" i="23"/>
  <c r="O46" i="23"/>
  <c r="O33" i="23"/>
  <c r="O32" i="23"/>
  <c r="O24" i="23"/>
  <c r="O17" i="23"/>
  <c r="O15" i="23"/>
  <c r="O8" i="23"/>
  <c r="F42" i="23"/>
  <c r="F38" i="23"/>
  <c r="F34" i="23"/>
  <c r="D105" i="40" s="1"/>
  <c r="F30" i="23"/>
  <c r="F26" i="23"/>
  <c r="D103" i="40" s="1"/>
  <c r="F29" i="31"/>
  <c r="AF17" i="31"/>
  <c r="AF18" i="31" s="1"/>
  <c r="AF45" i="31"/>
  <c r="AF52" i="31"/>
  <c r="G225" i="17"/>
  <c r="F1821" i="30"/>
  <c r="F1873" i="30"/>
  <c r="G235" i="17"/>
  <c r="F52" i="30"/>
  <c r="G245" i="17"/>
  <c r="F2005" i="30"/>
  <c r="D56" i="12"/>
  <c r="F138" i="40"/>
  <c r="G138" i="40" s="1"/>
  <c r="I138" i="40" s="1"/>
  <c r="J138" i="40"/>
  <c r="F145" i="40"/>
  <c r="G145" i="40" s="1"/>
  <c r="I145" i="40" s="1"/>
  <c r="J145" i="40"/>
  <c r="F147" i="40"/>
  <c r="G147" i="40" s="1"/>
  <c r="I147" i="40" s="1"/>
  <c r="J147" i="40"/>
  <c r="F156" i="40"/>
  <c r="G156" i="40" s="1"/>
  <c r="I156" i="40" s="1"/>
  <c r="J156" i="40"/>
  <c r="D60" i="12"/>
  <c r="G71" i="17" s="1"/>
  <c r="I71" i="17" s="1"/>
  <c r="D157" i="40"/>
  <c r="J166" i="40"/>
  <c r="F166" i="40"/>
  <c r="G166" i="40" s="1"/>
  <c r="I166" i="40" s="1"/>
  <c r="F185" i="40"/>
  <c r="G185" i="40" s="1"/>
  <c r="I185" i="40" s="1"/>
  <c r="J185" i="40"/>
  <c r="F193" i="40"/>
  <c r="G193" i="40" s="1"/>
  <c r="I193" i="40" s="1"/>
  <c r="J193" i="40"/>
  <c r="F175" i="40"/>
  <c r="G175" i="40" s="1"/>
  <c r="I175" i="40" s="1"/>
  <c r="J175" i="40"/>
  <c r="F203" i="40"/>
  <c r="G203" i="40" s="1"/>
  <c r="I203" i="40" s="1"/>
  <c r="J203" i="40"/>
  <c r="D59" i="12"/>
  <c r="G72" i="17" s="1"/>
  <c r="I72" i="17" s="1"/>
  <c r="D204" i="40"/>
  <c r="F132" i="40"/>
  <c r="G132" i="40" s="1"/>
  <c r="I132" i="40" s="1"/>
  <c r="J132" i="40"/>
  <c r="F139" i="40"/>
  <c r="G139" i="40" s="1"/>
  <c r="I139" i="40" s="1"/>
  <c r="J139" i="40"/>
  <c r="F140" i="40"/>
  <c r="G140" i="40" s="1"/>
  <c r="I140" i="40" s="1"/>
  <c r="J140" i="40"/>
  <c r="F150" i="40"/>
  <c r="G150" i="40" s="1"/>
  <c r="I150" i="40" s="1"/>
  <c r="J150" i="40"/>
  <c r="F158" i="40"/>
  <c r="G158" i="40" s="1"/>
  <c r="I158" i="40" s="1"/>
  <c r="J158" i="40"/>
  <c r="F160" i="40"/>
  <c r="G160" i="40" s="1"/>
  <c r="I160" i="40" s="1"/>
  <c r="J160" i="40"/>
  <c r="F168" i="40"/>
  <c r="G168" i="40" s="1"/>
  <c r="I168" i="40" s="1"/>
  <c r="J168" i="40"/>
  <c r="F178" i="40"/>
  <c r="G178" i="40" s="1"/>
  <c r="I178" i="40" s="1"/>
  <c r="J178" i="40"/>
  <c r="F186" i="40"/>
  <c r="G186" i="40" s="1"/>
  <c r="I186" i="40" s="1"/>
  <c r="J186" i="40"/>
  <c r="F187" i="40"/>
  <c r="G187" i="40" s="1"/>
  <c r="I187" i="40" s="1"/>
  <c r="J187" i="40"/>
  <c r="F197" i="40"/>
  <c r="G197" i="40" s="1"/>
  <c r="I197" i="40" s="1"/>
  <c r="J197" i="40"/>
  <c r="F205" i="40"/>
  <c r="G205" i="40" s="1"/>
  <c r="I205" i="40" s="1"/>
  <c r="J205" i="40"/>
  <c r="F170" i="40"/>
  <c r="G170" i="40" s="1"/>
  <c r="I170" i="40" s="1"/>
  <c r="J170" i="40"/>
  <c r="F161" i="40"/>
  <c r="G161" i="40" s="1"/>
  <c r="I161" i="40" s="1"/>
  <c r="J161" i="40"/>
  <c r="F189" i="40"/>
  <c r="G189" i="40" s="1"/>
  <c r="I189" i="40" s="1"/>
  <c r="J189" i="40"/>
  <c r="F208" i="40"/>
  <c r="G208" i="40" s="1"/>
  <c r="I208" i="40" s="1"/>
  <c r="J208" i="40"/>
  <c r="D35" i="15"/>
  <c r="F213" i="40"/>
  <c r="G213" i="40" s="1"/>
  <c r="I213" i="40" s="1"/>
  <c r="L48" i="24"/>
  <c r="D219" i="40"/>
  <c r="L57" i="24"/>
  <c r="D215" i="40"/>
  <c r="F216" i="40"/>
  <c r="G216" i="40" s="1"/>
  <c r="I216" i="40" s="1"/>
  <c r="J216" i="40"/>
  <c r="F217" i="40"/>
  <c r="G217" i="40" s="1"/>
  <c r="I217" i="40" s="1"/>
  <c r="J217" i="40"/>
  <c r="F163" i="40"/>
  <c r="G163" i="40" s="1"/>
  <c r="I163" i="40" s="1"/>
  <c r="J163" i="40"/>
  <c r="R62" i="24"/>
  <c r="R64" i="24" s="1"/>
  <c r="D180" i="40" s="1"/>
  <c r="T62" i="24"/>
  <c r="T64" i="24" s="1"/>
  <c r="D199" i="40" s="1"/>
  <c r="Q62" i="24"/>
  <c r="Q64" i="24" s="1"/>
  <c r="D171" i="40" s="1"/>
  <c r="S62" i="24"/>
  <c r="S64" i="24" s="1"/>
  <c r="D190" i="40" s="1"/>
  <c r="U62" i="24"/>
  <c r="U64" i="24" s="1"/>
  <c r="D209" i="40" s="1"/>
  <c r="H37" i="26"/>
  <c r="H38" i="26"/>
  <c r="H39" i="26"/>
  <c r="H42" i="26"/>
  <c r="H45" i="26"/>
  <c r="H46" i="26"/>
  <c r="G177" i="17"/>
  <c r="I177" i="17" s="1"/>
  <c r="G181" i="17"/>
  <c r="I181" i="17" s="1"/>
  <c r="W11" i="5"/>
  <c r="W13" i="5"/>
  <c r="H1352" i="1"/>
  <c r="H2165" i="1"/>
  <c r="J2802" i="1"/>
  <c r="H2803" i="1" s="1"/>
  <c r="M59" i="31"/>
  <c r="D126" i="40" s="1"/>
  <c r="F126" i="40" s="1"/>
  <c r="G126" i="40" s="1"/>
  <c r="I126" i="40" s="1"/>
  <c r="O10" i="23"/>
  <c r="W16" i="31"/>
  <c r="G232" i="17"/>
  <c r="G234" i="17"/>
  <c r="G12" i="17"/>
  <c r="J1947" i="30"/>
  <c r="AK74" i="4"/>
  <c r="AL55" i="4"/>
  <c r="AL58" i="4"/>
  <c r="AJ21" i="4"/>
  <c r="AK67" i="4"/>
  <c r="AK70" i="4"/>
  <c r="AK73" i="4"/>
  <c r="AL51" i="4"/>
  <c r="AL50" i="4"/>
  <c r="AL54" i="4"/>
  <c r="AL56" i="4"/>
  <c r="G105" i="3"/>
  <c r="T17" i="4"/>
  <c r="AL49" i="4"/>
  <c r="AK72" i="4"/>
  <c r="G104" i="3"/>
  <c r="AK69" i="4"/>
  <c r="AK77" i="4"/>
  <c r="AK78" i="4"/>
  <c r="AK68" i="4"/>
  <c r="G107" i="3"/>
  <c r="G106" i="3"/>
  <c r="N342" i="1"/>
  <c r="L80" i="1"/>
  <c r="L605" i="1"/>
  <c r="I66" i="4"/>
  <c r="L825" i="1"/>
  <c r="H826" i="1" s="1"/>
  <c r="O114" i="1"/>
  <c r="I1728" i="1"/>
  <c r="M344" i="11"/>
  <c r="G344" i="11"/>
  <c r="I344" i="11" s="1"/>
  <c r="G345" i="11"/>
  <c r="I345" i="11" s="1"/>
  <c r="G346" i="11"/>
  <c r="I346" i="11" s="1"/>
  <c r="U634" i="11"/>
  <c r="I658" i="1"/>
  <c r="I680" i="1" s="1"/>
  <c r="H882" i="1"/>
  <c r="H883" i="1" s="1"/>
  <c r="K680" i="1"/>
  <c r="K698" i="1"/>
  <c r="L783" i="1"/>
  <c r="L792" i="1" s="1"/>
  <c r="J799" i="1"/>
  <c r="J801" i="1" s="1"/>
  <c r="N80" i="1"/>
  <c r="G532" i="1"/>
  <c r="H532" i="1"/>
  <c r="H533" i="1" s="1"/>
  <c r="K949" i="1"/>
  <c r="M1240" i="1"/>
  <c r="I54" i="2"/>
  <c r="G54" i="2"/>
  <c r="J54" i="2" s="1"/>
  <c r="K1440" i="1"/>
  <c r="L1776" i="1"/>
  <c r="L668" i="1"/>
  <c r="I686" i="1"/>
  <c r="L832" i="1"/>
  <c r="H833" i="1" s="1"/>
  <c r="I26" i="4"/>
  <c r="K224" i="1"/>
  <c r="K528" i="1"/>
  <c r="K533" i="1" s="1"/>
  <c r="J529" i="1"/>
  <c r="J533" i="1" s="1"/>
  <c r="I510" i="1"/>
  <c r="J1590" i="1"/>
  <c r="I1000" i="1"/>
  <c r="I1002" i="1" s="1"/>
  <c r="O1000" i="1"/>
  <c r="H1197" i="1"/>
  <c r="M1390" i="1"/>
  <c r="M1911" i="1"/>
  <c r="F58" i="3" s="1"/>
  <c r="N252" i="1"/>
  <c r="O304" i="1"/>
  <c r="I857" i="1"/>
  <c r="H858" i="1" s="1"/>
  <c r="O80" i="1"/>
  <c r="N114" i="1"/>
  <c r="T46" i="4"/>
  <c r="I847" i="1"/>
  <c r="H848" i="1" s="1"/>
  <c r="I468" i="1"/>
  <c r="L1002" i="1"/>
  <c r="O368" i="1"/>
  <c r="L694" i="1"/>
  <c r="J807" i="1"/>
  <c r="J813" i="1" s="1"/>
  <c r="M1002" i="1"/>
  <c r="G347" i="11"/>
  <c r="I347" i="11" s="1"/>
  <c r="M243" i="1"/>
  <c r="M256" i="1" s="1"/>
  <c r="O235" i="1"/>
  <c r="K245" i="1"/>
  <c r="K256" i="1" s="1"/>
  <c r="L321" i="1"/>
  <c r="I622" i="1"/>
  <c r="I614" i="1"/>
  <c r="H869" i="1"/>
  <c r="L759" i="1"/>
  <c r="H575" i="1"/>
  <c r="H724" i="1"/>
  <c r="G46" i="2"/>
  <c r="J46" i="2" s="1"/>
  <c r="I1696" i="1"/>
  <c r="H354" i="11"/>
  <c r="I354" i="11" s="1"/>
  <c r="L14" i="11"/>
  <c r="N14" i="11" s="1"/>
  <c r="O14" i="11" s="1"/>
  <c r="G14" i="11"/>
  <c r="I14" i="11" s="1"/>
  <c r="S14" i="11"/>
  <c r="T14" i="11" s="1"/>
  <c r="U14" i="11" s="1"/>
  <c r="N41" i="11"/>
  <c r="O41" i="11" s="1"/>
  <c r="N44" i="11"/>
  <c r="O44" i="11" s="1"/>
  <c r="N45" i="11"/>
  <c r="O45" i="11" s="1"/>
  <c r="N32" i="11"/>
  <c r="O32" i="11" s="1"/>
  <c r="N33" i="11"/>
  <c r="O33" i="11" s="1"/>
  <c r="N36" i="11"/>
  <c r="O36" i="11" s="1"/>
  <c r="N35" i="11"/>
  <c r="O35" i="11" s="1"/>
  <c r="N38" i="11"/>
  <c r="O38" i="11" s="1"/>
  <c r="N40" i="11"/>
  <c r="O40" i="11" s="1"/>
  <c r="N42" i="11"/>
  <c r="O42" i="11" s="1"/>
  <c r="N46" i="11"/>
  <c r="O46" i="11" s="1"/>
  <c r="N43" i="11"/>
  <c r="O43" i="11" s="1"/>
  <c r="N30" i="11"/>
  <c r="O30" i="11" s="1"/>
  <c r="N29" i="11"/>
  <c r="O29" i="11" s="1"/>
  <c r="N37" i="11"/>
  <c r="O37" i="11" s="1"/>
  <c r="H606" i="1"/>
  <c r="M649" i="1"/>
  <c r="I533" i="1"/>
  <c r="J31" i="2"/>
  <c r="F150" i="3" s="1"/>
  <c r="O376" i="1"/>
  <c r="I813" i="1"/>
  <c r="K795" i="1"/>
  <c r="K801" i="1" s="1"/>
  <c r="N249" i="1"/>
  <c r="N382" i="1"/>
  <c r="N391" i="1" s="1"/>
  <c r="M80" i="1"/>
  <c r="U180" i="11"/>
  <c r="O306" i="1"/>
  <c r="O321" i="1" s="1"/>
  <c r="L768" i="1"/>
  <c r="L778" i="1" s="1"/>
  <c r="O43" i="1"/>
  <c r="M759" i="1"/>
  <c r="G538" i="1"/>
  <c r="H538" i="1"/>
  <c r="H539" i="1" s="1"/>
  <c r="H540" i="1" s="1"/>
  <c r="I27" i="2"/>
  <c r="L1862" i="1"/>
  <c r="K1634" i="1"/>
  <c r="J1250" i="1"/>
  <c r="H1251" i="1" s="1"/>
  <c r="N611" i="11"/>
  <c r="O611" i="11" s="1"/>
  <c r="N612" i="11"/>
  <c r="O612" i="11" s="1"/>
  <c r="N610" i="11"/>
  <c r="O610" i="11" s="1"/>
  <c r="N47" i="11"/>
  <c r="O47" i="11" s="1"/>
  <c r="N31" i="11"/>
  <c r="O31" i="11" s="1"/>
  <c r="H864" i="1"/>
  <c r="G549" i="1"/>
  <c r="H549" i="1"/>
  <c r="H550" i="1" s="1"/>
  <c r="H551" i="1" s="1"/>
  <c r="I1159" i="1"/>
  <c r="M1479" i="1"/>
  <c r="N913" i="1"/>
  <c r="H1268" i="1"/>
  <c r="H1284" i="1"/>
  <c r="I102" i="4"/>
  <c r="K1394" i="1"/>
  <c r="K1398" i="1"/>
  <c r="L1526" i="1"/>
  <c r="J1776" i="1"/>
  <c r="L1911" i="1"/>
  <c r="L2162" i="1"/>
  <c r="L2165" i="1" s="1"/>
  <c r="F67" i="3" s="1"/>
  <c r="H355" i="11"/>
  <c r="I355" i="11" s="1"/>
  <c r="U48" i="11"/>
  <c r="L69" i="11"/>
  <c r="N69" i="11" s="1"/>
  <c r="O69" i="11" s="1"/>
  <c r="S69" i="11"/>
  <c r="T69" i="11" s="1"/>
  <c r="U69" i="11" s="1"/>
  <c r="U105" i="11" s="1"/>
  <c r="G69" i="11"/>
  <c r="I69" i="11" s="1"/>
  <c r="I181" i="11"/>
  <c r="D92" i="40" s="1"/>
  <c r="H435" i="11"/>
  <c r="I435" i="11" s="1"/>
  <c r="H450" i="11"/>
  <c r="I450" i="11" s="1"/>
  <c r="H536" i="11"/>
  <c r="I536" i="11" s="1"/>
  <c r="U474" i="11"/>
  <c r="U561" i="11"/>
  <c r="I758" i="1"/>
  <c r="I759" i="1" s="1"/>
  <c r="G758" i="1"/>
  <c r="H16" i="9"/>
  <c r="H24" i="9"/>
  <c r="H1104" i="1"/>
  <c r="I38" i="2"/>
  <c r="G38" i="2"/>
  <c r="J38" i="2" s="1"/>
  <c r="M261" i="11"/>
  <c r="G262" i="11"/>
  <c r="I262" i="11" s="1"/>
  <c r="G266" i="11"/>
  <c r="I266" i="11" s="1"/>
  <c r="G270" i="11"/>
  <c r="I270" i="11" s="1"/>
  <c r="G274" i="11"/>
  <c r="I274" i="11" s="1"/>
  <c r="G278" i="11"/>
  <c r="I278" i="11" s="1"/>
  <c r="G282" i="11"/>
  <c r="I282" i="11" s="1"/>
  <c r="G286" i="11"/>
  <c r="I286" i="11" s="1"/>
  <c r="G290" i="11"/>
  <c r="I290" i="11" s="1"/>
  <c r="G294" i="11"/>
  <c r="I294" i="11" s="1"/>
  <c r="G298" i="11"/>
  <c r="I298" i="11" s="1"/>
  <c r="G264" i="11"/>
  <c r="I264" i="11" s="1"/>
  <c r="G272" i="11"/>
  <c r="I272" i="11" s="1"/>
  <c r="G280" i="11"/>
  <c r="I280" i="11" s="1"/>
  <c r="G288" i="11"/>
  <c r="I288" i="11" s="1"/>
  <c r="G296" i="11"/>
  <c r="I296" i="11" s="1"/>
  <c r="G265" i="11"/>
  <c r="I265" i="11" s="1"/>
  <c r="G273" i="11"/>
  <c r="I273" i="11" s="1"/>
  <c r="G281" i="11"/>
  <c r="I281" i="11" s="1"/>
  <c r="G289" i="11"/>
  <c r="I289" i="11" s="1"/>
  <c r="G297" i="11"/>
  <c r="I297" i="11" s="1"/>
  <c r="G269" i="11"/>
  <c r="I269" i="11" s="1"/>
  <c r="G277" i="11"/>
  <c r="I277" i="11" s="1"/>
  <c r="G285" i="11"/>
  <c r="I285" i="11" s="1"/>
  <c r="G293" i="11"/>
  <c r="I293" i="11" s="1"/>
  <c r="G261" i="11"/>
  <c r="I261" i="11" s="1"/>
  <c r="G267" i="11"/>
  <c r="I267" i="11" s="1"/>
  <c r="G283" i="11"/>
  <c r="I283" i="11" s="1"/>
  <c r="G299" i="11"/>
  <c r="I299" i="11" s="1"/>
  <c r="G271" i="11"/>
  <c r="I271" i="11" s="1"/>
  <c r="G287" i="11"/>
  <c r="I287" i="11" s="1"/>
  <c r="J506" i="1"/>
  <c r="H841" i="1"/>
  <c r="H842" i="1" s="1"/>
  <c r="I892" i="1"/>
  <c r="I896" i="1"/>
  <c r="O1479" i="1"/>
  <c r="O1893" i="1" s="1"/>
  <c r="F49" i="3" s="1"/>
  <c r="H1291" i="1"/>
  <c r="H1292" i="1" s="1"/>
  <c r="I1296" i="1"/>
  <c r="I1299" i="1" s="1"/>
  <c r="H1300" i="1" s="1"/>
  <c r="I1316" i="1"/>
  <c r="M1320" i="1"/>
  <c r="M1328" i="1" s="1"/>
  <c r="I1324" i="1"/>
  <c r="L1696" i="1"/>
  <c r="H1697" i="1" s="1"/>
  <c r="L1711" i="1"/>
  <c r="N66" i="11"/>
  <c r="O66" i="11" s="1"/>
  <c r="N72" i="11"/>
  <c r="O72" i="11" s="1"/>
  <c r="N52" i="11"/>
  <c r="O52" i="11" s="1"/>
  <c r="N56" i="11"/>
  <c r="O56" i="11" s="1"/>
  <c r="N76" i="11"/>
  <c r="O76" i="11" s="1"/>
  <c r="N67" i="11"/>
  <c r="O67" i="11" s="1"/>
  <c r="N77" i="11"/>
  <c r="O77" i="11" s="1"/>
  <c r="N68" i="11"/>
  <c r="O68" i="11" s="1"/>
  <c r="N50" i="11"/>
  <c r="O50" i="11" s="1"/>
  <c r="N60" i="11"/>
  <c r="O60" i="11" s="1"/>
  <c r="N51" i="11"/>
  <c r="O51" i="11" s="1"/>
  <c r="N73" i="11"/>
  <c r="O73" i="11" s="1"/>
  <c r="N80" i="11"/>
  <c r="O80" i="11" s="1"/>
  <c r="N62" i="11"/>
  <c r="O62" i="11" s="1"/>
  <c r="N64" i="11"/>
  <c r="O64" i="11" s="1"/>
  <c r="N53" i="11"/>
  <c r="O53" i="11" s="1"/>
  <c r="N70" i="11"/>
  <c r="O70" i="11" s="1"/>
  <c r="N74" i="11"/>
  <c r="O74" i="11" s="1"/>
  <c r="N57" i="11"/>
  <c r="O57" i="11" s="1"/>
  <c r="N61" i="11"/>
  <c r="O61" i="11" s="1"/>
  <c r="N71" i="11"/>
  <c r="O71" i="11" s="1"/>
  <c r="N58" i="11"/>
  <c r="O58" i="11" s="1"/>
  <c r="K76" i="1"/>
  <c r="K80" i="1" s="1"/>
  <c r="J319" i="1"/>
  <c r="I389" i="1"/>
  <c r="I391" i="1" s="1"/>
  <c r="G561" i="1"/>
  <c r="H561" i="1"/>
  <c r="H562" i="1" s="1"/>
  <c r="H563" i="1" s="1"/>
  <c r="H728" i="1"/>
  <c r="H729" i="1" s="1"/>
  <c r="H20" i="9"/>
  <c r="H23" i="9"/>
  <c r="H1128" i="1"/>
  <c r="I1229" i="1"/>
  <c r="H1230" i="1" s="1"/>
  <c r="I1027" i="1"/>
  <c r="I1028" i="1" s="1"/>
  <c r="N1082" i="1"/>
  <c r="I1113" i="1"/>
  <c r="K1117" i="1"/>
  <c r="K1121" i="1" s="1"/>
  <c r="H1149" i="1"/>
  <c r="M1174" i="1"/>
  <c r="M1184" i="1" s="1"/>
  <c r="I1182" i="1"/>
  <c r="I1184" i="1" s="1"/>
  <c r="AJ39" i="4"/>
  <c r="I124" i="11"/>
  <c r="S328" i="11"/>
  <c r="T328" i="11" s="1"/>
  <c r="U328" i="11" s="1"/>
  <c r="L328" i="11"/>
  <c r="N328" i="11" s="1"/>
  <c r="O328" i="11" s="1"/>
  <c r="I1212" i="1"/>
  <c r="I1220" i="1" s="1"/>
  <c r="O1216" i="1"/>
  <c r="O1220" i="1" s="1"/>
  <c r="O1340" i="1" s="1"/>
  <c r="J1382" i="1"/>
  <c r="O2124" i="1"/>
  <c r="F93" i="3" s="1"/>
  <c r="G93" i="3" s="1"/>
  <c r="H535" i="11"/>
  <c r="I535" i="11" s="1"/>
  <c r="N257" i="11"/>
  <c r="O257" i="11" s="1"/>
  <c r="N242" i="11"/>
  <c r="O242" i="11" s="1"/>
  <c r="N250" i="11"/>
  <c r="O250" i="11" s="1"/>
  <c r="N258" i="11"/>
  <c r="O258" i="11" s="1"/>
  <c r="N251" i="11"/>
  <c r="O251" i="11" s="1"/>
  <c r="N245" i="11"/>
  <c r="O245" i="11" s="1"/>
  <c r="N249" i="11"/>
  <c r="O249" i="11" s="1"/>
  <c r="N246" i="11"/>
  <c r="O246" i="11" s="1"/>
  <c r="N254" i="11"/>
  <c r="O254" i="11" s="1"/>
  <c r="N241" i="11"/>
  <c r="O241" i="11" s="1"/>
  <c r="N243" i="11"/>
  <c r="O243" i="11" s="1"/>
  <c r="N253" i="11"/>
  <c r="O253" i="11" s="1"/>
  <c r="N252" i="11"/>
  <c r="O252" i="11" s="1"/>
  <c r="N255" i="11"/>
  <c r="O255" i="11" s="1"/>
  <c r="N256" i="11"/>
  <c r="O256" i="11" s="1"/>
  <c r="N247" i="11"/>
  <c r="O247" i="11" s="1"/>
  <c r="N244" i="11"/>
  <c r="O244" i="11" s="1"/>
  <c r="N520" i="11"/>
  <c r="O520" i="11" s="1"/>
  <c r="N519" i="11"/>
  <c r="O519" i="11" s="1"/>
  <c r="N521" i="11"/>
  <c r="O521" i="11" s="1"/>
  <c r="N518" i="11"/>
  <c r="O518" i="11" s="1"/>
  <c r="J975" i="1"/>
  <c r="J976" i="1" s="1"/>
  <c r="K1529" i="1"/>
  <c r="K1554" i="1" s="1"/>
  <c r="H1555" i="1" s="1"/>
  <c r="K1782" i="1"/>
  <c r="K1794" i="1" s="1"/>
  <c r="I1811" i="1"/>
  <c r="I1812" i="1" s="1"/>
  <c r="H1893" i="1"/>
  <c r="J1875" i="1"/>
  <c r="J1889" i="1" s="1"/>
  <c r="J1928" i="1"/>
  <c r="N2124" i="1"/>
  <c r="F92" i="3" s="1"/>
  <c r="G92" i="3" s="1"/>
  <c r="AK71" i="4"/>
  <c r="N351" i="11"/>
  <c r="O351" i="11" s="1"/>
  <c r="N359" i="11"/>
  <c r="O359" i="11" s="1"/>
  <c r="N367" i="11"/>
  <c r="O367" i="11" s="1"/>
  <c r="N375" i="11"/>
  <c r="O375" i="11" s="1"/>
  <c r="N383" i="11"/>
  <c r="O383" i="11" s="1"/>
  <c r="N358" i="11"/>
  <c r="O358" i="11" s="1"/>
  <c r="N374" i="11"/>
  <c r="O374" i="11" s="1"/>
  <c r="N356" i="11"/>
  <c r="O356" i="11" s="1"/>
  <c r="N348" i="11"/>
  <c r="O348" i="11" s="1"/>
  <c r="N371" i="11"/>
  <c r="O371" i="11" s="1"/>
  <c r="N370" i="11"/>
  <c r="O370" i="11" s="1"/>
  <c r="N364" i="11"/>
  <c r="O364" i="11" s="1"/>
  <c r="N352" i="11"/>
  <c r="O352" i="11" s="1"/>
  <c r="N384" i="11"/>
  <c r="O384" i="11" s="1"/>
  <c r="N373" i="11"/>
  <c r="O373" i="11" s="1"/>
  <c r="N385" i="11"/>
  <c r="O385" i="11" s="1"/>
  <c r="N372" i="11"/>
  <c r="O372" i="11" s="1"/>
  <c r="N349" i="11"/>
  <c r="O349" i="11" s="1"/>
  <c r="N361" i="11"/>
  <c r="O361" i="11" s="1"/>
  <c r="N350" i="11"/>
  <c r="O350" i="11" s="1"/>
  <c r="N380" i="11"/>
  <c r="O380" i="11" s="1"/>
  <c r="N360" i="11"/>
  <c r="O360" i="11" s="1"/>
  <c r="N353" i="11"/>
  <c r="O353" i="11" s="1"/>
  <c r="N379" i="11"/>
  <c r="O379" i="11" s="1"/>
  <c r="N386" i="11"/>
  <c r="O386" i="11" s="1"/>
  <c r="M932" i="1"/>
  <c r="M949" i="1" s="1"/>
  <c r="L940" i="1"/>
  <c r="L949" i="1" s="1"/>
  <c r="L952" i="1"/>
  <c r="K960" i="1"/>
  <c r="K976" i="1" s="1"/>
  <c r="O968" i="1"/>
  <c r="O976" i="1" s="1"/>
  <c r="M972" i="1"/>
  <c r="M976" i="1" s="1"/>
  <c r="J1922" i="1"/>
  <c r="AL52" i="4"/>
  <c r="F74" i="30"/>
  <c r="D13" i="40" s="1"/>
  <c r="I453" i="11"/>
  <c r="H446" i="11"/>
  <c r="I446" i="11" s="1"/>
  <c r="H539" i="11"/>
  <c r="I539" i="11" s="1"/>
  <c r="K983" i="1"/>
  <c r="K1002" i="1" s="1"/>
  <c r="O995" i="1"/>
  <c r="O999" i="1"/>
  <c r="I1120" i="1"/>
  <c r="H1142" i="1"/>
  <c r="H1143" i="1" s="1"/>
  <c r="H1144" i="1" s="1"/>
  <c r="I1438" i="1"/>
  <c r="J1926" i="1"/>
  <c r="N2162" i="1"/>
  <c r="N2165" i="1" s="1"/>
  <c r="F69" i="3" s="1"/>
  <c r="I21" i="11"/>
  <c r="H451" i="11"/>
  <c r="I451" i="11" s="1"/>
  <c r="I439" i="11"/>
  <c r="I527" i="11"/>
  <c r="I139" i="11"/>
  <c r="N109" i="11"/>
  <c r="O109" i="11" s="1"/>
  <c r="N119" i="11"/>
  <c r="O119" i="11" s="1"/>
  <c r="N127" i="11"/>
  <c r="O127" i="11" s="1"/>
  <c r="N124" i="11"/>
  <c r="O124" i="11" s="1"/>
  <c r="N108" i="11"/>
  <c r="O108" i="11" s="1"/>
  <c r="N107" i="11"/>
  <c r="O107" i="11" s="1"/>
  <c r="N110" i="11"/>
  <c r="O110" i="11" s="1"/>
  <c r="N115" i="11"/>
  <c r="O115" i="11" s="1"/>
  <c r="N123" i="11"/>
  <c r="O123" i="11" s="1"/>
  <c r="N116" i="11"/>
  <c r="O116" i="11" s="1"/>
  <c r="N118" i="11"/>
  <c r="O118" i="11" s="1"/>
  <c r="N121" i="11"/>
  <c r="O121" i="11" s="1"/>
  <c r="N112" i="11"/>
  <c r="O112" i="11" s="1"/>
  <c r="N113" i="11"/>
  <c r="O113" i="11" s="1"/>
  <c r="N129" i="11"/>
  <c r="O129" i="11" s="1"/>
  <c r="N128" i="11"/>
  <c r="O128" i="11" s="1"/>
  <c r="N114" i="11"/>
  <c r="O114" i="11" s="1"/>
  <c r="N120" i="11"/>
  <c r="O120" i="11" s="1"/>
  <c r="I363" i="11"/>
  <c r="I362" i="11"/>
  <c r="N333" i="11"/>
  <c r="O333" i="11" s="1"/>
  <c r="N343" i="11"/>
  <c r="O343" i="11" s="1"/>
  <c r="N311" i="11"/>
  <c r="O311" i="11" s="1"/>
  <c r="N332" i="11"/>
  <c r="O332" i="11" s="1"/>
  <c r="N54" i="11"/>
  <c r="O54" i="11" s="1"/>
  <c r="G352" i="11"/>
  <c r="G356" i="11"/>
  <c r="G364" i="11"/>
  <c r="G382" i="11"/>
  <c r="I382" i="11" s="1"/>
  <c r="G366" i="11"/>
  <c r="G361" i="11"/>
  <c r="G384" i="11"/>
  <c r="I384" i="11" s="1"/>
  <c r="G349" i="11"/>
  <c r="G378" i="11"/>
  <c r="I378" i="11" s="1"/>
  <c r="G358" i="11"/>
  <c r="G348" i="11"/>
  <c r="G357" i="11"/>
  <c r="G380" i="11"/>
  <c r="I380" i="11" s="1"/>
  <c r="G374" i="11"/>
  <c r="I374" i="11" s="1"/>
  <c r="G350" i="11"/>
  <c r="G368" i="11"/>
  <c r="I368" i="11" s="1"/>
  <c r="G376" i="11"/>
  <c r="I376" i="11" s="1"/>
  <c r="G383" i="11"/>
  <c r="I383" i="11" s="1"/>
  <c r="G375" i="11"/>
  <c r="I375" i="11" s="1"/>
  <c r="G367" i="11"/>
  <c r="G351" i="11"/>
  <c r="I437" i="11"/>
  <c r="I260" i="11"/>
  <c r="D93" i="40" s="1"/>
  <c r="N9" i="11"/>
  <c r="O9" i="11" s="1"/>
  <c r="N23" i="11"/>
  <c r="O23" i="11" s="1"/>
  <c r="N20" i="11"/>
  <c r="O20" i="11" s="1"/>
  <c r="N10" i="11"/>
  <c r="O10" i="11" s="1"/>
  <c r="N26" i="11"/>
  <c r="O26" i="11" s="1"/>
  <c r="N15" i="11"/>
  <c r="O15" i="11" s="1"/>
  <c r="N310" i="11"/>
  <c r="O310" i="11" s="1"/>
  <c r="N318" i="11"/>
  <c r="O318" i="11" s="1"/>
  <c r="N326" i="11"/>
  <c r="O326" i="11" s="1"/>
  <c r="N334" i="11"/>
  <c r="O334" i="11" s="1"/>
  <c r="N342" i="11"/>
  <c r="O342" i="11" s="1"/>
  <c r="N315" i="11"/>
  <c r="O315" i="11" s="1"/>
  <c r="N331" i="11"/>
  <c r="O331" i="11" s="1"/>
  <c r="N305" i="11"/>
  <c r="O305" i="11" s="1"/>
  <c r="N321" i="11"/>
  <c r="O321" i="11" s="1"/>
  <c r="N337" i="11"/>
  <c r="O337" i="11" s="1"/>
  <c r="N304" i="11"/>
  <c r="O304" i="11" s="1"/>
  <c r="N312" i="11"/>
  <c r="O312" i="11" s="1"/>
  <c r="N320" i="11"/>
  <c r="O320" i="11" s="1"/>
  <c r="N336" i="11"/>
  <c r="O336" i="11" s="1"/>
  <c r="N303" i="11"/>
  <c r="O303" i="11" s="1"/>
  <c r="N319" i="11"/>
  <c r="O319" i="11" s="1"/>
  <c r="N335" i="11"/>
  <c r="O335" i="11" s="1"/>
  <c r="N309" i="11"/>
  <c r="O309" i="11" s="1"/>
  <c r="N325" i="11"/>
  <c r="O325" i="11" s="1"/>
  <c r="N341" i="11"/>
  <c r="O341" i="11" s="1"/>
  <c r="N306" i="11"/>
  <c r="O306" i="11" s="1"/>
  <c r="N314" i="11"/>
  <c r="O314" i="11" s="1"/>
  <c r="N322" i="11"/>
  <c r="O322" i="11" s="1"/>
  <c r="N330" i="11"/>
  <c r="O330" i="11" s="1"/>
  <c r="N338" i="11"/>
  <c r="O338" i="11" s="1"/>
  <c r="N307" i="11"/>
  <c r="O307" i="11" s="1"/>
  <c r="N323" i="11"/>
  <c r="O323" i="11" s="1"/>
  <c r="N339" i="11"/>
  <c r="O339" i="11" s="1"/>
  <c r="N313" i="11"/>
  <c r="O313" i="11" s="1"/>
  <c r="N329" i="11"/>
  <c r="O329" i="11" s="1"/>
  <c r="U259" i="11"/>
  <c r="U387" i="11"/>
  <c r="I54" i="11"/>
  <c r="N11" i="11"/>
  <c r="O11" i="11" s="1"/>
  <c r="G26" i="11"/>
  <c r="I26" i="11" s="1"/>
  <c r="G8" i="11"/>
  <c r="I8" i="11" s="1"/>
  <c r="G20" i="11"/>
  <c r="I20" i="11" s="1"/>
  <c r="G27" i="11"/>
  <c r="I27" i="11" s="1"/>
  <c r="G19" i="11"/>
  <c r="I19" i="11" s="1"/>
  <c r="G11" i="11"/>
  <c r="I11" i="11" s="1"/>
  <c r="I448" i="11"/>
  <c r="N226" i="11"/>
  <c r="O226" i="11" s="1"/>
  <c r="N227" i="11"/>
  <c r="O227" i="11" s="1"/>
  <c r="O16" i="23"/>
  <c r="AF19" i="31"/>
  <c r="AF31" i="31"/>
  <c r="AF36" i="31" s="1"/>
  <c r="N608" i="11"/>
  <c r="O608" i="11" s="1"/>
  <c r="F1847" i="30"/>
  <c r="G231" i="17"/>
  <c r="F1436" i="30"/>
  <c r="J1437" i="30" s="1"/>
  <c r="I191" i="17" s="1"/>
  <c r="G191" i="17"/>
  <c r="N504" i="11"/>
  <c r="O504" i="11" s="1"/>
  <c r="N185" i="11"/>
  <c r="O185" i="11" s="1"/>
  <c r="N477" i="11"/>
  <c r="O477" i="11" s="1"/>
  <c r="N498" i="11"/>
  <c r="O498" i="11" s="1"/>
  <c r="N482" i="11"/>
  <c r="O482" i="11" s="1"/>
  <c r="N513" i="11"/>
  <c r="O513" i="11" s="1"/>
  <c r="N505" i="11"/>
  <c r="O505" i="11" s="1"/>
  <c r="N497" i="11"/>
  <c r="O497" i="11" s="1"/>
  <c r="N489" i="11"/>
  <c r="O489" i="11" s="1"/>
  <c r="N481" i="11"/>
  <c r="O481" i="11" s="1"/>
  <c r="N192" i="11"/>
  <c r="O192" i="11" s="1"/>
  <c r="N184" i="11"/>
  <c r="O184" i="11" s="1"/>
  <c r="F496" i="30"/>
  <c r="J497" i="30" s="1"/>
  <c r="H93" i="39"/>
  <c r="G67" i="17"/>
  <c r="I67" i="17" s="1"/>
  <c r="F529" i="30"/>
  <c r="J530" i="30" s="1"/>
  <c r="M73" i="24"/>
  <c r="G77" i="17"/>
  <c r="I77" i="17" s="1"/>
  <c r="F1023" i="30"/>
  <c r="G144" i="17"/>
  <c r="G151" i="17"/>
  <c r="I151" i="17" s="1"/>
  <c r="F1067" i="30"/>
  <c r="J1068" i="30" s="1"/>
  <c r="F1369" i="30"/>
  <c r="J1370" i="30" s="1"/>
  <c r="G182" i="17"/>
  <c r="I182" i="17" s="1"/>
  <c r="H1369" i="1"/>
  <c r="F13" i="26"/>
  <c r="F1144" i="30"/>
  <c r="J1145" i="30" s="1"/>
  <c r="G168" i="17"/>
  <c r="I168" i="17" s="1"/>
  <c r="N488" i="11"/>
  <c r="O488" i="11" s="1"/>
  <c r="N193" i="11"/>
  <c r="O193" i="11" s="1"/>
  <c r="N510" i="11"/>
  <c r="O510" i="11" s="1"/>
  <c r="N490" i="11"/>
  <c r="O490" i="11" s="1"/>
  <c r="N517" i="11"/>
  <c r="O517" i="11" s="1"/>
  <c r="N509" i="11"/>
  <c r="O509" i="11" s="1"/>
  <c r="N501" i="11"/>
  <c r="O501" i="11" s="1"/>
  <c r="N493" i="11"/>
  <c r="O493" i="11" s="1"/>
  <c r="F1550" i="30"/>
  <c r="J1551" i="30" s="1"/>
  <c r="I202" i="17" s="1"/>
  <c r="G202" i="17"/>
  <c r="N567" i="11"/>
  <c r="O567" i="11" s="1"/>
  <c r="N583" i="11"/>
  <c r="O583" i="11" s="1"/>
  <c r="N571" i="11"/>
  <c r="O571" i="11" s="1"/>
  <c r="N587" i="11"/>
  <c r="O587" i="11" s="1"/>
  <c r="F1783" i="30"/>
  <c r="F1531" i="30"/>
  <c r="J1532" i="30" s="1"/>
  <c r="I200" i="17" s="1"/>
  <c r="G200" i="17"/>
  <c r="F1539" i="30"/>
  <c r="J1540" i="30" s="1"/>
  <c r="I201" i="17" s="1"/>
  <c r="G201" i="17"/>
  <c r="F1631" i="30"/>
  <c r="J1632" i="30" s="1"/>
  <c r="I209" i="17" s="1"/>
  <c r="G209" i="17"/>
  <c r="D34" i="15"/>
  <c r="F1413" i="30"/>
  <c r="J1414" i="30" s="1"/>
  <c r="G188" i="17"/>
  <c r="I188" i="17" s="1"/>
  <c r="F1808" i="30"/>
  <c r="G228" i="17"/>
  <c r="F489" i="30"/>
  <c r="J490" i="30" s="1"/>
  <c r="F1042" i="30"/>
  <c r="J1043" i="30" s="1"/>
  <c r="G147" i="17"/>
  <c r="I147" i="17" s="1"/>
  <c r="F36" i="24"/>
  <c r="D20" i="6"/>
  <c r="F112" i="3" s="1"/>
  <c r="F521" i="30"/>
  <c r="J522" i="30" s="1"/>
  <c r="F1003" i="30"/>
  <c r="J1004" i="30" s="1"/>
  <c r="G143" i="17"/>
  <c r="I143" i="17" s="1"/>
  <c r="D18" i="22"/>
  <c r="F1061" i="30"/>
  <c r="J1062" i="30" s="1"/>
  <c r="G150" i="17"/>
  <c r="I150" i="17" s="1"/>
  <c r="F1492" i="30"/>
  <c r="J1493" i="30" s="1"/>
  <c r="I196" i="17" s="1"/>
  <c r="G196" i="17"/>
  <c r="D22" i="6"/>
  <c r="F114" i="3" s="1"/>
  <c r="F482" i="30"/>
  <c r="J483" i="30" s="1"/>
  <c r="I82" i="12"/>
  <c r="G75" i="17" s="1"/>
  <c r="I75" i="17" s="1"/>
  <c r="F1313" i="30"/>
  <c r="J1314" i="30" s="1"/>
  <c r="G178" i="17"/>
  <c r="I178" i="17" s="1"/>
  <c r="F1573" i="30"/>
  <c r="J1574" i="30" s="1"/>
  <c r="I204" i="17" s="1"/>
  <c r="G204" i="17"/>
  <c r="O29" i="23"/>
  <c r="G223" i="17"/>
  <c r="N32" i="24"/>
  <c r="I113" i="17"/>
  <c r="F1757" i="30"/>
  <c r="G224" i="17"/>
  <c r="G198" i="17"/>
  <c r="M9" i="31"/>
  <c r="D118" i="40" s="1"/>
  <c r="F118" i="40" s="1"/>
  <c r="G118" i="40" s="1"/>
  <c r="I118" i="40" s="1"/>
  <c r="F10" i="23"/>
  <c r="AF7" i="31"/>
  <c r="F1289" i="30"/>
  <c r="J1290" i="30" s="1"/>
  <c r="G175" i="17"/>
  <c r="I175" i="17" s="1"/>
  <c r="F511" i="30"/>
  <c r="J512" i="30" s="1"/>
  <c r="H56" i="26"/>
  <c r="H64" i="26" s="1"/>
  <c r="F1192" i="30"/>
  <c r="J1193" i="30" s="1"/>
  <c r="G165" i="17"/>
  <c r="I165" i="17" s="1"/>
  <c r="E53" i="28"/>
  <c r="AF44" i="31"/>
  <c r="AH44" i="31" s="1"/>
  <c r="D115" i="40" s="1"/>
  <c r="F1160" i="30"/>
  <c r="J1161" i="30" s="1"/>
  <c r="G164" i="17"/>
  <c r="I164" i="17" s="1"/>
  <c r="F1281" i="30"/>
  <c r="J1282" i="30" s="1"/>
  <c r="G174" i="17"/>
  <c r="I174" i="17" s="1"/>
  <c r="F1503" i="30"/>
  <c r="J1504" i="30" s="1"/>
  <c r="I197" i="17" s="1"/>
  <c r="G197" i="17"/>
  <c r="G203" i="17"/>
  <c r="F8" i="24"/>
  <c r="F35" i="24" s="1"/>
  <c r="G230" i="17"/>
  <c r="G244" i="17"/>
  <c r="F1036" i="30"/>
  <c r="J1037" i="30" s="1"/>
  <c r="G146" i="17"/>
  <c r="I146" i="17" s="1"/>
  <c r="F1353" i="30"/>
  <c r="J1354" i="30" s="1"/>
  <c r="G180" i="17"/>
  <c r="I180" i="17" s="1"/>
  <c r="F1481" i="30"/>
  <c r="J1482" i="30" s="1"/>
  <c r="I195" i="17" s="1"/>
  <c r="G195" i="17"/>
  <c r="E52" i="28"/>
  <c r="D33" i="15"/>
  <c r="F1266" i="30"/>
  <c r="J1267" i="30" s="1"/>
  <c r="G166" i="17"/>
  <c r="I166" i="17" s="1"/>
  <c r="F1297" i="30"/>
  <c r="J1298" i="30" s="1"/>
  <c r="G176" i="17"/>
  <c r="I176" i="17" s="1"/>
  <c r="E54" i="28"/>
  <c r="M35" i="31"/>
  <c r="F122" i="40" s="1"/>
  <c r="G122" i="40" s="1"/>
  <c r="I122" i="40" s="1"/>
  <c r="G149" i="17"/>
  <c r="I149" i="17" s="1"/>
  <c r="F1055" i="30"/>
  <c r="J1056" i="30" s="1"/>
  <c r="E60" i="24"/>
  <c r="F1523" i="30"/>
  <c r="J1524" i="30" s="1"/>
  <c r="I199" i="17" s="1"/>
  <c r="G199" i="17"/>
  <c r="AF10" i="31"/>
  <c r="AF22" i="31"/>
  <c r="G145" i="17"/>
  <c r="I145" i="17" s="1"/>
  <c r="F1030" i="30"/>
  <c r="J1031" i="30" s="1"/>
  <c r="F1073" i="30"/>
  <c r="J1074" i="30" s="1"/>
  <c r="G152" i="17"/>
  <c r="I152" i="17" s="1"/>
  <c r="F1049" i="30"/>
  <c r="J1050" i="30" s="1"/>
  <c r="G148" i="17"/>
  <c r="I148" i="17" s="1"/>
  <c r="J585" i="30"/>
  <c r="J613" i="30"/>
  <c r="J606" i="30"/>
  <c r="J592" i="30"/>
  <c r="J620" i="30"/>
  <c r="J578" i="30"/>
  <c r="J226" i="40" s="1"/>
  <c r="J599" i="30"/>
  <c r="J627" i="30"/>
  <c r="J74" i="30"/>
  <c r="H17" i="17" s="1"/>
  <c r="I13" i="17"/>
  <c r="J81" i="30"/>
  <c r="H18" i="17" s="1"/>
  <c r="J88" i="30"/>
  <c r="H19" i="17" s="1"/>
  <c r="J10" i="30"/>
  <c r="J1940" i="30"/>
  <c r="J418" i="30"/>
  <c r="K1896" i="30"/>
  <c r="K1897" i="30" s="1"/>
  <c r="J349" i="30"/>
  <c r="J365" i="30"/>
  <c r="J373" i="30"/>
  <c r="J2030" i="30"/>
  <c r="J134" i="30"/>
  <c r="H27" i="17" s="1"/>
  <c r="J325" i="30"/>
  <c r="H46" i="17" s="1"/>
  <c r="J333" i="30"/>
  <c r="H47" i="17" s="1"/>
  <c r="J341" i="30"/>
  <c r="J381" i="30"/>
  <c r="J427" i="30"/>
  <c r="J44" i="30"/>
  <c r="J45" i="30" s="1"/>
  <c r="J8" i="40" s="1"/>
  <c r="J1757" i="30"/>
  <c r="J1731" i="30"/>
  <c r="J317" i="30"/>
  <c r="J357" i="30"/>
  <c r="J436" i="30"/>
  <c r="J1954" i="30"/>
  <c r="J67" i="30"/>
  <c r="J68" i="30" s="1"/>
  <c r="J11" i="40" s="1"/>
  <c r="J97" i="30"/>
  <c r="H22" i="17" s="1"/>
  <c r="J27" i="30"/>
  <c r="H10" i="17" s="1"/>
  <c r="I10" i="17" s="1"/>
  <c r="J103" i="30"/>
  <c r="J1899" i="30"/>
  <c r="J1873" i="30"/>
  <c r="H233" i="17" s="1"/>
  <c r="J1711" i="30"/>
  <c r="J51" i="30"/>
  <c r="J52" i="30" s="1"/>
  <c r="J1968" i="30"/>
  <c r="J1933" i="30"/>
  <c r="J1961" i="30"/>
  <c r="J2041" i="30"/>
  <c r="J1922" i="30"/>
  <c r="J1886" i="30"/>
  <c r="J1860" i="30"/>
  <c r="J1847" i="30"/>
  <c r="H231" i="17" s="1"/>
  <c r="J794" i="40" s="1"/>
  <c r="J1834" i="30"/>
  <c r="J1821" i="30"/>
  <c r="H229" i="17" s="1"/>
  <c r="J1808" i="30"/>
  <c r="H228" i="17" s="1"/>
  <c r="J1795" i="30"/>
  <c r="J1783" i="30"/>
  <c r="H226" i="17" s="1"/>
  <c r="J1770" i="30"/>
  <c r="J1744" i="30"/>
  <c r="J1721" i="30"/>
  <c r="J1992" i="30"/>
  <c r="J2005" i="30"/>
  <c r="H246" i="17" s="1"/>
  <c r="J1980" i="30"/>
  <c r="J2018" i="30"/>
  <c r="J791" i="40" l="1"/>
  <c r="H224" i="17"/>
  <c r="J852" i="40"/>
  <c r="J881" i="40"/>
  <c r="J894" i="40"/>
  <c r="J868" i="40"/>
  <c r="H223" i="17"/>
  <c r="J907" i="40"/>
  <c r="J829" i="40"/>
  <c r="J817" i="40"/>
  <c r="J803" i="40"/>
  <c r="J790" i="40"/>
  <c r="J851" i="40"/>
  <c r="G801" i="40"/>
  <c r="F48" i="40"/>
  <c r="G48" i="40" s="1"/>
  <c r="I48" i="40" s="1"/>
  <c r="E16" i="38"/>
  <c r="G150" i="3"/>
  <c r="D113" i="40"/>
  <c r="F113" i="40" s="1"/>
  <c r="G113" i="40" s="1"/>
  <c r="I113" i="40" s="1"/>
  <c r="G18" i="17"/>
  <c r="I18" i="17" s="1"/>
  <c r="F81" i="30"/>
  <c r="F466" i="30"/>
  <c r="J467" i="30" s="1"/>
  <c r="G68" i="17"/>
  <c r="I68" i="17" s="1"/>
  <c r="F888" i="40"/>
  <c r="G888" i="40" s="1"/>
  <c r="I888" i="40" s="1"/>
  <c r="J888" i="40"/>
  <c r="F875" i="40"/>
  <c r="G875" i="40" s="1"/>
  <c r="I875" i="40" s="1"/>
  <c r="J875" i="40"/>
  <c r="I189" i="17"/>
  <c r="G32" i="17"/>
  <c r="F184" i="30"/>
  <c r="D26" i="40"/>
  <c r="F455" i="30"/>
  <c r="J456" i="30" s="1"/>
  <c r="G69" i="17"/>
  <c r="I69" i="17" s="1"/>
  <c r="D114" i="40"/>
  <c r="F114" i="40" s="1"/>
  <c r="G114" i="40" s="1"/>
  <c r="I114" i="40" s="1"/>
  <c r="D104" i="40"/>
  <c r="F104" i="40" s="1"/>
  <c r="G104" i="40" s="1"/>
  <c r="I104" i="40" s="1"/>
  <c r="D106" i="40"/>
  <c r="F106" i="40" s="1"/>
  <c r="G106" i="40" s="1"/>
  <c r="I106" i="40" s="1"/>
  <c r="F473" i="30"/>
  <c r="J474" i="30" s="1"/>
  <c r="G70" i="17"/>
  <c r="I70" i="17" s="1"/>
  <c r="D116" i="40"/>
  <c r="F116" i="40" s="1"/>
  <c r="G116" i="40" s="1"/>
  <c r="I116" i="40" s="1"/>
  <c r="D112" i="40"/>
  <c r="F112" i="40" s="1"/>
  <c r="G112" i="40" s="1"/>
  <c r="I112" i="40" s="1"/>
  <c r="D110" i="40"/>
  <c r="D101" i="40"/>
  <c r="F101" i="40" s="1"/>
  <c r="G101" i="40" s="1"/>
  <c r="I101" i="40" s="1"/>
  <c r="F905" i="40"/>
  <c r="G905" i="40" s="1"/>
  <c r="I905" i="40" s="1"/>
  <c r="F917" i="40"/>
  <c r="G917" i="40" s="1"/>
  <c r="I917" i="40" s="1"/>
  <c r="F889" i="40"/>
  <c r="G889" i="40" s="1"/>
  <c r="I889" i="40" s="1"/>
  <c r="D123" i="40"/>
  <c r="F123" i="40" s="1"/>
  <c r="G123" i="40" s="1"/>
  <c r="I123" i="40" s="1"/>
  <c r="F874" i="40"/>
  <c r="G874" i="40" s="1"/>
  <c r="I874" i="40" s="1"/>
  <c r="J874" i="40"/>
  <c r="F136" i="40"/>
  <c r="G136" i="40" s="1"/>
  <c r="I136" i="40" s="1"/>
  <c r="F96" i="40"/>
  <c r="G96" i="40" s="1"/>
  <c r="I96" i="40" s="1"/>
  <c r="J183" i="40"/>
  <c r="J121" i="40"/>
  <c r="J122" i="40"/>
  <c r="J123" i="40"/>
  <c r="J124" i="40"/>
  <c r="J126" i="40"/>
  <c r="J125" i="40"/>
  <c r="I180" i="11"/>
  <c r="D83" i="40" s="1"/>
  <c r="F83" i="40" s="1"/>
  <c r="G83" i="40" s="1"/>
  <c r="I83" i="40" s="1"/>
  <c r="K1408" i="1"/>
  <c r="F928" i="40"/>
  <c r="G928" i="40" s="1"/>
  <c r="I928" i="40" s="1"/>
  <c r="J928" i="40"/>
  <c r="F929" i="40"/>
  <c r="G929" i="40" s="1"/>
  <c r="I929" i="40" s="1"/>
  <c r="J929" i="40"/>
  <c r="J1862" i="1"/>
  <c r="L1576" i="1"/>
  <c r="K778" i="1"/>
  <c r="F151" i="3"/>
  <c r="G151" i="3" s="1"/>
  <c r="L1837" i="1"/>
  <c r="L1651" i="1"/>
  <c r="J1479" i="1"/>
  <c r="L1292" i="1"/>
  <c r="O176" i="1"/>
  <c r="H177" i="1" s="1"/>
  <c r="F145" i="30"/>
  <c r="J146" i="30" s="1"/>
  <c r="D25" i="40"/>
  <c r="F25" i="40" s="1"/>
  <c r="G25" i="40" s="1"/>
  <c r="I25" i="40" s="1"/>
  <c r="F930" i="40"/>
  <c r="G930" i="40" s="1"/>
  <c r="I930" i="40" s="1"/>
  <c r="J930" i="40"/>
  <c r="J135" i="40"/>
  <c r="J201" i="40"/>
  <c r="J165" i="40"/>
  <c r="F195" i="40"/>
  <c r="G195" i="40" s="1"/>
  <c r="I195" i="40" s="1"/>
  <c r="F173" i="40"/>
  <c r="G173" i="40" s="1"/>
  <c r="I173" i="40" s="1"/>
  <c r="J129" i="40"/>
  <c r="I246" i="17"/>
  <c r="I229" i="17"/>
  <c r="J855" i="40"/>
  <c r="J792" i="40"/>
  <c r="J908" i="40"/>
  <c r="H137" i="1"/>
  <c r="O424" i="1"/>
  <c r="I121" i="17"/>
  <c r="J277" i="40" s="1"/>
  <c r="D277" i="40"/>
  <c r="F277" i="40" s="1"/>
  <c r="G277" i="40" s="1"/>
  <c r="I277" i="40" s="1"/>
  <c r="D252" i="40"/>
  <c r="F252" i="40" s="1"/>
  <c r="G252" i="40" s="1"/>
  <c r="I252" i="40" s="1"/>
  <c r="D264" i="40"/>
  <c r="F264" i="40" s="1"/>
  <c r="G264" i="40" s="1"/>
  <c r="I264" i="40" s="1"/>
  <c r="I138" i="17"/>
  <c r="J356" i="40" s="1"/>
  <c r="D356" i="40"/>
  <c r="F356" i="40" s="1"/>
  <c r="G356" i="40" s="1"/>
  <c r="I356" i="40" s="1"/>
  <c r="I136" i="17"/>
  <c r="J354" i="40" s="1"/>
  <c r="D354" i="40"/>
  <c r="F354" i="40" s="1"/>
  <c r="G354" i="40" s="1"/>
  <c r="I354" i="40" s="1"/>
  <c r="I137" i="17"/>
  <c r="J355" i="40" s="1"/>
  <c r="D355" i="40"/>
  <c r="F355" i="40" s="1"/>
  <c r="G355" i="40" s="1"/>
  <c r="I355" i="40" s="1"/>
  <c r="D233" i="40"/>
  <c r="F233" i="40" s="1"/>
  <c r="G233" i="40" s="1"/>
  <c r="I233" i="40" s="1"/>
  <c r="D297" i="40"/>
  <c r="F297" i="40" s="1"/>
  <c r="G297" i="40" s="1"/>
  <c r="I297" i="40" s="1"/>
  <c r="F815" i="40"/>
  <c r="G815" i="40" s="1"/>
  <c r="I815" i="40" s="1"/>
  <c r="F866" i="40"/>
  <c r="G866" i="40" s="1"/>
  <c r="I866" i="40" s="1"/>
  <c r="F849" i="40"/>
  <c r="G849" i="40" s="1"/>
  <c r="I849" i="40" s="1"/>
  <c r="F892" i="40"/>
  <c r="G892" i="40" s="1"/>
  <c r="I892" i="40" s="1"/>
  <c r="D904" i="40"/>
  <c r="F904" i="40" s="1"/>
  <c r="G904" i="40" s="1"/>
  <c r="I904" i="40" s="1"/>
  <c r="D891" i="40"/>
  <c r="F891" i="40" s="1"/>
  <c r="G891" i="40" s="1"/>
  <c r="I891" i="40" s="1"/>
  <c r="D878" i="40"/>
  <c r="F878" i="40" s="1"/>
  <c r="G878" i="40" s="1"/>
  <c r="I878" i="40" s="1"/>
  <c r="D848" i="40"/>
  <c r="D865" i="40"/>
  <c r="F826" i="40"/>
  <c r="G826" i="40" s="1"/>
  <c r="I826" i="40" s="1"/>
  <c r="F800" i="40"/>
  <c r="F814" i="40"/>
  <c r="G814" i="40" s="1"/>
  <c r="I814" i="40" s="1"/>
  <c r="F911" i="40"/>
  <c r="G911" i="40" s="1"/>
  <c r="I911" i="40" s="1"/>
  <c r="F885" i="40"/>
  <c r="G885" i="40" s="1"/>
  <c r="I885" i="40" s="1"/>
  <c r="F872" i="40"/>
  <c r="F898" i="40"/>
  <c r="G898" i="40" s="1"/>
  <c r="I898" i="40" s="1"/>
  <c r="I286" i="40"/>
  <c r="J286" i="40"/>
  <c r="F312" i="40"/>
  <c r="G312" i="40" s="1"/>
  <c r="I312" i="40" s="1"/>
  <c r="J312" i="40"/>
  <c r="F274" i="40"/>
  <c r="G274" i="40" s="1"/>
  <c r="I274" i="40" s="1"/>
  <c r="J274" i="40"/>
  <c r="F332" i="40"/>
  <c r="G332" i="40" s="1"/>
  <c r="I332" i="40" s="1"/>
  <c r="J332" i="40"/>
  <c r="F262" i="40"/>
  <c r="G262" i="40" s="1"/>
  <c r="I262" i="40" s="1"/>
  <c r="J262" i="40"/>
  <c r="F275" i="40"/>
  <c r="G275" i="40" s="1"/>
  <c r="I275" i="40" s="1"/>
  <c r="J275" i="40"/>
  <c r="F342" i="40"/>
  <c r="G342" i="40" s="1"/>
  <c r="I342" i="40" s="1"/>
  <c r="J342" i="40"/>
  <c r="F302" i="40"/>
  <c r="G302" i="40" s="1"/>
  <c r="I302" i="40" s="1"/>
  <c r="J302" i="40"/>
  <c r="N79" i="11"/>
  <c r="O79" i="11" s="1"/>
  <c r="N63" i="11"/>
  <c r="O63" i="11" s="1"/>
  <c r="N81" i="11"/>
  <c r="O81" i="11" s="1"/>
  <c r="J857" i="40"/>
  <c r="J833" i="40"/>
  <c r="J820" i="40"/>
  <c r="J807" i="40"/>
  <c r="I233" i="17"/>
  <c r="J809" i="40"/>
  <c r="J821" i="40"/>
  <c r="J909" i="40"/>
  <c r="J818" i="40"/>
  <c r="J805" i="40"/>
  <c r="J831" i="40"/>
  <c r="J854" i="40"/>
  <c r="H47" i="26"/>
  <c r="O54" i="23"/>
  <c r="D107" i="40" s="1"/>
  <c r="F107" i="40" s="1"/>
  <c r="G107" i="40" s="1"/>
  <c r="I107" i="40" s="1"/>
  <c r="H32" i="26"/>
  <c r="L1889" i="1"/>
  <c r="H1591" i="1"/>
  <c r="J1340" i="1"/>
  <c r="I134" i="17"/>
  <c r="J352" i="40" s="1"/>
  <c r="D352" i="40"/>
  <c r="F352" i="40" s="1"/>
  <c r="G352" i="40" s="1"/>
  <c r="I352" i="40" s="1"/>
  <c r="K1889" i="1"/>
  <c r="K1837" i="1"/>
  <c r="K1812" i="1"/>
  <c r="J1711" i="1"/>
  <c r="L1680" i="1"/>
  <c r="L1619" i="1"/>
  <c r="H1599" i="1"/>
  <c r="I1240" i="1"/>
  <c r="H1241" i="1" s="1"/>
  <c r="N1340" i="1"/>
  <c r="N1075" i="1"/>
  <c r="H1076" i="1" s="1"/>
  <c r="H44" i="1"/>
  <c r="L510" i="1"/>
  <c r="O361" i="1"/>
  <c r="I135" i="17"/>
  <c r="J353" i="40" s="1"/>
  <c r="D353" i="40"/>
  <c r="F353" i="40" s="1"/>
  <c r="G353" i="40" s="1"/>
  <c r="I353" i="40" s="1"/>
  <c r="I124" i="17"/>
  <c r="J278" i="40" s="1"/>
  <c r="D278" i="40"/>
  <c r="F278" i="40" s="1"/>
  <c r="G278" i="40" s="1"/>
  <c r="I278" i="40" s="1"/>
  <c r="D265" i="40"/>
  <c r="F265" i="40" s="1"/>
  <c r="G265" i="40" s="1"/>
  <c r="I265" i="40" s="1"/>
  <c r="I117" i="17"/>
  <c r="J301" i="40" s="1"/>
  <c r="D237" i="40"/>
  <c r="F237" i="40" s="1"/>
  <c r="G237" i="40" s="1"/>
  <c r="I237" i="40" s="1"/>
  <c r="D301" i="40"/>
  <c r="F301" i="40" s="1"/>
  <c r="G301" i="40" s="1"/>
  <c r="I301" i="40" s="1"/>
  <c r="I115" i="17"/>
  <c r="D235" i="40"/>
  <c r="F235" i="40" s="1"/>
  <c r="G235" i="40" s="1"/>
  <c r="I235" i="40" s="1"/>
  <c r="D276" i="40"/>
  <c r="F276" i="40" s="1"/>
  <c r="G276" i="40" s="1"/>
  <c r="I276" i="40" s="1"/>
  <c r="D263" i="40"/>
  <c r="F263" i="40" s="1"/>
  <c r="G263" i="40" s="1"/>
  <c r="I263" i="40" s="1"/>
  <c r="D299" i="40"/>
  <c r="F299" i="40" s="1"/>
  <c r="G299" i="40" s="1"/>
  <c r="I299" i="40" s="1"/>
  <c r="D248" i="40"/>
  <c r="F248" i="40" s="1"/>
  <c r="G248" i="40" s="1"/>
  <c r="I248" i="40" s="1"/>
  <c r="F915" i="40"/>
  <c r="G915" i="40" s="1"/>
  <c r="I915" i="40" s="1"/>
  <c r="D863" i="40"/>
  <c r="F902" i="40"/>
  <c r="G902" i="40" s="1"/>
  <c r="I902" i="40" s="1"/>
  <c r="F812" i="40"/>
  <c r="G812" i="40" s="1"/>
  <c r="I812" i="40" s="1"/>
  <c r="F798" i="40"/>
  <c r="D846" i="40"/>
  <c r="F846" i="40" s="1"/>
  <c r="G846" i="40" s="1"/>
  <c r="I846" i="40" s="1"/>
  <c r="D824" i="40"/>
  <c r="D876" i="40"/>
  <c r="F876" i="40" s="1"/>
  <c r="G876" i="40" s="1"/>
  <c r="I876" i="40" s="1"/>
  <c r="D890" i="40"/>
  <c r="F890" i="40" s="1"/>
  <c r="G890" i="40" s="1"/>
  <c r="I890" i="40" s="1"/>
  <c r="D864" i="40"/>
  <c r="D825" i="40"/>
  <c r="F799" i="40"/>
  <c r="D877" i="40"/>
  <c r="D847" i="40"/>
  <c r="F827" i="40"/>
  <c r="G827" i="40" s="1"/>
  <c r="I827" i="40" s="1"/>
  <c r="F918" i="40"/>
  <c r="G918" i="40" s="1"/>
  <c r="I918" i="40" s="1"/>
  <c r="F879" i="40"/>
  <c r="G879" i="40" s="1"/>
  <c r="I879" i="40" s="1"/>
  <c r="F881" i="40"/>
  <c r="G881" i="40" s="1"/>
  <c r="I881" i="40" s="1"/>
  <c r="F868" i="40"/>
  <c r="F894" i="40"/>
  <c r="G894" i="40" s="1"/>
  <c r="I894" i="40" s="1"/>
  <c r="D895" i="40"/>
  <c r="F895" i="40" s="1"/>
  <c r="G895" i="40" s="1"/>
  <c r="I895" i="40" s="1"/>
  <c r="D869" i="40"/>
  <c r="D882" i="40"/>
  <c r="F882" i="40" s="1"/>
  <c r="G882" i="40" s="1"/>
  <c r="I882" i="40" s="1"/>
  <c r="D883" i="40"/>
  <c r="F883" i="40" s="1"/>
  <c r="G883" i="40" s="1"/>
  <c r="I883" i="40" s="1"/>
  <c r="D870" i="40"/>
  <c r="D896" i="40"/>
  <c r="F896" i="40" s="1"/>
  <c r="G896" i="40" s="1"/>
  <c r="I896" i="40" s="1"/>
  <c r="F897" i="40"/>
  <c r="G897" i="40" s="1"/>
  <c r="I897" i="40" s="1"/>
  <c r="F910" i="40"/>
  <c r="G910" i="40" s="1"/>
  <c r="I910" i="40" s="1"/>
  <c r="F884" i="40"/>
  <c r="G884" i="40" s="1"/>
  <c r="I884" i="40" s="1"/>
  <c r="F871" i="40"/>
  <c r="D899" i="40"/>
  <c r="F899" i="40" s="1"/>
  <c r="G899" i="40" s="1"/>
  <c r="I899" i="40" s="1"/>
  <c r="D873" i="40"/>
  <c r="D912" i="40"/>
  <c r="F912" i="40" s="1"/>
  <c r="G912" i="40" s="1"/>
  <c r="I912" i="40" s="1"/>
  <c r="D886" i="40"/>
  <c r="F886" i="40" s="1"/>
  <c r="G886" i="40" s="1"/>
  <c r="I886" i="40" s="1"/>
  <c r="F261" i="40"/>
  <c r="G261" i="40" s="1"/>
  <c r="I261" i="40" s="1"/>
  <c r="J261" i="40"/>
  <c r="F232" i="40"/>
  <c r="G232" i="40" s="1"/>
  <c r="I232" i="40" s="1"/>
  <c r="J232" i="40"/>
  <c r="F246" i="40"/>
  <c r="G246" i="40" s="1"/>
  <c r="I246" i="40" s="1"/>
  <c r="F296" i="40"/>
  <c r="G296" i="40" s="1"/>
  <c r="I296" i="40" s="1"/>
  <c r="J315" i="40"/>
  <c r="J296" i="40"/>
  <c r="F247" i="40"/>
  <c r="G247" i="40" s="1"/>
  <c r="I247" i="40" s="1"/>
  <c r="J247" i="40"/>
  <c r="N340" i="11"/>
  <c r="O340" i="11" s="1"/>
  <c r="N317" i="11"/>
  <c r="O317" i="11" s="1"/>
  <c r="F322" i="40"/>
  <c r="G322" i="40" s="1"/>
  <c r="I322" i="40" s="1"/>
  <c r="J322" i="40"/>
  <c r="F357" i="40"/>
  <c r="G357" i="40" s="1"/>
  <c r="I357" i="40" s="1"/>
  <c r="J357" i="40"/>
  <c r="N363" i="11"/>
  <c r="O363" i="11" s="1"/>
  <c r="N381" i="11"/>
  <c r="O381" i="11" s="1"/>
  <c r="N366" i="11"/>
  <c r="O366" i="11" s="1"/>
  <c r="N376" i="11"/>
  <c r="O376" i="11" s="1"/>
  <c r="N355" i="11"/>
  <c r="O355" i="11" s="1"/>
  <c r="N354" i="11"/>
  <c r="O354" i="11" s="1"/>
  <c r="N369" i="11"/>
  <c r="O369" i="11" s="1"/>
  <c r="N382" i="11"/>
  <c r="O382" i="11" s="1"/>
  <c r="J90" i="40"/>
  <c r="J307" i="40"/>
  <c r="J291" i="40"/>
  <c r="J256" i="40"/>
  <c r="J241" i="40"/>
  <c r="J227" i="40"/>
  <c r="J327" i="40"/>
  <c r="J269" i="40"/>
  <c r="J228" i="40"/>
  <c r="J270" i="40"/>
  <c r="J257" i="40"/>
  <c r="J242" i="40"/>
  <c r="J328" i="40"/>
  <c r="J292" i="40"/>
  <c r="J308" i="40"/>
  <c r="J267" i="40"/>
  <c r="J347" i="40"/>
  <c r="J326" i="40"/>
  <c r="J280" i="40"/>
  <c r="J255" i="40"/>
  <c r="J240" i="40"/>
  <c r="J306" i="40"/>
  <c r="J290" i="40"/>
  <c r="J297" i="40"/>
  <c r="J233" i="40"/>
  <c r="J300" i="40"/>
  <c r="J254" i="40"/>
  <c r="J239" i="40"/>
  <c r="J276" i="40"/>
  <c r="J298" i="40"/>
  <c r="J234" i="40"/>
  <c r="J263" i="40"/>
  <c r="J248" i="40"/>
  <c r="F206" i="40"/>
  <c r="G206" i="40" s="1"/>
  <c r="I206" i="40" s="1"/>
  <c r="F676" i="30"/>
  <c r="J677" i="30" s="1"/>
  <c r="G111" i="17"/>
  <c r="I111" i="17" s="1"/>
  <c r="F669" i="30"/>
  <c r="J670" i="30" s="1"/>
  <c r="G110" i="17"/>
  <c r="I110" i="17" s="1"/>
  <c r="H779" i="1"/>
  <c r="N256" i="1"/>
  <c r="H343" i="1"/>
  <c r="G258" i="17"/>
  <c r="I258" i="17" s="1"/>
  <c r="H21" i="39"/>
  <c r="O510" i="1"/>
  <c r="K1862" i="1"/>
  <c r="L1745" i="1"/>
  <c r="F115" i="40"/>
  <c r="G115" i="40" s="1"/>
  <c r="I115" i="40" s="1"/>
  <c r="H98" i="17"/>
  <c r="I98" i="17" s="1"/>
  <c r="F42" i="31"/>
  <c r="G254" i="17"/>
  <c r="I254" i="17" s="1"/>
  <c r="F2062" i="30"/>
  <c r="J2063" i="30" s="1"/>
  <c r="H74" i="39"/>
  <c r="L976" i="1"/>
  <c r="J1408" i="1"/>
  <c r="F62" i="3"/>
  <c r="F64" i="3" s="1"/>
  <c r="G64" i="3" s="1"/>
  <c r="F177" i="30" s="1"/>
  <c r="J177" i="30" s="1"/>
  <c r="J184" i="30" s="1"/>
  <c r="K1340" i="1"/>
  <c r="N1100" i="1"/>
  <c r="I900" i="1"/>
  <c r="H901" i="1" s="1"/>
  <c r="J510" i="1"/>
  <c r="J872" i="1"/>
  <c r="K709" i="1"/>
  <c r="O12" i="23"/>
  <c r="D99" i="40" s="1"/>
  <c r="H41" i="26"/>
  <c r="AF53" i="31"/>
  <c r="F103" i="40"/>
  <c r="G103" i="40" s="1"/>
  <c r="I103" i="40" s="1"/>
  <c r="F105" i="40"/>
  <c r="G105" i="40" s="1"/>
  <c r="I105" i="40" s="1"/>
  <c r="O19" i="23"/>
  <c r="D100" i="40" s="1"/>
  <c r="F100" i="40" s="1"/>
  <c r="G100" i="40" s="1"/>
  <c r="I100" i="40" s="1"/>
  <c r="O37" i="23"/>
  <c r="D102" i="40" s="1"/>
  <c r="O474" i="11"/>
  <c r="I634" i="11"/>
  <c r="D89" i="40" s="1"/>
  <c r="J89" i="40" s="1"/>
  <c r="I259" i="11"/>
  <c r="D84" i="40" s="1"/>
  <c r="F84" i="40" s="1"/>
  <c r="G84" i="40" s="1"/>
  <c r="I84" i="40" s="1"/>
  <c r="H656" i="1"/>
  <c r="I1862" i="1"/>
  <c r="J1837" i="1"/>
  <c r="H1838" i="1" s="1"/>
  <c r="J1794" i="1"/>
  <c r="K1776" i="1"/>
  <c r="H1777" i="1" s="1"/>
  <c r="K1745" i="1"/>
  <c r="K1728" i="1"/>
  <c r="K1651" i="1"/>
  <c r="H1635" i="1"/>
  <c r="K1576" i="1"/>
  <c r="J1576" i="1"/>
  <c r="J1526" i="1"/>
  <c r="K1506" i="1"/>
  <c r="N1479" i="1"/>
  <c r="N1893" i="1" s="1"/>
  <c r="F48" i="3" s="1"/>
  <c r="J1440" i="1"/>
  <c r="L1408" i="1"/>
  <c r="L1340" i="1"/>
  <c r="M1159" i="1"/>
  <c r="M1340" i="1" s="1"/>
  <c r="O1100" i="1"/>
  <c r="H1101" i="1" s="1"/>
  <c r="H1061" i="1"/>
  <c r="N1049" i="1"/>
  <c r="O949" i="1"/>
  <c r="H950" i="1" s="1"/>
  <c r="N510" i="1"/>
  <c r="H511" i="1" s="1"/>
  <c r="L638" i="1"/>
  <c r="K638" i="1"/>
  <c r="N361" i="1"/>
  <c r="I688" i="1"/>
  <c r="H689" i="1" s="1"/>
  <c r="L680" i="1"/>
  <c r="H681" i="1" s="1"/>
  <c r="I649" i="1"/>
  <c r="H650" i="1" s="1"/>
  <c r="N290" i="1"/>
  <c r="H291" i="1" s="1"/>
  <c r="G112" i="17"/>
  <c r="I112" i="17" s="1"/>
  <c r="F683" i="30"/>
  <c r="J684" i="30" s="1"/>
  <c r="F110" i="40"/>
  <c r="G110" i="40" s="1"/>
  <c r="I110" i="40" s="1"/>
  <c r="N34" i="11"/>
  <c r="O34" i="11" s="1"/>
  <c r="N39" i="11"/>
  <c r="O39" i="11" s="1"/>
  <c r="H64" i="17"/>
  <c r="J118" i="40"/>
  <c r="J119" i="40"/>
  <c r="J120" i="40"/>
  <c r="H63" i="17"/>
  <c r="J113" i="40"/>
  <c r="H60" i="17"/>
  <c r="J104" i="40"/>
  <c r="I226" i="17"/>
  <c r="I231" i="17"/>
  <c r="J1981" i="30"/>
  <c r="H244" i="17"/>
  <c r="J1712" i="30"/>
  <c r="H220" i="17"/>
  <c r="I220" i="17" s="1"/>
  <c r="J1745" i="30"/>
  <c r="J1861" i="30"/>
  <c r="H232" i="17"/>
  <c r="J1732" i="30"/>
  <c r="H222" i="17"/>
  <c r="I222" i="17" s="1"/>
  <c r="I228" i="17"/>
  <c r="J1771" i="30"/>
  <c r="H225" i="17"/>
  <c r="J1887" i="30"/>
  <c r="H234" i="17"/>
  <c r="I224" i="17"/>
  <c r="J1993" i="30"/>
  <c r="H245" i="17"/>
  <c r="J1835" i="30"/>
  <c r="H230" i="17"/>
  <c r="J806" i="40" s="1"/>
  <c r="J1900" i="30"/>
  <c r="J1910" i="30" s="1"/>
  <c r="H235" i="17"/>
  <c r="J2019" i="30"/>
  <c r="H247" i="17"/>
  <c r="J1722" i="30"/>
  <c r="H221" i="17"/>
  <c r="I221" i="17" s="1"/>
  <c r="J1796" i="30"/>
  <c r="H227" i="17"/>
  <c r="J1822" i="30"/>
  <c r="I561" i="11"/>
  <c r="D88" i="40" s="1"/>
  <c r="H1681" i="1"/>
  <c r="H1480" i="1"/>
  <c r="O561" i="11"/>
  <c r="O259" i="11"/>
  <c r="J93" i="40"/>
  <c r="F93" i="40"/>
  <c r="G93" i="40" s="1"/>
  <c r="I93" i="40" s="1"/>
  <c r="H1813" i="1"/>
  <c r="H81" i="1"/>
  <c r="H25" i="9"/>
  <c r="F97" i="30" s="1"/>
  <c r="M514" i="1"/>
  <c r="L1104" i="1"/>
  <c r="K872" i="1"/>
  <c r="H115" i="1"/>
  <c r="F209" i="40"/>
  <c r="G209" i="40" s="1"/>
  <c r="I209" i="40" s="1"/>
  <c r="J209" i="40"/>
  <c r="F171" i="40"/>
  <c r="G171" i="40" s="1"/>
  <c r="I171" i="40" s="1"/>
  <c r="J171" i="40"/>
  <c r="F180" i="40"/>
  <c r="G180" i="40" s="1"/>
  <c r="I180" i="40" s="1"/>
  <c r="J180" i="40"/>
  <c r="J172" i="40" s="1"/>
  <c r="G83" i="17"/>
  <c r="I83" i="17" s="1"/>
  <c r="F563" i="30"/>
  <c r="J564" i="30" s="1"/>
  <c r="L49" i="24"/>
  <c r="D221" i="40" s="1"/>
  <c r="D220" i="40"/>
  <c r="L51" i="24"/>
  <c r="H109" i="39"/>
  <c r="J95" i="40"/>
  <c r="F95" i="40"/>
  <c r="G95" i="40" s="1"/>
  <c r="I95" i="40" s="1"/>
  <c r="K1049" i="1"/>
  <c r="H1050" i="1" s="1"/>
  <c r="H1014" i="1"/>
  <c r="K468" i="1"/>
  <c r="O468" i="1"/>
  <c r="N424" i="1"/>
  <c r="H425" i="1" s="1"/>
  <c r="O152" i="1"/>
  <c r="H153" i="1" s="1"/>
  <c r="J2006" i="30"/>
  <c r="J1874" i="30"/>
  <c r="AF11" i="31"/>
  <c r="D109" i="40" s="1"/>
  <c r="F43" i="23"/>
  <c r="O634" i="11"/>
  <c r="F446" i="30"/>
  <c r="J447" i="30" s="1"/>
  <c r="B67" i="39"/>
  <c r="D67" i="39" s="1"/>
  <c r="D68" i="39" s="1"/>
  <c r="D71" i="39" s="1"/>
  <c r="D72" i="39" s="1"/>
  <c r="E8" i="39" s="1"/>
  <c r="F8" i="39" s="1"/>
  <c r="H81" i="39"/>
  <c r="I1440" i="1"/>
  <c r="O1002" i="1"/>
  <c r="J1929" i="1"/>
  <c r="H1930" i="1" s="1"/>
  <c r="H1795" i="1"/>
  <c r="J1104" i="1"/>
  <c r="J1371" i="1" s="1"/>
  <c r="F28" i="3" s="1"/>
  <c r="G28" i="3" s="1"/>
  <c r="H1221" i="1"/>
  <c r="H1185" i="1"/>
  <c r="H730" i="1"/>
  <c r="J321" i="1"/>
  <c r="J514" i="1" s="1"/>
  <c r="J906" i="1" s="1"/>
  <c r="F144" i="3" s="1"/>
  <c r="G144" i="3" s="1"/>
  <c r="H1712" i="1"/>
  <c r="H1620" i="1"/>
  <c r="H843" i="1"/>
  <c r="F92" i="40"/>
  <c r="G92" i="40" s="1"/>
  <c r="I92" i="40" s="1"/>
  <c r="J92" i="40"/>
  <c r="H1507" i="1"/>
  <c r="H1277" i="1"/>
  <c r="N923" i="1"/>
  <c r="H924" i="1" s="1"/>
  <c r="H1160" i="1"/>
  <c r="M872" i="1"/>
  <c r="H814" i="1"/>
  <c r="I638" i="1"/>
  <c r="O256" i="1"/>
  <c r="H257" i="1" s="1"/>
  <c r="L709" i="1"/>
  <c r="L872" i="1" s="1"/>
  <c r="O391" i="1"/>
  <c r="O514" i="1" s="1"/>
  <c r="O906" i="1" s="1"/>
  <c r="F149" i="3" s="1"/>
  <c r="G149" i="3" s="1"/>
  <c r="M1408" i="1"/>
  <c r="M1893" i="1" s="1"/>
  <c r="F47" i="3" s="1"/>
  <c r="H225" i="1"/>
  <c r="H793" i="1"/>
  <c r="F190" i="40"/>
  <c r="G190" i="40" s="1"/>
  <c r="I190" i="40" s="1"/>
  <c r="J190" i="40"/>
  <c r="F199" i="40"/>
  <c r="G199" i="40" s="1"/>
  <c r="I199" i="40" s="1"/>
  <c r="J199" i="40"/>
  <c r="F215" i="40"/>
  <c r="G215" i="40" s="1"/>
  <c r="I215" i="40" s="1"/>
  <c r="J215" i="40"/>
  <c r="F219" i="40"/>
  <c r="G219" i="40" s="1"/>
  <c r="I219" i="40" s="1"/>
  <c r="J219" i="40"/>
  <c r="F204" i="40"/>
  <c r="G204" i="40" s="1"/>
  <c r="I204" i="40" s="1"/>
  <c r="J204" i="40"/>
  <c r="J157" i="40"/>
  <c r="J153" i="40" s="1"/>
  <c r="F157" i="40"/>
  <c r="G157" i="40" s="1"/>
  <c r="I157" i="40" s="1"/>
  <c r="F1651" i="30"/>
  <c r="J1652" i="30" s="1"/>
  <c r="I211" i="17" s="1"/>
  <c r="M29" i="28"/>
  <c r="G211" i="17"/>
  <c r="F212" i="40"/>
  <c r="G212" i="40" s="1"/>
  <c r="I212" i="40" s="1"/>
  <c r="J212" i="40"/>
  <c r="J151" i="40"/>
  <c r="F151" i="40"/>
  <c r="G151" i="40" s="1"/>
  <c r="I151" i="40" s="1"/>
  <c r="F194" i="40"/>
  <c r="G194" i="40" s="1"/>
  <c r="I194" i="40" s="1"/>
  <c r="J194" i="40"/>
  <c r="F144" i="40"/>
  <c r="G144" i="40" s="1"/>
  <c r="I144" i="40" s="1"/>
  <c r="J144" i="40"/>
  <c r="H1846" i="1"/>
  <c r="N976" i="1"/>
  <c r="L468" i="1"/>
  <c r="L514" i="1" s="1"/>
  <c r="N468" i="1"/>
  <c r="N514" i="1" s="1"/>
  <c r="N906" i="1" s="1"/>
  <c r="F148" i="3" s="1"/>
  <c r="G148" i="3" s="1"/>
  <c r="F13" i="40"/>
  <c r="G13" i="40" s="1"/>
  <c r="I13" i="40" s="1"/>
  <c r="J1809" i="30"/>
  <c r="J1848" i="30"/>
  <c r="J1784" i="30"/>
  <c r="I17" i="17"/>
  <c r="H9" i="17"/>
  <c r="I9" i="17" s="1"/>
  <c r="J6" i="40"/>
  <c r="T53" i="4"/>
  <c r="T54" i="4" s="1"/>
  <c r="F24" i="3" s="1"/>
  <c r="G24" i="3" s="1"/>
  <c r="F162" i="30" s="1"/>
  <c r="J162" i="30" s="1"/>
  <c r="J173" i="30" s="1"/>
  <c r="AL59" i="4"/>
  <c r="F117" i="30" s="1"/>
  <c r="D20" i="40" s="1"/>
  <c r="F20" i="40" s="1"/>
  <c r="G20" i="40" s="1"/>
  <c r="I20" i="40" s="1"/>
  <c r="AK79" i="4"/>
  <c r="G27" i="17" s="1"/>
  <c r="I27" i="17" s="1"/>
  <c r="J22" i="40" s="1"/>
  <c r="F56" i="3"/>
  <c r="M1104" i="1"/>
  <c r="K514" i="1"/>
  <c r="K906" i="1" s="1"/>
  <c r="F145" i="3" s="1"/>
  <c r="G145" i="3" s="1"/>
  <c r="J1893" i="1"/>
  <c r="F44" i="3" s="1"/>
  <c r="I903" i="1"/>
  <c r="H904" i="1" s="1"/>
  <c r="I474" i="11"/>
  <c r="D87" i="40" s="1"/>
  <c r="F52" i="3"/>
  <c r="G58" i="3" s="1"/>
  <c r="D14" i="40"/>
  <c r="H710" i="1"/>
  <c r="H350" i="11"/>
  <c r="I350" i="11" s="1"/>
  <c r="F1460" i="30"/>
  <c r="J1461" i="30" s="1"/>
  <c r="I193" i="17" s="1"/>
  <c r="G193" i="17"/>
  <c r="H361" i="11"/>
  <c r="I361" i="11" s="1"/>
  <c r="AF28" i="31"/>
  <c r="D111" i="40" s="1"/>
  <c r="I514" i="1"/>
  <c r="H1337" i="1"/>
  <c r="I1893" i="1"/>
  <c r="F43" i="3" s="1"/>
  <c r="H534" i="1"/>
  <c r="I72" i="4"/>
  <c r="H760" i="1"/>
  <c r="G68" i="3"/>
  <c r="I48" i="11"/>
  <c r="D81" i="40" s="1"/>
  <c r="H367" i="11"/>
  <c r="I367" i="11" s="1"/>
  <c r="H357" i="11"/>
  <c r="I357" i="11" s="1"/>
  <c r="H1441" i="1"/>
  <c r="I1121" i="1"/>
  <c r="H1122" i="1" s="1"/>
  <c r="I301" i="11"/>
  <c r="D85" i="40" s="1"/>
  <c r="F18" i="3"/>
  <c r="G18" i="3" s="1"/>
  <c r="J32" i="2"/>
  <c r="H392" i="1"/>
  <c r="F65" i="3"/>
  <c r="G65" i="3" s="1"/>
  <c r="H1912" i="1"/>
  <c r="F57" i="3"/>
  <c r="H351" i="11"/>
  <c r="I351" i="11" s="1"/>
  <c r="H366" i="11"/>
  <c r="I366" i="11" s="1"/>
  <c r="N268" i="11"/>
  <c r="O268" i="11" s="1"/>
  <c r="N276" i="11"/>
  <c r="O276" i="11" s="1"/>
  <c r="N284" i="11"/>
  <c r="O284" i="11" s="1"/>
  <c r="N292" i="11"/>
  <c r="O292" i="11" s="1"/>
  <c r="N300" i="11"/>
  <c r="O300" i="11" s="1"/>
  <c r="N275" i="11"/>
  <c r="O275" i="11" s="1"/>
  <c r="N291" i="11"/>
  <c r="O291" i="11" s="1"/>
  <c r="N269" i="11"/>
  <c r="O269" i="11" s="1"/>
  <c r="N285" i="11"/>
  <c r="O285" i="11" s="1"/>
  <c r="N261" i="11"/>
  <c r="O261" i="11" s="1"/>
  <c r="N262" i="11"/>
  <c r="O262" i="11" s="1"/>
  <c r="N270" i="11"/>
  <c r="O270" i="11" s="1"/>
  <c r="N278" i="11"/>
  <c r="O278" i="11" s="1"/>
  <c r="N286" i="11"/>
  <c r="O286" i="11" s="1"/>
  <c r="N294" i="11"/>
  <c r="O294" i="11" s="1"/>
  <c r="N263" i="11"/>
  <c r="O263" i="11" s="1"/>
  <c r="N279" i="11"/>
  <c r="O279" i="11" s="1"/>
  <c r="N295" i="11"/>
  <c r="O295" i="11" s="1"/>
  <c r="N273" i="11"/>
  <c r="O273" i="11" s="1"/>
  <c r="N289" i="11"/>
  <c r="O289" i="11" s="1"/>
  <c r="N264" i="11"/>
  <c r="O264" i="11" s="1"/>
  <c r="N272" i="11"/>
  <c r="O272" i="11" s="1"/>
  <c r="N280" i="11"/>
  <c r="O280" i="11" s="1"/>
  <c r="N288" i="11"/>
  <c r="O288" i="11" s="1"/>
  <c r="N296" i="11"/>
  <c r="O296" i="11" s="1"/>
  <c r="N267" i="11"/>
  <c r="O267" i="11" s="1"/>
  <c r="N283" i="11"/>
  <c r="O283" i="11" s="1"/>
  <c r="N299" i="11"/>
  <c r="O299" i="11" s="1"/>
  <c r="N277" i="11"/>
  <c r="O277" i="11" s="1"/>
  <c r="N293" i="11"/>
  <c r="O293" i="11" s="1"/>
  <c r="N274" i="11"/>
  <c r="O274" i="11" s="1"/>
  <c r="N290" i="11"/>
  <c r="O290" i="11" s="1"/>
  <c r="N271" i="11"/>
  <c r="O271" i="11" s="1"/>
  <c r="N265" i="11"/>
  <c r="O265" i="11" s="1"/>
  <c r="N297" i="11"/>
  <c r="O297" i="11" s="1"/>
  <c r="N282" i="11"/>
  <c r="O282" i="11" s="1"/>
  <c r="N287" i="11"/>
  <c r="O287" i="11" s="1"/>
  <c r="N298" i="11"/>
  <c r="O298" i="11" s="1"/>
  <c r="N281" i="11"/>
  <c r="O281" i="11" s="1"/>
  <c r="N266" i="11"/>
  <c r="O266" i="11" s="1"/>
  <c r="H2166" i="1"/>
  <c r="F1472" i="30"/>
  <c r="J1473" i="30" s="1"/>
  <c r="I194" i="17" s="1"/>
  <c r="G194" i="17"/>
  <c r="F1448" i="30"/>
  <c r="J1449" i="30" s="1"/>
  <c r="I192" i="17" s="1"/>
  <c r="G192" i="17"/>
  <c r="H358" i="11"/>
  <c r="I358" i="11" s="1"/>
  <c r="H356" i="11"/>
  <c r="I356" i="11" s="1"/>
  <c r="H1029" i="1"/>
  <c r="J64" i="2"/>
  <c r="J65" i="2" s="1"/>
  <c r="N346" i="11"/>
  <c r="O346" i="11" s="1"/>
  <c r="N345" i="11"/>
  <c r="O345" i="11" s="1"/>
  <c r="N347" i="11"/>
  <c r="O347" i="11" s="1"/>
  <c r="N344" i="11"/>
  <c r="O344" i="11" s="1"/>
  <c r="H2163" i="1"/>
  <c r="I1328" i="1"/>
  <c r="H1329" i="1" s="1"/>
  <c r="H65" i="26"/>
  <c r="H348" i="11"/>
  <c r="I348" i="11" s="1"/>
  <c r="H1293" i="1"/>
  <c r="H1340" i="1"/>
  <c r="J1758" i="30"/>
  <c r="F37" i="24"/>
  <c r="I105" i="11"/>
  <c r="D82" i="40" s="1"/>
  <c r="H352" i="11"/>
  <c r="I352" i="11" s="1"/>
  <c r="H2125" i="1"/>
  <c r="F87" i="3" s="1"/>
  <c r="G87" i="3" s="1"/>
  <c r="H802" i="1"/>
  <c r="H1729" i="1"/>
  <c r="F537" i="30"/>
  <c r="J538" i="30" s="1"/>
  <c r="G78" i="17"/>
  <c r="I78" i="17" s="1"/>
  <c r="K1893" i="1"/>
  <c r="F45" i="3" s="1"/>
  <c r="U638" i="11"/>
  <c r="O180" i="11"/>
  <c r="H364" i="11"/>
  <c r="I364" i="11" s="1"/>
  <c r="M60" i="31"/>
  <c r="B46" i="31" s="1"/>
  <c r="F504" i="30"/>
  <c r="J505" i="30" s="1"/>
  <c r="I388" i="11"/>
  <c r="H349" i="11"/>
  <c r="I349" i="11" s="1"/>
  <c r="F42" i="3"/>
  <c r="H1527" i="1"/>
  <c r="G26" i="17"/>
  <c r="F124" i="30"/>
  <c r="D21" i="40" s="1"/>
  <c r="F21" i="40" s="1"/>
  <c r="G21" i="40" s="1"/>
  <c r="I21" i="40" s="1"/>
  <c r="F38" i="3"/>
  <c r="G40" i="3" s="1"/>
  <c r="F120" i="30" s="1"/>
  <c r="J120" i="30" s="1"/>
  <c r="J124" i="30" s="1"/>
  <c r="H26" i="17" s="1"/>
  <c r="C29" i="9"/>
  <c r="C30" i="9" s="1"/>
  <c r="I1104" i="1"/>
  <c r="H872" i="1"/>
  <c r="J579" i="30"/>
  <c r="J621" i="30"/>
  <c r="H104" i="17"/>
  <c r="I104" i="17" s="1"/>
  <c r="J607" i="30"/>
  <c r="H102" i="17"/>
  <c r="I102" i="17" s="1"/>
  <c r="J75" i="30"/>
  <c r="J13" i="40" s="1"/>
  <c r="J586" i="30"/>
  <c r="H99" i="17"/>
  <c r="J614" i="30"/>
  <c r="H103" i="17"/>
  <c r="J600" i="30"/>
  <c r="H101" i="17"/>
  <c r="I101" i="17" s="1"/>
  <c r="J593" i="30"/>
  <c r="H100" i="17"/>
  <c r="I100" i="17" s="1"/>
  <c r="J628" i="30"/>
  <c r="H105" i="17"/>
  <c r="I105" i="17" s="1"/>
  <c r="J572" i="30"/>
  <c r="H97" i="17"/>
  <c r="I97" i="17" s="1"/>
  <c r="H23" i="17"/>
  <c r="L42" i="30"/>
  <c r="H49" i="17"/>
  <c r="H45" i="17"/>
  <c r="J11" i="30"/>
  <c r="H52" i="17"/>
  <c r="H11" i="17"/>
  <c r="I11" i="17" s="1"/>
  <c r="H51" i="17"/>
  <c r="H48" i="17"/>
  <c r="H14" i="17"/>
  <c r="I14" i="17" s="1"/>
  <c r="H53" i="17"/>
  <c r="J28" i="30"/>
  <c r="J7" i="40" s="1"/>
  <c r="H50" i="17"/>
  <c r="J53" i="30"/>
  <c r="J9" i="40" s="1"/>
  <c r="H12" i="17"/>
  <c r="I12" i="17" s="1"/>
  <c r="G868" i="40" l="1"/>
  <c r="G798" i="40"/>
  <c r="G872" i="40"/>
  <c r="G800" i="40"/>
  <c r="G871" i="40"/>
  <c r="G799" i="40"/>
  <c r="I801" i="40"/>
  <c r="I223" i="17"/>
  <c r="F873" i="40"/>
  <c r="F869" i="40"/>
  <c r="F848" i="40"/>
  <c r="G848" i="40" s="1"/>
  <c r="I848" i="40" s="1"/>
  <c r="F870" i="40"/>
  <c r="F824" i="40"/>
  <c r="G824" i="40" s="1"/>
  <c r="I824" i="40" s="1"/>
  <c r="J46" i="40"/>
  <c r="J33" i="40"/>
  <c r="J39" i="40"/>
  <c r="J26" i="40"/>
  <c r="J106" i="40"/>
  <c r="E20" i="38"/>
  <c r="G66" i="3"/>
  <c r="J43" i="40"/>
  <c r="J32" i="40"/>
  <c r="J38" i="40"/>
  <c r="J25" i="40"/>
  <c r="H30" i="17"/>
  <c r="F26" i="40"/>
  <c r="G26" i="40" s="1"/>
  <c r="I26" i="40" s="1"/>
  <c r="J128" i="40"/>
  <c r="I256" i="17"/>
  <c r="E23" i="38" s="1"/>
  <c r="G69" i="3"/>
  <c r="G67" i="3"/>
  <c r="N1104" i="1"/>
  <c r="N1371" i="1" s="1"/>
  <c r="F32" i="3" s="1"/>
  <c r="G32" i="3" s="1"/>
  <c r="H111" i="39"/>
  <c r="H1890" i="1"/>
  <c r="O105" i="11"/>
  <c r="F900" i="40"/>
  <c r="G900" i="40" s="1"/>
  <c r="I900" i="40" s="1"/>
  <c r="J900" i="40"/>
  <c r="F109" i="40"/>
  <c r="G109" i="40" s="1"/>
  <c r="I109" i="40" s="1"/>
  <c r="D117" i="40"/>
  <c r="F117" i="40" s="1"/>
  <c r="G117" i="40" s="1"/>
  <c r="I117" i="40" s="1"/>
  <c r="H1652" i="1"/>
  <c r="F797" i="40"/>
  <c r="J797" i="40"/>
  <c r="F901" i="40"/>
  <c r="G901" i="40" s="1"/>
  <c r="I901" i="40" s="1"/>
  <c r="J901" i="40"/>
  <c r="F796" i="40"/>
  <c r="J796" i="40"/>
  <c r="J299" i="40"/>
  <c r="J289" i="40" s="1"/>
  <c r="J235" i="40"/>
  <c r="J265" i="40"/>
  <c r="J182" i="40"/>
  <c r="J83" i="40"/>
  <c r="J921" i="40"/>
  <c r="I872" i="1"/>
  <c r="H977" i="1"/>
  <c r="H639" i="1"/>
  <c r="O1104" i="1"/>
  <c r="O1371" i="1" s="1"/>
  <c r="F33" i="3" s="1"/>
  <c r="G33" i="3" s="1"/>
  <c r="L1371" i="1"/>
  <c r="F30" i="3" s="1"/>
  <c r="G30" i="3" s="1"/>
  <c r="H362" i="1"/>
  <c r="H1577" i="1"/>
  <c r="H1746" i="1"/>
  <c r="H1863" i="1"/>
  <c r="J885" i="40"/>
  <c r="I73" i="4"/>
  <c r="F8" i="3" s="1"/>
  <c r="F140" i="3"/>
  <c r="G140" i="3" s="1"/>
  <c r="J185" i="30"/>
  <c r="I218" i="17"/>
  <c r="J237" i="40"/>
  <c r="J898" i="40"/>
  <c r="J143" i="40"/>
  <c r="J252" i="40"/>
  <c r="J872" i="40"/>
  <c r="J191" i="40"/>
  <c r="J164" i="40"/>
  <c r="J200" i="40"/>
  <c r="J264" i="40"/>
  <c r="I15" i="17"/>
  <c r="E6" i="38" s="1"/>
  <c r="J5" i="40"/>
  <c r="J249" i="40"/>
  <c r="J911" i="40"/>
  <c r="I227" i="17"/>
  <c r="J870" i="40"/>
  <c r="J883" i="40"/>
  <c r="J896" i="40"/>
  <c r="J839" i="40"/>
  <c r="I247" i="17"/>
  <c r="J801" i="40"/>
  <c r="I235" i="17"/>
  <c r="J834" i="40"/>
  <c r="J859" i="40"/>
  <c r="I230" i="17"/>
  <c r="J897" i="40"/>
  <c r="J856" i="40"/>
  <c r="J832" i="40"/>
  <c r="J910" i="40"/>
  <c r="J884" i="40"/>
  <c r="J793" i="40"/>
  <c r="J871" i="40"/>
  <c r="J819" i="40"/>
  <c r="I245" i="17"/>
  <c r="J890" i="40"/>
  <c r="J799" i="40"/>
  <c r="J840" i="40"/>
  <c r="I232" i="17"/>
  <c r="J912" i="40"/>
  <c r="J899" i="40"/>
  <c r="J873" i="40"/>
  <c r="J886" i="40"/>
  <c r="J808" i="40"/>
  <c r="J838" i="40"/>
  <c r="I244" i="17"/>
  <c r="J798" i="40"/>
  <c r="J889" i="40"/>
  <c r="J846" i="40"/>
  <c r="J915" i="40"/>
  <c r="J902" i="40"/>
  <c r="J876" i="40"/>
  <c r="J824" i="40"/>
  <c r="J812" i="40"/>
  <c r="J847" i="40"/>
  <c r="F847" i="40"/>
  <c r="G847" i="40" s="1"/>
  <c r="I847" i="40" s="1"/>
  <c r="J813" i="40"/>
  <c r="F813" i="40"/>
  <c r="G813" i="40" s="1"/>
  <c r="I813" i="40" s="1"/>
  <c r="J916" i="40"/>
  <c r="F916" i="40"/>
  <c r="G916" i="40" s="1"/>
  <c r="I916" i="40" s="1"/>
  <c r="J863" i="40"/>
  <c r="F863" i="40"/>
  <c r="G863" i="40" s="1"/>
  <c r="I863" i="40" s="1"/>
  <c r="J865" i="40"/>
  <c r="F865" i="40"/>
  <c r="G865" i="40" s="1"/>
  <c r="I865" i="40" s="1"/>
  <c r="J882" i="40"/>
  <c r="J891" i="40"/>
  <c r="J826" i="40"/>
  <c r="J904" i="40"/>
  <c r="J800" i="40"/>
  <c r="F59" i="3"/>
  <c r="G59" i="3" s="1"/>
  <c r="H322" i="1"/>
  <c r="H469" i="1"/>
  <c r="M906" i="1"/>
  <c r="F147" i="3" s="1"/>
  <c r="G147" i="3" s="1"/>
  <c r="I234" i="17"/>
  <c r="J858" i="40"/>
  <c r="I225" i="17"/>
  <c r="J830" i="40"/>
  <c r="J804" i="40"/>
  <c r="J853" i="40"/>
  <c r="O48" i="11"/>
  <c r="H1409" i="1"/>
  <c r="L1893" i="1"/>
  <c r="F46" i="3" s="1"/>
  <c r="G46" i="3" s="1"/>
  <c r="J905" i="40"/>
  <c r="J879" i="40"/>
  <c r="J918" i="40"/>
  <c r="J827" i="40"/>
  <c r="J877" i="40"/>
  <c r="F877" i="40"/>
  <c r="G877" i="40" s="1"/>
  <c r="I877" i="40" s="1"/>
  <c r="J825" i="40"/>
  <c r="F825" i="40"/>
  <c r="G825" i="40" s="1"/>
  <c r="I825" i="40" s="1"/>
  <c r="J864" i="40"/>
  <c r="F864" i="40"/>
  <c r="G864" i="40" s="1"/>
  <c r="I864" i="40" s="1"/>
  <c r="J903" i="40"/>
  <c r="F903" i="40"/>
  <c r="G903" i="40" s="1"/>
  <c r="I903" i="40" s="1"/>
  <c r="J892" i="40"/>
  <c r="J849" i="40"/>
  <c r="J866" i="40"/>
  <c r="J815" i="40"/>
  <c r="J869" i="40"/>
  <c r="J895" i="40"/>
  <c r="J848" i="40"/>
  <c r="J814" i="40"/>
  <c r="J878" i="40"/>
  <c r="J917" i="40"/>
  <c r="J115" i="40"/>
  <c r="I103" i="17"/>
  <c r="J282" i="40"/>
  <c r="J314" i="40"/>
  <c r="J348" i="40"/>
  <c r="J334" i="40"/>
  <c r="I99" i="17"/>
  <c r="J268" i="40"/>
  <c r="J266" i="40" s="1"/>
  <c r="J281" i="40"/>
  <c r="J333" i="40"/>
  <c r="J325" i="40" s="1"/>
  <c r="J313" i="40"/>
  <c r="J346" i="40"/>
  <c r="J105" i="40"/>
  <c r="J110" i="40"/>
  <c r="J84" i="40"/>
  <c r="J103" i="40"/>
  <c r="J116" i="40"/>
  <c r="H32" i="17"/>
  <c r="I32" i="17" s="1"/>
  <c r="M32" i="17" s="1"/>
  <c r="F89" i="40"/>
  <c r="G89" i="40" s="1"/>
  <c r="I89" i="40" s="1"/>
  <c r="J114" i="40"/>
  <c r="F102" i="40"/>
  <c r="G102" i="40" s="1"/>
  <c r="I102" i="40" s="1"/>
  <c r="J102" i="40"/>
  <c r="F99" i="40"/>
  <c r="G99" i="40" s="1"/>
  <c r="I99" i="40" s="1"/>
  <c r="J99" i="40"/>
  <c r="K1104" i="1"/>
  <c r="K1371" i="1" s="1"/>
  <c r="F29" i="3" s="1"/>
  <c r="G29" i="3" s="1"/>
  <c r="G57" i="3"/>
  <c r="H1003" i="1"/>
  <c r="AF54" i="31"/>
  <c r="B45" i="31" s="1"/>
  <c r="G63" i="17" s="1"/>
  <c r="F427" i="30" s="1"/>
  <c r="J428" i="30" s="1"/>
  <c r="G22" i="17"/>
  <c r="I22" i="17" s="1"/>
  <c r="J17" i="40" s="1"/>
  <c r="J107" i="40"/>
  <c r="J101" i="40"/>
  <c r="J100" i="40"/>
  <c r="J109" i="40"/>
  <c r="J112" i="40"/>
  <c r="O55" i="23"/>
  <c r="B50" i="23" s="1"/>
  <c r="J1911" i="30"/>
  <c r="H236" i="17"/>
  <c r="J82" i="30"/>
  <c r="J14" i="40" s="1"/>
  <c r="O387" i="11"/>
  <c r="F81" i="40"/>
  <c r="G81" i="40" s="1"/>
  <c r="I81" i="40" s="1"/>
  <c r="J81" i="40"/>
  <c r="F87" i="40"/>
  <c r="G87" i="40" s="1"/>
  <c r="I87" i="40" s="1"/>
  <c r="J87" i="40"/>
  <c r="F134" i="30"/>
  <c r="D22" i="40" s="1"/>
  <c r="F22" i="40" s="1"/>
  <c r="G22" i="40" s="1"/>
  <c r="I22" i="40" s="1"/>
  <c r="G81" i="17"/>
  <c r="I81" i="17" s="1"/>
  <c r="I84" i="17" s="1"/>
  <c r="E15" i="38" s="1"/>
  <c r="F551" i="30"/>
  <c r="J552" i="30" s="1"/>
  <c r="F221" i="40"/>
  <c r="G221" i="40" s="1"/>
  <c r="I221" i="40" s="1"/>
  <c r="J221" i="40"/>
  <c r="J88" i="40"/>
  <c r="F88" i="40"/>
  <c r="G88" i="40" s="1"/>
  <c r="I88" i="40" s="1"/>
  <c r="I639" i="11"/>
  <c r="F409" i="30" s="1"/>
  <c r="J410" i="30" s="1"/>
  <c r="I57" i="17" s="1"/>
  <c r="D94" i="40"/>
  <c r="J82" i="40"/>
  <c r="F82" i="40"/>
  <c r="G82" i="40" s="1"/>
  <c r="I82" i="40" s="1"/>
  <c r="L906" i="1"/>
  <c r="J85" i="40"/>
  <c r="F85" i="40"/>
  <c r="G85" i="40" s="1"/>
  <c r="I85" i="40" s="1"/>
  <c r="I1340" i="1"/>
  <c r="I1371" i="1" s="1"/>
  <c r="F27" i="3" s="1"/>
  <c r="G27" i="3" s="1"/>
  <c r="F220" i="40"/>
  <c r="G220" i="40" s="1"/>
  <c r="I220" i="40" s="1"/>
  <c r="J220" i="40"/>
  <c r="J211" i="40" s="1"/>
  <c r="C35" i="9"/>
  <c r="C41" i="9" s="1"/>
  <c r="J2076" i="30"/>
  <c r="J2077" i="30" s="1"/>
  <c r="F14" i="40"/>
  <c r="G14" i="40" s="1"/>
  <c r="I14" i="40" s="1"/>
  <c r="J174" i="30"/>
  <c r="J98" i="30"/>
  <c r="D17" i="40"/>
  <c r="F17" i="40" s="1"/>
  <c r="G17" i="40" s="1"/>
  <c r="I17" i="40" s="1"/>
  <c r="G25" i="17"/>
  <c r="I79" i="17"/>
  <c r="E14" i="38" s="1"/>
  <c r="G77" i="3"/>
  <c r="J259" i="30" s="1"/>
  <c r="J268" i="30" s="1"/>
  <c r="F110" i="3"/>
  <c r="G112" i="3" s="1"/>
  <c r="F54" i="3"/>
  <c r="G54" i="3" s="1"/>
  <c r="F112" i="30" s="1"/>
  <c r="J112" i="30" s="1"/>
  <c r="J117" i="30" s="1"/>
  <c r="I26" i="17"/>
  <c r="J21" i="40" s="1"/>
  <c r="I387" i="11"/>
  <c r="F99" i="3"/>
  <c r="H2814" i="1"/>
  <c r="H2815" i="1" s="1"/>
  <c r="G57" i="17"/>
  <c r="F12" i="3"/>
  <c r="G12" i="3" s="1"/>
  <c r="J2808" i="1"/>
  <c r="G47" i="3"/>
  <c r="I906" i="1"/>
  <c r="F143" i="3" s="1"/>
  <c r="G143" i="3" s="1"/>
  <c r="H515" i="1"/>
  <c r="H1371" i="1"/>
  <c r="H1341" i="1"/>
  <c r="G48" i="3"/>
  <c r="N2808" i="1"/>
  <c r="F16" i="3"/>
  <c r="G16" i="3" s="1"/>
  <c r="J125" i="30"/>
  <c r="G49" i="3"/>
  <c r="G44" i="3"/>
  <c r="F13" i="3"/>
  <c r="G13" i="3" s="1"/>
  <c r="K2808" i="1"/>
  <c r="G45" i="3"/>
  <c r="H1894" i="1"/>
  <c r="F41" i="3" s="1"/>
  <c r="G41" i="3" s="1"/>
  <c r="O301" i="11"/>
  <c r="M1371" i="1"/>
  <c r="F31" i="3" s="1"/>
  <c r="G31" i="3" s="1"/>
  <c r="F55" i="3"/>
  <c r="G55" i="3" s="1"/>
  <c r="G56" i="3"/>
  <c r="H873" i="1"/>
  <c r="H906" i="1"/>
  <c r="F142" i="3" s="1"/>
  <c r="G142" i="3" s="1"/>
  <c r="F103" i="30"/>
  <c r="J104" i="30" s="1"/>
  <c r="J18" i="40" s="1"/>
  <c r="G23" i="17"/>
  <c r="G42" i="3"/>
  <c r="G64" i="17"/>
  <c r="I64" i="17" s="1"/>
  <c r="F436" i="30"/>
  <c r="F34" i="3"/>
  <c r="G34" i="3" s="1"/>
  <c r="J67" i="2"/>
  <c r="G43" i="3"/>
  <c r="F17" i="3"/>
  <c r="G17" i="3" s="1"/>
  <c r="F15" i="3"/>
  <c r="G15" i="3" s="1"/>
  <c r="H113" i="39" l="1"/>
  <c r="E13" i="39" s="1"/>
  <c r="F13" i="39" s="1"/>
  <c r="J37" i="40"/>
  <c r="G870" i="40"/>
  <c r="G869" i="40"/>
  <c r="G873" i="40"/>
  <c r="I799" i="40"/>
  <c r="I800" i="40"/>
  <c r="I872" i="40"/>
  <c r="I798" i="40"/>
  <c r="I868" i="40"/>
  <c r="G796" i="40"/>
  <c r="G797" i="40"/>
  <c r="I871" i="40"/>
  <c r="J893" i="40"/>
  <c r="N518" i="40" s="1"/>
  <c r="J850" i="40"/>
  <c r="N515" i="40" s="1"/>
  <c r="J867" i="40"/>
  <c r="N516" i="40" s="1"/>
  <c r="J816" i="40"/>
  <c r="N513" i="40" s="1"/>
  <c r="J906" i="40"/>
  <c r="N519" i="40" s="1"/>
  <c r="J880" i="40"/>
  <c r="N517" i="40" s="1"/>
  <c r="J802" i="40"/>
  <c r="N512" i="40" s="1"/>
  <c r="J31" i="40"/>
  <c r="H39" i="17"/>
  <c r="I39" i="17" s="1"/>
  <c r="J59" i="40"/>
  <c r="J117" i="40"/>
  <c r="E21" i="38"/>
  <c r="G8" i="3"/>
  <c r="F148" i="30" s="1"/>
  <c r="J148" i="30" s="1"/>
  <c r="J159" i="30" s="1"/>
  <c r="H31" i="17" s="1"/>
  <c r="I31" i="17" s="1"/>
  <c r="J279" i="40"/>
  <c r="M2808" i="1"/>
  <c r="J345" i="40"/>
  <c r="J253" i="40"/>
  <c r="J238" i="40"/>
  <c r="J305" i="40"/>
  <c r="L2808" i="1"/>
  <c r="F146" i="3"/>
  <c r="G146" i="3" s="1"/>
  <c r="O2808" i="1"/>
  <c r="O638" i="11"/>
  <c r="F98" i="3" s="1"/>
  <c r="F14" i="3"/>
  <c r="G14" i="3" s="1"/>
  <c r="H1105" i="1"/>
  <c r="J437" i="30"/>
  <c r="I63" i="17"/>
  <c r="I65" i="17" s="1"/>
  <c r="E13" i="38" s="1"/>
  <c r="J127" i="40"/>
  <c r="J789" i="40"/>
  <c r="N511" i="40" s="1"/>
  <c r="O511" i="40" s="1"/>
  <c r="J224" i="40"/>
  <c r="J98" i="40"/>
  <c r="I141" i="17"/>
  <c r="E17" i="38" s="1"/>
  <c r="I236" i="17"/>
  <c r="I251" i="17" s="1"/>
  <c r="J841" i="40"/>
  <c r="F418" i="30"/>
  <c r="J419" i="30" s="1"/>
  <c r="G60" i="17"/>
  <c r="I60" i="17" s="1"/>
  <c r="I61" i="17" s="1"/>
  <c r="E12" i="38" s="1"/>
  <c r="F111" i="40"/>
  <c r="G111" i="40" s="1"/>
  <c r="I111" i="40" s="1"/>
  <c r="J111" i="40"/>
  <c r="J135" i="30"/>
  <c r="G76" i="3"/>
  <c r="J187" i="30" s="1"/>
  <c r="J196" i="30" s="1"/>
  <c r="I638" i="11"/>
  <c r="F96" i="3" s="1"/>
  <c r="D86" i="40"/>
  <c r="F94" i="40"/>
  <c r="G94" i="40" s="1"/>
  <c r="I94" i="40" s="1"/>
  <c r="J94" i="40"/>
  <c r="J2078" i="30"/>
  <c r="J946" i="40" s="1"/>
  <c r="J936" i="40" s="1"/>
  <c r="H259" i="17"/>
  <c r="I259" i="17" s="1"/>
  <c r="G114" i="3"/>
  <c r="G113" i="3"/>
  <c r="G115" i="3"/>
  <c r="I23" i="17"/>
  <c r="D18" i="40"/>
  <c r="G48" i="17"/>
  <c r="I48" i="17" s="1"/>
  <c r="F341" i="30"/>
  <c r="F381" i="30"/>
  <c r="G53" i="17"/>
  <c r="I53" i="17" s="1"/>
  <c r="J118" i="30"/>
  <c r="H25" i="17"/>
  <c r="I25" i="17" s="1"/>
  <c r="J20" i="40" s="1"/>
  <c r="C43" i="9"/>
  <c r="G19" i="17" s="1"/>
  <c r="C37" i="9"/>
  <c r="F365" i="30"/>
  <c r="G51" i="17"/>
  <c r="I51" i="17" s="1"/>
  <c r="F333" i="30"/>
  <c r="G47" i="17"/>
  <c r="I47" i="17" s="1"/>
  <c r="H2808" i="1"/>
  <c r="H907" i="1"/>
  <c r="F141" i="3" s="1"/>
  <c r="G141" i="3" s="1"/>
  <c r="F10" i="3"/>
  <c r="G10" i="3" s="1"/>
  <c r="F11" i="3"/>
  <c r="G11" i="3" s="1"/>
  <c r="I2808" i="1"/>
  <c r="F357" i="30"/>
  <c r="G50" i="17"/>
  <c r="I50" i="17" s="1"/>
  <c r="J269" i="30"/>
  <c r="F373" i="30"/>
  <c r="G52" i="17"/>
  <c r="I52" i="17" s="1"/>
  <c r="H1372" i="1"/>
  <c r="F25" i="3" s="1"/>
  <c r="G25" i="3" s="1"/>
  <c r="F26" i="3"/>
  <c r="G26" i="3" s="1"/>
  <c r="F394" i="30"/>
  <c r="J395" i="30" s="1"/>
  <c r="I56" i="17" s="1"/>
  <c r="I58" i="17" s="1"/>
  <c r="E11" i="38" s="1"/>
  <c r="G56" i="17"/>
  <c r="F349" i="30"/>
  <c r="G49" i="17"/>
  <c r="I49" i="17" s="1"/>
  <c r="J1023" i="30"/>
  <c r="J828" i="40" l="1"/>
  <c r="N514" i="40" s="1"/>
  <c r="I797" i="40"/>
  <c r="I796" i="40"/>
  <c r="I873" i="40"/>
  <c r="I869" i="40"/>
  <c r="I870" i="40"/>
  <c r="J788" i="40"/>
  <c r="E22" i="38"/>
  <c r="J108" i="40"/>
  <c r="M31" i="17"/>
  <c r="H33" i="17"/>
  <c r="I33" i="17" s="1"/>
  <c r="M33" i="17" s="1"/>
  <c r="I260" i="17"/>
  <c r="E24" i="38" s="1"/>
  <c r="J52" i="40"/>
  <c r="J56" i="40"/>
  <c r="J55" i="40" s="1"/>
  <c r="J48" i="40"/>
  <c r="I30" i="17"/>
  <c r="J67" i="40"/>
  <c r="J160" i="30"/>
  <c r="J61" i="40"/>
  <c r="J16" i="40"/>
  <c r="J64" i="40"/>
  <c r="J223" i="40"/>
  <c r="F9" i="3"/>
  <c r="G9" i="3" s="1"/>
  <c r="G98" i="3"/>
  <c r="J27" i="40"/>
  <c r="J382" i="30"/>
  <c r="D79" i="40"/>
  <c r="J79" i="40" s="1"/>
  <c r="J342" i="30"/>
  <c r="D74" i="40"/>
  <c r="J74" i="40" s="1"/>
  <c r="J374" i="30"/>
  <c r="D78" i="40"/>
  <c r="J78" i="40" s="1"/>
  <c r="J358" i="30"/>
  <c r="D76" i="40"/>
  <c r="J76" i="40" s="1"/>
  <c r="J366" i="30"/>
  <c r="D77" i="40"/>
  <c r="J77" i="40" s="1"/>
  <c r="J334" i="30"/>
  <c r="D73" i="40"/>
  <c r="J73" i="40" s="1"/>
  <c r="J350" i="30"/>
  <c r="D75" i="40"/>
  <c r="J75" i="40" s="1"/>
  <c r="J197" i="30"/>
  <c r="J86" i="40"/>
  <c r="J80" i="40" s="1"/>
  <c r="F86" i="40"/>
  <c r="G86" i="40" s="1"/>
  <c r="I86" i="40" s="1"/>
  <c r="F18" i="40"/>
  <c r="G18" i="40" s="1"/>
  <c r="I18" i="40" s="1"/>
  <c r="I28" i="17"/>
  <c r="F325" i="30"/>
  <c r="G46" i="17"/>
  <c r="I46" i="17" s="1"/>
  <c r="F317" i="30"/>
  <c r="G45" i="17"/>
  <c r="I45" i="17" s="1"/>
  <c r="H2809" i="1"/>
  <c r="G99" i="3"/>
  <c r="F88" i="30"/>
  <c r="I19" i="17"/>
  <c r="I20" i="17" s="1"/>
  <c r="E7" i="38" s="1"/>
  <c r="J1024" i="30"/>
  <c r="H144" i="17"/>
  <c r="J24" i="40" l="1"/>
  <c r="M30" i="17"/>
  <c r="I43" i="17"/>
  <c r="E9" i="38" s="1"/>
  <c r="J47" i="40"/>
  <c r="J51" i="40"/>
  <c r="J60" i="40"/>
  <c r="E8" i="38"/>
  <c r="I54" i="17"/>
  <c r="E10" i="38" s="1"/>
  <c r="J42" i="40"/>
  <c r="I144" i="17"/>
  <c r="I157" i="17" s="1"/>
  <c r="J483" i="40"/>
  <c r="J481" i="40" s="1"/>
  <c r="J431" i="40"/>
  <c r="J429" i="40" s="1"/>
  <c r="J461" i="40"/>
  <c r="J459" i="40" s="1"/>
  <c r="J494" i="40"/>
  <c r="J492" i="40" s="1"/>
  <c r="J472" i="40"/>
  <c r="J420" i="40"/>
  <c r="J418" i="40" s="1"/>
  <c r="J405" i="40"/>
  <c r="J403" i="40" s="1"/>
  <c r="J446" i="40"/>
  <c r="J444" i="40" s="1"/>
  <c r="J394" i="40"/>
  <c r="J392" i="40" s="1"/>
  <c r="J326" i="30"/>
  <c r="D72" i="40"/>
  <c r="J72" i="40" s="1"/>
  <c r="J318" i="30"/>
  <c r="D71" i="40"/>
  <c r="J71" i="40" s="1"/>
  <c r="J89" i="30"/>
  <c r="J15" i="40" s="1"/>
  <c r="J12" i="40" s="1"/>
  <c r="D15" i="40"/>
  <c r="J23" i="40" l="1"/>
  <c r="J470" i="40"/>
  <c r="J391" i="40" s="1"/>
  <c r="I261" i="17"/>
  <c r="E18" i="38"/>
  <c r="J70" i="40"/>
  <c r="F15" i="40"/>
  <c r="G15" i="40" s="1"/>
  <c r="I15" i="40" s="1"/>
  <c r="J40" i="17" l="1"/>
  <c r="J34" i="17"/>
  <c r="J38" i="17"/>
  <c r="J37" i="17"/>
  <c r="J35" i="17"/>
  <c r="J36" i="17"/>
  <c r="J41" i="17"/>
  <c r="J39" i="17"/>
  <c r="J33" i="17"/>
  <c r="J42" i="17"/>
  <c r="C5" i="35"/>
  <c r="H135" i="39"/>
  <c r="H137" i="39" s="1"/>
  <c r="J11" i="17"/>
  <c r="J50" i="17"/>
  <c r="J83" i="17"/>
  <c r="J164" i="17"/>
  <c r="J18" i="17"/>
  <c r="J46" i="17"/>
  <c r="J137" i="17"/>
  <c r="J31" i="17"/>
  <c r="J63" i="17"/>
  <c r="J27" i="17"/>
  <c r="J77" i="17"/>
  <c r="J121" i="17"/>
  <c r="J82" i="17"/>
  <c r="J65" i="17"/>
  <c r="J45" i="17"/>
  <c r="J73" i="17"/>
  <c r="J168" i="17"/>
  <c r="J183" i="17"/>
  <c r="J105" i="17"/>
  <c r="J192" i="17"/>
  <c r="J120" i="17"/>
  <c r="J9" i="17"/>
  <c r="J23" i="17"/>
  <c r="J64" i="17"/>
  <c r="J94" i="17"/>
  <c r="J101" i="17"/>
  <c r="J254" i="17"/>
  <c r="J145" i="17"/>
  <c r="J32" i="17"/>
  <c r="J58" i="17"/>
  <c r="J69" i="17"/>
  <c r="J133" i="17"/>
  <c r="J150" i="17"/>
  <c r="J221" i="17"/>
  <c r="J93" i="17"/>
  <c r="J261" i="17"/>
  <c r="J117" i="17"/>
  <c r="J146" i="17"/>
  <c r="J249" i="17"/>
  <c r="J53" i="17"/>
  <c r="J116" i="17"/>
  <c r="J48" i="17"/>
  <c r="J90" i="17"/>
  <c r="J129" i="17"/>
  <c r="J113" i="17"/>
  <c r="J141" i="17"/>
  <c r="J184" i="17"/>
  <c r="J208" i="17"/>
  <c r="J237" i="17"/>
  <c r="J10" i="17"/>
  <c r="J60" i="17"/>
  <c r="J136" i="17"/>
  <c r="J104" i="17"/>
  <c r="J215" i="17"/>
  <c r="J220" i="17"/>
  <c r="J95" i="17"/>
  <c r="J125" i="17"/>
  <c r="J109" i="17"/>
  <c r="J154" i="17"/>
  <c r="J180" i="17"/>
  <c r="J204" i="17"/>
  <c r="J233" i="17"/>
  <c r="J15" i="17"/>
  <c r="J76" i="17"/>
  <c r="J132" i="17"/>
  <c r="J100" i="17"/>
  <c r="J195" i="17"/>
  <c r="J148" i="17"/>
  <c r="J159" i="17"/>
  <c r="J176" i="17"/>
  <c r="J216" i="17"/>
  <c r="J200" i="17"/>
  <c r="J245" i="17"/>
  <c r="J229" i="17"/>
  <c r="J260" i="17"/>
  <c r="J26" i="17"/>
  <c r="J49" i="17"/>
  <c r="J72" i="17"/>
  <c r="J89" i="17"/>
  <c r="J128" i="17"/>
  <c r="J112" i="17"/>
  <c r="J143" i="17"/>
  <c r="J179" i="17"/>
  <c r="J244" i="17"/>
  <c r="J75" i="17"/>
  <c r="J231" i="17"/>
  <c r="J188" i="17"/>
  <c r="J172" i="17"/>
  <c r="J212" i="17"/>
  <c r="J196" i="17"/>
  <c r="J241" i="17"/>
  <c r="J225" i="17"/>
  <c r="J14" i="17"/>
  <c r="J28" i="17"/>
  <c r="J54" i="17"/>
  <c r="J68" i="17"/>
  <c r="J97" i="17"/>
  <c r="J124" i="17"/>
  <c r="J108" i="17"/>
  <c r="J149" i="17"/>
  <c r="J167" i="17"/>
  <c r="J224" i="17"/>
  <c r="J99" i="17"/>
  <c r="J160" i="17"/>
  <c r="J175" i="17"/>
  <c r="J211" i="17"/>
  <c r="J240" i="17"/>
  <c r="J25" i="17"/>
  <c r="J79" i="17"/>
  <c r="J178" i="17"/>
  <c r="J43" i="17"/>
  <c r="J153" i="17"/>
  <c r="J187" i="17"/>
  <c r="J171" i="17"/>
  <c r="J199" i="17"/>
  <c r="J228" i="17"/>
  <c r="J30" i="17"/>
  <c r="J131" i="17"/>
  <c r="J202" i="17"/>
  <c r="J78" i="17"/>
  <c r="J118" i="17"/>
  <c r="J13" i="17"/>
  <c r="J56" i="17"/>
  <c r="J119" i="17"/>
  <c r="J166" i="17"/>
  <c r="J253" i="17"/>
  <c r="J201" i="17"/>
  <c r="J207" i="17"/>
  <c r="J218" i="17"/>
  <c r="J236" i="17"/>
  <c r="J251" i="17"/>
  <c r="J17" i="17"/>
  <c r="J61" i="17"/>
  <c r="J84" i="17"/>
  <c r="J115" i="17"/>
  <c r="J144" i="17"/>
  <c r="J191" i="17"/>
  <c r="J247" i="17"/>
  <c r="J258" i="17"/>
  <c r="J74" i="17"/>
  <c r="J234" i="17"/>
  <c r="J189" i="17"/>
  <c r="J203" i="17"/>
  <c r="J248" i="17"/>
  <c r="J232" i="17"/>
  <c r="J256" i="17"/>
  <c r="J20" i="17"/>
  <c r="J52" i="17"/>
  <c r="J67" i="17"/>
  <c r="J135" i="17"/>
  <c r="J103" i="17"/>
  <c r="J182" i="17"/>
  <c r="J206" i="17"/>
  <c r="J235" i="17"/>
  <c r="J24" i="17"/>
  <c r="J134" i="17"/>
  <c r="J92" i="17"/>
  <c r="J127" i="17"/>
  <c r="J111" i="17"/>
  <c r="J156" i="17"/>
  <c r="J161" i="17"/>
  <c r="J174" i="17"/>
  <c r="J214" i="17"/>
  <c r="J198" i="17"/>
  <c r="J243" i="17"/>
  <c r="J227" i="17"/>
  <c r="J19" i="17"/>
  <c r="J51" i="17"/>
  <c r="J70" i="17"/>
  <c r="J155" i="17"/>
  <c r="H103" i="39"/>
  <c r="H104" i="39" s="1"/>
  <c r="H106" i="39" s="1"/>
  <c r="H107" i="39" s="1"/>
  <c r="E12" i="39" s="1"/>
  <c r="F12" i="39" s="1"/>
  <c r="J71" i="17"/>
  <c r="J88" i="17"/>
  <c r="J123" i="17"/>
  <c r="J107" i="17"/>
  <c r="J152" i="17"/>
  <c r="J186" i="17"/>
  <c r="J170" i="17"/>
  <c r="J210" i="17"/>
  <c r="J194" i="17"/>
  <c r="J239" i="17"/>
  <c r="J223" i="17"/>
  <c r="J22" i="17"/>
  <c r="J47" i="17"/>
  <c r="J86" i="17"/>
  <c r="J181" i="17"/>
  <c r="J12" i="17"/>
  <c r="J57" i="17"/>
  <c r="J81" i="17"/>
  <c r="J114" i="17"/>
  <c r="J217" i="17"/>
  <c r="J259" i="17"/>
  <c r="J163" i="17"/>
  <c r="J197" i="17"/>
  <c r="J138" i="17"/>
  <c r="J98" i="17"/>
  <c r="J165" i="17"/>
  <c r="J242" i="17"/>
  <c r="J255" i="17"/>
  <c r="J91" i="17"/>
  <c r="J130" i="17"/>
  <c r="J110" i="17"/>
  <c r="J147" i="17"/>
  <c r="J177" i="17"/>
  <c r="J213" i="17"/>
  <c r="J250" i="17"/>
  <c r="J230" i="17"/>
  <c r="I262" i="17"/>
  <c r="H139" i="39"/>
  <c r="H142" i="39" s="1"/>
  <c r="J87" i="17"/>
  <c r="J126" i="17"/>
  <c r="J102" i="17"/>
  <c r="J157" i="17"/>
  <c r="J173" i="17"/>
  <c r="J205" i="17"/>
  <c r="J246" i="17"/>
  <c r="J226" i="17"/>
  <c r="J140" i="17"/>
  <c r="J122" i="17"/>
  <c r="J106" i="17"/>
  <c r="J151" i="17"/>
  <c r="J185" i="17"/>
  <c r="J169" i="17"/>
  <c r="J209" i="17"/>
  <c r="J193" i="17"/>
  <c r="J238" i="17"/>
  <c r="J222" i="17"/>
  <c r="J139" i="17"/>
  <c r="E26" i="38"/>
  <c r="H143" i="39" l="1"/>
  <c r="E16" i="39" s="1"/>
  <c r="F16" i="39" s="1"/>
  <c r="F14" i="39" s="1"/>
  <c r="H82" i="39"/>
  <c r="H83" i="39" s="1"/>
  <c r="H84" i="39" s="1"/>
  <c r="H85" i="39" s="1"/>
  <c r="H86" i="39" s="1"/>
  <c r="E10" i="39" s="1"/>
  <c r="F10" i="39" s="1"/>
  <c r="D11" i="35"/>
  <c r="F6" i="38"/>
  <c r="F10" i="38"/>
  <c r="F14" i="38"/>
  <c r="F18" i="38"/>
  <c r="F22" i="38"/>
  <c r="F11" i="38"/>
  <c r="F15" i="38"/>
  <c r="F19" i="38"/>
  <c r="F23" i="38"/>
  <c r="F12" i="38"/>
  <c r="F16" i="38"/>
  <c r="F20" i="38"/>
  <c r="F9" i="38"/>
  <c r="F13" i="38"/>
  <c r="F17" i="38"/>
  <c r="F21" i="38"/>
  <c r="F7" i="38"/>
  <c r="F24" i="38"/>
  <c r="F8" i="38"/>
  <c r="H94" i="39"/>
  <c r="H95" i="39" s="1"/>
  <c r="H96" i="39" s="1"/>
  <c r="H22" i="39"/>
  <c r="H23" i="39" s="1"/>
  <c r="H25" i="39" s="1"/>
  <c r="H27" i="39" s="1"/>
  <c r="E6" i="39" s="1"/>
  <c r="F6" i="39" s="1"/>
  <c r="H75" i="39"/>
  <c r="H76" i="39" s="1"/>
  <c r="H77" i="39" s="1"/>
  <c r="H78" i="39" s="1"/>
  <c r="H79" i="39" s="1"/>
  <c r="E9" i="39" s="1"/>
  <c r="F9" i="39" s="1"/>
  <c r="H35" i="39" l="1"/>
  <c r="E7" i="39" s="1"/>
  <c r="F7" i="39" s="1"/>
  <c r="H88" i="39"/>
  <c r="H91" i="39" s="1"/>
  <c r="H89" i="39" l="1"/>
  <c r="H90" i="39" s="1"/>
  <c r="H92" i="39" s="1"/>
  <c r="H97" i="39" s="1"/>
  <c r="E11" i="39" s="1"/>
  <c r="F11" i="39" s="1"/>
  <c r="F5" i="39" l="1"/>
  <c r="G17" i="39" s="1"/>
  <c r="G15" i="39" l="1"/>
  <c r="G16" i="39"/>
  <c r="G13" i="39"/>
  <c r="G11" i="39"/>
  <c r="C6" i="35"/>
  <c r="G8" i="39"/>
  <c r="G12" i="39"/>
  <c r="G14" i="39"/>
  <c r="G5" i="39"/>
  <c r="G9" i="39"/>
  <c r="G7" i="39"/>
  <c r="G6" i="39"/>
  <c r="G10" i="39"/>
  <c r="D8" i="35" l="1"/>
  <c r="D7" i="35" s="1"/>
  <c r="D6" i="35" l="1"/>
  <c r="D14" i="35"/>
  <c r="D5" i="35"/>
</calcChain>
</file>

<file path=xl/connections.xml><?xml version="1.0" encoding="utf-8"?>
<connections xmlns="http://schemas.openxmlformats.org/spreadsheetml/2006/main">
  <connection id="1" sourceFile="D:\Documents and Settings\PKMACCT\My Documents\Task Usage.cub" keepAlive="1" name="Task Usage" type="5" refreshedVersion="6">
    <dbPr connection="Provider=MSOLAP.2;Persist Security Info=True;Data Source=D:\Documents and Settings\PKMACCT\My Documents\Task Usage.cub;Client Cache Size=25;Auto Synch Period=10000" command="ProjectReport" commandType="1"/>
    <olapPr local="1" localConnection="Provider=MSOLAP.5;Persist Security Info=True;Data Source=C:\Users\usuario\AppData\Local\Temp\VisualReportsTemporaryData\{7c048ea8-e927-e611-bfe3-089e01a4baad}\TaskTP.cub;MDX Compatibility=1;Safety Options=2;MDX Missing Member Mode=Error;Update Isolation Level=2" rowDrillCount="1000" serverFill="0" serverNumberFormat="0" serverFont="0" serverFontColor="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ask Usage"/>
    <s v="{[Tareas].[Tareas].[Todo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<sst xmlns="http://schemas.openxmlformats.org/spreadsheetml/2006/main" count="13556" uniqueCount="3676">
  <si>
    <t>ELEMENTO</t>
  </si>
  <si>
    <t>CANTIDAD POR ELEMENTO</t>
  </si>
  <si>
    <t>CANTIDAD DE ELEMENTOS</t>
  </si>
  <si>
    <t>CANTIDAD TOTAL</t>
  </si>
  <si>
    <t>LONGITUD DE CORTE</t>
  </si>
  <si>
    <t>FIGURA</t>
  </si>
  <si>
    <t>DIÁMETRO Y PESO DE LAS VARILLAS</t>
  </si>
  <si>
    <t>1/4 (0.25)</t>
  </si>
  <si>
    <t>3/8 (0.56)</t>
  </si>
  <si>
    <t>1/2 (1.00)</t>
  </si>
  <si>
    <t>5/8 (1.55)</t>
  </si>
  <si>
    <t>3/4 (2.24)</t>
  </si>
  <si>
    <t>7/8 (3.0)</t>
  </si>
  <si>
    <t>1 (4.0)</t>
  </si>
  <si>
    <t>OBRA</t>
  </si>
  <si>
    <t>PREPARÓ</t>
  </si>
  <si>
    <t>HOJA No</t>
  </si>
  <si>
    <t>FECHA</t>
  </si>
  <si>
    <t>10/8 (6.4)</t>
  </si>
  <si>
    <t>TIPO DE MALLA</t>
  </si>
  <si>
    <t>ANCHO (m)</t>
  </si>
  <si>
    <t>LONGITUD (m)</t>
  </si>
  <si>
    <t>AREA (m2)</t>
  </si>
  <si>
    <t>PESO (kg)</t>
  </si>
  <si>
    <t>CANTIDAD DE MALLA</t>
  </si>
  <si>
    <t xml:space="preserve">AREA </t>
  </si>
  <si>
    <t>LOSETA</t>
  </si>
  <si>
    <t>Total por malla</t>
  </si>
  <si>
    <t>peso malla de 2,35x18m</t>
  </si>
  <si>
    <t xml:space="preserve">peso malla x m2 </t>
  </si>
  <si>
    <t>Código</t>
  </si>
  <si>
    <t>Descripción Actividad - Subactividad</t>
  </si>
  <si>
    <t>Unidad U-u</t>
  </si>
  <si>
    <t>Cantidad Q-q</t>
  </si>
  <si>
    <t>Tenor T</t>
  </si>
  <si>
    <t>Unidad U/u</t>
  </si>
  <si>
    <t>U-u</t>
  </si>
  <si>
    <t xml:space="preserve">T </t>
  </si>
  <si>
    <t>u/U</t>
  </si>
  <si>
    <t>kg</t>
  </si>
  <si>
    <t>F`c (Kg/cm2)</t>
  </si>
  <si>
    <t>MEDIDA</t>
  </si>
  <si>
    <t>UNIDAD</t>
  </si>
  <si>
    <t>BASE</t>
  </si>
  <si>
    <t>ALTURA</t>
  </si>
  <si>
    <t>SUBTOTAL</t>
  </si>
  <si>
    <t>CANTIDAD</t>
  </si>
  <si>
    <t>TOTAL</t>
  </si>
  <si>
    <t>m</t>
  </si>
  <si>
    <t>m3</t>
  </si>
  <si>
    <t>TOTAL CONCRETO EN VIGAS</t>
  </si>
  <si>
    <t>TOTAL CONCRETO EN NERVIOS</t>
  </si>
  <si>
    <t>AREA</t>
  </si>
  <si>
    <t>ESPESOR</t>
  </si>
  <si>
    <t>n/a</t>
  </si>
  <si>
    <t>m2</t>
  </si>
  <si>
    <t>m3/m2</t>
  </si>
  <si>
    <t>kg/m2</t>
  </si>
  <si>
    <t>ESTRUCTURA</t>
  </si>
  <si>
    <t>LARGO</t>
  </si>
  <si>
    <t>ANCHO</t>
  </si>
  <si>
    <t>LOSA TIPICA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</si>
  <si>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</si>
  <si>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</si>
  <si>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</si>
  <si>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</si>
  <si>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</si>
  <si>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</si>
  <si>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</si>
  <si>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</si>
  <si>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</si>
  <si>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</si>
  <si>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</si>
  <si>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</si>
  <si>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</si>
  <si>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</si>
  <si>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</si>
  <si>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</si>
  <si>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</si>
  <si>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</si>
  <si>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</si>
  <si>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</si>
  <si>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</si>
  <si>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</si>
  <si>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</si>
  <si>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</si>
  <si>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</si>
  <si>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</si>
  <si>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</si>
  <si>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</si>
  <si>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</si>
  <si>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</si>
  <si>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</si>
  <si>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</si>
  <si>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</si>
  <si>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</si>
  <si>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</si>
  <si>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</si>
  <si>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</si>
  <si>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</si>
  <si>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</si>
  <si>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</si>
  <si>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</si>
  <si>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</si>
  <si>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</si>
  <si>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TOTAL CASETONES LOSA TIPICA</t>
  </si>
  <si>
    <t>Refuerzo</t>
  </si>
  <si>
    <t>Concreto</t>
  </si>
  <si>
    <t>Casetones</t>
  </si>
  <si>
    <t>m2/m2</t>
  </si>
  <si>
    <t>LONGITUD</t>
  </si>
  <si>
    <t xml:space="preserve"> </t>
  </si>
  <si>
    <t>VTIP-C</t>
  </si>
  <si>
    <t>Peso total viga VTIP-C</t>
  </si>
  <si>
    <t>Peso total por diámetro</t>
  </si>
  <si>
    <t>VTIP-5</t>
  </si>
  <si>
    <t>Peso total viga VTIP-5</t>
  </si>
  <si>
    <t>VTIP-6</t>
  </si>
  <si>
    <t>Peso total viga VTIP-6</t>
  </si>
  <si>
    <t>VTIP-8</t>
  </si>
  <si>
    <t>V7,8-C</t>
  </si>
  <si>
    <t>N10</t>
  </si>
  <si>
    <t>Peso total nervio N10</t>
  </si>
  <si>
    <t>N11</t>
  </si>
  <si>
    <t>Peso total nervio N11</t>
  </si>
  <si>
    <t>N14</t>
  </si>
  <si>
    <t>Peso total nervio N14</t>
  </si>
  <si>
    <t>N13</t>
  </si>
  <si>
    <t>N12-15-16-19</t>
  </si>
  <si>
    <t>Peso total nervio N13</t>
  </si>
  <si>
    <t>Peso total nervios N12-15-16-19</t>
  </si>
  <si>
    <t>N23</t>
  </si>
  <si>
    <t>Peso total nervio N23</t>
  </si>
  <si>
    <t>VTIP-A2</t>
  </si>
  <si>
    <t>Peso total viga VTIP-A2</t>
  </si>
  <si>
    <t>VTIP-9</t>
  </si>
  <si>
    <t>V 7,8-B</t>
  </si>
  <si>
    <t>V 9-B</t>
  </si>
  <si>
    <t>V 9-C</t>
  </si>
  <si>
    <t>Peso total viga VTIP-8</t>
  </si>
  <si>
    <t>Peso total viga VTIP-9</t>
  </si>
  <si>
    <t>VTIP-2</t>
  </si>
  <si>
    <t>VTIP-3</t>
  </si>
  <si>
    <t>VTIP-A1</t>
  </si>
  <si>
    <t>VTIP-A3</t>
  </si>
  <si>
    <t>VTIP-B</t>
  </si>
  <si>
    <t>V7,8-B</t>
  </si>
  <si>
    <t>VTIP-1 (1)</t>
  </si>
  <si>
    <t>VTIP-1 (2)</t>
  </si>
  <si>
    <t>VTIP-6 (1)</t>
  </si>
  <si>
    <t>VTIP-6 (2)</t>
  </si>
  <si>
    <t>V9-B (1)</t>
  </si>
  <si>
    <t>V9-B (2)</t>
  </si>
  <si>
    <t>V9-C (1)</t>
  </si>
  <si>
    <t>V9-C (2)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</si>
  <si>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</si>
  <si>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</si>
  <si>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</si>
  <si>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</si>
  <si>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</si>
  <si>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</si>
  <si>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</si>
  <si>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</si>
  <si>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</si>
  <si>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N16</t>
  </si>
  <si>
    <t>N17</t>
  </si>
  <si>
    <t>N18</t>
  </si>
  <si>
    <t>N20</t>
  </si>
  <si>
    <t>N21</t>
  </si>
  <si>
    <t>N22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</si>
  <si>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</si>
  <si>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</si>
  <si>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</si>
  <si>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</si>
  <si>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</si>
  <si>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</si>
  <si>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</si>
  <si>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</si>
  <si>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</si>
  <si>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</si>
  <si>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</si>
  <si>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N10 (2)</t>
  </si>
  <si>
    <t>N10 (1)</t>
  </si>
  <si>
    <t>N12-15-19</t>
  </si>
  <si>
    <t>N13 (1)</t>
  </si>
  <si>
    <t>N13 (2)</t>
  </si>
  <si>
    <t>N19</t>
  </si>
  <si>
    <t>Peso total nervio N17</t>
  </si>
  <si>
    <t>Peso total nervio N18</t>
  </si>
  <si>
    <t>Peso total nervio N20</t>
  </si>
  <si>
    <t>Peso total nervio N21</t>
  </si>
  <si>
    <t>N22 (2)</t>
  </si>
  <si>
    <t>N22 (1)</t>
  </si>
  <si>
    <t>N8 (1)</t>
  </si>
  <si>
    <t>N8 (2)</t>
  </si>
  <si>
    <t>VTIP-1</t>
  </si>
  <si>
    <t>SUBTOTAL (Kg-pul)</t>
  </si>
  <si>
    <t>NERVIOS</t>
  </si>
  <si>
    <t>Peso total viga VTIP-1</t>
  </si>
  <si>
    <t>Peso total viga VTIP-2</t>
  </si>
  <si>
    <t>Peso total viga VTIP-3</t>
  </si>
  <si>
    <t>Peso total viga VTIP-A1</t>
  </si>
  <si>
    <t>Peso total viga VTIP-A3</t>
  </si>
  <si>
    <t>CASETONES RECTANGULARES</t>
  </si>
  <si>
    <t>Peso total viga VTIP-B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</si>
  <si>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</si>
  <si>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</si>
  <si>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</si>
  <si>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</si>
  <si>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</si>
  <si>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</si>
  <si>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</si>
  <si>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</si>
  <si>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</si>
  <si>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</si>
  <si>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</si>
  <si>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</si>
  <si>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</si>
  <si>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</si>
  <si>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</si>
  <si>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</si>
  <si>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</si>
  <si>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</si>
  <si>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</si>
  <si>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</si>
  <si>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</si>
  <si>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</si>
  <si>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</si>
  <si>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</si>
  <si>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Peso total viga VTIP-7,8C</t>
  </si>
  <si>
    <t>Peso total viga VTIP-7,8B</t>
  </si>
  <si>
    <t>Peso total viga VTIP-9B</t>
  </si>
  <si>
    <t>VIGAS</t>
  </si>
  <si>
    <t>Peso total nervio N1</t>
  </si>
  <si>
    <t>Peso total nervio N2</t>
  </si>
  <si>
    <t>Peso total nervio N3</t>
  </si>
  <si>
    <t>Peso total nervio N4</t>
  </si>
  <si>
    <t>Peso total nervio N5</t>
  </si>
  <si>
    <t>Peso total nervio N6</t>
  </si>
  <si>
    <t>Peso total nervio N7</t>
  </si>
  <si>
    <t>Peso total nervio N8</t>
  </si>
  <si>
    <t>Peso total nervio N9</t>
  </si>
  <si>
    <t>Peso total nervio N22</t>
  </si>
  <si>
    <t>Número de vigas</t>
  </si>
  <si>
    <t>Número de cerchas</t>
  </si>
  <si>
    <t>Número de teleras</t>
  </si>
  <si>
    <t>Espaciados cada 0,9 m en sentido vertical, y cada 3 m en sentido horizontal</t>
  </si>
  <si>
    <t>CONCRETO VIGAS</t>
  </si>
  <si>
    <t>CONCRETO NERVIOS</t>
  </si>
  <si>
    <t>D-188</t>
  </si>
  <si>
    <t>MALLA LOSA TIPICA</t>
  </si>
  <si>
    <t>Peso total nervio N24</t>
  </si>
  <si>
    <t>Peso total nervio N25</t>
  </si>
  <si>
    <t>Peso total nervio N26</t>
  </si>
  <si>
    <t>Peso total nervio N27</t>
  </si>
  <si>
    <t>Peso total nervio N28</t>
  </si>
  <si>
    <t>Peso total nervio N29</t>
  </si>
  <si>
    <t>Peso total nervio N30</t>
  </si>
  <si>
    <t>Peso total nervio N31</t>
  </si>
  <si>
    <t>Peso total nervio N32</t>
  </si>
  <si>
    <t>Peso total nervio N33</t>
  </si>
  <si>
    <t>Peso total nervio N34</t>
  </si>
  <si>
    <t>Tipo E</t>
  </si>
  <si>
    <t>Peso total refuerzo inferior tipo E</t>
  </si>
  <si>
    <t>Tipo B</t>
  </si>
  <si>
    <t>Tipo C</t>
  </si>
  <si>
    <t>Peso total refuerzo inferior tipo B y C</t>
  </si>
  <si>
    <t>De 3 m de longitud</t>
  </si>
  <si>
    <t>De 0,9 m de longitud</t>
  </si>
  <si>
    <t>De dimensiones 0,9 m x 1,35 m</t>
  </si>
  <si>
    <t>kg/m3</t>
  </si>
  <si>
    <t>7/8 (3)</t>
  </si>
  <si>
    <t>1 (4)</t>
  </si>
  <si>
    <t>malla D-188</t>
  </si>
  <si>
    <t>LISTADO DE CANTIDADES DE OBRA  Y TENORES - CENTRO DE IDIOMAS EAFIT</t>
  </si>
  <si>
    <t>CENTRO DE IDIOMAS EAFIT</t>
  </si>
  <si>
    <t>SANTIAGO ARENAS, JUANITA CASTRILLÓN, NATALIA CONVERS</t>
  </si>
  <si>
    <t>SANTIAGO ARENAS, JUANITA CASTRILLON, NATALIA CONVERS</t>
  </si>
  <si>
    <t>INSTALACIONES ELÉCTRICAS</t>
  </si>
  <si>
    <t>Pisos del 1 al 9 (cubierta)</t>
  </si>
  <si>
    <t>INSTALACIONES HIDRO-SANITARIAS</t>
  </si>
  <si>
    <t>PISO 1</t>
  </si>
  <si>
    <t>Tomas eléctricos</t>
  </si>
  <si>
    <t xml:space="preserve">ESPECIFICACIÓN </t>
  </si>
  <si>
    <t>Tomacorriente regulado</t>
  </si>
  <si>
    <t>uni</t>
  </si>
  <si>
    <t>Toma regulado en cielo</t>
  </si>
  <si>
    <t>Toma regulado en piso</t>
  </si>
  <si>
    <t>Toma sencillo en piso</t>
  </si>
  <si>
    <t>Tomacorriente sencillo</t>
  </si>
  <si>
    <t>Tomacorriente GFCI</t>
  </si>
  <si>
    <t>Salida sensor</t>
  </si>
  <si>
    <t>Tablero de distribución</t>
  </si>
  <si>
    <t>Caja de empalme (30*30 cm)</t>
  </si>
  <si>
    <t>PISO 2</t>
  </si>
  <si>
    <t>PISO 3</t>
  </si>
  <si>
    <t>BAJANTES</t>
  </si>
  <si>
    <t>INSTALACIÓN</t>
  </si>
  <si>
    <t xml:space="preserve">Iluminación </t>
  </si>
  <si>
    <t>PISO 4</t>
  </si>
  <si>
    <t>Tomacorriente intemperie</t>
  </si>
  <si>
    <t>PISO 5</t>
  </si>
  <si>
    <t>PISO 6</t>
  </si>
  <si>
    <t>PISO 7</t>
  </si>
  <si>
    <t>PISO 8</t>
  </si>
  <si>
    <t>PISO 9</t>
  </si>
  <si>
    <t>Balasto de emergencia para tubo T8</t>
  </si>
  <si>
    <t xml:space="preserve">Iluminaria Easy-Pro 3x54W BA, 120 V </t>
  </si>
  <si>
    <t xml:space="preserve">Iluminaria Easy-Pro 4x54W BA, 120 V </t>
  </si>
  <si>
    <t xml:space="preserve">Iluminaria Easy-Pro 2x28W BA, 120 V </t>
  </si>
  <si>
    <t xml:space="preserve">Iluminaria Easy-Pro 1x28W BA, 120 V </t>
  </si>
  <si>
    <t xml:space="preserve">Iluminaria Easy-Pro 1x54W BA, 120 V </t>
  </si>
  <si>
    <t xml:space="preserve">Iluminaria Easy-Pro 2x54W BA, 120 V </t>
  </si>
  <si>
    <t xml:space="preserve">Iluminaria Easy-Pro 6x54W BA, 120 V </t>
  </si>
  <si>
    <t xml:space="preserve">Iluminaria Easy-Pro 5x54W BA, 120 V </t>
  </si>
  <si>
    <t>Luminaria tortuga media luna 1x13 W</t>
  </si>
  <si>
    <t>Luminaria Walpack Pyrex</t>
  </si>
  <si>
    <t>Interruptor</t>
  </si>
  <si>
    <t xml:space="preserve">Iluminaria Easy-Pro 3x28W BA, 120 V </t>
  </si>
  <si>
    <t xml:space="preserve">Iluminaria Tortuga </t>
  </si>
  <si>
    <t xml:space="preserve">Iluminaria Colamp Oceanic 2x28w </t>
  </si>
  <si>
    <t>Iluminaria Isolux Easy-Pro 2x28W BA</t>
  </si>
  <si>
    <t xml:space="preserve">Comunicación </t>
  </si>
  <si>
    <t>Salida de datos piso</t>
  </si>
  <si>
    <t>Datos por cielo (CCTV y WIFI)</t>
  </si>
  <si>
    <t>Salida de datos doble</t>
  </si>
  <si>
    <t>HDMI de piso</t>
  </si>
  <si>
    <t>HDMI</t>
  </si>
  <si>
    <t>Datos dobles en piso</t>
  </si>
  <si>
    <t>Salida datos</t>
  </si>
  <si>
    <t>Salida datos doble</t>
  </si>
  <si>
    <t>Televisión</t>
  </si>
  <si>
    <t>Fuerza</t>
  </si>
  <si>
    <t>Caja multitomas tipo 2</t>
  </si>
  <si>
    <t>Tablero de distribución de 33x11</t>
  </si>
  <si>
    <t>CUBIERTA</t>
  </si>
  <si>
    <t>-</t>
  </si>
  <si>
    <t>Sistema de Puesta a Tierra</t>
  </si>
  <si>
    <t>Cable de bore desnudo 1/0 AWG</t>
  </si>
  <si>
    <t>Soldadura exotérmica cable-cable en T para cable 1/0 AWG con carga fundente de 90g</t>
  </si>
  <si>
    <t>Soldadura exotérmica cable-cable en cruz para cable 1/0 AWG con carga fundente de 90g</t>
  </si>
  <si>
    <t>Caja de inspección de 30x30cm con tapa removible</t>
  </si>
  <si>
    <t>Varilla copperweld o cobre de 2,4m de longitud y 578'' de diámetro</t>
  </si>
  <si>
    <t>Soldadura exotérmica cable-varilla en T para cable 1/0 AWG con carga fundente de 90g</t>
  </si>
  <si>
    <t>Soldadura exotérmica cable 1/0 AWG - Acero estructural  con carga fundente de 150g</t>
  </si>
  <si>
    <t>ml</t>
  </si>
  <si>
    <t>Punta captora en aluminio redondeada en un extremo. Longitud 150cm, diámetro 16mm. Incluye base y conexión para conductor</t>
  </si>
  <si>
    <t>Perno expansivo de 3/8 galvanizado en caliente para conexión de soporte 113 Z-16</t>
  </si>
  <si>
    <t>Alambrón redondo en aluminiuo para anillo superior 8mm. Presentación rollo x100m o 200(+/- 5% apróx.)</t>
  </si>
  <si>
    <t>Conector lineal acero galvanizado para conductores redondos</t>
  </si>
  <si>
    <t>Soporte para anillo superior en poliamida con rosca M8, RD 8-10mm, resistencia a la temperatura de -35°C a +90°C, altura 30mm, color gris.</t>
  </si>
  <si>
    <t>Perno expansivo de 3/8 galvanizado en caliente para conexión de soporte anillo OBO. Clic en muro atico</t>
  </si>
  <si>
    <t>Conector variable en aluminio para uniones en T, en cruzx y en paralelo. Para conductores redondos Rd 8-10. Montaje rápido mediante un tornillo M10x30 de acero inoxidable.</t>
  </si>
  <si>
    <t>Aviso de peligro de bajante de descargas atmosféricas marca BRADY o similiar</t>
  </si>
  <si>
    <t>Cable de cobre desnudo 1/0 AWG para conexión de bajante a varilla Copperweld</t>
  </si>
  <si>
    <t>Varilla copperweld o cobre de 2,4m de longitud y 5/8'' de diámetro</t>
  </si>
  <si>
    <t>Soldadura exotérmica-cable varilla</t>
  </si>
  <si>
    <t>Cable de aluminio desnudo 1/0 AWG para conexión de bajante</t>
  </si>
  <si>
    <t>Tubería PVC de 3/8''</t>
  </si>
  <si>
    <t>Soldadura exotérmica con varilla Copperweld o cobre de 2,4m de longitud y 5/8'' de diámetro</t>
  </si>
  <si>
    <t>Adhesivo elástico universal de base química de piolímeros MS. Ideal para metales, diversos plásticos, cerámica, madera, vidrio, pieda y muchos materiales más.</t>
  </si>
  <si>
    <t>Limpiador desengrasante para metales, vidrio, cetrámica, y muchos plásticos, previo al empleo de productos a base química de polímeros MS, donde un sustrato grasoso perjudicaría el efecto.</t>
  </si>
  <si>
    <t>Conector variable bimetálico para uniones en T, en cruz y en paralelo. Para conductores redondos Rd 8-10. Montaje rápido mediante un tornillo M10x30 de acero inoxidable</t>
  </si>
  <si>
    <t>Base para punta de aluminio de 16mm hasta 1500 dx. Móvil para cubiertas inclinadas.</t>
  </si>
  <si>
    <t>Sistema de Protección externa</t>
  </si>
  <si>
    <t>Edificio sobre el terreno - Perfil 1</t>
  </si>
  <si>
    <t>Edificio sobre el terreno - Perfil 2</t>
  </si>
  <si>
    <t>Superficie del terreno natural - Perfil 1</t>
  </si>
  <si>
    <t>Superficie del terreno natural - Perfil 2</t>
  </si>
  <si>
    <t>Superficie excavada - Perfil 1</t>
  </si>
  <si>
    <t>Superficie excavada - Perfil 2</t>
  </si>
  <si>
    <t>Superposición de ambas superficies - Perfil 1</t>
  </si>
  <si>
    <t>Superposición de ambas superficies - Perfil 2</t>
  </si>
  <si>
    <t>Longitud</t>
  </si>
  <si>
    <t>Diámetro fuste</t>
  </si>
  <si>
    <t>Diámetro campana</t>
  </si>
  <si>
    <t>Volumen fuste</t>
  </si>
  <si>
    <t>Volumen inferior campana</t>
  </si>
  <si>
    <t>Volumen superior campana</t>
  </si>
  <si>
    <t>P1</t>
  </si>
  <si>
    <t>0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</si>
  <si>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</si>
  <si>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</si>
  <si>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</si>
  <si>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</si>
  <si>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</si>
  <si>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</si>
  <si>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</si>
  <si>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</si>
  <si>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</si>
  <si>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</si>
  <si>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</si>
  <si>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Planta eléctrica.Potencia nomilnal 175kW efectivos. Tipo de servicio stand by. Tensión de operación 208V.</t>
  </si>
  <si>
    <t>Redes externas</t>
  </si>
  <si>
    <t>Transformador trifásico</t>
  </si>
  <si>
    <t xml:space="preserve">Contador electrónico multifuncional o multienergía 
3F,4H,2.5(10)A. 120/277V. Clase 0.5s, Energía activa y reactiva, autorango.
</t>
  </si>
  <si>
    <t>Caja de distribución (marcada y sellada)</t>
  </si>
  <si>
    <t>Control de iluminación-automatización</t>
  </si>
  <si>
    <t>Botonera</t>
  </si>
  <si>
    <t>Sensor Odcos</t>
  </si>
  <si>
    <t>Sensor con fotocelda</t>
  </si>
  <si>
    <t>Sensor de techo ultrasónico</t>
  </si>
  <si>
    <t>Actividad</t>
  </si>
  <si>
    <t>VIGAS DE PISO 3</t>
  </si>
  <si>
    <t>V 3-2'</t>
  </si>
  <si>
    <t>V 3-C</t>
  </si>
  <si>
    <t>V 3-B</t>
  </si>
  <si>
    <t>V 3-A</t>
  </si>
  <si>
    <t>V 3-D'</t>
  </si>
  <si>
    <t>V 3-A'</t>
  </si>
  <si>
    <t>V 3-1a</t>
  </si>
  <si>
    <t>V 3-1b</t>
  </si>
  <si>
    <t>V 3-2a</t>
  </si>
  <si>
    <t>V3-2b</t>
  </si>
  <si>
    <t>NERVIOS PISO 3</t>
  </si>
  <si>
    <t>N 1</t>
  </si>
  <si>
    <t>N 2</t>
  </si>
  <si>
    <t>N 3</t>
  </si>
  <si>
    <t>N 4</t>
  </si>
  <si>
    <t>N 5</t>
  </si>
  <si>
    <t xml:space="preserve">N 6 </t>
  </si>
  <si>
    <t>N 7</t>
  </si>
  <si>
    <t>N 8</t>
  </si>
  <si>
    <t>N 9</t>
  </si>
  <si>
    <t>N 10</t>
  </si>
  <si>
    <t>N 11</t>
  </si>
  <si>
    <t>N 12, 15, 18</t>
  </si>
  <si>
    <t>N 13</t>
  </si>
  <si>
    <t>N 14</t>
  </si>
  <si>
    <t>N 16</t>
  </si>
  <si>
    <t>N 17</t>
  </si>
  <si>
    <t>N 19</t>
  </si>
  <si>
    <t>N 20</t>
  </si>
  <si>
    <t>N 21</t>
  </si>
  <si>
    <t>N 22</t>
  </si>
  <si>
    <t>N 23</t>
  </si>
  <si>
    <t>N 24</t>
  </si>
  <si>
    <t>N 25</t>
  </si>
  <si>
    <t>N 26</t>
  </si>
  <si>
    <t>N 27</t>
  </si>
  <si>
    <t>N 28</t>
  </si>
  <si>
    <t>Tipo A</t>
  </si>
  <si>
    <t>MALLA PISO 3</t>
  </si>
  <si>
    <t>Losa no tipica - piso 3</t>
  </si>
  <si>
    <t>Losa tipica - piso 6</t>
  </si>
  <si>
    <t>CONCRETO VIGAS NIVEL 3</t>
  </si>
  <si>
    <t>V 3-C (1)</t>
  </si>
  <si>
    <t>V 3-C (2)</t>
  </si>
  <si>
    <t>V 3-2b</t>
  </si>
  <si>
    <t>CONCRETO NERVIOS NIVEL 3</t>
  </si>
  <si>
    <t>N 6</t>
  </si>
  <si>
    <t>N 12,15, 18</t>
  </si>
  <si>
    <t>CONCRETO VIGAS CIMENTACIÓN</t>
  </si>
  <si>
    <t>V C-1</t>
  </si>
  <si>
    <t>V C-2</t>
  </si>
  <si>
    <t>V C-3</t>
  </si>
  <si>
    <t>V C-4</t>
  </si>
  <si>
    <t>V C-5</t>
  </si>
  <si>
    <t>V C-6</t>
  </si>
  <si>
    <t>V C-7</t>
  </si>
  <si>
    <t>V C-8</t>
  </si>
  <si>
    <t>V C-A</t>
  </si>
  <si>
    <t>V C-B</t>
  </si>
  <si>
    <t>V C-C1</t>
  </si>
  <si>
    <t>V C-C2</t>
  </si>
  <si>
    <t>V C-C3</t>
  </si>
  <si>
    <t>V C-D</t>
  </si>
  <si>
    <t>V C-E</t>
  </si>
  <si>
    <t>V C-F1</t>
  </si>
  <si>
    <t>V C-F2</t>
  </si>
  <si>
    <t>V C-F3</t>
  </si>
  <si>
    <t>V C-G1</t>
  </si>
  <si>
    <t>V C-G2</t>
  </si>
  <si>
    <t>V C-G3</t>
  </si>
  <si>
    <t>V C-H</t>
  </si>
  <si>
    <t>V C-I</t>
  </si>
  <si>
    <t>V C-J</t>
  </si>
  <si>
    <t>Vigas de cimentación</t>
  </si>
  <si>
    <t>TIPO</t>
  </si>
  <si>
    <t>TRAMO 1</t>
  </si>
  <si>
    <t>TIPO PELDAÑO</t>
  </si>
  <si>
    <t>N° PELDAÑOS</t>
  </si>
  <si>
    <t>HUELLA (m)</t>
  </si>
  <si>
    <t>CONTRAHUELLA (m)</t>
  </si>
  <si>
    <t>VOLUMEN TOTAL (m3)</t>
  </si>
  <si>
    <t>ESPESOR (m)</t>
  </si>
  <si>
    <t xml:space="preserve"> CONCRETO PELDAÑOS</t>
  </si>
  <si>
    <t xml:space="preserve"> CONCRETO LOSA</t>
  </si>
  <si>
    <t xml:space="preserve">VOLUMEN TOTAL </t>
  </si>
  <si>
    <t>TOTAL CONCRETO ESCALERAS TRAMO 1</t>
  </si>
  <si>
    <t>TRAMO 2</t>
  </si>
  <si>
    <t>TOTAL CONCRETO ESCALERAS TRAMO 2</t>
  </si>
  <si>
    <t>f'c (Mpa)</t>
  </si>
  <si>
    <t>CASETONES IRREGULARES</t>
  </si>
  <si>
    <t>VIGAS DE CIMENTACIÓN</t>
  </si>
  <si>
    <t>REFUERZO INFERIOR LOSETA NIVELES TÍPICOS</t>
  </si>
  <si>
    <t>REFUERZO INFERIOR LOSETA NIVELES NO TIPICOS (PISO 3)</t>
  </si>
  <si>
    <t>REFUERZO SUPERIOR LOSETA NIVELES NO TIPICOS (PISO 3)</t>
  </si>
  <si>
    <t>REFUERZO SUPERIOR LOSETA NIVELES TÍPICOS</t>
  </si>
  <si>
    <t>REFUERZO LONGITUDINAL DE PILAS</t>
  </si>
  <si>
    <t>TIPO PILA</t>
  </si>
  <si>
    <t>Peso total por diámetro (Kg)</t>
  </si>
  <si>
    <t>Peso total (Kg)</t>
  </si>
  <si>
    <t>REFUERZO TRANSVERSAL DE PILAS (ESTRIBOS)</t>
  </si>
  <si>
    <t xml:space="preserve">D. FUSTE </t>
  </si>
  <si>
    <t>TIPO COLMNA</t>
  </si>
  <si>
    <t>N° BARRAS</t>
  </si>
  <si>
    <t>COLUMNAS</t>
  </si>
  <si>
    <t>ESCALERAS EN CONCRETO</t>
  </si>
  <si>
    <t>DIÁMETRO (in)</t>
  </si>
  <si>
    <t>PESO (KG)</t>
  </si>
  <si>
    <t>ESTRUCTURA - PILAS</t>
  </si>
  <si>
    <t>ESTRUCTURA - VIGAS DE CIMENTACION</t>
  </si>
  <si>
    <t>CONCRETO PILAS</t>
  </si>
  <si>
    <t>PILAS</t>
  </si>
  <si>
    <t>Altura fuste (m)</t>
  </si>
  <si>
    <t>Diámetro anillo (m)</t>
  </si>
  <si>
    <t>Diámetro fuste (m)</t>
  </si>
  <si>
    <t>Area anillo (m2)</t>
  </si>
  <si>
    <t>Area fuste pila (m2)</t>
  </si>
  <si>
    <t>Volumen anillo</t>
  </si>
  <si>
    <t>ANILLADO</t>
  </si>
  <si>
    <t>CONCRETO ANILLADO DE PILAS</t>
  </si>
  <si>
    <t>ELEMENTOS</t>
  </si>
  <si>
    <t>Cantidad</t>
  </si>
  <si>
    <t>MOVIMIENTO DE TIERRA A MÁQUINA</t>
  </si>
  <si>
    <t>MOVIMIENTO TOTAL DE TIERRA</t>
  </si>
  <si>
    <t>ACTIVIDAD</t>
  </si>
  <si>
    <t>DESCAPOTE A MÁQUINA</t>
  </si>
  <si>
    <t>ITEM</t>
  </si>
  <si>
    <t>ÁREA DEL TERRENO</t>
  </si>
  <si>
    <t>PROFUNDIDAD</t>
  </si>
  <si>
    <t>VOLUMEN DESCAPOTE</t>
  </si>
  <si>
    <t>CORTE</t>
  </si>
  <si>
    <t>LLENO</t>
  </si>
  <si>
    <t>CARGADO Y BOTADO DE TIERRAS</t>
  </si>
  <si>
    <t>VOLUMEN COMPACTO</t>
  </si>
  <si>
    <t>FACTOR DE EXPANSIÓN</t>
  </si>
  <si>
    <t>VOLUMEN SUELTO</t>
  </si>
  <si>
    <t>ÍTEM</t>
  </si>
  <si>
    <t>TOTAL CORTE</t>
  </si>
  <si>
    <t>TOTAL LLENO</t>
  </si>
  <si>
    <t>PISO</t>
  </si>
  <si>
    <t xml:space="preserve">MURO </t>
  </si>
  <si>
    <t>ALTO (m)</t>
  </si>
  <si>
    <t>MUROS FACHADA</t>
  </si>
  <si>
    <t>TIPO BLOQUE</t>
  </si>
  <si>
    <t>AREA VENTANAS</t>
  </si>
  <si>
    <t>AREA REAL</t>
  </si>
  <si>
    <t>Ladrillo sucio de 15x20x40</t>
  </si>
  <si>
    <t>Muro en drywall</t>
  </si>
  <si>
    <t>AREA TOTAL DE MUROS EN LADRILLO SUCIO (5x10x22)</t>
  </si>
  <si>
    <t>AREA TOTAL DE MUROS EN DRYWALL</t>
  </si>
  <si>
    <t>Cantidad de varillas por muro</t>
  </si>
  <si>
    <t>Longitud de varilla por cada muro</t>
  </si>
  <si>
    <t>Longitud de cada varilla</t>
  </si>
  <si>
    <t>Peso varilla de 1/2''</t>
  </si>
  <si>
    <t>PESO REFUERZO PISO 9</t>
  </si>
  <si>
    <t>PESO REFUERZO PISO 8</t>
  </si>
  <si>
    <t>PESO REFUERZO PISO 7</t>
  </si>
  <si>
    <t>PESO REFUERZO PISO 6</t>
  </si>
  <si>
    <t>PESO REFUERZO PISO 5</t>
  </si>
  <si>
    <t>PESO REFUERZO PISO 4</t>
  </si>
  <si>
    <t>PESO REFUERZO PISO 3</t>
  </si>
  <si>
    <t>PESO REFUERZO PISO 2</t>
  </si>
  <si>
    <t>PESO REFUERZO PISO 1</t>
  </si>
  <si>
    <t>PESO REFUERZO EDIFICIO</t>
  </si>
  <si>
    <t>Cantidad de grafiles por muro</t>
  </si>
  <si>
    <t>Longitud de cada grafil</t>
  </si>
  <si>
    <t>Longitud de grafilpor cada muro</t>
  </si>
  <si>
    <t>Peso grafil de 4mm</t>
  </si>
  <si>
    <t>LOSA TÍPICA - PISO 6</t>
  </si>
  <si>
    <t>LOSA NO TÍPICA - PISO 3</t>
  </si>
  <si>
    <t>Piso</t>
  </si>
  <si>
    <t>Tipo de piso</t>
  </si>
  <si>
    <t>Unidad</t>
  </si>
  <si>
    <t>Piedra royal verde. Formato 30cm a junta perdida</t>
  </si>
  <si>
    <t>Piso en vinilo de rollo para baños</t>
  </si>
  <si>
    <t>Piso en concreto terminado de losa de vaciado con acabado en textura antideslizante</t>
  </si>
  <si>
    <t>Piso en vinilo de rollo para oficinas y aulas</t>
  </si>
  <si>
    <t>Piso en vidrio antideslizante</t>
  </si>
  <si>
    <t>Tapete-textil Bolon, Botanic Osier</t>
  </si>
  <si>
    <t>Tipo de zócalo</t>
  </si>
  <si>
    <t>Zócalo en PVC de 10cm con impresión digital según paleta de colores, a plomo del estuco</t>
  </si>
  <si>
    <t>Zócalo media caña vaciado en concreto a 10cm de altura a plomo con el revoque</t>
  </si>
  <si>
    <t>Zócalo media caña continuo en vinilo de piso para baños</t>
  </si>
  <si>
    <t>Tipo de enchape</t>
  </si>
  <si>
    <t>Enchape en ártica 6x20 a junta perdida color blanco</t>
  </si>
  <si>
    <t>TOTAL ENCHAPE</t>
  </si>
  <si>
    <t>TOTAL ZÓCALO EN PVC</t>
  </si>
  <si>
    <t>TOTAL ZÓCALO MEDIA CAÑA VACIADO EN CONCRETO</t>
  </si>
  <si>
    <t>TOTAL ZÓCALO MEDIA CAÑA CONTINUO EN VINILO</t>
  </si>
  <si>
    <t>TOTAL PISO EN VINILO DE ROLLO PARA OFICINAS Y AULAS</t>
  </si>
  <si>
    <t>TOTAL PISO EN VINILO DE ROLLO PARA BAÑOS</t>
  </si>
  <si>
    <t>TOTAL PISO EN CONCRETO</t>
  </si>
  <si>
    <t>TOTAL PISO EN PIEDRA ROYAL VERDE</t>
  </si>
  <si>
    <t>TOTAL PISO EN TAPETE-TEXTIL BOLON</t>
  </si>
  <si>
    <t>TOTAL PISO EN VIDRIO ANTIDESLIZANTE</t>
  </si>
  <si>
    <t>REFERENCIA</t>
  </si>
  <si>
    <t>DESCRIPCIÓN</t>
  </si>
  <si>
    <t>DIMENSIÓN</t>
  </si>
  <si>
    <t>PM - 01</t>
  </si>
  <si>
    <t>PM - 01'</t>
  </si>
  <si>
    <t>PM - 02</t>
  </si>
  <si>
    <t>PM - 03</t>
  </si>
  <si>
    <t>PM - 03'</t>
  </si>
  <si>
    <t>Puerta batiente con ala a 2,35m del NPA. Marco oculto con acabado y color del muro.</t>
  </si>
  <si>
    <t>0,9x2,35</t>
  </si>
  <si>
    <t>1x2,35</t>
  </si>
  <si>
    <t>1x2,6</t>
  </si>
  <si>
    <t>1x1,5</t>
  </si>
  <si>
    <t>PUERTAS DE MADERA</t>
  </si>
  <si>
    <t>PUERTAS DE METAL</t>
  </si>
  <si>
    <t>PT - 01</t>
  </si>
  <si>
    <t>PT - 04</t>
  </si>
  <si>
    <t>PT - 08</t>
  </si>
  <si>
    <t>PT - 12</t>
  </si>
  <si>
    <t>Dos puertas batientes entamborada con acabado en pintura acrílica lavable</t>
  </si>
  <si>
    <t>Puerta batiente entamborada con acabado en pintura acrílica lavable</t>
  </si>
  <si>
    <t>1,7x0,9</t>
  </si>
  <si>
    <t>1,18x0,9</t>
  </si>
  <si>
    <t>0,9x0,9</t>
  </si>
  <si>
    <t>1,6x0,9</t>
  </si>
  <si>
    <t>PT - 02</t>
  </si>
  <si>
    <t>PT - 03</t>
  </si>
  <si>
    <t>PT - 03'</t>
  </si>
  <si>
    <t>PT - 05</t>
  </si>
  <si>
    <t>PT - 05'</t>
  </si>
  <si>
    <t>PT - 06</t>
  </si>
  <si>
    <t>PT - 07</t>
  </si>
  <si>
    <t>PT - 10</t>
  </si>
  <si>
    <t>PT - 11</t>
  </si>
  <si>
    <t>PT - 14</t>
  </si>
  <si>
    <t>Puerta batiente metálica con marco oculto microperforada</t>
  </si>
  <si>
    <t>Puerta batiente en persiana metálica</t>
  </si>
  <si>
    <t>Dos puertas batiente en persiana metálica</t>
  </si>
  <si>
    <t>PT - 13</t>
  </si>
  <si>
    <t>1,195x2,5</t>
  </si>
  <si>
    <t>0,9x2,5</t>
  </si>
  <si>
    <t>1x2,5</t>
  </si>
  <si>
    <t>0,6x2,35</t>
  </si>
  <si>
    <t>0,7x2,35</t>
  </si>
  <si>
    <t>0,7x2,5</t>
  </si>
  <si>
    <t>2x2,35</t>
  </si>
  <si>
    <t>2x1,4</t>
  </si>
  <si>
    <t>PRF - 2</t>
  </si>
  <si>
    <t>Dos puertas batiente resistentes al fuego</t>
  </si>
  <si>
    <t>2,6x2,6</t>
  </si>
  <si>
    <t>PRF - 2'</t>
  </si>
  <si>
    <t>2,6x2,5</t>
  </si>
  <si>
    <t>PRF - 3</t>
  </si>
  <si>
    <t>2,2x2,6</t>
  </si>
  <si>
    <t>Elemento</t>
  </si>
  <si>
    <t>Perfil en lámina doblada</t>
  </si>
  <si>
    <t>2L 3''x5/16''</t>
  </si>
  <si>
    <t>2L 3''x3/8''</t>
  </si>
  <si>
    <t>2L 2 1/2''x1/4''</t>
  </si>
  <si>
    <t>2L 2''x1/8''</t>
  </si>
  <si>
    <t>2L 2 1/2''x3/16''</t>
  </si>
  <si>
    <t>2L 2''x3/16''</t>
  </si>
  <si>
    <t>2L 1 1/2"x1/8"</t>
  </si>
  <si>
    <t>2L 2 1/2"x3/16"</t>
  </si>
  <si>
    <t>2L 2"x3/16"</t>
  </si>
  <si>
    <t>2L 2"x1/8"</t>
  </si>
  <si>
    <t>Riostras de 1/2"</t>
  </si>
  <si>
    <t>PHR-C 220x80x1,5mm</t>
  </si>
  <si>
    <t>Cubierta termoacústica Glamet Dry</t>
  </si>
  <si>
    <t>TOTAL 2L 3''x5/16''</t>
  </si>
  <si>
    <t>TOTAL 2L 3''x3/8''</t>
  </si>
  <si>
    <t>TOTAL 2L 2 1/2''x1/4''</t>
  </si>
  <si>
    <t>TOTAL 2L 2 1/2''x3/16''</t>
  </si>
  <si>
    <t>TOTAL 2L 2''x1/8''</t>
  </si>
  <si>
    <t>TOTAL 2L 2''x3/16''</t>
  </si>
  <si>
    <t>TOTAL 2L 1 1/2"x1/8"</t>
  </si>
  <si>
    <t>CERCHAS</t>
  </si>
  <si>
    <t>dia</t>
  </si>
  <si>
    <t>Corte, figurado y colocación refuerzo (420 MPa) 1/4"</t>
  </si>
  <si>
    <t>Desmonte de instalaciones</t>
  </si>
  <si>
    <r>
      <t>m</t>
    </r>
    <r>
      <rPr>
        <vertAlign val="superscript"/>
        <sz val="10"/>
        <rFont val="Arial"/>
        <family val="2"/>
      </rPr>
      <t>2</t>
    </r>
  </si>
  <si>
    <t>Aseo general</t>
  </si>
  <si>
    <t>ASEO Y REVISION</t>
  </si>
  <si>
    <t>Corte, figurado y colocación refuerzo (420 MPa) 7/8"</t>
  </si>
  <si>
    <t>Corte, figurado y colocación refuerzo (420 MPa) 3/4"</t>
  </si>
  <si>
    <t>Corte, figurado y colocación refuerzo (420 MPa) 1"</t>
  </si>
  <si>
    <t>TOTAL CAPITULO 18</t>
  </si>
  <si>
    <t>Corte, figurado y colocación refuerzo (420 MPa) 5/8"</t>
  </si>
  <si>
    <t>Corte, figurado y colocación refuerzo (420 MPa) 1/2"</t>
  </si>
  <si>
    <t>CARPINTERIA METALICA</t>
  </si>
  <si>
    <t>CARPINTERIA EN MADERA</t>
  </si>
  <si>
    <t>TOTAL CAPITULO 12</t>
  </si>
  <si>
    <t>INSTALACIONES ELECTRICAS</t>
  </si>
  <si>
    <t>TOTAL CAPITULO 11</t>
  </si>
  <si>
    <t>TOTAL CAPITULO 10</t>
  </si>
  <si>
    <t>TOTAL CAPITULO 9</t>
  </si>
  <si>
    <t>TOTAL CAPITULO 8</t>
  </si>
  <si>
    <t>PISOS, ENCHAPES Y ZOCALOS</t>
  </si>
  <si>
    <t>TOTAL CAPITULO 7</t>
  </si>
  <si>
    <t>MAMPOSTERIA</t>
  </si>
  <si>
    <t>TOTAL CAPITULO 5</t>
  </si>
  <si>
    <t>Kg</t>
  </si>
  <si>
    <t>Malla electrosoldada FERRASA D-106</t>
  </si>
  <si>
    <t>Corte, figurado y colocación refuerzo (420 MPa) 3/8"</t>
  </si>
  <si>
    <t>REFUERZO</t>
  </si>
  <si>
    <t>TOTAL CAPITULO 4</t>
  </si>
  <si>
    <r>
      <t>m</t>
    </r>
    <r>
      <rPr>
        <vertAlign val="superscript"/>
        <sz val="10"/>
        <rFont val="Arial"/>
        <family val="2"/>
      </rPr>
      <t>3</t>
    </r>
  </si>
  <si>
    <t>Losa aligerada con casetón de madera no recuperable e= 0.32m (21MPa)</t>
  </si>
  <si>
    <t>TOTAL CAPITULO 3</t>
  </si>
  <si>
    <t>SUBESTRUCTURA</t>
  </si>
  <si>
    <t>TOTAL CAPITULO 2</t>
  </si>
  <si>
    <t>MOVIMIENTOS DE TIERRA</t>
  </si>
  <si>
    <t>TOTAL CAPITULO 1</t>
  </si>
  <si>
    <t xml:space="preserve">Localizacion y replanteo </t>
  </si>
  <si>
    <t>PRELIMINARES</t>
  </si>
  <si>
    <t>CAPITULOS Y ACTIVIDADES</t>
  </si>
  <si>
    <t>CODIGO</t>
  </si>
  <si>
    <t>28 de Marzo de 2016</t>
  </si>
  <si>
    <t xml:space="preserve">INSTALACIONES PROVISIONALES </t>
  </si>
  <si>
    <t>MATERIAL</t>
  </si>
  <si>
    <t>OFICINA INTERVENTORES</t>
  </si>
  <si>
    <t>Madera</t>
  </si>
  <si>
    <t>ALMACÉN</t>
  </si>
  <si>
    <t>CASPETE</t>
  </si>
  <si>
    <t>CERRAMIENTO</t>
  </si>
  <si>
    <t>OFICINA INGENIEROS</t>
  </si>
  <si>
    <t xml:space="preserve">BAÑOS </t>
  </si>
  <si>
    <t>MALLA DE CONSTRUCCIÓN H=2m</t>
  </si>
  <si>
    <t>----</t>
  </si>
  <si>
    <t>BAÑOS INGENIEROS</t>
  </si>
  <si>
    <t>VESTIERES</t>
  </si>
  <si>
    <t>SALON DE REUNIONES</t>
  </si>
  <si>
    <t>ENFERMERIA</t>
  </si>
  <si>
    <t>PORTERIA (ACCESO)</t>
  </si>
  <si>
    <t>TALLER</t>
  </si>
  <si>
    <t>LABORATORIO CONCRETO</t>
  </si>
  <si>
    <t>OFICINAS CONTRATISTAS</t>
  </si>
  <si>
    <t>Contenedor</t>
  </si>
  <si>
    <t>CARTEL  DE OBRA</t>
  </si>
  <si>
    <t>SEÑALIZACIÓN</t>
  </si>
  <si>
    <t>Metal</t>
  </si>
  <si>
    <t>Pisos del 5 al 9 (cubierta)</t>
  </si>
  <si>
    <t>PELDAÑOS</t>
  </si>
  <si>
    <t>PERNOS DE ANCLAJE</t>
  </si>
  <si>
    <t>ESPECIFICACIÓN</t>
  </si>
  <si>
    <t xml:space="preserve">DIAMETRO (in) </t>
  </si>
  <si>
    <t>PELDAÑO DE ALFAJOR (1/4")</t>
  </si>
  <si>
    <t>ASTM A193 B7 (Cabeza invertida)</t>
  </si>
  <si>
    <t>1/2.</t>
  </si>
  <si>
    <t xml:space="preserve">ASTM A193 B7 </t>
  </si>
  <si>
    <t>5/8.</t>
  </si>
  <si>
    <t xml:space="preserve">DECANSO </t>
  </si>
  <si>
    <t>PERNOS DE UNIÓN</t>
  </si>
  <si>
    <t>DIMENSIONES</t>
  </si>
  <si>
    <t>TOTAL (m)</t>
  </si>
  <si>
    <t>RIOSTRAS</t>
  </si>
  <si>
    <t>1/2"</t>
  </si>
  <si>
    <t>ASTM 325 + Tuerca ASTM A563 + Arandela ASTM F436</t>
  </si>
  <si>
    <t>TUBOS RECTANGULARES</t>
  </si>
  <si>
    <t>200x100x5,71mm</t>
  </si>
  <si>
    <t>LAMINA DE ALFAJOR (1/4")</t>
  </si>
  <si>
    <t>PASAMANOS</t>
  </si>
  <si>
    <t xml:space="preserve">DIMENSIONES </t>
  </si>
  <si>
    <t xml:space="preserve"> Tubo ASTM A500 grado C</t>
  </si>
  <si>
    <t>3"x1 1/2"x2mm</t>
  </si>
  <si>
    <t>PLATINAS (PL)</t>
  </si>
  <si>
    <t>2 1/2x1/2</t>
  </si>
  <si>
    <t>5/8"x 2"</t>
  </si>
  <si>
    <t>3/8"x2 1/2"</t>
  </si>
  <si>
    <t xml:space="preserve">GUALDERA </t>
  </si>
  <si>
    <t>260x90cmx5,5 mm</t>
  </si>
  <si>
    <t>GUALDERA DESCANSO</t>
  </si>
  <si>
    <t>DESCANSO</t>
  </si>
  <si>
    <t>------</t>
  </si>
  <si>
    <t>2 1/2"x1/2"</t>
  </si>
  <si>
    <t>GUALDERA + DESCANSO</t>
  </si>
  <si>
    <t>UBICACIÓN</t>
  </si>
  <si>
    <t>DIAMETRO (in)</t>
  </si>
  <si>
    <t>AGUAS RESIDUALES</t>
  </si>
  <si>
    <t>PISO 1 AL 4</t>
  </si>
  <si>
    <t>BAN 3" (Piso 3 al 4)</t>
  </si>
  <si>
    <t>BAN 4" (Piso 3 al 9)</t>
  </si>
  <si>
    <t>BAN 6" (Piso 1 al 9)</t>
  </si>
  <si>
    <t>BALL 2" (Piso 1 al 8)</t>
  </si>
  <si>
    <t>BALL 3" (Piso 1 al 3)</t>
  </si>
  <si>
    <t>PISO 5 AL 8</t>
  </si>
  <si>
    <t>BALL 3" (Piso 1 al 5)</t>
  </si>
  <si>
    <t>BALL 4" (Piso 3 al 5)</t>
  </si>
  <si>
    <t>BALL 6" (Piso 5 a cubierta)</t>
  </si>
  <si>
    <t>BALL 6" (Piso 7 a cubierta)</t>
  </si>
  <si>
    <t>BALL 6" (Piso</t>
  </si>
  <si>
    <t>VENT 3" (Piso 1 al 5)</t>
  </si>
  <si>
    <t>VENT 4" (Piso 1 al 5)</t>
  </si>
  <si>
    <t>AGUAS LLUVIAS</t>
  </si>
  <si>
    <t>PISO 1 Y 2</t>
  </si>
  <si>
    <t>VENT 4" (Piso 5 a Cubierta)</t>
  </si>
  <si>
    <t>CAJAS DE INSPECCIÓN (uni)</t>
  </si>
  <si>
    <t xml:space="preserve">AGUAS LLUVIA (1m x 1m) </t>
  </si>
  <si>
    <t>AGUAS RESIDUALES (1m x1m)</t>
  </si>
  <si>
    <t>TANQUES</t>
  </si>
  <si>
    <t>INSTALACIÓN (Actividad)</t>
  </si>
  <si>
    <t>VOLUMEN</t>
  </si>
  <si>
    <t>Agua Potable</t>
  </si>
  <si>
    <t>Piso 4</t>
  </si>
  <si>
    <t xml:space="preserve">Agua No Potable </t>
  </si>
  <si>
    <t>Agua No Potable Filtrada</t>
  </si>
  <si>
    <t>PISO 6 AL 8</t>
  </si>
  <si>
    <t>BOMBAS</t>
  </si>
  <si>
    <t>VENTILACIÓN</t>
  </si>
  <si>
    <t>CANTIDAD (uni)</t>
  </si>
  <si>
    <t>FUERZA</t>
  </si>
  <si>
    <t>Agua No Potable</t>
  </si>
  <si>
    <t>10 HP</t>
  </si>
  <si>
    <t>PISO 2 AL 5</t>
  </si>
  <si>
    <t>5 HP</t>
  </si>
  <si>
    <t>Sistema de Riego</t>
  </si>
  <si>
    <t>PISO 6 AL 9</t>
  </si>
  <si>
    <t>TOTAL SALIDAS 2 (IN)</t>
  </si>
  <si>
    <t>CONTADORES</t>
  </si>
  <si>
    <t>TOTAL SALIDAS 3 (IN)</t>
  </si>
  <si>
    <t>DIMENSIÓN (in)</t>
  </si>
  <si>
    <t>TOTAL SALIDAS 4 (IN)</t>
  </si>
  <si>
    <t>Piso 1</t>
  </si>
  <si>
    <t>TOTAL SALIDAS 6 (IN)</t>
  </si>
  <si>
    <t>TOTAL SALIDAS 8 (IN)</t>
  </si>
  <si>
    <t>TOTAL SALIDAS 10 (IN)</t>
  </si>
  <si>
    <t>Piso 5</t>
  </si>
  <si>
    <t xml:space="preserve">3/4. </t>
  </si>
  <si>
    <t>AGUA FRÍA POTABLE</t>
  </si>
  <si>
    <t>3/4.</t>
  </si>
  <si>
    <t>CANOAS CUBIERTA</t>
  </si>
  <si>
    <t>1 1/4.</t>
  </si>
  <si>
    <t>30 cm x 15 cm</t>
  </si>
  <si>
    <t>ALIMENTADORES</t>
  </si>
  <si>
    <t>TUBERÍAS</t>
  </si>
  <si>
    <t>RED LLENADO TANQUE</t>
  </si>
  <si>
    <t>RED CONTRA INCENDIOS</t>
  </si>
  <si>
    <t>Sirena Estrobo</t>
  </si>
  <si>
    <t>RED DE RIEGO</t>
  </si>
  <si>
    <t>Estación Manual</t>
  </si>
  <si>
    <t>PISO 6, 7 Y 8</t>
  </si>
  <si>
    <t>1 1/2.</t>
  </si>
  <si>
    <t>Detector Térmico</t>
  </si>
  <si>
    <t>Sensor de Humo</t>
  </si>
  <si>
    <t>Tubería 2"</t>
  </si>
  <si>
    <t>Tubería 4"</t>
  </si>
  <si>
    <t>DRENAJE DE INFILTRACIÓN</t>
  </si>
  <si>
    <t>2 1/2.</t>
  </si>
  <si>
    <t>PISO 6, 7, 8 Y 9</t>
  </si>
  <si>
    <t>TOTAL ENTRADAS 1/2 (IN)</t>
  </si>
  <si>
    <t>TOTAL ENTRADAS 3/4 (IN)</t>
  </si>
  <si>
    <t>TOTAL ENTRADAS 1 (IN)</t>
  </si>
  <si>
    <t>TOTAL ENTRADAS 1 1/2 (IN)</t>
  </si>
  <si>
    <t>TOTAL ENTRADAS 1 1/4 (IN)</t>
  </si>
  <si>
    <t>TOTAL ENTRADAS 2 (IN)</t>
  </si>
  <si>
    <t>TOTAL ENTRADAS 2 1/2 (IN)</t>
  </si>
  <si>
    <t>TOTAL ENTRADAS 3 (IN)</t>
  </si>
  <si>
    <t>TOTAL ENTRADAS 4 (IN)</t>
  </si>
  <si>
    <t>BAÑOS</t>
  </si>
  <si>
    <t>COCINA</t>
  </si>
  <si>
    <t xml:space="preserve"> PISO</t>
  </si>
  <si>
    <t>Ref. Adriática color blanco 100 de Corona</t>
  </si>
  <si>
    <t>1 al 9</t>
  </si>
  <si>
    <t>SANITARIOS</t>
  </si>
  <si>
    <t>Menumaster mms10ts</t>
  </si>
  <si>
    <t>2, 4, 5 y 9</t>
  </si>
  <si>
    <t>Horno microondas</t>
  </si>
  <si>
    <t>Lavamanos con mesón en quarstone</t>
  </si>
  <si>
    <t>LAVAMANOS</t>
  </si>
  <si>
    <t>De goteo Bunn Vp17-3</t>
  </si>
  <si>
    <t>Cafeteras</t>
  </si>
  <si>
    <t>Cristal o equivalente e=5mm</t>
  </si>
  <si>
    <t>ESPEJOS</t>
  </si>
  <si>
    <t>Bunn de 3,8 lt</t>
  </si>
  <si>
    <t>Termo auxiliar</t>
  </si>
  <si>
    <t>En acero inoxidable de 1000ml</t>
  </si>
  <si>
    <t>DISPENSADORES JABON</t>
  </si>
  <si>
    <t>Integrado</t>
  </si>
  <si>
    <t>Pozuelo lavaplatos</t>
  </si>
  <si>
    <t xml:space="preserve">De acero inoxidable satinado 18" de 11/4" </t>
  </si>
  <si>
    <t>BARRAS DE APOYO "PMR"</t>
  </si>
  <si>
    <t>De pared Balta Grival</t>
  </si>
  <si>
    <t>Grifería lavaplatos</t>
  </si>
  <si>
    <t>Corona tipo Dolphin o Pico</t>
  </si>
  <si>
    <t>GRIFERÍA LAVAMANOS</t>
  </si>
  <si>
    <t>Corian Blanco</t>
  </si>
  <si>
    <t>Meson mueble</t>
  </si>
  <si>
    <t>-------</t>
  </si>
  <si>
    <t>REJILLAS DE METAL</t>
  </si>
  <si>
    <t>Integrado en Corian Blanco</t>
  </si>
  <si>
    <t>Salpicadero</t>
  </si>
  <si>
    <t>Percha sencilla de acero inoxidable</t>
  </si>
  <si>
    <t>GANCHOS DE ACERO</t>
  </si>
  <si>
    <t>Frost 130 lts</t>
  </si>
  <si>
    <t>Nevera LG</t>
  </si>
  <si>
    <t>Tipo american dryer de acero inoxidable</t>
  </si>
  <si>
    <t>SECAMANOS ELECTRICO</t>
  </si>
  <si>
    <t>-----</t>
  </si>
  <si>
    <t>Maquina de hielo</t>
  </si>
  <si>
    <t>De acero inoxidable satinado para 1 rollo</t>
  </si>
  <si>
    <t>DISPENSADORES PAPEL</t>
  </si>
  <si>
    <t>Aglomerado</t>
  </si>
  <si>
    <t>Tapas frontales de mueble</t>
  </si>
  <si>
    <t>De acero inoxidable satinado para 300 toallas</t>
  </si>
  <si>
    <t>DISPENSADORES TOALLAS</t>
  </si>
  <si>
    <t>TOTAL ELEMENTOS DE COCINA</t>
  </si>
  <si>
    <t>SENSOR SANITARIO</t>
  </si>
  <si>
    <t>TOTAL ELEMENTOS DE BAÑO</t>
  </si>
  <si>
    <t>PINTURA</t>
  </si>
  <si>
    <t>LARGO TOTAL (m)</t>
  </si>
  <si>
    <t>ALTO TOTAL (m)</t>
  </si>
  <si>
    <t>ESTUCO SIN CONTACTO CON HUMEDAD</t>
  </si>
  <si>
    <t xml:space="preserve">Externos </t>
  </si>
  <si>
    <t xml:space="preserve">Internos </t>
  </si>
  <si>
    <t>Baños</t>
  </si>
  <si>
    <t>MORTERO DE PEGA Y REVOQUE</t>
  </si>
  <si>
    <t>TOTAL PISO 1</t>
  </si>
  <si>
    <t>PINTURA ACLÍRICA COLOR BLANCO (ACRILTEX)</t>
  </si>
  <si>
    <t>PINTURA DINTELES Y SILLARES</t>
  </si>
  <si>
    <t>TOTAL PISO 2</t>
  </si>
  <si>
    <t>LARGO (m)</t>
  </si>
  <si>
    <t>AREA MURO</t>
  </si>
  <si>
    <t>AREA VENTANA</t>
  </si>
  <si>
    <t>AREA TOTAL</t>
  </si>
  <si>
    <t>VT-1</t>
  </si>
  <si>
    <t>PINTURA ACLÍRICA BLANCA(ACRITEX)</t>
  </si>
  <si>
    <t>VT-2</t>
  </si>
  <si>
    <t>VT-3</t>
  </si>
  <si>
    <t>TOTAL PISO 3</t>
  </si>
  <si>
    <t>VT-4</t>
  </si>
  <si>
    <t>VT-5</t>
  </si>
  <si>
    <t>TOTAL PISO 4</t>
  </si>
  <si>
    <t>VT-6</t>
  </si>
  <si>
    <t>VT-7</t>
  </si>
  <si>
    <t>VT-8</t>
  </si>
  <si>
    <t>TOTAL PISO 5</t>
  </si>
  <si>
    <t>VT-9</t>
  </si>
  <si>
    <t>REVESTIMIENTO CONTINUO DE TERMINACIÓN TEXTURADA</t>
  </si>
  <si>
    <t>CORREDORES Y AULAS</t>
  </si>
  <si>
    <t>ZONA BODEGA</t>
  </si>
  <si>
    <t>VT-10</t>
  </si>
  <si>
    <t>VT-11</t>
  </si>
  <si>
    <t>VT-12</t>
  </si>
  <si>
    <t>VT-27</t>
  </si>
  <si>
    <t>VT-28</t>
  </si>
  <si>
    <t>TOTAL PISO 6</t>
  </si>
  <si>
    <t>VT-29</t>
  </si>
  <si>
    <t>TOTAL PISO 7</t>
  </si>
  <si>
    <t>VT-21OR</t>
  </si>
  <si>
    <t>6,7,8</t>
  </si>
  <si>
    <t>VT-25</t>
  </si>
  <si>
    <t>VT-16 Nort</t>
  </si>
  <si>
    <t>VT-17 Nort</t>
  </si>
  <si>
    <t>VT-18 Nort</t>
  </si>
  <si>
    <t>VT-19 Nort</t>
  </si>
  <si>
    <t>VT-23 Nort</t>
  </si>
  <si>
    <t>TOTAL PISO 6,7,8</t>
  </si>
  <si>
    <t>TOTAL PISO 8</t>
  </si>
  <si>
    <t>VT-24 Nort</t>
  </si>
  <si>
    <t>TOTAL PISO 9</t>
  </si>
  <si>
    <t>VT-25 Nort</t>
  </si>
  <si>
    <t>TOTAL PINTURA</t>
  </si>
  <si>
    <t>VT-26 Nort</t>
  </si>
  <si>
    <t xml:space="preserve">TOTAL PINTURA DINTELES Y SILLARES </t>
  </si>
  <si>
    <t xml:space="preserve">PINTURA CIELOS </t>
  </si>
  <si>
    <t>CIELOS EN DRYWALL</t>
  </si>
  <si>
    <t>1, 6, 7 ,8 Y 9</t>
  </si>
  <si>
    <t>NOTA</t>
  </si>
  <si>
    <t>PINTURA MUROS EN DRYWALL</t>
  </si>
  <si>
    <t xml:space="preserve">TOTAL PINTURA MUROS EN DRYWALL </t>
  </si>
  <si>
    <t xml:space="preserve">TOTAL ESTUCO Y REVOQUE DINTELES Y SILLARES </t>
  </si>
  <si>
    <t>VENTANAS EXTERNAS</t>
  </si>
  <si>
    <t>VIDRIO LAMINADO PVB 0,38</t>
  </si>
  <si>
    <t>Por definir</t>
  </si>
  <si>
    <t>VT IN-01</t>
  </si>
  <si>
    <t>1,2,3,4</t>
  </si>
  <si>
    <t>VT IN-02</t>
  </si>
  <si>
    <t>VIDRIO SAND BLASTED PVB 0,38</t>
  </si>
  <si>
    <t>VT IN-03</t>
  </si>
  <si>
    <t>VT IN-04</t>
  </si>
  <si>
    <t>VT IN-05</t>
  </si>
  <si>
    <t>VT IN-06</t>
  </si>
  <si>
    <t>VT IN-07</t>
  </si>
  <si>
    <t>VT IN-08</t>
  </si>
  <si>
    <t>2,3,4</t>
  </si>
  <si>
    <t>VT IN-09</t>
  </si>
  <si>
    <t>VT IN-10</t>
  </si>
  <si>
    <t>VT IN-11</t>
  </si>
  <si>
    <t>VT IN-12</t>
  </si>
  <si>
    <t>VT IN-14</t>
  </si>
  <si>
    <t>VT IN-15</t>
  </si>
  <si>
    <t>VT IN-17</t>
  </si>
  <si>
    <t>VT IN-18</t>
  </si>
  <si>
    <t>VT IN-19</t>
  </si>
  <si>
    <t>VT IN-20</t>
  </si>
  <si>
    <t>VT IN-21</t>
  </si>
  <si>
    <t>VT IN-22</t>
  </si>
  <si>
    <t>VT IN-23</t>
  </si>
  <si>
    <t>VT IN-24</t>
  </si>
  <si>
    <t>VT IN-28</t>
  </si>
  <si>
    <t xml:space="preserve">TOTAL VENTANAS INTERNAS </t>
  </si>
  <si>
    <t>VENTANA PARA GRC (Sistema vidrio a tope)</t>
  </si>
  <si>
    <t>VT-ESP-26</t>
  </si>
  <si>
    <t>6 al 9</t>
  </si>
  <si>
    <t>TOTAL VENTANAS EXTERNAS</t>
  </si>
  <si>
    <t>MUROS EN DRYWALL</t>
  </si>
  <si>
    <t>CIELOS</t>
  </si>
  <si>
    <t>ASCENSOR</t>
  </si>
  <si>
    <t>LÁMINAS EN ALUMINIO</t>
  </si>
  <si>
    <t>Hall matrículas</t>
  </si>
  <si>
    <t>MITSUBISHI ELENESSA</t>
  </si>
  <si>
    <t xml:space="preserve">TOTAL </t>
  </si>
  <si>
    <t>DRYWALL</t>
  </si>
  <si>
    <t>Aulas y pasillos</t>
  </si>
  <si>
    <t xml:space="preserve">TOTAL MUROS EN DRYWALL </t>
  </si>
  <si>
    <t>AISLAMIENTO TERMO-ACUSTICO DE FIBRA MINERAL</t>
  </si>
  <si>
    <t>EQUITONE TECTIVA</t>
  </si>
  <si>
    <t>Hall acceso</t>
  </si>
  <si>
    <t>Acceso</t>
  </si>
  <si>
    <t>RECUBRIMIENTO CORTAFUEGO O INIFUGO</t>
  </si>
  <si>
    <t xml:space="preserve">ESCALERAS DE EMERGENCIA </t>
  </si>
  <si>
    <t>Muros</t>
  </si>
  <si>
    <t>Pisos</t>
  </si>
  <si>
    <t>---</t>
  </si>
  <si>
    <t>Cielo</t>
  </si>
  <si>
    <t>BODEGAS Y CUARTO DE SUBESTACIÓN</t>
  </si>
  <si>
    <t>TOTAL RECUBIMIENTO</t>
  </si>
  <si>
    <t>MARCOS DE VENTANAS</t>
  </si>
  <si>
    <t>ESTRUCTURA METÁLICA PARA EQUITONÉ</t>
  </si>
  <si>
    <t>PASAMANOS METÁLICO</t>
  </si>
  <si>
    <t>LONGITUD TOTAL</t>
  </si>
  <si>
    <t>LARGO TOTAL</t>
  </si>
  <si>
    <t>ALTO TOTAL</t>
  </si>
  <si>
    <t>ALUMINIO NEGRO NATURAL MATE</t>
  </si>
  <si>
    <t>Subestructura metálica de aluminio, compuesta por perfiles en T</t>
  </si>
  <si>
    <t>PTS 5cm x 2,5cm soldado a tubulares verticales y platina de soporte. Tubular 10cm. Platina metálica de 5cm de ancho por 95cm de alto soldada al agarre y a la base. Platina metálica de 5cm de ancho soldada a platina de soporte vertical.</t>
  </si>
  <si>
    <t xml:space="preserve">TOTAL DE ESTRUCTURA METÁLICA </t>
  </si>
  <si>
    <t xml:space="preserve">TOTAL PASAMANOS METÁLICO </t>
  </si>
  <si>
    <t>Sin definir</t>
  </si>
  <si>
    <t>6, 7, 8</t>
  </si>
  <si>
    <t xml:space="preserve">TOTAL MARCOS DE VENTANAS </t>
  </si>
  <si>
    <t xml:space="preserve">EQUITONÉ TECTIVA </t>
  </si>
  <si>
    <t>PREFABRICADO DE FACHADA (GRC)</t>
  </si>
  <si>
    <t>AREA DINTELES Y SILLARES</t>
  </si>
  <si>
    <t>Revestimiento exterior de fachada ventilada, con páneles prefablicados de celulosa-cemento, instalada sobre estructura metálica de  color GRIS E20nail</t>
  </si>
  <si>
    <t>Prefabricado en concreto GRC</t>
  </si>
  <si>
    <t xml:space="preserve">6 al 9 </t>
  </si>
  <si>
    <t>TOTAL EQUITONÉ</t>
  </si>
  <si>
    <t>AREA DINTELES Y SILLARES PARA  FACHADA</t>
  </si>
  <si>
    <t>Cargado y botado  de tierra</t>
  </si>
  <si>
    <t>Excavación manual de pilas</t>
  </si>
  <si>
    <t>Excavación manual de vigas de fundación</t>
  </si>
  <si>
    <t>Armado y vaciado de pilas de cimentación en concreto de f´c= 28 Mpa</t>
  </si>
  <si>
    <t>Armado y vaciado de losa típica aligerada con porón recuperable e=0.6m de f'c 24,5MPa</t>
  </si>
  <si>
    <t>Armado y vaciado de losa no típica aligerada con porón recuperable e=0.6m de f'c 24,5MPa</t>
  </si>
  <si>
    <t>Corte y colocación de malla electrosoldada FERRASA D-188</t>
  </si>
  <si>
    <t>Colocación de muros estructurales con ladrillo sucio de 15x20x40cm, e=0,15m</t>
  </si>
  <si>
    <t>Colocación de muros no estructurales en drywall e=0,12m</t>
  </si>
  <si>
    <t xml:space="preserve">VENTANAS INTERNAS </t>
  </si>
  <si>
    <t>Piso en tapete-textil Bolon, Botanic Osier</t>
  </si>
  <si>
    <t>Ventana interna tipo 1 VT IN-01</t>
  </si>
  <si>
    <t>Ventana interna tipo 2 VT IN-02</t>
  </si>
  <si>
    <t>Ventana interna tipo 3 VT IN-03</t>
  </si>
  <si>
    <t>Ventana interna tipo 4 VT IN-04</t>
  </si>
  <si>
    <t>Ventana interna tipo 5 VT IN-05</t>
  </si>
  <si>
    <t>Ventana interna tipo 6 VT IN-06</t>
  </si>
  <si>
    <t>Ventana interna tipo 7 VT IN-07</t>
  </si>
  <si>
    <t>Ventana interna tipo 8 VT IN-08</t>
  </si>
  <si>
    <t>Ventana interna tipo 9 VT IN-09</t>
  </si>
  <si>
    <t>Ventana interna tipo 10 VT IN-10</t>
  </si>
  <si>
    <t>Ventana interna tipo 11 VT IN-11</t>
  </si>
  <si>
    <t>Ventana interna tipo 12 VT IN-12</t>
  </si>
  <si>
    <t>Ventana interna tipo 14 VT IN-14</t>
  </si>
  <si>
    <t>Ventana interna tipo 15 VT IN-15</t>
  </si>
  <si>
    <t>Ventana interna tipo 17 VT IN-17</t>
  </si>
  <si>
    <t>Ventana interna tipo 18 VT IN-18</t>
  </si>
  <si>
    <t>Ventana interna tipo 19 VT IN-19</t>
  </si>
  <si>
    <t>Ventana interna tipo 20 VT IN-20</t>
  </si>
  <si>
    <t>Ventana interna tipo 21 VT IN-21</t>
  </si>
  <si>
    <t>Ventana interna tipo 22 VT IN-22</t>
  </si>
  <si>
    <t>Ventana interna tipo 23 VT IN-23</t>
  </si>
  <si>
    <t>Ventana interna tipo 24 VT IN-24</t>
  </si>
  <si>
    <t>Ventana interna tipo 28 VT IN-28</t>
  </si>
  <si>
    <t>Ventana interna tipo 27 VT-27</t>
  </si>
  <si>
    <t>1.1</t>
  </si>
  <si>
    <t>1.2</t>
  </si>
  <si>
    <t>1.3</t>
  </si>
  <si>
    <t>2.1</t>
  </si>
  <si>
    <t>2.2</t>
  </si>
  <si>
    <t>2.3</t>
  </si>
  <si>
    <t>3.1</t>
  </si>
  <si>
    <t>3.2</t>
  </si>
  <si>
    <t>3.3</t>
  </si>
  <si>
    <t>3.4</t>
  </si>
  <si>
    <t>3.5</t>
  </si>
  <si>
    <t>4.1</t>
  </si>
  <si>
    <t>4.2</t>
  </si>
  <si>
    <t>4.3</t>
  </si>
  <si>
    <t>4.4</t>
  </si>
  <si>
    <t>4.5</t>
  </si>
  <si>
    <t>5.1</t>
  </si>
  <si>
    <t>5.2</t>
  </si>
  <si>
    <t>5.3</t>
  </si>
  <si>
    <t>5.4</t>
  </si>
  <si>
    <t>5.5</t>
  </si>
  <si>
    <t>5.6</t>
  </si>
  <si>
    <t>5.7</t>
  </si>
  <si>
    <t>5.8</t>
  </si>
  <si>
    <t>5.9</t>
  </si>
  <si>
    <t>6.1</t>
  </si>
  <si>
    <t>7.1</t>
  </si>
  <si>
    <t>8.1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</si>
  <si>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</si>
  <si>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</si>
  <si>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</si>
  <si>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</si>
  <si>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</si>
  <si>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</si>
  <si>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</si>
  <si>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</si>
  <si>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</si>
  <si>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</si>
  <si>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</si>
  <si>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</si>
  <si>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</si>
  <si>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12.1</t>
  </si>
  <si>
    <t>12.2</t>
  </si>
  <si>
    <t>12.3</t>
  </si>
  <si>
    <t>Colocación de canoas en lamina galvanizada</t>
  </si>
  <si>
    <t>Instalación Tomacorriente regulado</t>
  </si>
  <si>
    <t>Instalación Toma regulado en piso</t>
  </si>
  <si>
    <t>Instalación Caja de empalme (30*30 cm)</t>
  </si>
  <si>
    <t>Instalación Toma sencillo en piso</t>
  </si>
  <si>
    <t>Instalación Tomacorriente sencillo</t>
  </si>
  <si>
    <t>Instalación Tablero de distribución</t>
  </si>
  <si>
    <t>Instalación Tomacorriente GFCI</t>
  </si>
  <si>
    <t>Instalación Toma regulado en cielo</t>
  </si>
  <si>
    <t>Instalación Tomacorriente intemperie</t>
  </si>
  <si>
    <t>Instalación Interruptor</t>
  </si>
  <si>
    <t>11.1</t>
  </si>
  <si>
    <t>11.2</t>
  </si>
  <si>
    <t>11.3</t>
  </si>
  <si>
    <t>11.4</t>
  </si>
  <si>
    <t>12.4</t>
  </si>
  <si>
    <t>12.5</t>
  </si>
  <si>
    <t>12.6</t>
  </si>
  <si>
    <t>12.7</t>
  </si>
  <si>
    <t>12.8</t>
  </si>
  <si>
    <t>Instalación Salida de datos piso</t>
  </si>
  <si>
    <t>Instalación Salida datos</t>
  </si>
  <si>
    <t>Instalación Salida datos doble</t>
  </si>
  <si>
    <t>Instalación Salida HDMI</t>
  </si>
  <si>
    <t>Instalación salida HDMI de piso</t>
  </si>
  <si>
    <t>Instalación salida Televisión</t>
  </si>
  <si>
    <t>Instalación salida Datos por cielo (CCTV y WIFI)</t>
  </si>
  <si>
    <t>Instalación salida Datos dobles en piso</t>
  </si>
  <si>
    <t>Instalación Caja multitomas tipo 2</t>
  </si>
  <si>
    <t>Instalación Caja de inspección de 30x30cm con tapa removible</t>
  </si>
  <si>
    <t>Instalación Transformador trifásico</t>
  </si>
  <si>
    <t xml:space="preserve">Instalación Contador electrónico multifuncional o multienergía </t>
  </si>
  <si>
    <t>Instalación Caja de distribución (marcada y sellada)</t>
  </si>
  <si>
    <t>Instalación Botonera</t>
  </si>
  <si>
    <t>FORMALETERÍA COLUMNAS</t>
  </si>
  <si>
    <t>TABLERO LADO 1</t>
  </si>
  <si>
    <t>CANT. TABLERO LADO 1</t>
  </si>
  <si>
    <t>TABLERO LADO 2</t>
  </si>
  <si>
    <t>CANTIDAD TABLERO LADO 2</t>
  </si>
  <si>
    <t>COLUMNA TIPO</t>
  </si>
  <si>
    <t>0,8X0,6</t>
  </si>
  <si>
    <t>1,2X0,6</t>
  </si>
  <si>
    <t>1,5X0,6</t>
  </si>
  <si>
    <t>0,4X1,2</t>
  </si>
  <si>
    <t>0,6X1,2</t>
  </si>
  <si>
    <t>0,5x1,2</t>
  </si>
  <si>
    <t>Total tablero 0,4x1,2m</t>
  </si>
  <si>
    <t>Total tablero 0,5x1,2m</t>
  </si>
  <si>
    <t>Total tablero 0,6x1,2m</t>
  </si>
  <si>
    <t>Cantidad tacos necesarios</t>
  </si>
  <si>
    <t>Recubrimiento y aislamiento termoacústico de fibra mineral</t>
  </si>
  <si>
    <t>9.11</t>
  </si>
  <si>
    <t>9.12</t>
  </si>
  <si>
    <t>Instalación de ascensores Mitsubishi elenessa</t>
  </si>
  <si>
    <t>Colocación cielo raso en drywall</t>
  </si>
  <si>
    <t xml:space="preserve">Colocación cielo raso en lámina de aluminio </t>
  </si>
  <si>
    <t>Colocación cielo raso en equitone tectiva</t>
  </si>
  <si>
    <t>11.5</t>
  </si>
  <si>
    <t>11.6</t>
  </si>
  <si>
    <t>11.7</t>
  </si>
  <si>
    <t>11.8</t>
  </si>
  <si>
    <t>Ventana tipo 26 norte VT-26 Nort en vidrio laminado PVB 0,38</t>
  </si>
  <si>
    <t>VT-ESP-26 Ventana para GRC (Sistema de vidrio a tope)</t>
  </si>
  <si>
    <t>Instalación sanitarios ref adriática color 100 de corona</t>
  </si>
  <si>
    <t>Instalación espejos de cristal con e=5mm</t>
  </si>
  <si>
    <t>18.2</t>
  </si>
  <si>
    <t>18.3</t>
  </si>
  <si>
    <t>18.4</t>
  </si>
  <si>
    <t>18.5</t>
  </si>
  <si>
    <t>18.6</t>
  </si>
  <si>
    <t>18.7</t>
  </si>
  <si>
    <t>18.8</t>
  </si>
  <si>
    <t>18.9</t>
  </si>
  <si>
    <t>18.10</t>
  </si>
  <si>
    <t>18.11</t>
  </si>
  <si>
    <t>18.12</t>
  </si>
  <si>
    <t>18.13</t>
  </si>
  <si>
    <t>18.14</t>
  </si>
  <si>
    <t>18.15</t>
  </si>
  <si>
    <t>18.16</t>
  </si>
  <si>
    <t>18.17</t>
  </si>
  <si>
    <t>18.18</t>
  </si>
  <si>
    <t>18.19</t>
  </si>
  <si>
    <t>18.20</t>
  </si>
  <si>
    <t>18.21</t>
  </si>
  <si>
    <t>18.22</t>
  </si>
  <si>
    <t>día</t>
  </si>
  <si>
    <t>Armado y  vaciado de escaleras en concreto con f'c=24,5MPa</t>
  </si>
  <si>
    <t>Subtotal Vigas Peso por diámetro</t>
  </si>
  <si>
    <t>Subtotal vigas Peso total refuerzo</t>
  </si>
  <si>
    <t>Subtotal Nervios Peso por diámetro</t>
  </si>
  <si>
    <t>Subtotal Nervios Peso total refuerzo</t>
  </si>
  <si>
    <t>Subtotal Referzo superior Peso por diámetro</t>
  </si>
  <si>
    <t>Subtotal Referzo superior Peso total refuerzo</t>
  </si>
  <si>
    <t>Subtotal Referzo inferior Peso por diámetro</t>
  </si>
  <si>
    <t>Subtotal Referzo inferior Peso total refuerzo</t>
  </si>
  <si>
    <t>Peso total Losa típica por diámetro</t>
  </si>
  <si>
    <t>Peso total losa típica refuerzo</t>
  </si>
  <si>
    <t>Subtotal Refuerzo inferior Peso por diámetro</t>
  </si>
  <si>
    <t>Subtotal Refuerzo inferior Peso total refuerzo</t>
  </si>
  <si>
    <t>Subtotal Refuerzo superior Peso por diámetro</t>
  </si>
  <si>
    <t>Subtotal Refuerzo superior Peso total refuerzo</t>
  </si>
  <si>
    <t>Peso total Losa no típica por diámetro</t>
  </si>
  <si>
    <t>Peso total losa no típica refuerzo</t>
  </si>
  <si>
    <t>Peso total vigas de cimentación por diámetro</t>
  </si>
  <si>
    <t>Peso total vigas de cimentación refuerzo</t>
  </si>
  <si>
    <t>Peso total escaleras por diámetro (Kg)</t>
  </si>
  <si>
    <t>Peso total escaleras (Kg)</t>
  </si>
  <si>
    <t>MAMPOSTERÍA</t>
  </si>
  <si>
    <t>Peso total mampostería por diámetro (Kg)</t>
  </si>
  <si>
    <t>Peso total mampostería (Kg)</t>
  </si>
  <si>
    <t>10</t>
  </si>
  <si>
    <t>4,58</t>
  </si>
  <si>
    <t>45,8</t>
  </si>
  <si>
    <t>GRAFIL MAMPOSTERÍA</t>
  </si>
  <si>
    <t>Peso</t>
  </si>
  <si>
    <t>GRAFIL 4MM</t>
  </si>
  <si>
    <t>Peso total GRAFIL (Kg)</t>
  </si>
  <si>
    <t>PESO KG</t>
  </si>
  <si>
    <t>Corte, figurado y colocación refuerzo (fy=420 MPa) 1/4"</t>
  </si>
  <si>
    <t>Corte, figurado y colocación refuerzo (fy=420 MPa) 3/8"</t>
  </si>
  <si>
    <t>Corte, figurado y colocación refuerzo (fy=420 MPa) 1/2"</t>
  </si>
  <si>
    <t>Corte, figurado y colocación refuerzo (fy=420 MPa) 5/8"</t>
  </si>
  <si>
    <t>Corte, figurado y colocación refuerzo (fy=420 MPa) 3/4"</t>
  </si>
  <si>
    <t>Corte, figurado y colocación refuerzo (fy=420 MPa) 7/8"</t>
  </si>
  <si>
    <t>Corte, figurado y colocación refuerzo (fy=420 MPa) 1"</t>
  </si>
  <si>
    <t>Corte, figurado y colocación refuerzo (fy=420 MPa) 10/8"</t>
  </si>
  <si>
    <t>Pisos del 5 al 9 (Losa típica)</t>
  </si>
  <si>
    <t>Pisos del 1 al 4 (Losa no típica)</t>
  </si>
  <si>
    <t>TOTAL NIVEL 3</t>
  </si>
  <si>
    <t>TOTAL NIVEL 1, 2, 3, 4</t>
  </si>
  <si>
    <t>TOTAL NIVEL 5, 6, 7, 8, 9</t>
  </si>
  <si>
    <t>Total por malla PISOS 5, 6, 7, 8, 9</t>
  </si>
  <si>
    <t>Total por malla PISOS 1, 2, 3, 4</t>
  </si>
  <si>
    <t>CANTIDAD TOTAL DE MALLA</t>
  </si>
  <si>
    <t>ESTUCO</t>
  </si>
  <si>
    <t>REVOQUE</t>
  </si>
  <si>
    <t>M2</t>
  </si>
  <si>
    <t>Revoque para muros, dinteles y sillares en ladrillo sucio</t>
  </si>
  <si>
    <t>Estuco para muros, dinteles y sillares en ladrillo sucio</t>
  </si>
  <si>
    <t>Pintura para muros, dinteles, sillares y cielo raso en drywall</t>
  </si>
  <si>
    <t>Piso en piedra royal verde. Formato 30cm a junta perdida</t>
  </si>
  <si>
    <t>Recubrimiento de cortafuego en escaleras de emergencia, bodegas y cuarto de subestación</t>
  </si>
  <si>
    <r>
      <t>m</t>
    </r>
    <r>
      <rPr>
        <vertAlign val="super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/>
    </r>
  </si>
  <si>
    <t>Ventana interna tipo 29 VT-29</t>
  </si>
  <si>
    <t>Ventana interna tipo 28 VT-28</t>
  </si>
  <si>
    <t>Puerta batiente con ala a 2,35m del NPA. Marco oculto con acabado y color del muro (0,9x2,35)</t>
  </si>
  <si>
    <t>Puerta batiente con ala a 2,35m del NPA. Marco oculto con acabado y color del muro (1x2,35)</t>
  </si>
  <si>
    <t>Puerta batiente con ala a 2,35m del NPA. Marco oculto con acabado y color del muro (1x2,6)</t>
  </si>
  <si>
    <t>Puerta batiente con ala a 2,35m del NPA. Marco oculto con acabado y color del muro. (1x1,5)</t>
  </si>
  <si>
    <t>Puertas batientes entamborada con acabado en pintura acrílica lavable (1,7x0,9)</t>
  </si>
  <si>
    <t>Puertas batientes entamborada con acabado en pintura acrílica lavable (1,18x0,9)</t>
  </si>
  <si>
    <t>Puerta batiente entamborada con acabado en pintura acrílica lavable (0,9x0,9)</t>
  </si>
  <si>
    <t>Puertas batientes entamborada con acabado en pintura acrílica lavable (1,6x0,9)</t>
  </si>
  <si>
    <t>Puerta batiente metálica con marco oculto microperforada (0,6x2,35)</t>
  </si>
  <si>
    <t>Puerta batiente en persiana metálica (0,9x2,35)</t>
  </si>
  <si>
    <t>Puerta batiente metálica con marco oculto microperforada (0,7x2,35)</t>
  </si>
  <si>
    <t>Puerta batiente metálica con marco oculto microperforada (0,7x2,5)</t>
  </si>
  <si>
    <t>Dos puertas batiente en persiana metálica (2x2,35)</t>
  </si>
  <si>
    <t>Dos puertas batiente en persiana metálica (2x1,4)</t>
  </si>
  <si>
    <t>Puerta batiente metálica con marco oculto microperforada (1x2,5)</t>
  </si>
  <si>
    <t>Puerta batiente en persiana metálica (0,9x2,5)</t>
  </si>
  <si>
    <t>Puerta batiente en persiana metálica (1,195x2,5)</t>
  </si>
  <si>
    <t>Dos puertas batiente resistentes al fuego (2,6x2,6)</t>
  </si>
  <si>
    <t>Dos puertas batiente resistentes al fuego (2,6x2,5)</t>
  </si>
  <si>
    <t>Dos puertas batiente resistentes al fuego (2,2x2,6)</t>
  </si>
  <si>
    <t>Longitud (m)</t>
  </si>
  <si>
    <t>Salidas aguas residuales con tubería PVC - Sanitaria de 2"</t>
  </si>
  <si>
    <t>Salidas aguas residuales con tubería PVC - Sanitaria de 3"</t>
  </si>
  <si>
    <t>Salidas aguas residuales con tubería PVC - Sanitaria de 4"</t>
  </si>
  <si>
    <t>Salidas aguas residuales con tubería PVC - Sanitaria de 6"</t>
  </si>
  <si>
    <t>Salidas aguas residuales con tubería PVC - Sanitaria de 8"</t>
  </si>
  <si>
    <t>Salidas aguas lluvia con tubería PVC - Liviana de 2"</t>
  </si>
  <si>
    <t>Salidas aguas lluvia con tubería PVC - Liviana de 3"</t>
  </si>
  <si>
    <t>Salidas aguas lluvia con tubería PVC - Liviana de 4"</t>
  </si>
  <si>
    <t>Salidas aguas lluvia con tubería PVC - Liviana de 6"</t>
  </si>
  <si>
    <t>Salidas aguas lluvia con tubería PVC - Liviana de 8"</t>
  </si>
  <si>
    <t>Salidas aguas lluvia con tubería PVC - Liviana de 10"</t>
  </si>
  <si>
    <t>Salidas de ventilación con tubería PVC de 2"</t>
  </si>
  <si>
    <t>Salidas de ventilación con tubería PVC de 3"</t>
  </si>
  <si>
    <t>Salidas de ventilación con tubería PVC de 4"</t>
  </si>
  <si>
    <t>Bajantes aguas residuales con tubería PVC - Sanitaria de 3"</t>
  </si>
  <si>
    <t>Bajantes aguas residuales con tubería PVC - Sanitaria de 4"</t>
  </si>
  <si>
    <t>Bajantes aguas residuales con tubería PVC - Sanitaria de 6"</t>
  </si>
  <si>
    <t>Bajantes ventilación con tubería PVC de 3"</t>
  </si>
  <si>
    <t>Bajantes ventilación con tubería PVC de 4"</t>
  </si>
  <si>
    <t>INSTALACIONES HIDROSANITARIAS - DESAGÜES</t>
  </si>
  <si>
    <t>Tanques de abastecimiento de agua potable con capacidad de 20 m3</t>
  </si>
  <si>
    <t>Tanques de agua no potable para reserva contra incendio con capacidad de 139 m3</t>
  </si>
  <si>
    <t>Tanques de agua lluvia filtrada con capacidad de 8 m3</t>
  </si>
  <si>
    <t>Entradas de agua fría potable en tubería PVC-Presión de 1/2"</t>
  </si>
  <si>
    <t>Entradas de agua fría potable en tubería PVC-Presión de 3/4"</t>
  </si>
  <si>
    <t>Entradas de agua fría potable en tubería PVC-Presión de 1"</t>
  </si>
  <si>
    <t>Entradas de agua fría potable en tubería PVC-Presión de 1 1/4"</t>
  </si>
  <si>
    <t>Entradas de agua fría potable en tubería PVC-Presión de 1 1/2"</t>
  </si>
  <si>
    <t>Entradas de agua fría potable en tubería PVC-Presión de 2"</t>
  </si>
  <si>
    <t>Entradas de drenaje de infiltración en tubería PVC de 1/2"</t>
  </si>
  <si>
    <t>Entradas de drenaje de infiltración en tubería PVC de 3/4"</t>
  </si>
  <si>
    <t>Entradas de drenaje de infiltración en tubería PVC de 1 1/4"</t>
  </si>
  <si>
    <t>Entradas de drenaje de infiltración en tubería PVC de 2"</t>
  </si>
  <si>
    <t>Entradas de drenaje de infiltración en tubería PVC de 2 1/2"</t>
  </si>
  <si>
    <t>Entradas de drenaje de infiltración en tubería PVC de 3"</t>
  </si>
  <si>
    <t>Entradas de drenaje de infiltración en tubería PVC de 4"</t>
  </si>
  <si>
    <t>Bomba de agua no potable de 10 HP de fuerza</t>
  </si>
  <si>
    <t>Bomba de agua potable de 5 HP de fuerza</t>
  </si>
  <si>
    <t>Bomba de sistema de riego de 10 HP de fuerza</t>
  </si>
  <si>
    <t>Contadores de abastos de 3/4"</t>
  </si>
  <si>
    <t>Contadores de abastos de 1"</t>
  </si>
  <si>
    <t>Contadores de abastos de 2"</t>
  </si>
  <si>
    <t>Contadores de abastos de 3"</t>
  </si>
  <si>
    <t>Contadores de abastos de 4"</t>
  </si>
  <si>
    <t>Red alimentadora de riego de tubería 1"</t>
  </si>
  <si>
    <t>Red alimentadora de riego de tubería 1 1/2"</t>
  </si>
  <si>
    <t>Red alimentadora de riego de tubería 1 1/4"</t>
  </si>
  <si>
    <t>Red alimentadora de riego de tubería 2"</t>
  </si>
  <si>
    <t>Red alimentadora contraincendios de tubería de 2"</t>
  </si>
  <si>
    <t>Red alimentadora contraincendios de tubería de 4"</t>
  </si>
  <si>
    <t xml:space="preserve">TOTALES DRENAJE DE INFILTACIÓN </t>
  </si>
  <si>
    <t>TOTALES AGUA FRÍA POTABLE</t>
  </si>
  <si>
    <t xml:space="preserve">TOTALES VENTILACIÓN </t>
  </si>
  <si>
    <t>TOTALES AGUAS LLUVIAS</t>
  </si>
  <si>
    <t xml:space="preserve">TOTALES AGUAS RESIDUALES </t>
  </si>
  <si>
    <t>TOTALES BAJANTES</t>
  </si>
  <si>
    <t>SALIDAS - DESAGUES</t>
  </si>
  <si>
    <t>Bajantes aguas lluvia con tubería PVC - Sanitaria de 6"</t>
  </si>
  <si>
    <t>Bajantes aguas lluvia con tubería PVC - Sanitaria de 2"</t>
  </si>
  <si>
    <t>Bajantes aguas lluvia con tubería PVC - Sanitaria de 3"</t>
  </si>
  <si>
    <t>Bajantes aguas lluvia con tubería PVC - Sanitaria de 4"</t>
  </si>
  <si>
    <t>Pasamanos escaleras en concreto a piso 5</t>
  </si>
  <si>
    <t>1.4</t>
  </si>
  <si>
    <t>1.5</t>
  </si>
  <si>
    <t>1.6</t>
  </si>
  <si>
    <t>1.7</t>
  </si>
  <si>
    <t>INSTALACIONES HIDROSANITARIAS ABASTOS</t>
  </si>
  <si>
    <t>14.1</t>
  </si>
  <si>
    <t>14.2</t>
  </si>
  <si>
    <t>14.3</t>
  </si>
  <si>
    <t>14.4</t>
  </si>
  <si>
    <t>14.5</t>
  </si>
  <si>
    <t>14.6</t>
  </si>
  <si>
    <t>14.7</t>
  </si>
  <si>
    <t>14.8</t>
  </si>
  <si>
    <t>14.9</t>
  </si>
  <si>
    <t>14.10</t>
  </si>
  <si>
    <t>14.11</t>
  </si>
  <si>
    <t>14.12</t>
  </si>
  <si>
    <t>14.13</t>
  </si>
  <si>
    <t>14.14</t>
  </si>
  <si>
    <t>15.1</t>
  </si>
  <si>
    <t>16.1</t>
  </si>
  <si>
    <t>16.2</t>
  </si>
  <si>
    <t>16.3</t>
  </si>
  <si>
    <t>16.4</t>
  </si>
  <si>
    <t>16.5</t>
  </si>
  <si>
    <t>16.7</t>
  </si>
  <si>
    <t>16.8</t>
  </si>
  <si>
    <t>16.9</t>
  </si>
  <si>
    <t>16.10</t>
  </si>
  <si>
    <t>16.21</t>
  </si>
  <si>
    <t>16.22</t>
  </si>
  <si>
    <t>16.26</t>
  </si>
  <si>
    <t>16.27</t>
  </si>
  <si>
    <t>16.28</t>
  </si>
  <si>
    <t>16.29</t>
  </si>
  <si>
    <t>16.30</t>
  </si>
  <si>
    <t>16.31</t>
  </si>
  <si>
    <t>16.32</t>
  </si>
  <si>
    <t>16.33</t>
  </si>
  <si>
    <t>16.34</t>
  </si>
  <si>
    <t>16.35</t>
  </si>
  <si>
    <t>16.36</t>
  </si>
  <si>
    <t>16.37</t>
  </si>
  <si>
    <t>16.38</t>
  </si>
  <si>
    <t>16.39</t>
  </si>
  <si>
    <t>16.40</t>
  </si>
  <si>
    <t>17.1</t>
  </si>
  <si>
    <t>17.2</t>
  </si>
  <si>
    <t>17.3</t>
  </si>
  <si>
    <t>17.4</t>
  </si>
  <si>
    <t>17.5</t>
  </si>
  <si>
    <t>17.6</t>
  </si>
  <si>
    <t>17.7</t>
  </si>
  <si>
    <t>17.8</t>
  </si>
  <si>
    <t>17.9</t>
  </si>
  <si>
    <t>17.10</t>
  </si>
  <si>
    <t>17.11</t>
  </si>
  <si>
    <t>17.12</t>
  </si>
  <si>
    <t>17.13</t>
  </si>
  <si>
    <t>17.14</t>
  </si>
  <si>
    <t>17.15</t>
  </si>
  <si>
    <t>17.16</t>
  </si>
  <si>
    <t>17.17</t>
  </si>
  <si>
    <t>17.18</t>
  </si>
  <si>
    <t>17.19</t>
  </si>
  <si>
    <t>17.20</t>
  </si>
  <si>
    <t>17.21</t>
  </si>
  <si>
    <t>17.22</t>
  </si>
  <si>
    <t>17.23</t>
  </si>
  <si>
    <t>17.24</t>
  </si>
  <si>
    <t>17.25</t>
  </si>
  <si>
    <t>18.23</t>
  </si>
  <si>
    <t>18.24</t>
  </si>
  <si>
    <t>18.25</t>
  </si>
  <si>
    <t>18.26</t>
  </si>
  <si>
    <t>18.27</t>
  </si>
  <si>
    <t>18.28</t>
  </si>
  <si>
    <t>18.29</t>
  </si>
  <si>
    <t>18.30</t>
  </si>
  <si>
    <t>19.1</t>
  </si>
  <si>
    <t>20.1</t>
  </si>
  <si>
    <t>20.2</t>
  </si>
  <si>
    <t>Instalación módulos de prefabricado en concreto de GRC</t>
  </si>
  <si>
    <t>19.2</t>
  </si>
  <si>
    <t>19.3</t>
  </si>
  <si>
    <t>Armado y vaciado de losa aligerada con casetón recuperable (f'c=24,5Mpa) e= 0,6m</t>
  </si>
  <si>
    <t>LOSA TÍPICA: PISOS 5 AL 9</t>
  </si>
  <si>
    <t>LOSAS NO TÍPICAS: PISOS 1 AL 4</t>
  </si>
  <si>
    <t>TOTAL CONCRETO EN LOSETA</t>
  </si>
  <si>
    <t>Losa no tipica - piso 1 al 4</t>
  </si>
  <si>
    <t>Losa tipica - piso 5 al 9</t>
  </si>
  <si>
    <t xml:space="preserve">Armado y vaciado de vigas de cimentación (f'c=24 Mpa) </t>
  </si>
  <si>
    <t>m3/m3</t>
  </si>
  <si>
    <t xml:space="preserve">Armado y vaciado de pilas (f'c=28 Mpa) </t>
  </si>
  <si>
    <t>Concreto anillado</t>
  </si>
  <si>
    <t>ESCALERAS</t>
  </si>
  <si>
    <t>ESCALERAS DE CONCRETO. PISOS 1 AL 5</t>
  </si>
  <si>
    <t xml:space="preserve">Armado y vaciado de escaleras del piso 1 al 5 (f'c=28 Mpa) </t>
  </si>
  <si>
    <t>Concreto f'c=35 Mpa</t>
  </si>
  <si>
    <t>Concreto f'c=28 Mpa</t>
  </si>
  <si>
    <t>MUROS ESTRUCTURALES</t>
  </si>
  <si>
    <t>Anillado de pilas de cimentación en concreto con f'c=17 Mpa</t>
  </si>
  <si>
    <t>Refuerzo en acero de 1/2"</t>
  </si>
  <si>
    <t>Refuerzo en grafil de 4 mm</t>
  </si>
  <si>
    <t>EQUIPOS LOSAS</t>
  </si>
  <si>
    <t>Colocación de la obra falsa para el posterior vaciado de losas</t>
  </si>
  <si>
    <t>EQUIPOS: LOSAS</t>
  </si>
  <si>
    <t>Tacos</t>
  </si>
  <si>
    <t>Vigas</t>
  </si>
  <si>
    <t>Cerchas</t>
  </si>
  <si>
    <t>Teleras</t>
  </si>
  <si>
    <t>uni/m2</t>
  </si>
  <si>
    <t>uni/m3</t>
  </si>
  <si>
    <t>EQUIPOS: COLUMNAS</t>
  </si>
  <si>
    <t>Colocación de la obra falsa para el posterior vaciado de columnas</t>
  </si>
  <si>
    <t>Tablero 0,4x1,2m</t>
  </si>
  <si>
    <t>Tablero 0,5x1,2m</t>
  </si>
  <si>
    <t>Tablero 0,6x1,2m</t>
  </si>
  <si>
    <t>28 Marzo de 2016</t>
  </si>
  <si>
    <t xml:space="preserve">CANTIDAD TOTAL PUERTAS DE METAL </t>
  </si>
  <si>
    <t>CANTIDAD PUERTAS DE MADERA</t>
  </si>
  <si>
    <t>1 Marzo de 2016</t>
  </si>
  <si>
    <t xml:space="preserve">Recordar que el piso 5 tiene pasamanos con vidrio, sin muro y por lo tanto sin fachada con equitoné </t>
  </si>
  <si>
    <t xml:space="preserve">Localización y replanteo </t>
  </si>
  <si>
    <t>CÓDIGO</t>
  </si>
  <si>
    <t>DESPERDICIO</t>
  </si>
  <si>
    <t>PRECIO UNITARIO</t>
  </si>
  <si>
    <t>h</t>
  </si>
  <si>
    <t xml:space="preserve"> 014012</t>
  </si>
  <si>
    <t>gb</t>
  </si>
  <si>
    <t>BASES DE DATOS</t>
  </si>
  <si>
    <t xml:space="preserve"> 012512</t>
  </si>
  <si>
    <t>Instalaciones provisionales, campamentos en Madera (24m2)</t>
  </si>
  <si>
    <t>Total Unitario</t>
  </si>
  <si>
    <t>Oficina interventores, almacen, caspete, oficina ingenieros, baños ingenieros, vestienes, salón reuniones, enfermería, portería y taller</t>
  </si>
  <si>
    <t>10380</t>
  </si>
  <si>
    <t>teja ond. eternit  # 8 gris</t>
  </si>
  <si>
    <t>und</t>
  </si>
  <si>
    <t>20008</t>
  </si>
  <si>
    <t>piedra</t>
  </si>
  <si>
    <t>20095</t>
  </si>
  <si>
    <t>concr.3500 psi (TMN 1 pulg ) premez</t>
  </si>
  <si>
    <t>20366</t>
  </si>
  <si>
    <t>arenilla triturada</t>
  </si>
  <si>
    <t>21559</t>
  </si>
  <si>
    <t>clavo corriente 2 pulg</t>
  </si>
  <si>
    <t>lb</t>
  </si>
  <si>
    <t>23862</t>
  </si>
  <si>
    <t>can 2x8pulg  mad.comun sin cep.(3m)</t>
  </si>
  <si>
    <t>23898</t>
  </si>
  <si>
    <t>telera 135cmx90cm mad.comun sin cep.</t>
  </si>
  <si>
    <t>28506</t>
  </si>
  <si>
    <t>media telera135x45cm mad.comun sin cep.</t>
  </si>
  <si>
    <t>60033</t>
  </si>
  <si>
    <t>oficial de 2a obra negra</t>
  </si>
  <si>
    <t>60038</t>
  </si>
  <si>
    <t>ayudante entendido</t>
  </si>
  <si>
    <t>80004</t>
  </si>
  <si>
    <t>tpte agregados m3/km</t>
  </si>
  <si>
    <t>% de Herramienta</t>
  </si>
  <si>
    <t>PRECIO</t>
  </si>
  <si>
    <t>15576</t>
  </si>
  <si>
    <t>sanitario báltico con fluxometro</t>
  </si>
  <si>
    <t>20087</t>
  </si>
  <si>
    <t>concr.2500 psi (TMN 3/8 ) premez.</t>
  </si>
  <si>
    <t>20107</t>
  </si>
  <si>
    <t>mortero 1:7 en obra</t>
  </si>
  <si>
    <t>20148</t>
  </si>
  <si>
    <t>lad.perf.hzontal liso 10-20-40</t>
  </si>
  <si>
    <t>21654</t>
  </si>
  <si>
    <t>codo 90°-1/4 cxc 4 pulg  pavco</t>
  </si>
  <si>
    <t>22023</t>
  </si>
  <si>
    <t>sifon c/tapon 1.1/2 pulg   sanitaria pav</t>
  </si>
  <si>
    <t>22257</t>
  </si>
  <si>
    <t>tub.concr.u.m. 4 pulg  ind.dique</t>
  </si>
  <si>
    <t>61194</t>
  </si>
  <si>
    <t>m.de o.inst.sanitarios</t>
  </si>
  <si>
    <t xml:space="preserve"> 012514</t>
  </si>
  <si>
    <t>Construdata</t>
  </si>
  <si>
    <t>Hora cuadrilla albañilería</t>
  </si>
  <si>
    <t>Tela verde 60gr ancho 2,10m</t>
  </si>
  <si>
    <t>Poste para cerca 11x11x1.50mx48</t>
  </si>
  <si>
    <t>Rellemo con material de excavación</t>
  </si>
  <si>
    <t xml:space="preserve">Instalación de línea telefónica provisional </t>
  </si>
  <si>
    <t xml:space="preserve"> 012516</t>
  </si>
  <si>
    <t>20077</t>
  </si>
  <si>
    <t>linea telefonica</t>
  </si>
  <si>
    <t>MOVIMIENTO DE TIERRA</t>
  </si>
  <si>
    <t>Descapote a máquina del terreno</t>
  </si>
  <si>
    <t xml:space="preserve"> 014010</t>
  </si>
  <si>
    <t>60039</t>
  </si>
  <si>
    <t>ayudante raso</t>
  </si>
  <si>
    <t>70988</t>
  </si>
  <si>
    <t>buld.rip.standar cater d8k-76v</t>
  </si>
  <si>
    <t>Instalación de servicio de agua provisional (30m)</t>
  </si>
  <si>
    <t>Cheque cortina 1/2</t>
  </si>
  <si>
    <t>Tubo presión pvc 1/2 rde 13.5</t>
  </si>
  <si>
    <t>Soldadura pvc wet bonding (1/4 gal)</t>
  </si>
  <si>
    <t>Limpiador removedor pvc 1/2</t>
  </si>
  <si>
    <t>Hora cuadrilla instalaciones</t>
  </si>
  <si>
    <t>Unión presión pvc 1/2</t>
  </si>
  <si>
    <t>62083</t>
  </si>
  <si>
    <t>comision topografica</t>
  </si>
  <si>
    <t>Movimiento de tierra a máquina (h=1-1.5 c.abierto)</t>
  </si>
  <si>
    <t xml:space="preserve"> 014030</t>
  </si>
  <si>
    <t>71007</t>
  </si>
  <si>
    <t>cargador bobcat s175 (con operador)</t>
  </si>
  <si>
    <t>Cargado y botado de tierra</t>
  </si>
  <si>
    <t>60590</t>
  </si>
  <si>
    <t>m.de o.cargue en volq.y botada escomb</t>
  </si>
  <si>
    <t>70916</t>
  </si>
  <si>
    <t>retr.s/ll c:76m3 jcb-214s llanta</t>
  </si>
  <si>
    <t xml:space="preserve"> 014055</t>
  </si>
  <si>
    <t>23874</t>
  </si>
  <si>
    <t>tabla 2cmx10pulg  mad.comun sin cep.(3m)</t>
  </si>
  <si>
    <t>60219</t>
  </si>
  <si>
    <t>m.de o.exc.pilas 2-4mt</t>
  </si>
  <si>
    <t>71504</t>
  </si>
  <si>
    <t>molinete</t>
  </si>
  <si>
    <t>71738</t>
  </si>
  <si>
    <t>bomba succ.de 2 pulg</t>
  </si>
  <si>
    <t xml:space="preserve"> 014042</t>
  </si>
  <si>
    <t xml:space="preserve"> 014032</t>
  </si>
  <si>
    <t xml:space="preserve"> 021091</t>
  </si>
  <si>
    <t>60032</t>
  </si>
  <si>
    <t>oficial de 1a obra negra</t>
  </si>
  <si>
    <t>20094</t>
  </si>
  <si>
    <t>60241</t>
  </si>
  <si>
    <t>m.de o.vac.concr.pilas</t>
  </si>
  <si>
    <t>61963</t>
  </si>
  <si>
    <t>acarreo int.mezclas</t>
  </si>
  <si>
    <t>80195</t>
  </si>
  <si>
    <t>tpte concr.mezc.m3/km</t>
  </si>
  <si>
    <t>61140</t>
  </si>
  <si>
    <t>m.de o.vigas fund(form-vac-des</t>
  </si>
  <si>
    <t>71667</t>
  </si>
  <si>
    <t>vibrador electrico</t>
  </si>
  <si>
    <t xml:space="preserve"> 021030</t>
  </si>
  <si>
    <t>10017</t>
  </si>
  <si>
    <t>acero corrugado 60  1 pulg</t>
  </si>
  <si>
    <t>60046</t>
  </si>
  <si>
    <t>operador equipo mediano</t>
  </si>
  <si>
    <t>71522</t>
  </si>
  <si>
    <t>malacate pluma 250 kg</t>
  </si>
  <si>
    <t>71315</t>
  </si>
  <si>
    <t>telera en madera 0.45x1.35</t>
  </si>
  <si>
    <t>71317</t>
  </si>
  <si>
    <t>telera en madera 0.90x1.35</t>
  </si>
  <si>
    <t>71388</t>
  </si>
  <si>
    <t>vigas metalicas de 3m</t>
  </si>
  <si>
    <t>71404</t>
  </si>
  <si>
    <t>taco metal.largos 4.50 mts</t>
  </si>
  <si>
    <t>22470</t>
  </si>
  <si>
    <t>polietileno transparente</t>
  </si>
  <si>
    <t>24598</t>
  </si>
  <si>
    <t>71247</t>
  </si>
  <si>
    <t>can hasta 2.80 m m.c.</t>
  </si>
  <si>
    <t xml:space="preserve"> 063052</t>
  </si>
  <si>
    <t xml:space="preserve"> 067014</t>
  </si>
  <si>
    <t>concr.5000 psi premez.</t>
  </si>
  <si>
    <t>20429</t>
  </si>
  <si>
    <t>Antisol blanco sika (20 kg)</t>
  </si>
  <si>
    <t>21683</t>
  </si>
  <si>
    <t>acpm</t>
  </si>
  <si>
    <t>gal</t>
  </si>
  <si>
    <t>22471</t>
  </si>
  <si>
    <t>parafina</t>
  </si>
  <si>
    <t>60947</t>
  </si>
  <si>
    <t>construc.colum.&gt;30x30</t>
  </si>
  <si>
    <t>71273</t>
  </si>
  <si>
    <t>chapeta tensora 3/8 cuña</t>
  </si>
  <si>
    <t>71339</t>
  </si>
  <si>
    <t>tapa colum.2.4x0.60 metal</t>
  </si>
  <si>
    <t>Armado y vaciado de vigas de cimentación en concreto de f´c= 24 Mpa</t>
  </si>
  <si>
    <t>caseton en mad.recup .h:0.60</t>
  </si>
  <si>
    <t>caseton en mad.recup. h:0.60</t>
  </si>
  <si>
    <t>Armado y vaciado de columnas de f'c=35 Mpa</t>
  </si>
  <si>
    <t>Armado y vaciado de columnas de f'c=28 Mpa</t>
  </si>
  <si>
    <t>Columnas (0,8X0,6) f'c=35MPa</t>
  </si>
  <si>
    <t>Columnas (0,8X0,6) f'c=28MPa</t>
  </si>
  <si>
    <t>Columnas (1,2X0,6) f'c=35MPa</t>
  </si>
  <si>
    <t>Columnas (1,2X0,6) f'c=28MPa</t>
  </si>
  <si>
    <t>Columnas (1,5X0,6) f'c=35MPa</t>
  </si>
  <si>
    <t>Columnas (2X0,4) f'c=35MPa</t>
  </si>
  <si>
    <t>Columnas (0,4X0,4) f'c=35MPa</t>
  </si>
  <si>
    <t>Columnas (0,25X0,25) f'c=35MPa</t>
  </si>
  <si>
    <t>concr.4000 psi (TMN 1 pulg ) preme</t>
  </si>
  <si>
    <t xml:space="preserve"> 064023</t>
  </si>
  <si>
    <t>10062</t>
  </si>
  <si>
    <t>alambron 40  1/4 pulg liso</t>
  </si>
  <si>
    <t>15953</t>
  </si>
  <si>
    <t>alambre negro #18 recocido</t>
  </si>
  <si>
    <t>62056</t>
  </si>
  <si>
    <t>corte y figuracion de refuerzo</t>
  </si>
  <si>
    <t>62062</t>
  </si>
  <si>
    <t>coloc.refuerzo</t>
  </si>
  <si>
    <t xml:space="preserve"> 061030</t>
  </si>
  <si>
    <t>10066</t>
  </si>
  <si>
    <t>alambron 40  3/8 pulg  liso</t>
  </si>
  <si>
    <t xml:space="preserve"> 061032</t>
  </si>
  <si>
    <t>10006</t>
  </si>
  <si>
    <t>acero corrugado 60  1/2 pulg</t>
  </si>
  <si>
    <t xml:space="preserve"> 061038</t>
  </si>
  <si>
    <t>10009</t>
  </si>
  <si>
    <t>acero corrugado 60  5/8 pulg</t>
  </si>
  <si>
    <t xml:space="preserve"> 061040</t>
  </si>
  <si>
    <t xml:space="preserve"> 061042</t>
  </si>
  <si>
    <t xml:space="preserve"> 061044</t>
  </si>
  <si>
    <t>malla tipo d 188</t>
  </si>
  <si>
    <t xml:space="preserve"> 061024</t>
  </si>
  <si>
    <t>10200</t>
  </si>
  <si>
    <t xml:space="preserve">INSTALACIONES ESPECIALES </t>
  </si>
  <si>
    <t>PINTURA Y ESTUCO</t>
  </si>
  <si>
    <t>6.2</t>
  </si>
  <si>
    <t>8.2</t>
  </si>
  <si>
    <t xml:space="preserve">TOTAL ESTUCO </t>
  </si>
  <si>
    <t>TOTAL REVOQUE</t>
  </si>
  <si>
    <t>DINTELES Y SILLARES ESTUCO</t>
  </si>
  <si>
    <t>DINTELES Y SILLARES REVOQUE</t>
  </si>
  <si>
    <t xml:space="preserve">TOTAL ESTUCO DINTELES Y SILLARES </t>
  </si>
  <si>
    <t xml:space="preserve">TOTAL REVOQUE DINTELES Y SILLARES </t>
  </si>
  <si>
    <t xml:space="preserve">REVOQUE </t>
  </si>
  <si>
    <t>20104</t>
  </si>
  <si>
    <t>mortero 1:4 en obra</t>
  </si>
  <si>
    <t>28520</t>
  </si>
  <si>
    <t>cal</t>
  </si>
  <si>
    <t>60034</t>
  </si>
  <si>
    <t>oficial de 1a obra blanca</t>
  </si>
  <si>
    <t>71227</t>
  </si>
  <si>
    <t>andamio tramo completo 1.5x1.5</t>
  </si>
  <si>
    <t xml:space="preserve"> 051010</t>
  </si>
  <si>
    <t>61080</t>
  </si>
  <si>
    <t>m.de o.revoque liso m.</t>
  </si>
  <si>
    <t>ESTUCO Y PINTURA</t>
  </si>
  <si>
    <t xml:space="preserve"> 190510</t>
  </si>
  <si>
    <t>12132</t>
  </si>
  <si>
    <t>estucor corona x 30</t>
  </si>
  <si>
    <t xml:space="preserve"> 190542</t>
  </si>
  <si>
    <t>15422</t>
  </si>
  <si>
    <t>viniltex pintuco (gal)</t>
  </si>
  <si>
    <t>TOTAL VENTANAS VIDRIO LAMINADO PVB 0,38</t>
  </si>
  <si>
    <t>CARPINTERÍA METÁLICA</t>
  </si>
  <si>
    <t>TOTAL VENTANAS VIDRIO SAND BLASTED PVB 0,38</t>
  </si>
  <si>
    <t>TOTAL VENTANAS GRC (Sistema Vidrio a Tope)</t>
  </si>
  <si>
    <t>Ventanería en vidrio sand blasted PVB 0,38</t>
  </si>
  <si>
    <t>Ventanería en vidrio laminado PVB 0,38</t>
  </si>
  <si>
    <t>Ventanería GRC (Sistema Vidrio a Tope)</t>
  </si>
  <si>
    <t>12.9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</si>
  <si>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</si>
  <si>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</si>
  <si>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</si>
  <si>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</si>
  <si>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</si>
  <si>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</si>
  <si>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</si>
  <si>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</si>
  <si>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</si>
  <si>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</si>
  <si>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</si>
  <si>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</si>
  <si>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</si>
  <si>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</si>
  <si>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</si>
  <si>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</si>
  <si>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12.26</t>
  </si>
  <si>
    <t>12.27</t>
  </si>
  <si>
    <t>12.28</t>
  </si>
  <si>
    <t>12.29</t>
  </si>
  <si>
    <t>12.30</t>
  </si>
  <si>
    <t>12.31</t>
  </si>
  <si>
    <t>12.32</t>
  </si>
  <si>
    <t>12.33</t>
  </si>
  <si>
    <t>12.34</t>
  </si>
  <si>
    <t>12.35</t>
  </si>
  <si>
    <t>12.36</t>
  </si>
  <si>
    <t>12.37</t>
  </si>
  <si>
    <t>12.38</t>
  </si>
  <si>
    <t>12.39</t>
  </si>
  <si>
    <t>12.40</t>
  </si>
  <si>
    <t>12.41</t>
  </si>
  <si>
    <t>12.42</t>
  </si>
  <si>
    <t>12.43</t>
  </si>
  <si>
    <t>18.1</t>
  </si>
  <si>
    <t xml:space="preserve"> 119070</t>
  </si>
  <si>
    <t>24638</t>
  </si>
  <si>
    <t>tub.galv.1 pulg  6m pes.c/r.s/u</t>
  </si>
  <si>
    <t>24717</t>
  </si>
  <si>
    <t>union recta 1 pulg  galv.</t>
  </si>
  <si>
    <t>26970</t>
  </si>
  <si>
    <t>tanq.k-1000 lt eternit</t>
  </si>
  <si>
    <t>26972</t>
  </si>
  <si>
    <t>tapa tanque k-1000 lt eternit</t>
  </si>
  <si>
    <t>60062</t>
  </si>
  <si>
    <t>oficial de plomeria</t>
  </si>
  <si>
    <t>ENTRADAS ABASTOS</t>
  </si>
  <si>
    <t xml:space="preserve"> 112050</t>
  </si>
  <si>
    <t>20908</t>
  </si>
  <si>
    <t>tub.presion 6m 1/2 pulg  rde 9 pavco</t>
  </si>
  <si>
    <t>21034</t>
  </si>
  <si>
    <t>tee 1/2 pulg  tub.presion pavco</t>
  </si>
  <si>
    <t>21091</t>
  </si>
  <si>
    <t>codo 90° 1/2 pulg  presion pavco</t>
  </si>
  <si>
    <t>21161</t>
  </si>
  <si>
    <t>union 1/2 pulg  presion pavco</t>
  </si>
  <si>
    <t>21217</t>
  </si>
  <si>
    <t>adapt.hembra 1/2 pulg  presion pavco</t>
  </si>
  <si>
    <t>21854</t>
  </si>
  <si>
    <t>soldadura liquida pvc pavco</t>
  </si>
  <si>
    <t>g/4</t>
  </si>
  <si>
    <t>22011</t>
  </si>
  <si>
    <t>limpiador remov. para pvc (760gr) pavco</t>
  </si>
  <si>
    <t xml:space="preserve"> 112052</t>
  </si>
  <si>
    <t>20206</t>
  </si>
  <si>
    <t>union 3/4 pulg  presion pavco</t>
  </si>
  <si>
    <t>20928</t>
  </si>
  <si>
    <t>tub.presion 6m 3/4 pulg  rde 21 pavco</t>
  </si>
  <si>
    <t>21036</t>
  </si>
  <si>
    <t>tee 3/4 pulg  tub.presion pavco</t>
  </si>
  <si>
    <t>21097</t>
  </si>
  <si>
    <t>codo 90° 3/4 pulg  presion pavco</t>
  </si>
  <si>
    <t>21221</t>
  </si>
  <si>
    <t>adapt. hembra 3/4 pulg  presion pavco</t>
  </si>
  <si>
    <t xml:space="preserve"> 112054</t>
  </si>
  <si>
    <t>20933</t>
  </si>
  <si>
    <t>tub.presion 6m rde 21 1 pulg  pavco</t>
  </si>
  <si>
    <t>21044</t>
  </si>
  <si>
    <t>tee 1 pulg  tub.presion pavco</t>
  </si>
  <si>
    <t>21099</t>
  </si>
  <si>
    <t>codo 90° 1 pulg  presion pavco</t>
  </si>
  <si>
    <t>22607</t>
  </si>
  <si>
    <t>union 1 pulg  presion pavco</t>
  </si>
  <si>
    <t>22615</t>
  </si>
  <si>
    <t>adapt.hembra 1 pulg  presion pavco</t>
  </si>
  <si>
    <t xml:space="preserve"> 112056</t>
  </si>
  <si>
    <t>20219</t>
  </si>
  <si>
    <t>union 1.¨ pulg  presion pavco</t>
  </si>
  <si>
    <t>20941</t>
  </si>
  <si>
    <t>tub.presion 6m 1.¨ pulg  rde 21pavco</t>
  </si>
  <si>
    <t>21048</t>
  </si>
  <si>
    <t>tee 1.1/4 pulg  tub.presion pavco</t>
  </si>
  <si>
    <t>21104</t>
  </si>
  <si>
    <t>codo  90° 1.1/4pulg  presion pavco</t>
  </si>
  <si>
    <t>21203</t>
  </si>
  <si>
    <t>adapt. hembra 1.¨ pulg  presion pavco</t>
  </si>
  <si>
    <t xml:space="preserve"> 112058</t>
  </si>
  <si>
    <t>20229</t>
  </si>
  <si>
    <t>union 1.1/2 pulg  presion pavco</t>
  </si>
  <si>
    <t>20943</t>
  </si>
  <si>
    <t>tub.presion 6m 1.1/2 pulg  rde 21 pavco</t>
  </si>
  <si>
    <t>21052</t>
  </si>
  <si>
    <t>tee 1.1/2 pulg  tub.presion pavco</t>
  </si>
  <si>
    <t>21110</t>
  </si>
  <si>
    <t>codo 90° 1.1/2 pulg  presion pavco</t>
  </si>
  <si>
    <t xml:space="preserve"> 112060</t>
  </si>
  <si>
    <t>11011</t>
  </si>
  <si>
    <t>soporte metalico canal pavco</t>
  </si>
  <si>
    <t>20951</t>
  </si>
  <si>
    <t>tub.presion 6m rde 21 2 pulg  pavco</t>
  </si>
  <si>
    <t>21057</t>
  </si>
  <si>
    <t>tee 2 pulg  tub.presion pavco</t>
  </si>
  <si>
    <t>21117</t>
  </si>
  <si>
    <t>codo 90° 2 pulg  presion pavco</t>
  </si>
  <si>
    <t>22609</t>
  </si>
  <si>
    <t>union 2 pulg  presion pavco</t>
  </si>
  <si>
    <t xml:space="preserve"> 112062</t>
  </si>
  <si>
    <t>20627</t>
  </si>
  <si>
    <t>union 2.1/2 pulg  presion pavco</t>
  </si>
  <si>
    <t>20955</t>
  </si>
  <si>
    <t>tub.presion 6m 2.1/2 pulg  rde 21 pavco</t>
  </si>
  <si>
    <t>21070</t>
  </si>
  <si>
    <t>tee 2.1/2 pulg  tub.presion pavco</t>
  </si>
  <si>
    <t>21119</t>
  </si>
  <si>
    <t>codo 90° 2.1/2 pulg  presion pavco</t>
  </si>
  <si>
    <t xml:space="preserve"> 112064</t>
  </si>
  <si>
    <t>20483</t>
  </si>
  <si>
    <t>union 3 pulg  presion pavco</t>
  </si>
  <si>
    <t>20959</t>
  </si>
  <si>
    <t>tub.presion 6m rde 21 3 pulg  pavco</t>
  </si>
  <si>
    <t>21124</t>
  </si>
  <si>
    <t>codo 90° 3 pulg  presion pavco</t>
  </si>
  <si>
    <t>21171</t>
  </si>
  <si>
    <t>tee 3 pulg  tub. presion pavco</t>
  </si>
  <si>
    <t xml:space="preserve"> 112066</t>
  </si>
  <si>
    <t>20698</t>
  </si>
  <si>
    <t>union 4 pulg  presion pavco</t>
  </si>
  <si>
    <t>20963</t>
  </si>
  <si>
    <t>tub.presion 6m rde 21 4 pulg  pavco</t>
  </si>
  <si>
    <t>21128</t>
  </si>
  <si>
    <t>codo 90° 4 pulg  presion pavco</t>
  </si>
  <si>
    <t>21182</t>
  </si>
  <si>
    <t>tee 4 pulg  tub.presion pavco</t>
  </si>
  <si>
    <t>Costrudata</t>
  </si>
  <si>
    <t>concr.4000 psi (TMN 1 pulg ) prem</t>
  </si>
  <si>
    <t>concr.3500 psi (TMN 1 pulg ) prem</t>
  </si>
  <si>
    <t>27783</t>
  </si>
  <si>
    <t>27782</t>
  </si>
  <si>
    <t>27780</t>
  </si>
  <si>
    <t>concr.2500 psi (TMN 1 pulg ) prem</t>
  </si>
  <si>
    <t>27784</t>
  </si>
  <si>
    <t xml:space="preserve"> 157011</t>
  </si>
  <si>
    <t>13304</t>
  </si>
  <si>
    <t>20106</t>
  </si>
  <si>
    <t>mortero 1:6 en obra</t>
  </si>
  <si>
    <t>61999</t>
  </si>
  <si>
    <t>inst.marco puerta lamina</t>
  </si>
  <si>
    <t>Instalaciones provisionales, campamentos en madera (24m2)</t>
  </si>
  <si>
    <t>Instalación servicios sanitarios provisionales para obreros (4m2)</t>
  </si>
  <si>
    <t>Cerramiento en malla verde de construccón (H=2m)</t>
  </si>
  <si>
    <t>Cerramiento en malla verde de construcción (H=2m)</t>
  </si>
  <si>
    <t>Instalación de línea telefónica provisional</t>
  </si>
  <si>
    <t>PRECIO TOTAL</t>
  </si>
  <si>
    <t>% INCIDENCIA</t>
  </si>
  <si>
    <t>Movimiento de tierra a máquina (h=1-1,5 c.abierto)</t>
  </si>
  <si>
    <t>Excavación manual del foso de ascensor</t>
  </si>
  <si>
    <t>3.6</t>
  </si>
  <si>
    <t>Grupo de presión doméstico, para suministro de agua en aspiración con carga</t>
  </si>
  <si>
    <t>Ud</t>
  </si>
  <si>
    <t>Válvula de esfera de latón niquelado para roscar de 1".</t>
  </si>
  <si>
    <t>Válvula de retención de latón para roscar de 1".</t>
  </si>
  <si>
    <t>Manguito antivibración, de goma, con rosca de 1", para una presión máxima de trabajo de 10 bar.</t>
  </si>
  <si>
    <t>Material auxiliar para instalaciones hidráulicas.</t>
  </si>
  <si>
    <t>Oficial 1ª plomero.</t>
  </si>
  <si>
    <t>Ayudante plomero.</t>
  </si>
  <si>
    <t>Material auxiliar para instalaciones</t>
  </si>
  <si>
    <t>Oficial 1ª calefactor.</t>
  </si>
  <si>
    <t>Medidor de agua flanchado de 1 elst</t>
  </si>
  <si>
    <t>Medidor de agua flanchado 3/4 elst</t>
  </si>
  <si>
    <t>Medidor de agua flanchado de 2 elst</t>
  </si>
  <si>
    <t>Medidor de agua flanchado de 3 elst</t>
  </si>
  <si>
    <t>tub.met.galv.pesada 2 pulg cond.</t>
  </si>
  <si>
    <t>Imprimación antioxidante con poliuretano.</t>
  </si>
  <si>
    <t>Esmalte sintético, color rojo RAL 3000, para aplicar sobre superficies metálicas, aspecto brillante.</t>
  </si>
  <si>
    <t>Material auxiliar para instalaciones contra incendios.</t>
  </si>
  <si>
    <t>Un</t>
  </si>
  <si>
    <t>Maestro pintor.</t>
  </si>
  <si>
    <t>INSTALACIONES ESPECIALES</t>
  </si>
  <si>
    <t>un</t>
  </si>
  <si>
    <t>materiales para ascensor</t>
  </si>
  <si>
    <t>gl</t>
  </si>
  <si>
    <t>resane y pintura foso ascensor</t>
  </si>
  <si>
    <t>tr</t>
  </si>
  <si>
    <t xml:space="preserve">m.o.instalacion ascensor </t>
  </si>
  <si>
    <t>hc</t>
  </si>
  <si>
    <t>ascensor mitsubishi 8 pas</t>
  </si>
  <si>
    <t>EQUIPOS Y MUEBLES DE BAÑOS Y COCINAS</t>
  </si>
  <si>
    <t>20056</t>
  </si>
  <si>
    <t>cemento blanco tipo i (40 kg)</t>
  </si>
  <si>
    <t>sac</t>
  </si>
  <si>
    <t>24590</t>
  </si>
  <si>
    <t>valv.regulacion 1/2 pulg metal.al.sat. g</t>
  </si>
  <si>
    <t>29808</t>
  </si>
  <si>
    <t>Silicona liquida antihongos 50g</t>
  </si>
  <si>
    <t>g</t>
  </si>
  <si>
    <t>Taza Adriatico Alongado Entrada Posterior color blanco</t>
  </si>
  <si>
    <t>Catálogo CORONA</t>
  </si>
  <si>
    <t xml:space="preserve"> 131015</t>
  </si>
  <si>
    <t>concr.3000 psi (TMN 1 pulg ) prem</t>
  </si>
  <si>
    <t>20103</t>
  </si>
  <si>
    <t>mortero 1:3 en obra</t>
  </si>
  <si>
    <t>20468</t>
  </si>
  <si>
    <t>concremix gris ipb (24 kg)</t>
  </si>
  <si>
    <t>60035</t>
  </si>
  <si>
    <t>oficial de 2a obra blanca</t>
  </si>
  <si>
    <t>quarztone blanco de 30x15x2</t>
  </si>
  <si>
    <t>DECOCERAMICA</t>
  </si>
  <si>
    <t>Lavamanos Sorelo Incrustar</t>
  </si>
  <si>
    <t>Grifería Lavamanos Sensor Electrónico</t>
  </si>
  <si>
    <t xml:space="preserve"> 131016</t>
  </si>
  <si>
    <t xml:space="preserve"> 134030</t>
  </si>
  <si>
    <r>
      <t>m</t>
    </r>
    <r>
      <rPr>
        <vertAlign val="superscript"/>
        <sz val="10"/>
        <color rgb="FF000000"/>
        <rFont val="Calibri"/>
        <family val="2"/>
        <scheme val="minor"/>
      </rPr>
      <t>2</t>
    </r>
  </si>
  <si>
    <t>Silicona toxement 200 blanca x 300</t>
  </si>
  <si>
    <t>Hora ayudante albañileria</t>
  </si>
  <si>
    <t>Espejo cristal belga 5 mm</t>
  </si>
  <si>
    <t>Dispensador de jabón en acero 1000 ml Essenza</t>
  </si>
  <si>
    <t>Homecenter</t>
  </si>
  <si>
    <t>D acqua Barra de seguridad niquelada acero inoxidable 18cm de 11/4"</t>
  </si>
  <si>
    <t>Cemento gris</t>
  </si>
  <si>
    <t>Mano de obra AA</t>
  </si>
  <si>
    <t>Rejilla SOSCO 3x2 acero</t>
  </si>
  <si>
    <t>Kes Sus 304 Acero Inoxidable Gancho Ropa</t>
  </si>
  <si>
    <t>Secador manos libres de acero inoxidable</t>
  </si>
  <si>
    <t>13.7</t>
  </si>
  <si>
    <t>Dispensadores De Papel Higiénico Ref 810013</t>
  </si>
  <si>
    <t>Dispensador De Toalla De Papel Plegado En C / Múltiple</t>
  </si>
  <si>
    <t>Instalación lavamanos con mesón en quarztone de 30x15x2</t>
  </si>
  <si>
    <t>Hora cuadrilla aa albañileria</t>
  </si>
  <si>
    <t>Mezclador lavaplatos</t>
  </si>
  <si>
    <t>15724</t>
  </si>
  <si>
    <t>pasamanos metalico</t>
  </si>
  <si>
    <t xml:space="preserve"> 156010</t>
  </si>
  <si>
    <t>Grifería Sirena 8" color cromo</t>
  </si>
  <si>
    <t>Instalación de lavaplatos de acero inoxidable 57x46x18 y grifería 8"</t>
  </si>
  <si>
    <t>Lavaplatos Corona 57x46x18</t>
  </si>
  <si>
    <t>Instalación de rejillas de metal</t>
  </si>
  <si>
    <t>Instalación de secamanos eléctrico tipo american dryer de acero inoxidable</t>
  </si>
  <si>
    <t>Instalación de ganchos de acero</t>
  </si>
  <si>
    <t>Instalación de dispensadores de jabón en acero inoxidable de 1000ml</t>
  </si>
  <si>
    <t>Instalación de barras de apoyo "PMR" de acero inoxidable satinado 18" de 11/4"</t>
  </si>
  <si>
    <t>Instalación de dispensadores de papel</t>
  </si>
  <si>
    <t>Instalación de dispensadores de toallas</t>
  </si>
  <si>
    <t>29807</t>
  </si>
  <si>
    <t>62188</t>
  </si>
  <si>
    <t>m. de o. inst. mesón granito</t>
  </si>
  <si>
    <t>Mesón Blanco Zeus</t>
  </si>
  <si>
    <t>Instalación de mesón mueble zeus blanco de 120x60</t>
  </si>
  <si>
    <t xml:space="preserve"> 162045</t>
  </si>
  <si>
    <t>Salpicadero Jaspe claro  2,4 m</t>
  </si>
  <si>
    <t xml:space="preserve">Instalación de salpicadero jaspe laro de 2,4 m </t>
  </si>
  <si>
    <t>Instalación de mueble inferior 3 puertas 88,6x149,7x48,7</t>
  </si>
  <si>
    <t xml:space="preserve">Moduart mueble inferior 3 puertas </t>
  </si>
  <si>
    <t>13.1</t>
  </si>
  <si>
    <t>13.2</t>
  </si>
  <si>
    <t>13.3</t>
  </si>
  <si>
    <t>13.4</t>
  </si>
  <si>
    <t>13.5</t>
  </si>
  <si>
    <t>13.6</t>
  </si>
  <si>
    <t>13.8</t>
  </si>
  <si>
    <t>13.9</t>
  </si>
  <si>
    <t>13.10</t>
  </si>
  <si>
    <t>13.11</t>
  </si>
  <si>
    <t>13.12</t>
  </si>
  <si>
    <t>13.13</t>
  </si>
  <si>
    <t>13.14</t>
  </si>
  <si>
    <t>EQUIPOS Y MUEBLES DE BAÑOS Y DE COCINAS</t>
  </si>
  <si>
    <t>Cajas de inspección aguas residuales 1m x 1m en concreto de 3500 psi</t>
  </si>
  <si>
    <t>Cajas de inspección de aguas lluvia de 1m x 1m en concreto de 3500 psi</t>
  </si>
  <si>
    <t>VALOR UNITARIO</t>
  </si>
  <si>
    <t>HONORARIOS</t>
  </si>
  <si>
    <t>Diseño arquitectónico</t>
  </si>
  <si>
    <t>Diseño estructural</t>
  </si>
  <si>
    <t>Estudio de suelos</t>
  </si>
  <si>
    <t>Construcción</t>
  </si>
  <si>
    <t>Interventoría</t>
  </si>
  <si>
    <t>Programación y control</t>
  </si>
  <si>
    <t>Presupuesto y control</t>
  </si>
  <si>
    <t>Gerencia de proyecto</t>
  </si>
  <si>
    <t>1.8</t>
  </si>
  <si>
    <t>GL</t>
  </si>
  <si>
    <t>TOTAL HONORARIOS ESTUDIO DE SUELOS</t>
  </si>
  <si>
    <t>COSTOS HONORARIOS PROFESIONALES</t>
  </si>
  <si>
    <t>COSTOS DE LOS ENSAYOS</t>
  </si>
  <si>
    <t xml:space="preserve">Edificio </t>
  </si>
  <si>
    <t>Costo</t>
  </si>
  <si>
    <t>Precio Unitario (SMDLV/m2)</t>
  </si>
  <si>
    <t>Área construida (m2)</t>
  </si>
  <si>
    <t xml:space="preserve">Tipo de Edificación </t>
  </si>
  <si>
    <t xml:space="preserve">Análisis de muestras </t>
  </si>
  <si>
    <t xml:space="preserve">Personal técnico </t>
  </si>
  <si>
    <t xml:space="preserve">Toma de muestras </t>
  </si>
  <si>
    <t xml:space="preserve">Personal auxiliar </t>
  </si>
  <si>
    <t>Visita y asesoria</t>
  </si>
  <si>
    <t xml:space="preserve">Ingeniro especialista </t>
  </si>
  <si>
    <t xml:space="preserve">Costo Asesorías y Visitas </t>
  </si>
  <si>
    <t>Precio Unitario (SMDLV/h)</t>
  </si>
  <si>
    <t>Cantidad profesionales (und)</t>
  </si>
  <si>
    <t>Cantidad (hora)</t>
  </si>
  <si>
    <t xml:space="preserve">Actividad </t>
  </si>
  <si>
    <t xml:space="preserve">Tipo de profesional </t>
  </si>
  <si>
    <t xml:space="preserve">En suelo blando </t>
  </si>
  <si>
    <t xml:space="preserve">En roca </t>
  </si>
  <si>
    <t>Costo de la perforacion</t>
  </si>
  <si>
    <t>Precio Unitario (SMDLV/ml)</t>
  </si>
  <si>
    <t>Total Perforado (m)</t>
  </si>
  <si>
    <t xml:space="preserve">Profundidad (m) </t>
  </si>
  <si>
    <t xml:space="preserve">Cantidad </t>
  </si>
  <si>
    <t>Tipo de Perforación</t>
  </si>
  <si>
    <t>Triaxial estático  CU (tres puntos)</t>
  </si>
  <si>
    <t xml:space="preserve">Granulometría por tamizado </t>
  </si>
  <si>
    <t>Columna resonante</t>
  </si>
  <si>
    <t>Triaxial cíclico</t>
  </si>
  <si>
    <t>Expansión libre</t>
  </si>
  <si>
    <t>Compresión simple con curva esfuerzo-deformación</t>
  </si>
  <si>
    <t>Consolidación (5 puntos)</t>
  </si>
  <si>
    <t>Próctor estándar</t>
  </si>
  <si>
    <t>Límites de consistencia</t>
  </si>
  <si>
    <t xml:space="preserve">Humedad </t>
  </si>
  <si>
    <t>Costo ensayo de Lab</t>
  </si>
  <si>
    <t>Precio Unitario (SMDLV)</t>
  </si>
  <si>
    <t xml:space="preserve">Cantidad (und) </t>
  </si>
  <si>
    <t>Tipo de ensayo de Lab</t>
  </si>
  <si>
    <t>Inalterado con tubo Shelby</t>
  </si>
  <si>
    <t xml:space="preserve">Costo toma de muestras </t>
  </si>
  <si>
    <t>SALARIO MINIMO DIARIO LEGAL VIGENTE (SMDLV)</t>
  </si>
  <si>
    <t>SALARIO MINIMO LEGAL VIGENTE (SMLV)</t>
  </si>
  <si>
    <t xml:space="preserve"> 042014</t>
  </si>
  <si>
    <t>20105</t>
  </si>
  <si>
    <t>mortero 1:5 en obra</t>
  </si>
  <si>
    <t>20149</t>
  </si>
  <si>
    <t>lad.perf.hzontal liso 15-20-40</t>
  </si>
  <si>
    <t>61267</t>
  </si>
  <si>
    <t>const.m.lad.15.20.40  revoque 1c</t>
  </si>
  <si>
    <t>71204</t>
  </si>
  <si>
    <t>cortadora adobe-ladr.elect. s/disco</t>
  </si>
  <si>
    <t>80099</t>
  </si>
  <si>
    <t>tpte lad.can.15*20*40 z.urb.</t>
  </si>
  <si>
    <t xml:space="preserve"> 032005</t>
  </si>
  <si>
    <t>29755</t>
  </si>
  <si>
    <t>Perfil paral cal 26   2.44 m</t>
  </si>
  <si>
    <t>29756</t>
  </si>
  <si>
    <t>Perfil canal de amarre cal 26 2.44</t>
  </si>
  <si>
    <t>29757</t>
  </si>
  <si>
    <t>Tornillo con chazo</t>
  </si>
  <si>
    <t>29758</t>
  </si>
  <si>
    <t>Tornillo 7*7/16"</t>
  </si>
  <si>
    <t>29759</t>
  </si>
  <si>
    <t>Tornillo 6 * 1"</t>
  </si>
  <si>
    <t>29760</t>
  </si>
  <si>
    <t>Lana de vidrio de 18m2</t>
  </si>
  <si>
    <t>rl</t>
  </si>
  <si>
    <t>29765</t>
  </si>
  <si>
    <t>Supermastico interiores 28Kg  cuñet</t>
  </si>
  <si>
    <t>29768</t>
  </si>
  <si>
    <t>Cinta papel 48 mm *40 m</t>
  </si>
  <si>
    <t>29784</t>
  </si>
  <si>
    <t>Placa de yeso cartón 1/2" ST</t>
  </si>
  <si>
    <t>29785</t>
  </si>
  <si>
    <t>Placa de yeso cartón 1/2" RH</t>
  </si>
  <si>
    <t>60227</t>
  </si>
  <si>
    <t>m. de. o drywall doble cara</t>
  </si>
  <si>
    <t xml:space="preserve"> 033004</t>
  </si>
  <si>
    <t>29767</t>
  </si>
  <si>
    <t>Perfil omega cal 26  2.44m</t>
  </si>
  <si>
    <t>29791</t>
  </si>
  <si>
    <t>Perfil ángulo perimetral</t>
  </si>
  <si>
    <t>29792</t>
  </si>
  <si>
    <t>Perfil vigueta cal 26  2.44m</t>
  </si>
  <si>
    <t>62185</t>
  </si>
  <si>
    <t>m. de o. cielo raso</t>
  </si>
  <si>
    <r>
      <t xml:space="preserve">Suministro e instalación de tomacorriente </t>
    </r>
    <r>
      <rPr>
        <b/>
        <sz val="10"/>
        <rFont val="Arial"/>
        <family val="2"/>
      </rPr>
      <t>sencillo</t>
    </r>
  </si>
  <si>
    <t>ADAPTADOR TERMINAL CONDUIT 1/2"</t>
  </si>
  <si>
    <t>ALAMBRE COBRE DESNUDO AWG 12</t>
  </si>
  <si>
    <t>ALAMBRE COBRE THHN/THWN - -12 AWG</t>
  </si>
  <si>
    <t>CERCO ORDINARIO 3M</t>
  </si>
  <si>
    <t>CONCECTOR RESORTE ROJO</t>
  </si>
  <si>
    <t>CUADRILLA INSTALACIONES INTERNAS</t>
  </si>
  <si>
    <t>HERRAMIENTA MENOR</t>
  </si>
  <si>
    <t>%</t>
  </si>
  <si>
    <t>LIMPIADOR REMOVEDOR PVC 1/4 GAL.</t>
  </si>
  <si>
    <t>SOLDADURA PVC WET BONDING 1/ GL</t>
  </si>
  <si>
    <t>SUPL. MET. GALV. CAJA CUADRADA REF.2400-CAL20</t>
  </si>
  <si>
    <t>TOMA SENCILLO AMER.(2P) 15-20A 127V</t>
  </si>
  <si>
    <t>TORNILLO LÁMINA ZINCADO 6X3/8"</t>
  </si>
  <si>
    <t>TUBO CONDUIT PVC 1/2"</t>
  </si>
  <si>
    <t>Suministro e instalación de tomacorriente regulado</t>
  </si>
  <si>
    <t>TOMA REGULADO CON POLO A TIERRA</t>
  </si>
  <si>
    <t>Suministro e instalación de tomacorriente sencillo en piso</t>
  </si>
  <si>
    <t>Suministro e instalación de tomacorriente regulado en piso</t>
  </si>
  <si>
    <t>Suministro e instalación de tomacorriente GFCI</t>
  </si>
  <si>
    <t>TOMA DUPLEX GFCI MATIX BTICINO</t>
  </si>
  <si>
    <t>Suministro e instalación de tomacorriente regulado en cielo</t>
  </si>
  <si>
    <t>Suministro e instalación de tomacorriente intemperie</t>
  </si>
  <si>
    <t>PLACA TOMA INTEMPERIE GRIS ACERO ELECTRIC LINE</t>
  </si>
  <si>
    <t>Suministro e instalación de salida de datos piso</t>
  </si>
  <si>
    <t>ADAPTADOR TERMINAL CONDUIT 3/4"</t>
  </si>
  <si>
    <t>CAJA SENCILLA CONDUIT 103X60X45MM</t>
  </si>
  <si>
    <t>HORA AYUDANTE INSTALACIONES PREST</t>
  </si>
  <si>
    <t>hh</t>
  </si>
  <si>
    <t>SALIDA PARA CORDÓN T.V. 13.5X7.5MM S/C</t>
  </si>
  <si>
    <t>TUBO EMT UL 1/2"X3,05M</t>
  </si>
  <si>
    <t>Suministro e instalación de salida de datos dobles en piso</t>
  </si>
  <si>
    <t>Suministro e instalación de datos por cielo (CC y WiFi)</t>
  </si>
  <si>
    <t>Suministro e instalación de salida datos</t>
  </si>
  <si>
    <t>Suministro e instalación de salida de datos doble</t>
  </si>
  <si>
    <t>Suministro e instalación de salida de televisión</t>
  </si>
  <si>
    <t>MANO DE OBRA BB</t>
  </si>
  <si>
    <t>SUB-CONTRATO ELÉCTRICO</t>
  </si>
  <si>
    <t>Suministro e instalación de HDMI</t>
  </si>
  <si>
    <t>Suministro e instalación de HDMI piso</t>
  </si>
  <si>
    <t>Suministro e instalación de caja multitomas</t>
  </si>
  <si>
    <t>Suministro e instalación de cajas de inspección eléctricas</t>
  </si>
  <si>
    <t>Suministro e instalación de transformador trifásico</t>
  </si>
  <si>
    <t>CUADRILLA MONTAJE EQUIPOS</t>
  </si>
  <si>
    <t>GRÚA MANUAL PARA 1TON.</t>
  </si>
  <si>
    <t>ms</t>
  </si>
  <si>
    <t>TRANSFORMADOR TRIFÁSICO 150 KVA</t>
  </si>
  <si>
    <t>Suministro e instalación de contador electrónico multifuncional</t>
  </si>
  <si>
    <t>Suministro e instalación de cajas de distribución</t>
  </si>
  <si>
    <t>Suministro e instalación de botonera</t>
  </si>
  <si>
    <t>Suministro e instalación de subestación de local</t>
  </si>
  <si>
    <t>AISLADOR DE PIN 15 KV</t>
  </si>
  <si>
    <t>CABLE COBRE DESN. SUAVE Y DURO 4/0 AWG</t>
  </si>
  <si>
    <t>CORTAC. AUTO. TRIP. ENCHU. CN 60A 10KA 120/240V</t>
  </si>
  <si>
    <t>CUCHILLA MONOPOLAR 400 A 15K</t>
  </si>
  <si>
    <t>EMPALME BT.1X14 - 6-2/0AWG.DER.8-14AWG</t>
  </si>
  <si>
    <t>HORA CUADRILLA BB INST.PREST.</t>
  </si>
  <si>
    <t>PERNO MAQUINA 5/8" X 14</t>
  </si>
  <si>
    <t>PLATINA 2" X 1/4" X 6M</t>
  </si>
  <si>
    <t>PORTA AISLADOR 1 PUESTO</t>
  </si>
  <si>
    <t>VARILLA CW 5/8" X 2.40</t>
  </si>
  <si>
    <t>SUMINISTRO E INSTALACIÓN DE PISOS Y ENCHAPES</t>
  </si>
  <si>
    <t>094012</t>
  </si>
  <si>
    <t>Suministro e instalación de piso en vinilo de rollo para oficinas y aulas</t>
  </si>
  <si>
    <t>24608</t>
  </si>
  <si>
    <t>Adhesivo pegante de contacto No 10</t>
  </si>
  <si>
    <t>25906</t>
  </si>
  <si>
    <t>bald.vinisol Terrazo 30x30x2.0</t>
  </si>
  <si>
    <t>61686</t>
  </si>
  <si>
    <t>m.de o.coloc.baldosas vinilo</t>
  </si>
  <si>
    <t>094010</t>
  </si>
  <si>
    <t>Suministro e instalación de piso en vinilo de rollo para baños</t>
  </si>
  <si>
    <t>25904</t>
  </si>
  <si>
    <t>bald.vinisol Terrazo 30x30x1.6</t>
  </si>
  <si>
    <t>091050</t>
  </si>
  <si>
    <t>Suministro e instalación de piso en piedra royal verde para exteriores</t>
  </si>
  <si>
    <t>20012</t>
  </si>
  <si>
    <t>arena de pega</t>
  </si>
  <si>
    <t>20014</t>
  </si>
  <si>
    <t>arenilla</t>
  </si>
  <si>
    <t>25668</t>
  </si>
  <si>
    <t>adoq.20x10x6 gris</t>
  </si>
  <si>
    <t>71097</t>
  </si>
  <si>
    <t>vibrador de placa</t>
  </si>
  <si>
    <t>091011</t>
  </si>
  <si>
    <t>Vaciado de piso en concreto terminado con textura antideslizante para zonas comunes</t>
  </si>
  <si>
    <t>22602</t>
  </si>
  <si>
    <t>malla pajarito 1/2x1x5 m</t>
  </si>
  <si>
    <t>091510</t>
  </si>
  <si>
    <t>Suministro e instalación de tapete-textil Bolon, Botanic Osier para piso 9</t>
  </si>
  <si>
    <t>26044</t>
  </si>
  <si>
    <t>tapete.ccial.polip. giardino alfa</t>
  </si>
  <si>
    <t>Suministro e instalación de piso en vidrio antideslizante</t>
  </si>
  <si>
    <t>Suministro e instalación de zócalo en PVC</t>
  </si>
  <si>
    <t>092510</t>
  </si>
  <si>
    <t>Vaciado de zócalo media caña en concreto</t>
  </si>
  <si>
    <t>23826</t>
  </si>
  <si>
    <t>tiranta 2x1pulg mad.comun sin cep.(3m)</t>
  </si>
  <si>
    <t>092560</t>
  </si>
  <si>
    <t>Suministro e instalación de zócalo en vinilo</t>
  </si>
  <si>
    <t>20271</t>
  </si>
  <si>
    <t>zocalo vinilo 6.8 cm</t>
  </si>
  <si>
    <t>Suministro e instalación de enchapes en ártica 6x20</t>
  </si>
  <si>
    <t>20995</t>
  </si>
  <si>
    <t>Piso pared egeo blanco 20.5*20.5</t>
  </si>
  <si>
    <t>21079</t>
  </si>
  <si>
    <t>pegacor blanco (25 kg)</t>
  </si>
  <si>
    <t>28615</t>
  </si>
  <si>
    <t>lechada (subanalisis)</t>
  </si>
  <si>
    <t>61099</t>
  </si>
  <si>
    <t>m.de o.enchape ceramica</t>
  </si>
  <si>
    <t>Acometida cable CU 3x2+1x4 Awg PVC 1-1/4"</t>
  </si>
  <si>
    <t>Acometida cable Cu 3x2+1x4 AWG PVC 3/4"</t>
  </si>
  <si>
    <t>Suministro e instalación de acometida cable CU 3x2+1x4 AWG PVC 1-1/4"</t>
  </si>
  <si>
    <t>ADAPTADOR TERMINAL PVC 1-1/4</t>
  </si>
  <si>
    <t>ALAMBRE COBRE DESNUDO AWG</t>
  </si>
  <si>
    <t>BORNA TERMINAL 2 AWG</t>
  </si>
  <si>
    <t>BORNA TERMINAL 4 AWG</t>
  </si>
  <si>
    <t>CABLE COBRE DESN. SUAVE Y DURO 1/0AWG</t>
  </si>
  <si>
    <t>CABLE COBRE DESN. SUAVE Y DURO 4 AWG</t>
  </si>
  <si>
    <t>SOLDADURA PVC WET BONDING 1" ESP. 147</t>
  </si>
  <si>
    <t>precio por galon</t>
  </si>
  <si>
    <t>precio por m2</t>
  </si>
  <si>
    <t xml:space="preserve">precio </t>
  </si>
  <si>
    <t>Suministro e instalación de recubrimiento cortafuego</t>
  </si>
  <si>
    <t>13292</t>
  </si>
  <si>
    <t>estuco interiores</t>
  </si>
  <si>
    <t>cca</t>
  </si>
  <si>
    <t>Sika Unitherm 38091 Blanco</t>
  </si>
  <si>
    <t>Suministro e instalación de aislamiento termoacústico</t>
  </si>
  <si>
    <t>Vitroterm / MBI / Fibra de Vidrio con Polipropileno Reforzado</t>
  </si>
  <si>
    <t xml:space="preserve">UNIDAD </t>
  </si>
  <si>
    <t xml:space="preserve">VALOR PARCIAL </t>
  </si>
  <si>
    <t>IMPUESTOS</t>
  </si>
  <si>
    <t>Licencia construcción</t>
  </si>
  <si>
    <t>Pólizas</t>
  </si>
  <si>
    <t>VALOR TOTAL</t>
  </si>
  <si>
    <t>HONORARIOS PROFESIONALES</t>
  </si>
  <si>
    <t>1.1 HONORARIOS PROFESIONALES DE DISEÑO Y DIRECCIÓN ARQUITECTÓNICA</t>
  </si>
  <si>
    <t>1.2 HONORARIOS PROFESIONALES DE DISEÑO ESTRUCTURAL</t>
  </si>
  <si>
    <t>Honorario Básico</t>
  </si>
  <si>
    <t>HONORARIO BASICO</t>
  </si>
  <si>
    <t>H=Ce x 0,052 x R x Gc</t>
  </si>
  <si>
    <t>Precio m2 construccion</t>
  </si>
  <si>
    <t>TOTAL  CONSTRUIDO (m²)</t>
  </si>
  <si>
    <t>Area del proyecto (m2)</t>
  </si>
  <si>
    <t>COSTO ($/ m²)</t>
  </si>
  <si>
    <t>Costo de la estructura (Ce)</t>
  </si>
  <si>
    <t>COSTO ESTRUCTURA (Ce) ($)</t>
  </si>
  <si>
    <t>REPETITIVIDAD (R )</t>
  </si>
  <si>
    <t>GRADO COMPLEJIDAD (Gc)</t>
  </si>
  <si>
    <t>1.3 HONORARIOS PROFESIONALES DE ESTUDIO DE SUELOS</t>
  </si>
  <si>
    <t>1.4 HONORARIOS DE CONSTRUCCIÓN</t>
  </si>
  <si>
    <t>2.1 LICENCIA DE CONSTRUCCIÓN</t>
  </si>
  <si>
    <t>EXPENSAS DE CURADURÍA</t>
  </si>
  <si>
    <t>Medellín</t>
  </si>
  <si>
    <t>Valor total de la expensa ( E )</t>
  </si>
  <si>
    <t>Armado y vaciado de escaleras en concreto con f'c=24,5MPa Piso 1</t>
  </si>
  <si>
    <t>Piso 2</t>
  </si>
  <si>
    <t>4.2.2</t>
  </si>
  <si>
    <t>Armado y vaciado de losa no típica aligerada con porón recuperable e=0.6m de f'c 24,5MPa Piso 2</t>
  </si>
  <si>
    <t>4.3.2</t>
  </si>
  <si>
    <t>Armado y vaciado de escaleras en concreto con f'c=24,5MPa Piso 2</t>
  </si>
  <si>
    <t>Piso 3</t>
  </si>
  <si>
    <t>4.2.3</t>
  </si>
  <si>
    <t>Armado y vaciado de losa no típica aligerada con porón recuperable e=0.6m de f'c 24,5MPa Piso 3</t>
  </si>
  <si>
    <t>4.3.3</t>
  </si>
  <si>
    <t>Armado y vaciado de escaleras en concreto con f'c=24,5MPa Piso 3</t>
  </si>
  <si>
    <t>4.2.4</t>
  </si>
  <si>
    <t>Armado y vaciado de losa no típica aligerada con porón recuperable e=0.6m de f'c 24,5MPa Piso 4</t>
  </si>
  <si>
    <t>4.1.5</t>
  </si>
  <si>
    <t>Armado y vaciado de losa típica aligerada con porón recuperable e=0.6m de f'c 24,5MPa Piso 5</t>
  </si>
  <si>
    <t>Piso 6</t>
  </si>
  <si>
    <t>4.1.6</t>
  </si>
  <si>
    <t>Armado y vaciado de losa típica aligerada con porón recuperable e=0.6m de f'c 24,5MPa Piso 6</t>
  </si>
  <si>
    <t>Piso 7</t>
  </si>
  <si>
    <t>4.1.7</t>
  </si>
  <si>
    <t>Armado y vaciado de losa típica aligerada con porón recuperable e=0.6m de f'c 24,5MPa Piso 7</t>
  </si>
  <si>
    <t>Piso 8</t>
  </si>
  <si>
    <t>4.1.8</t>
  </si>
  <si>
    <t>Armado y vaciado de losa típica aligerada con porón recuperable e=0.6m de f'c 24,5MPa Piso 8</t>
  </si>
  <si>
    <t>Piso 9</t>
  </si>
  <si>
    <t>4.1.9</t>
  </si>
  <si>
    <t>Armado y vaciado de losa típica aligerada con porón recuperable e=0.6m de f'c 24,5MPa Piso 9</t>
  </si>
  <si>
    <t>Colocación de muros estructurales con ladrillo sucio de 15x20x40cm, e=0,15m Piso 1</t>
  </si>
  <si>
    <t>Colocación de muros estructurales con ladrillo sucio de 15x20x40cm, e=0,15m Piso 2</t>
  </si>
  <si>
    <t>Colocación de muros estructurales con ladrillo sucio de 15x20x40cm, e=0,15m Piso 3</t>
  </si>
  <si>
    <t>Colocación de muros estructurales con ladrillo sucio de 15x20x40cm, e=0,15m Piso 4</t>
  </si>
  <si>
    <t>Colocación de muros estructurales con ladrillo sucio de 15x20x40cm, e=0,15m Piso 5</t>
  </si>
  <si>
    <t>Colocación de muros estructurales con ladrillo sucio de 15x20x40cm, e=0,15m Piso 6</t>
  </si>
  <si>
    <t>Colocación de muros estructurales con ladrillo sucio de 15x20x40cm, e=0,15m Piso 7</t>
  </si>
  <si>
    <t>Colocación de muros estructurales con ladrillo sucio de 15x20x40cm, e=0,15m Piso 8</t>
  </si>
  <si>
    <t>Colocación de muros estructurales con ladrillo sucio de 15x20x40cm, e=0,15m Piso 9</t>
  </si>
  <si>
    <t>Revoque para muros, dinteles y sillares en ladrillo sucio Piso 1</t>
  </si>
  <si>
    <t>Revoque para muros, dinteles y sillares en ladrillo sucio Piso 2</t>
  </si>
  <si>
    <t>Revoque para muros, dinteles y sillares en ladrillo sucio Piso 3</t>
  </si>
  <si>
    <t>Revoque para muros, dinteles y sillares en ladrillo sucio Piso 4</t>
  </si>
  <si>
    <t>Revoque para muros, dinteles y sillares en ladrillo sucio Piso 5</t>
  </si>
  <si>
    <t>Revoque para muros, dinteles y sillares en ladrillo sucio Piso 6</t>
  </si>
  <si>
    <t>Revoque para muros, dinteles y sillares en ladrillo sucio Piso 7</t>
  </si>
  <si>
    <t>Revoque para muros, dinteles y sillares en ladrillo sucio Piso 8</t>
  </si>
  <si>
    <t>Revoque para muros, dinteles y sillares en ladrillo sucio Piso 9</t>
  </si>
  <si>
    <t>8.3</t>
  </si>
  <si>
    <t>Estuco para muros, dinteles y sillares en ladrillo sucio Piso 1</t>
  </si>
  <si>
    <t>Estuco para muros, dinteles y sillares en ladrillo sucio Piso 2</t>
  </si>
  <si>
    <t>Estuco para muros, dinteles y sillares en ladrillo sucio Piso 3</t>
  </si>
  <si>
    <t>Estuco para muros, dinteles y sillares en ladrillo sucio Piso 4</t>
  </si>
  <si>
    <t>Estuco para muros, dinteles y sillares en ladrillo sucio Piso 5</t>
  </si>
  <si>
    <t>Estuco para muros, dinteles y sillares en ladrillo sucio Piso 6</t>
  </si>
  <si>
    <t>Estuco para muros, dinteles y sillares en ladrillo sucio Piso 7</t>
  </si>
  <si>
    <t>Estuco para muros, dinteles y sillares en ladrillo sucio Piso 8</t>
  </si>
  <si>
    <t>Estuco para muros, dinteles y sillares en ladrillo sucio Piso 9</t>
  </si>
  <si>
    <t>8.5</t>
  </si>
  <si>
    <t>Pintura para muros, dinteles, sillares y cielo raso en drywall Piso 1</t>
  </si>
  <si>
    <t>Pintura para muros, dinteles, sillares y cielo raso en drywall Piso 2</t>
  </si>
  <si>
    <t>Pintura para muros, dinteles, sillares y cielo raso en drywall Piso 3</t>
  </si>
  <si>
    <t>Pintura para muros, dinteles, sillares y cielo raso en drywall Piso 4</t>
  </si>
  <si>
    <t>Pintura para muros, dinteles, sillares y cielo raso en drywall Piso 6</t>
  </si>
  <si>
    <t>Pintura para muros, dinteles, sillares y cielo raso en drywall Piso 7</t>
  </si>
  <si>
    <t>Pintura para muros, dinteles, sillares y cielo raso en drywall Piso 8</t>
  </si>
  <si>
    <t>Pintura para muros, dinteles, sillares y cielo raso en drywall Piso 9</t>
  </si>
  <si>
    <t>PISOS, ENCHAPES Y ZÓCALOS</t>
  </si>
  <si>
    <t>9.1.1</t>
  </si>
  <si>
    <t>Piso en vinilo de rollo para oficinas y aulas Piso 1</t>
  </si>
  <si>
    <t>9.2.1</t>
  </si>
  <si>
    <t>Piso en piedra royal verde. Formato 30cm a junta perdida Piso 1</t>
  </si>
  <si>
    <t>Piso en vinilo de rollo para baños Piso 1</t>
  </si>
  <si>
    <t>Zócalo en PVC de 10cm con impresión digital según paleta de colores, a plomo del estuco Piso 1</t>
  </si>
  <si>
    <t>Zócalo media caña continuo en vinilo de piso para baños Piso 1</t>
  </si>
  <si>
    <t>Recubrimiento y aislamiento termoacústico de fibra mineral Piso 1</t>
  </si>
  <si>
    <t>Piso en vinilo de rollo para oficinas y aulas Piso 2</t>
  </si>
  <si>
    <t>Piso en vinilo de rollo para baños Piso 2</t>
  </si>
  <si>
    <t>Piso en concreto terminado de losa de vaciado con acabado en textura antideslizante Piso 2</t>
  </si>
  <si>
    <t xml:space="preserve">CANTIDAD </t>
  </si>
  <si>
    <t>CONSUMO MANO DE OBRA</t>
  </si>
  <si>
    <t>DURACIÓN POR CUADRILLA</t>
  </si>
  <si>
    <t># CUADRILLAS</t>
  </si>
  <si>
    <t>DURACIÓN (DÍAS)</t>
  </si>
  <si>
    <t>COSTO  ($)</t>
  </si>
  <si>
    <t>/RENDIMIENTO</t>
  </si>
  <si>
    <t>/POR EQUIPO (HORAS)</t>
  </si>
  <si>
    <t>/POR EQUIPO (DÍAS)</t>
  </si>
  <si>
    <t># EQUIPOS</t>
  </si>
  <si>
    <t>Area total m2</t>
  </si>
  <si>
    <t>Precio de construcción por m2</t>
  </si>
  <si>
    <t>Categoría C</t>
  </si>
  <si>
    <t>Honorario Definitivo</t>
  </si>
  <si>
    <t>IVA</t>
  </si>
  <si>
    <t>Costo de construcción</t>
  </si>
  <si>
    <t>Honorario en la construcción (10%)</t>
  </si>
  <si>
    <t>IVA (16%)</t>
  </si>
  <si>
    <t>Costo de la obra</t>
  </si>
  <si>
    <t>Honorario de la interventoría (2.5% - Categoría C)</t>
  </si>
  <si>
    <t>1.5 HONORARIOS PROFESIONALES DE INTERVENTORIA</t>
  </si>
  <si>
    <t>1.6 HONORARIOS PROFESIONALES DE PROGRAMACIÓN Y CONTROL</t>
  </si>
  <si>
    <t>TOTAL A,P y S</t>
  </si>
  <si>
    <t>Honorario Anteproyecto</t>
  </si>
  <si>
    <t>Honorario Proyecto y Supervision Arquitectonica</t>
  </si>
  <si>
    <t>Programa de actividades previas y de proyectos</t>
  </si>
  <si>
    <t>Programa de construcción</t>
  </si>
  <si>
    <t xml:space="preserve">Costo Base Real </t>
  </si>
  <si>
    <t>Control de la programación</t>
  </si>
  <si>
    <t>1.7 HONORARIOS PROFESIONALES DE PRESUPUESTO Y CONTROL</t>
  </si>
  <si>
    <t>1.8 HONORARIOS PROFESIONALES DE LA GERENCIA DEL PROYECTO</t>
  </si>
  <si>
    <t>2.2 PÓLIZAS Y SEGUROS</t>
  </si>
  <si>
    <t xml:space="preserve"> 112005</t>
  </si>
  <si>
    <t>21599</t>
  </si>
  <si>
    <t>tub. sanitaria 6m 2 pulg  pavco</t>
  </si>
  <si>
    <t>21604</t>
  </si>
  <si>
    <t>tub. sanitaria 6m 3 pulg  pavco</t>
  </si>
  <si>
    <t>21652</t>
  </si>
  <si>
    <t>codo 90°-1/4 cxc 3 pulg  pavco</t>
  </si>
  <si>
    <t>21786</t>
  </si>
  <si>
    <t>tee  sanitaria 3 pulg  pavco</t>
  </si>
  <si>
    <t>22052</t>
  </si>
  <si>
    <t>uniones sanit. 3 pulg  pavco</t>
  </si>
  <si>
    <t xml:space="preserve"> 112012</t>
  </si>
  <si>
    <t>21608</t>
  </si>
  <si>
    <t>tub. sanitaria 6m 4 pulg  pavco</t>
  </si>
  <si>
    <t>21792</t>
  </si>
  <si>
    <t>tee  sanitaria 4 pulg  pavco</t>
  </si>
  <si>
    <t>22055</t>
  </si>
  <si>
    <t>uniones sanit. 4 pulg  pavco</t>
  </si>
  <si>
    <t xml:space="preserve"> 112014</t>
  </si>
  <si>
    <t>21064</t>
  </si>
  <si>
    <t>tee  sanitaria 6 pulg  pvc pavco</t>
  </si>
  <si>
    <t>21615</t>
  </si>
  <si>
    <t>tub. sanitaria 6m 6 pulg  pavco</t>
  </si>
  <si>
    <t>22063</t>
  </si>
  <si>
    <t>uniones sanit. 6 pulg  pavco</t>
  </si>
  <si>
    <t xml:space="preserve"> 092503</t>
  </si>
  <si>
    <t>22747</t>
  </si>
  <si>
    <t>tub.w.reten 8 pulg  pavco (6m)</t>
  </si>
  <si>
    <t xml:space="preserve"> 112030</t>
  </si>
  <si>
    <t>21624</t>
  </si>
  <si>
    <t>tub.vent.y ag.ll 5m 2 pulg  pavco</t>
  </si>
  <si>
    <t>21645</t>
  </si>
  <si>
    <t>codo 90°-1/4 cxc 2 pulg  pavco</t>
  </si>
  <si>
    <t>22046</t>
  </si>
  <si>
    <t>uniones sanit. 2 pulg  pavco</t>
  </si>
  <si>
    <t xml:space="preserve"> 112032</t>
  </si>
  <si>
    <t>21628</t>
  </si>
  <si>
    <t>tub.vent.y ag.ll 5m 3 pulg  pavco</t>
  </si>
  <si>
    <t xml:space="preserve"> 112034</t>
  </si>
  <si>
    <t>21636</t>
  </si>
  <si>
    <t>tub.vent.y ag.ll 5m 4 pulg  pavco</t>
  </si>
  <si>
    <t xml:space="preserve"> 092005</t>
  </si>
  <si>
    <t>22075</t>
  </si>
  <si>
    <t>lubricante pavco (tarro 500gr)</t>
  </si>
  <si>
    <t>gr</t>
  </si>
  <si>
    <t>28436</t>
  </si>
  <si>
    <t>tub.u.z rde 21 6 pulg  pavco</t>
  </si>
  <si>
    <t xml:space="preserve"> 092006</t>
  </si>
  <si>
    <t>17. 10</t>
  </si>
  <si>
    <t>28437</t>
  </si>
  <si>
    <t>tub.u.z rde 21 8 pulg  pavco</t>
  </si>
  <si>
    <t xml:space="preserve"> 092007</t>
  </si>
  <si>
    <t>28438</t>
  </si>
  <si>
    <t>tub.u.z rde 21 10 pulg  pavco</t>
  </si>
  <si>
    <t xml:space="preserve"> 112010</t>
  </si>
  <si>
    <t>17. 20</t>
  </si>
  <si>
    <t xml:space="preserve"> 029020</t>
  </si>
  <si>
    <t>Cajas de inspección aguas residuales 1m x 1m</t>
  </si>
  <si>
    <t>10007</t>
  </si>
  <si>
    <t>alambron 60 3/8 pulg</t>
  </si>
  <si>
    <t>Cajas de inspección de aguas lluvia de 1m x 1m</t>
  </si>
  <si>
    <t>Acometida principal galvanizada aguas lluvia</t>
  </si>
  <si>
    <t>Acometida principal galvanizada aguas residuales</t>
  </si>
  <si>
    <t>Tipos de contrato</t>
  </si>
  <si>
    <t>Información del proyecto</t>
  </si>
  <si>
    <t>Administración delegada</t>
  </si>
  <si>
    <t>Tipo de contrato</t>
  </si>
  <si>
    <t>Precios unitarios</t>
  </si>
  <si>
    <t>% Honorario por control de costos</t>
  </si>
  <si>
    <t>Costo obra (CBT-R)</t>
  </si>
  <si>
    <t>Gastos reembolsables</t>
  </si>
  <si>
    <t>Precio de venta</t>
  </si>
  <si>
    <t>Honorarios de gerencia sin IVA</t>
  </si>
  <si>
    <t>Zócalo en PVC de 10cm con impresión digital según paleta de colores, a plomo del estuco Piso 2</t>
  </si>
  <si>
    <t>Zócalo media caña continuo en vinilo de piso para baños Piso 2</t>
  </si>
  <si>
    <t>Zócalo media caña vaciado en concreto a 10cm de altura a plomo con el revoque Piso 2</t>
  </si>
  <si>
    <t>Recubrimiento y aislamiento termoacústico de fibra mineral Piso 2</t>
  </si>
  <si>
    <t>Piso en vinilo de rollo para oficinas y aulas Piso 3</t>
  </si>
  <si>
    <t>Piso en piedra royal verde. Formato 30cm a junta perdida Piso 3</t>
  </si>
  <si>
    <t>Piso en vinilo de rollo para baños Piso 3</t>
  </si>
  <si>
    <t>Piso en concreto terminado de losa de vaciado con acabado en textura antideslizante Piso 3</t>
  </si>
  <si>
    <t>Zócalo en PVC de 10cm con impresión digital según paleta de colores, a plomo del estuco Piso 3</t>
  </si>
  <si>
    <t>Zócalo media caña continuo en vinilo de piso para baños Piso 3</t>
  </si>
  <si>
    <t>Zócalo media caña vaciado en concreto a 10cm de altura a plomo con el revoque Piso 3</t>
  </si>
  <si>
    <t>Enchape en ártica 6x20 a junta perdida color blanco Piso 3</t>
  </si>
  <si>
    <t>Recubrimiento y aislamiento termoacústico de fibra mineral Piso 3</t>
  </si>
  <si>
    <t>Piso en vinilo de rollo para oficinas y aulas Piso 4</t>
  </si>
  <si>
    <t>Piso en vinilo de rollo para baños Piso 4</t>
  </si>
  <si>
    <t>Piso en vidrio antideslizante Piso 4</t>
  </si>
  <si>
    <t>Zócalo en PVC de 10cm con impresión digital según paleta de colores, a plomo del estuco Piso 4</t>
  </si>
  <si>
    <t>Zócalo media caña continuo en vinilo de piso para baños Piso 4</t>
  </si>
  <si>
    <t>Zócalo media caña vaciado en concreto a 10cm de altura a plomo con el revoque Piso 4</t>
  </si>
  <si>
    <t>Enchape en ártica 6x20 a junta perdida color blanco Piso 4</t>
  </si>
  <si>
    <t>Recubrimiento de cortafuego en escaleras de emergencia, bodegas y cuarto de subestación Piso 4</t>
  </si>
  <si>
    <t>Recubrimiento y aislamiento termoacústico de fibra mineral Piso 4</t>
  </si>
  <si>
    <t>Piso en piedra royal verde. Formato 30cm a junta perdida Piso 5</t>
  </si>
  <si>
    <t>Piso en vinilo de rollo para baños Piso 5</t>
  </si>
  <si>
    <t>Piso en concreto terminado de losa de vaciado con acabado en textura antideslizante Piso 5</t>
  </si>
  <si>
    <t>Zócalo media caña continuo en vinilo de piso para baños Piso 5</t>
  </si>
  <si>
    <t>Zócalo media caña vaciado en concreto a 10cm de altura a plomo con el revoque Piso 5</t>
  </si>
  <si>
    <t>Enchape en ártica 6x20 a junta perdida color blanco Piso 5</t>
  </si>
  <si>
    <t>Recubrimiento de cortafuego en escaleras de emergencia, bodegas y cuarto de subestación Piso 5</t>
  </si>
  <si>
    <t>Piso en vinilo de rollo para oficinas y aulas Piso 6</t>
  </si>
  <si>
    <t>Piso en vinilo de rollo para baños Piso 6</t>
  </si>
  <si>
    <t>Piso en concreto terminado de losa de vaciado con acabado en textura antideslizante Piso 6</t>
  </si>
  <si>
    <t>Zócalo en PVC de 10cm con impresión digital según paleta de colores, a plomo del estuco Piso 6</t>
  </si>
  <si>
    <t>Zócalo media caña continuo en vinilo de piso para baños Piso 6</t>
  </si>
  <si>
    <t>Zócalo media caña vaciado en concreto a 10cm de altura a plomo con el revoque Piso 6</t>
  </si>
  <si>
    <t>Enchape en ártica 6x20 a junta perdida color blanco Piso 6</t>
  </si>
  <si>
    <t>Recubrimiento de cortafuego en escaleras de emergencia, bodegas y cuarto de subestación Piso 6</t>
  </si>
  <si>
    <t>Recubrimiento y aislamiento termoacústico de fibra mineral Piso 6</t>
  </si>
  <si>
    <t>Piso en vinilo de rollo para oficinas y aulas Piso 7</t>
  </si>
  <si>
    <t>Piso en vinilo de rollo para baños Piso 7</t>
  </si>
  <si>
    <t>Piso en concreto terminado de losa de vaciado con acabado en textura antideslizante Piso 7</t>
  </si>
  <si>
    <t>Zócalo en PVC de 10cm con impresión digital según paleta de colores, a plomo del estuco Piso 7</t>
  </si>
  <si>
    <t>Zócalo media caña continuo en vinilo de piso para baños Piso 7</t>
  </si>
  <si>
    <t>Zócalo media caña vaciado en concreto a 10cm de altura a plomo con el revoque Piso 7</t>
  </si>
  <si>
    <t>Enchape en ártica 6x20 a junta perdida color blanco Piso 7</t>
  </si>
  <si>
    <t>Recubrimiento de cortafuego en escaleras de emergencia, bodegas y cuarto de subestación Piso 7</t>
  </si>
  <si>
    <t>Piso en vinilo de rollo para oficinas y aulas Piso 8</t>
  </si>
  <si>
    <t>Piso en vinilo de rollo para baños Piso 8</t>
  </si>
  <si>
    <t>Piso en concreto terminado de losa de vaciado con acabado en textura antideslizante Piso 8</t>
  </si>
  <si>
    <t>Zócalo en PVC de 10cm con impresión digital según paleta de colores, a plomo del estuco Piso 8</t>
  </si>
  <si>
    <t>Zócalo media caña continuo en vinilo de piso para baños Piso 8</t>
  </si>
  <si>
    <t>Zócalo media caña vaciado en concreto a 10cm de altura a plomo con el revoque Piso 8</t>
  </si>
  <si>
    <t>Enchape en ártica 6x20 a junta perdida color blanco Piso 8</t>
  </si>
  <si>
    <t>Recubrimiento de cortafuego en escaleras de emergencia, bodegas y cuarto de subestación Piso 8</t>
  </si>
  <si>
    <t>Piso en vinilo de rollo para oficinas y aulas Piso 9</t>
  </si>
  <si>
    <t>Piso en vinilo de rollo para baños Piso 9</t>
  </si>
  <si>
    <t>Piso en concreto terminado de losa de vaciado con acabado en textura antideslizante Piso 9</t>
  </si>
  <si>
    <t>Piso en tapete-textil Bolon, Botanic Osier Piso 9</t>
  </si>
  <si>
    <t>Zócalo en PVC de 10cm con impresión digital según paleta de colores, a plomo del estuco Piso 9</t>
  </si>
  <si>
    <t>Zócalo media caña continuo en vinilo de piso para baños Piso 9</t>
  </si>
  <si>
    <t>Zócalo media caña vaciado en concreto a 10cm de altura a plomo con el revoque Piso 9</t>
  </si>
  <si>
    <t>Enchape en ártica 6x20 a junta perdida color blanco Piso 9</t>
  </si>
  <si>
    <t>Recubrimiento de cortafuego en escaleras de emergencia, bodegas y cuarto de subestación Piso 9</t>
  </si>
  <si>
    <t>Recubrimiento y aislamiento termoacústico de fibra mineral Piso 9</t>
  </si>
  <si>
    <t>Armado y vaciado de escaleras en concreto con f'c=24,5MPa Piso 4</t>
  </si>
  <si>
    <t>Piso en concreto terminado de losa de vaciado con acabado en textura antideslizante Piso 4</t>
  </si>
  <si>
    <t>Contadores</t>
  </si>
  <si>
    <t>Duración Instalación</t>
  </si>
  <si>
    <t>Acometida Principal Red hidráulica</t>
  </si>
  <si>
    <t>INSTALACIONES HIDROSANITARIAS - ABASTOS</t>
  </si>
  <si>
    <t>Acometida Principal red sanitaria PVC 8"</t>
  </si>
  <si>
    <t>HORA CUADRILLA BB-CON PREST.</t>
  </si>
  <si>
    <t>ÁNGULO 1"X1/8" 6M A 36M</t>
  </si>
  <si>
    <t>BASE GRANULAR B-200</t>
  </si>
  <si>
    <t>BASE GRANULAR NORMA INVIAS</t>
  </si>
  <si>
    <t>CONCRETO CTE GRAVA COMÚN 2500 PSI</t>
  </si>
  <si>
    <t>MURO EN LADRILLO MACIZO REC,0,10 CM</t>
  </si>
  <si>
    <t>PAÑETE IMPERMEABILIZADO MUROS 1:3</t>
  </si>
  <si>
    <t>zocalo PVC 6.8 cm</t>
  </si>
  <si>
    <t>Suministro e instalación de caja de empalme</t>
  </si>
  <si>
    <t>Suministro e instalación de tablero distribución</t>
  </si>
  <si>
    <t>TABLERO GENERAL DE DISTRIBUCION NOR</t>
  </si>
  <si>
    <t>PUNTO DE FIJACIÓN (CHAZO-TUERCA-TON</t>
  </si>
  <si>
    <t>TOTALIZADOR DE 125 A</t>
  </si>
  <si>
    <t>HORA CUADRILLA BB INSTALACIONES - C</t>
  </si>
  <si>
    <t>BOTONERA SÓNICA DIGITAL</t>
  </si>
  <si>
    <t>CARPINTERÍA MADERA</t>
  </si>
  <si>
    <t>BISAGRA GATO OMEGA 3"</t>
  </si>
  <si>
    <t>HORA CUADRILLA DD-PREST</t>
  </si>
  <si>
    <t>PEGANTE COLBÓN MADERA 1 KG</t>
  </si>
  <si>
    <t>PLANCHÓN 18X4CMX2,90M-FLORMORADO</t>
  </si>
  <si>
    <t>PUNTILLA SIN CABEZA 1"</t>
  </si>
  <si>
    <t>TORNILLO NEGRO AGLOMERADO-YESO 10X2"</t>
  </si>
  <si>
    <t>TRIPLEX 4 MM 1,22X2,44</t>
  </si>
  <si>
    <t>PUERTA 0,90X2M WENGUE PRESTIGE</t>
  </si>
  <si>
    <t>ANTICORROSIVO ROJO CLARO</t>
  </si>
  <si>
    <t>BISAGRA COBRE NUDO CABEZA PLANA 3-1/2"</t>
  </si>
  <si>
    <t>d</t>
  </si>
  <si>
    <t>DÍA SOLDADOR CON PRESTACIONES</t>
  </si>
  <si>
    <t>LÁMINA COLD ROLLED 1,85MM 1MX2M</t>
  </si>
  <si>
    <t>SOLDADURA ELÉCTRICA 3/32" 68 BARRAS</t>
  </si>
  <si>
    <t>11732</t>
  </si>
  <si>
    <t>cerradura bell wood entrada</t>
  </si>
  <si>
    <t>61185</t>
  </si>
  <si>
    <t>inst.cerrad.alc.paso. w.c</t>
  </si>
  <si>
    <t>12647</t>
  </si>
  <si>
    <t>cerradura manija baño</t>
  </si>
  <si>
    <t>16.6</t>
  </si>
  <si>
    <t>16.11</t>
  </si>
  <si>
    <t>16.12</t>
  </si>
  <si>
    <t>16.13</t>
  </si>
  <si>
    <t>16.14</t>
  </si>
  <si>
    <t>16.15</t>
  </si>
  <si>
    <t>16.16</t>
  </si>
  <si>
    <t>16.17</t>
  </si>
  <si>
    <t>16.18</t>
  </si>
  <si>
    <t>16.19</t>
  </si>
  <si>
    <t>16.20</t>
  </si>
  <si>
    <t>16.23</t>
  </si>
  <si>
    <t>16.24</t>
  </si>
  <si>
    <t>16.25</t>
  </si>
  <si>
    <t>piso 5</t>
  </si>
  <si>
    <t>piso  6</t>
  </si>
  <si>
    <t>piso 7</t>
  </si>
  <si>
    <t>piso 8</t>
  </si>
  <si>
    <t>piso 9</t>
  </si>
  <si>
    <t>Suministro e instalación de tomacorriente sencillo Piso 1.</t>
  </si>
  <si>
    <t>Suministro e instalación de tomacorriente regulado Piso 1.</t>
  </si>
  <si>
    <t>Suministro e instalación de tomacorriente sencillo en piso Piso 1.</t>
  </si>
  <si>
    <t>Suministro e instalación de tomacorriente regulado en piso Piso 1.</t>
  </si>
  <si>
    <t>Suministro e instalación de caja de empalme Piso 1.</t>
  </si>
  <si>
    <t>Suministro e instalación de tablero distribución Piso 1.</t>
  </si>
  <si>
    <t>Suministro e instalación de salida de datos piso Piso 1.</t>
  </si>
  <si>
    <t>Suministro e instalación de salida de datos dobles en piso Piso 1.</t>
  </si>
  <si>
    <t>Suministro e instalación de datos por cielo (CC y WiFi) Piso 1.</t>
  </si>
  <si>
    <t>Suministro e instalación de salida datos Piso 1.</t>
  </si>
  <si>
    <t>Suministro e instalación de salida de datos doble Piso 1.</t>
  </si>
  <si>
    <t>Suministro e instalación de salida de televisión Piso 1.</t>
  </si>
  <si>
    <t>Suministro e instalación de caja multitomas Piso 1.</t>
  </si>
  <si>
    <t>Suministro e instalación de transformador trifásico Piso 1.</t>
  </si>
  <si>
    <t>Suministro e instalación de contador electrónico multifuncional Piso 1.</t>
  </si>
  <si>
    <t>Suministro e instalación de cajas de distribución Piso 1.</t>
  </si>
  <si>
    <t>Suministro e instalación de botonera Piso 1.</t>
  </si>
  <si>
    <t>Suministro e instalación de tomacorriente sencillo Piso 2.</t>
  </si>
  <si>
    <t>Suministro e instalación de tomacorriente sencillo en piso Piso 2.</t>
  </si>
  <si>
    <t>Suministro e instalación de tomacorriente regulado en piso Piso 2.</t>
  </si>
  <si>
    <t>Suministro e instalación de tomacorriente GFCI Piso 2.</t>
  </si>
  <si>
    <t>Suministro e instalación de tablero distribución Piso 2.</t>
  </si>
  <si>
    <t>Suministro e instalación de salida de datos piso Piso 2.</t>
  </si>
  <si>
    <t>Suministro e instalación de datos por cielo (CC y WiFi) Piso 2.</t>
  </si>
  <si>
    <t>Suministro e instalación de caja multitomas Piso 2.</t>
  </si>
  <si>
    <t>Suministro e instalación de tomacorriente sencillo Piso 3.</t>
  </si>
  <si>
    <t>Suministro e instalación de tomacorriente regulado Piso 3.</t>
  </si>
  <si>
    <t>Suministro e instalación de tomacorriente sencillo en piso Piso 3.</t>
  </si>
  <si>
    <t>Suministro e instalación de tomacorriente regulado en piso Piso 3.</t>
  </si>
  <si>
    <t>Suministro e instalación de tomacorriente GFCI Piso 3.</t>
  </si>
  <si>
    <t>Suministro e instalación de caja de empalme Piso 3.</t>
  </si>
  <si>
    <t>Suministro e instalación de tablero distribución Piso 3.</t>
  </si>
  <si>
    <t>Suministro e instalación de salida de datos piso Piso 3.</t>
  </si>
  <si>
    <t>Suministro e instalación de datos por cielo (CC y WiFi) Piso 3.</t>
  </si>
  <si>
    <t>Suministro e instalación de salida de datos doble Piso 3.</t>
  </si>
  <si>
    <t>Suministro e instalación de HDMI Piso 3.</t>
  </si>
  <si>
    <t>Suministro e instalación de HDMI piso Piso 3.</t>
  </si>
  <si>
    <t>Suministro e instalación de caja multitomas Piso 3.</t>
  </si>
  <si>
    <t>Suministro e instalación de acometida cable CU 3x2+1x4 AWG PVC 1-1/4" Piso 4.</t>
  </si>
  <si>
    <t>Suministro e instalación de tomacorriente sencillo Piso 4.</t>
  </si>
  <si>
    <t>Suministro e instalación de tomacorriente regulado Piso 4.</t>
  </si>
  <si>
    <t>Suministro e instalación de tomacorriente sencillo en piso Piso 4.</t>
  </si>
  <si>
    <t>Suministro e instalación de tomacorriente regulado en piso Piso 4.</t>
  </si>
  <si>
    <t>Suministro e instalación de tomacorriente GFCI Piso 4.</t>
  </si>
  <si>
    <t>Suministro e instalación de tomacorriente regulado en cielo Piso 4.</t>
  </si>
  <si>
    <t>Suministro e instalación de tomacorriente intemperie Piso 4.</t>
  </si>
  <si>
    <t>Suministro e instalación de tablero distribución Piso 4.</t>
  </si>
  <si>
    <t>Suministro e instalación de salida de datos piso Piso 4.</t>
  </si>
  <si>
    <t>Suministro e instalación de salida de datos dobles en piso Piso 4.</t>
  </si>
  <si>
    <t>Suministro e instalación de datos por cielo (CC y WiFi) Piso 4.</t>
  </si>
  <si>
    <t>Suministro e instalación de salida de datos doble Piso 4.</t>
  </si>
  <si>
    <t>Suministro e instalación de caja multitomas Piso 4.</t>
  </si>
  <si>
    <t>Suministro e instalación de cajas de inspección eléctricas Piso 4.</t>
  </si>
  <si>
    <t>Suministro e instalación de botonera Piso 4.</t>
  </si>
  <si>
    <t>Suministro e instalación de subestación de local Piso 4.</t>
  </si>
  <si>
    <t>Suministro e instalación de tomacorriente sencillo Piso 5.</t>
  </si>
  <si>
    <t>Suministro e instalación de tomacorriente regulado Piso 5.</t>
  </si>
  <si>
    <t>Suministro e instalación de tomacorriente regulado en cielo Piso 5.</t>
  </si>
  <si>
    <t>Suministro e instalación de tablero distribución Piso 5.</t>
  </si>
  <si>
    <t>Suministro e instalación de datos por cielo (CC y WiFi) Piso 5.</t>
  </si>
  <si>
    <t>Suministro e instalación de salida de datos doble Piso 5.</t>
  </si>
  <si>
    <t>Suministro e instalación de caja multitomas Piso 5.</t>
  </si>
  <si>
    <t>Suministro e instalación de tomacorriente sencillo Piso 6.</t>
  </si>
  <si>
    <t>Suministro e instalación de tomacorriente regulado Piso 6.</t>
  </si>
  <si>
    <t>Suministro e instalación de tomacorriente sencillo en piso Piso 6.</t>
  </si>
  <si>
    <t>Suministro e instalación de tomacorriente regulado en piso Piso 6.</t>
  </si>
  <si>
    <t>Suministro e instalación de tablero distribución Piso 6.</t>
  </si>
  <si>
    <t>Suministro e instalación de salida de datos piso Piso 6.</t>
  </si>
  <si>
    <t>Suministro e instalación de datos por cielo (CC y WiFi) Piso 6.</t>
  </si>
  <si>
    <t>Suministro e instalación de salida datos Piso 6.</t>
  </si>
  <si>
    <t>Suministro e instalación de salida de datos doble Piso 6.</t>
  </si>
  <si>
    <t>Suministro e instalación de HDMI Piso 6.</t>
  </si>
  <si>
    <t>Suministro e instalación de HDMI piso Piso 6.</t>
  </si>
  <si>
    <t>Suministro e instalación de caja multitomas Piso 6.</t>
  </si>
  <si>
    <t>Suministro e instalación de botonera Piso 6.</t>
  </si>
  <si>
    <t>Suministro e instalación de tomacorriente sencillo Piso 7.</t>
  </si>
  <si>
    <t>Suministro e instalación de tomacorriente regulado Piso 7.</t>
  </si>
  <si>
    <t>Suministro e instalación de tomacorriente sencillo en piso Piso 7.</t>
  </si>
  <si>
    <t>Suministro e instalación de tomacorriente regulado en piso Piso 7.</t>
  </si>
  <si>
    <t>Suministro e instalación de tablero distribución Piso 7.</t>
  </si>
  <si>
    <t>Suministro e instalación de salida de datos piso Piso 7.</t>
  </si>
  <si>
    <t>Suministro e instalación de datos por cielo (CC y WiFi) Piso 7.</t>
  </si>
  <si>
    <t>Suministro e instalación de salida datos Piso 7.</t>
  </si>
  <si>
    <t>Suministro e instalación de salida de datos doble Piso 7.</t>
  </si>
  <si>
    <t>Suministro e instalación de HDMI Piso 7.</t>
  </si>
  <si>
    <t>Suministro e instalación de HDMI piso Piso 7.</t>
  </si>
  <si>
    <t>Suministro e instalación de caja multitomas Piso 7.</t>
  </si>
  <si>
    <t>Suministro e instalación de tomacorriente sencillo Piso 8.</t>
  </si>
  <si>
    <t>Suministro e instalación de tomacorriente regulado Piso 8.</t>
  </si>
  <si>
    <t>Suministro e instalación de tomacorriente sencillo en piso Piso 8.</t>
  </si>
  <si>
    <t>Suministro e instalación de tomacorriente regulado en piso Piso 8.</t>
  </si>
  <si>
    <t>Suministro e instalación de tablero distribución Piso 8.</t>
  </si>
  <si>
    <t>Suministro e instalación de salida de datos piso Piso 8.</t>
  </si>
  <si>
    <t>Suministro e instalación de datos por cielo (CC y WiFi) Piso 8.</t>
  </si>
  <si>
    <t>Suministro e instalación de salida datos Piso 8.</t>
  </si>
  <si>
    <t>Suministro e instalación de salida de datos doble Piso 8.</t>
  </si>
  <si>
    <t>Suministro e instalación de HDMI Piso 8.</t>
  </si>
  <si>
    <t>Suministro e instalación de HDMI piso Piso 8.</t>
  </si>
  <si>
    <t>Suministro e instalación de caja multitomas Piso 8.</t>
  </si>
  <si>
    <t>Suministro e instalación de tomacorriente sencillo Piso 9.</t>
  </si>
  <si>
    <t>Suministro e instalación de tomacorriente regulado Piso 9.</t>
  </si>
  <si>
    <t>Suministro e instalación de tomacorriente sencillo en piso Piso 9.</t>
  </si>
  <si>
    <t>Suministro e instalación de tomacorriente regulado en piso Piso 9.</t>
  </si>
  <si>
    <t>Suministro e instalación de tomacorriente regulado en cielo Piso 9.</t>
  </si>
  <si>
    <t>Suministro e instalación de tablero distribución Piso 9.</t>
  </si>
  <si>
    <t>Suministro e instalación de salida de datos piso Piso 9.</t>
  </si>
  <si>
    <t>Suministro e instalación de datos por cielo (CC y WiFi) Piso 9.</t>
  </si>
  <si>
    <t>Suministro e instalación de salida datos Piso 9.</t>
  </si>
  <si>
    <t>Suministro e instalación de salida de datos doble Piso 9.</t>
  </si>
  <si>
    <t>Suministro e instalación de HDMI Piso 9.</t>
  </si>
  <si>
    <t>Suministro e instalación de HDMI piso Piso 9.</t>
  </si>
  <si>
    <t>Suministro e instalación de caja multitomas Piso 9.</t>
  </si>
  <si>
    <t>Puerta batiente con ala a 2,35m del NPA. (0,9X2,35) con marco y cerradura</t>
  </si>
  <si>
    <t>Puerta batiente con ala a 2,35m del NPA. (1X2,35) con marco y cerradura</t>
  </si>
  <si>
    <t>Puerta batiente con ala a 2,35m del NPA. (1X2,6) con marco y cerradura</t>
  </si>
  <si>
    <t>Puerta batiente con ala a 2,35m del NPA. (1X1,5) con marco y cerradura</t>
  </si>
  <si>
    <t>Dos puertas batientes entamborada con acabado en pintura acrílica lavable (1,7x0,9) con marco y cerradura</t>
  </si>
  <si>
    <t>Dos puertas batientes entamborada con acabado en pintura acrílica lavable (1,18x0,9) con marco y cerradura</t>
  </si>
  <si>
    <t>Puerta batiente entamborada con acabado en pintura acrílica lavable (0,9x0,9) con marco y cerradura</t>
  </si>
  <si>
    <t>Puerta batiente entamborada con acabado en pintura acrílica lavable (1,6x0,9) con marco y cerradura</t>
  </si>
  <si>
    <t>FOSO ASCENSOR</t>
  </si>
  <si>
    <t>Parc ascensor 1</t>
  </si>
  <si>
    <t>Parc ascensor 2</t>
  </si>
  <si>
    <t>2.4</t>
  </si>
  <si>
    <t>Valor unitario</t>
  </si>
  <si>
    <t>Valor total</t>
  </si>
  <si>
    <t>% incidencia</t>
  </si>
  <si>
    <t>Equipos</t>
  </si>
  <si>
    <t>Ensayos para el control de calidad</t>
  </si>
  <si>
    <t>Elementos de protección personal y de seguridad industrial</t>
  </si>
  <si>
    <t>Personal</t>
  </si>
  <si>
    <t>Dotación de oficina</t>
  </si>
  <si>
    <t>Servicios públicos</t>
  </si>
  <si>
    <t>Fotocopias y papelería</t>
  </si>
  <si>
    <t xml:space="preserve">Combo mesa y 6 sillas rimax </t>
  </si>
  <si>
    <t>mes</t>
  </si>
  <si>
    <t>Kit de seguridad (CCTV) de 4 cámaras y 1Tb</t>
  </si>
  <si>
    <t>Cafetera IMUSA</t>
  </si>
  <si>
    <t>Ventilador orbital Kaley</t>
  </si>
  <si>
    <t>Impresora HP 1115 LA</t>
  </si>
  <si>
    <t>Escritorio Practimac Estación de trabajo madrid</t>
  </si>
  <si>
    <t>Computador Asus R454LJ 14""</t>
  </si>
  <si>
    <t>Elementos de protección personal y de seguridad industrial en alturas</t>
  </si>
  <si>
    <t>No de trabajadores</t>
  </si>
  <si>
    <t>Arnes</t>
  </si>
  <si>
    <t>Casco</t>
  </si>
  <si>
    <t>Eslinga con amortiguador</t>
  </si>
  <si>
    <t>Total (Por trabajador)</t>
  </si>
  <si>
    <t>Eslinga de posicionamiento</t>
  </si>
  <si>
    <t>3.2.1</t>
  </si>
  <si>
    <t>Línea</t>
  </si>
  <si>
    <t># Cuadrillas</t>
  </si>
  <si>
    <t># trabajadores/cuadrilla</t>
  </si>
  <si>
    <t>Costo Unitario</t>
  </si>
  <si>
    <t>Costo Total</t>
  </si>
  <si>
    <t>Gafas de Seguridad</t>
  </si>
  <si>
    <t>Estandar</t>
  </si>
  <si>
    <t>Económicas</t>
  </si>
  <si>
    <t>Mascara de Soldador</t>
  </si>
  <si>
    <t>Botas</t>
  </si>
  <si>
    <t>Industrial PVC</t>
  </si>
  <si>
    <t>Guantes</t>
  </si>
  <si>
    <t>Guantes de Soldador</t>
  </si>
  <si>
    <t>Chalecos</t>
  </si>
  <si>
    <t>Tapones de Oidos</t>
  </si>
  <si>
    <t>Respiradores</t>
  </si>
  <si>
    <t>3.1.1</t>
  </si>
  <si>
    <t>3.1.2</t>
  </si>
  <si>
    <t>3.1.3</t>
  </si>
  <si>
    <t>3.1.4</t>
  </si>
  <si>
    <t>3.1.5</t>
  </si>
  <si>
    <t>3.1.6</t>
  </si>
  <si>
    <t>3.1.7</t>
  </si>
  <si>
    <t>3.1.8</t>
  </si>
  <si>
    <t>3.1.9</t>
  </si>
  <si>
    <t>3.1.10</t>
  </si>
  <si>
    <t>3.1.11</t>
  </si>
  <si>
    <t>Elementos de protección personal y de seguridad industrial en la construcción</t>
  </si>
  <si>
    <t>021060</t>
  </si>
  <si>
    <t>Colocación cielo raso en lámina de aluminio</t>
  </si>
  <si>
    <t xml:space="preserve"> -  </t>
  </si>
  <si>
    <t xml:space="preserve"> - </t>
  </si>
  <si>
    <t>Tectiva gris TE20</t>
  </si>
  <si>
    <t xml:space="preserve">Lámina de aluminio </t>
  </si>
  <si>
    <t>Canaleta galvanizada 0,9mx0,6m</t>
  </si>
  <si>
    <t>Tornillo para canaleta 90</t>
  </si>
  <si>
    <t>Hora cuadrlla aa albañileria</t>
  </si>
  <si>
    <t>Suministro e instalación de estructura metálica y cubierta</t>
  </si>
  <si>
    <t>15.2</t>
  </si>
  <si>
    <t>Cubierta metálica</t>
  </si>
  <si>
    <t>ASEO Y REVISIÓN</t>
  </si>
  <si>
    <t>Aseo</t>
  </si>
  <si>
    <t>m. de o. cielo</t>
  </si>
  <si>
    <t>Colocación cielo raso en drywall piso 1</t>
  </si>
  <si>
    <t>Colocación cielo raso en lámina de aluminio piso 1</t>
  </si>
  <si>
    <t>Colocación cielo raso en equitone tectiva piso 1</t>
  </si>
  <si>
    <t>Colocación cielo raso en equitone tectiva piso 2</t>
  </si>
  <si>
    <t>Colocación cielo raso en equitone tectiva piso 3</t>
  </si>
  <si>
    <t>Colocación cielo raso en equitone tectiva piso 4</t>
  </si>
  <si>
    <t>Colocación cielo raso en equitone tectiva piso 5</t>
  </si>
  <si>
    <t>Colocación cielo raso en drywall piso 6</t>
  </si>
  <si>
    <t>Colocación cielo raso en drywall piso 7</t>
  </si>
  <si>
    <t>Colocación cielo raso en drywall piso 8</t>
  </si>
  <si>
    <t>Colocación cielo raso en drywall piso 9</t>
  </si>
  <si>
    <t>10.4</t>
  </si>
  <si>
    <t>10.5</t>
  </si>
  <si>
    <t>10.6</t>
  </si>
  <si>
    <t>10.7</t>
  </si>
  <si>
    <t>10.8</t>
  </si>
  <si>
    <t>10.9</t>
  </si>
  <si>
    <t>10.10</t>
  </si>
  <si>
    <t>10.11</t>
  </si>
  <si>
    <t>TOTAL CAPITULO 14</t>
  </si>
  <si>
    <t>Colocación de muros no estructurales en drywall e=0,12m Piso 1</t>
  </si>
  <si>
    <t>Colocación de muros no estructurales en drywall e=0,12m Piso 2</t>
  </si>
  <si>
    <t>Colocación de muros no estructurales en drywall e=0,12m Piso 3</t>
  </si>
  <si>
    <t>Colocación de muros no estructurales en drywall e=0,12m Piso 4</t>
  </si>
  <si>
    <t>Colocación de muros no estructurales en drywall e=0,12m Piso 6</t>
  </si>
  <si>
    <t>Colocación de muros no estructurales en drywall e=0,12m Piso 9</t>
  </si>
  <si>
    <t>Colocación de muros no estructurales en drywall e=0,12m Piso 7</t>
  </si>
  <si>
    <t>Colocación de muros no estructurales en drywall e=0,12m Piso 8</t>
  </si>
  <si>
    <t>TOTAL CAPITULO 6</t>
  </si>
  <si>
    <t>Aseo piso 1</t>
  </si>
  <si>
    <t>Aseo piso 2</t>
  </si>
  <si>
    <t>Aseo piso 3</t>
  </si>
  <si>
    <t>Aseo piso 4</t>
  </si>
  <si>
    <t>Aseo piso 5</t>
  </si>
  <si>
    <t>Aseo piso 6</t>
  </si>
  <si>
    <t>Aseo piso 7</t>
  </si>
  <si>
    <t>Aseo piso 8</t>
  </si>
  <si>
    <t>Aseo piso 9</t>
  </si>
  <si>
    <t>TOTAL CAPITULO 19</t>
  </si>
  <si>
    <t>Salidas aguas residuales con tubería PVC - Sanitaria de 2" Piso 1</t>
  </si>
  <si>
    <t>Salidas aguas residuales con tubería PVC - Sanitaria de 3" Piso 1</t>
  </si>
  <si>
    <t>Salidas aguas residuales con tubería PVC - Sanitaria de 4" Piso 1</t>
  </si>
  <si>
    <t>Salidas aguas residuales con tubería PVC - Sanitaria de 6" Piso 1</t>
  </si>
  <si>
    <t>Salidas aguas residuales con tubería PVC - Sanitaria de 8" Piso 1</t>
  </si>
  <si>
    <t>Salidas aguas lluvia con tubería PVC - Liviana de 2" Piso 1</t>
  </si>
  <si>
    <t>Salidas aguas lluvia con tubería PVC - Liviana de 3" Piso 1</t>
  </si>
  <si>
    <t>Salidas aguas lluvia con tubería PVC - Liviana de 6" Piso 1</t>
  </si>
  <si>
    <t>Salidas aguas lluvia con tubería PVC - Liviana de 8" Piso 1</t>
  </si>
  <si>
    <t>Salidas aguas lluvia con tubería PVC - Liviana de 10" Piso 1</t>
  </si>
  <si>
    <t>Salidas de ventilación con tubería PVC de 2" Piso 1</t>
  </si>
  <si>
    <t>Salidas de ventilación con tubería PVC de 3" Piso 1</t>
  </si>
  <si>
    <t>Bajantes aguas residuales con tubería PVC - Sanitaria de 6" Piso 1</t>
  </si>
  <si>
    <t>Bajantes aguas lluvia con tubería PVC - Sanitaria de 2" Piso 1</t>
  </si>
  <si>
    <t>Bajantes aguas lluvia con tubería PVC - Sanitaria de 3" Piso 1</t>
  </si>
  <si>
    <t>Bajantes ventilación con tubería PVC de 3" Piso 1</t>
  </si>
  <si>
    <t>Bajantes ventilación con tubería PVC de 4" Piso 1</t>
  </si>
  <si>
    <t>Salidas aguas residuales con tubería PVC - Sanitaria de 2" Piso 2</t>
  </si>
  <si>
    <t>Salidas aguas residuales con tubería PVC - Sanitaria de 3" Piso 2</t>
  </si>
  <si>
    <t>Salidas aguas residuales con tubería PVC - Sanitaria de 4" Piso 2</t>
  </si>
  <si>
    <t>Salidas aguas residuales con tubería PVC - Sanitaria de 6" Piso 2</t>
  </si>
  <si>
    <t>Salidas aguas residuales con tubería PVC - Sanitaria de 8" Piso 2</t>
  </si>
  <si>
    <t>Salidas aguas lluvia con tubería PVC - Liviana de 2" Piso 2</t>
  </si>
  <si>
    <t>Salidas aguas lluvia con tubería PVC - Liviana de 3" Piso 2</t>
  </si>
  <si>
    <t>Salidas aguas lluvia con tubería PVC - Liviana de 10" Piso 2</t>
  </si>
  <si>
    <t>Salidas de ventilación con tubería PVC de 2" Piso 2</t>
  </si>
  <si>
    <t>Salidas de ventilación con tubería PVC de 3" Piso 2</t>
  </si>
  <si>
    <t>Salidas de ventilación con tubería PVC de 4" Piso 2</t>
  </si>
  <si>
    <t>Bajantes aguas residuales con tubería PVC - Sanitaria de 6" Piso 2</t>
  </si>
  <si>
    <t>Bajantes aguas lluvia con tubería PVC - Sanitaria de 2" Piso 2</t>
  </si>
  <si>
    <t>Bajantes aguas lluvia con tubería PVC - Sanitaria de 3" Piso 2</t>
  </si>
  <si>
    <t>Bajantes ventilación con tubería PVC de 3" Piso 2</t>
  </si>
  <si>
    <t>Bajantes ventilación con tubería PVC de 4" Piso 2</t>
  </si>
  <si>
    <t>Salidas aguas residuales con tubería PVC - Sanitaria de 2" Piso 3</t>
  </si>
  <si>
    <t>Salidas aguas residuales con tubería PVC - Sanitaria de 3" Piso 3</t>
  </si>
  <si>
    <t>Salidas aguas residuales con tubería PVC - Sanitaria de 4" Piso 3</t>
  </si>
  <si>
    <t>Salidas aguas residuales con tubería PVC - Sanitaria de 6" Piso 3</t>
  </si>
  <si>
    <t>Salidas aguas residuales con tubería PVC - Sanitaria de 8" Piso 3</t>
  </si>
  <si>
    <t>Salidas aguas lluvia con tubería PVC - Liviana de 2" Piso 3</t>
  </si>
  <si>
    <t>Salidas aguas lluvia con tubería PVC - Liviana de 3" Piso 3</t>
  </si>
  <si>
    <t>Salidas aguas lluvia con tubería PVC - Liviana de 4" Piso 3</t>
  </si>
  <si>
    <t>Salidas aguas lluvia con tubería PVC - Liviana de 10" Piso 3</t>
  </si>
  <si>
    <t>Salidas de ventilación con tubería PVC de 2" Piso 3</t>
  </si>
  <si>
    <t>Salidas de ventilación con tubería PVC de 3" Piso 3</t>
  </si>
  <si>
    <t>Salidas de ventilación con tubería PVC de 4" Piso 3</t>
  </si>
  <si>
    <t>Bajantes aguas residuales con tubería PVC - Sanitaria de 3" Piso 3</t>
  </si>
  <si>
    <t>Bajantes aguas residuales con tubería PVC - Sanitaria de 4" Piso 3</t>
  </si>
  <si>
    <t>Bajantes aguas residuales con tubería PVC - Sanitaria de 6" Piso 3</t>
  </si>
  <si>
    <t>Bajantes aguas lluvia con tubería PVC - Sanitaria de 2" Piso 3</t>
  </si>
  <si>
    <t>Bajantes aguas lluvia con tubería PVC - Sanitaria de 3" Piso 3</t>
  </si>
  <si>
    <t>Bajantes aguas lluvia con tubería PVC - Sanitaria de 4" Piso 3</t>
  </si>
  <si>
    <t>Bajantes ventilación con tubería PVC de 3" Piso 3</t>
  </si>
  <si>
    <t>Bajantes ventilación con tubería PVC de 4" Piso 3</t>
  </si>
  <si>
    <t>Suministro e instalación de interruptor conmutable PVC</t>
  </si>
  <si>
    <t>TUBO  CONDUIT PVC 3/4</t>
  </si>
  <si>
    <t>CABLE DE COBRE AISLADO 90° 12 AWG</t>
  </si>
  <si>
    <t>CAJA DOBLE GALVANIZADA 2400</t>
  </si>
  <si>
    <t>SUPLEMENTO METÁLICO GALVANIZADO CAJ</t>
  </si>
  <si>
    <t>CONECTOR RESORTE ROJO/AMAILLO 18-8</t>
  </si>
  <si>
    <t>SOLDADURA PVC WET BONDING (1/8 GAL)</t>
  </si>
  <si>
    <t>INTERRUPTOR CONMUTABLE SENCILLO AMB</t>
  </si>
  <si>
    <t>Suministro e instalación de interruptor conmutable PVC Piso 1.</t>
  </si>
  <si>
    <t>Suministro e instalación de interruptor conmutable PVC Piso 2.</t>
  </si>
  <si>
    <t>Suministro e instalación de interruptor conmutable PVC Piso 3.</t>
  </si>
  <si>
    <t>Suministro e instalación de interruptor conmutable PVC Piso 4.</t>
  </si>
  <si>
    <t>Suministro e instalación de interruptor conmutable PVC Piso 5.</t>
  </si>
  <si>
    <t>Suministro e instalación de interruptor conmutable PVC Piso 6.</t>
  </si>
  <si>
    <t>60222</t>
  </si>
  <si>
    <t>m. de o sb fachadas</t>
  </si>
  <si>
    <t>17.26</t>
  </si>
  <si>
    <t>17.27</t>
  </si>
  <si>
    <t>17.28</t>
  </si>
  <si>
    <t>17.29</t>
  </si>
  <si>
    <t>17.30</t>
  </si>
  <si>
    <t>17.31</t>
  </si>
  <si>
    <t>TUBO PVC SANITARIO 8"</t>
  </si>
  <si>
    <t>tubo agua galv2" esp 2.95mm (6m)</t>
  </si>
  <si>
    <t>Banda soporte para tubo apretado 2"</t>
  </si>
  <si>
    <t>Hora cuadrilla BB-con prest.</t>
  </si>
  <si>
    <t>17.32</t>
  </si>
  <si>
    <t xml:space="preserve">Acometida principal red hidráulica </t>
  </si>
  <si>
    <t>puerta al.batiente koncept40x1.0x2.7 pint anodizado nat10mm templado</t>
  </si>
  <si>
    <t>Ventana interna tipo 1 VT IN-01 (4,55*2,71)</t>
  </si>
  <si>
    <t>coloc.ventana al.</t>
  </si>
  <si>
    <t>Tiempo Instalacion</t>
  </si>
  <si>
    <t>62028</t>
  </si>
  <si>
    <t xml:space="preserve"> 151010</t>
  </si>
  <si>
    <t>Ventana interna tipo 2 VT IN-02 (3,868*2,71)</t>
  </si>
  <si>
    <t>Ventana interna tipo 3 VT IN-03 (3,,545*2,71)</t>
  </si>
  <si>
    <t>Ventana interna tipo 4 VT IN-04 (6,8*2,71)</t>
  </si>
  <si>
    <t>Ventana interna tipo 5 VT IN-05 (3,65*2,71)</t>
  </si>
  <si>
    <t>Ventana interna tipo 6 VT IN-06 (3*2,71)</t>
  </si>
  <si>
    <t>Ventana interna tipo 7 VT IN-07 (3,037*2,71)</t>
  </si>
  <si>
    <t>Ventana interna tipo 8 VT IN-08 (3,387*2,71)</t>
  </si>
  <si>
    <t>Ventana interna tipo 9 VT IN-09 (2,,4*2,71)</t>
  </si>
  <si>
    <t>Ventana interna tipo 10 VT IN-10 (2,1*2,71)</t>
  </si>
  <si>
    <t>Ventana interna tipo 11 VT IN-11 (8,39*2,71)</t>
  </si>
  <si>
    <t>Ventana interna tipo 12 VT IN-12 (3*2,71)</t>
  </si>
  <si>
    <t>Ventana interna tipo 14 VT IN-14  (3,6*2,71)</t>
  </si>
  <si>
    <t>Ventana interna tipo 15 VT IN-15 (2,02*2,71)</t>
  </si>
  <si>
    <t>Ventana interna tipo 17 VT IN-17 (2,04*2,71)</t>
  </si>
  <si>
    <t>Ventana interna tipo 18 VT IN-18 (7,14*2,71)</t>
  </si>
  <si>
    <t>Ventana interna tipo 19 VT IN-19 (3,07*2,71)</t>
  </si>
  <si>
    <t>Ventana interna tipo 20 VT IN-20 (9,97*2,71)</t>
  </si>
  <si>
    <t>Ventana interna tipo 21 VT IN-21 (16,09*2,71)</t>
  </si>
  <si>
    <t xml:space="preserve"> Ventana interna tipo 22 VT IN-22 (3,95*2,71)</t>
  </si>
  <si>
    <t>Ventana interna tipo 23 VT IN-23 (4,54*2,71)</t>
  </si>
  <si>
    <t>Ventana interna tipo 24 VT IN-24 (4,9*2,71)</t>
  </si>
  <si>
    <t>Ventana interna tipo 28 VT IN-28 (2,05*2,71)</t>
  </si>
  <si>
    <t>Ventana interna tipo 27 VT-27 (1,5*1,5)</t>
  </si>
  <si>
    <t>Ventana interna tipo 28 VT-28 (1,5*0,5)</t>
  </si>
  <si>
    <t>Ventana interna tipo 29 VT-29 (3,525/3)</t>
  </si>
  <si>
    <t>Ventana corrediza 0.6x0.4 vidrio 3mm</t>
  </si>
  <si>
    <t>Cristal laminado color 6mm (3+3)</t>
  </si>
  <si>
    <t>1,2,3</t>
  </si>
  <si>
    <t>1,2,3,4,5,6,7,8,9</t>
  </si>
  <si>
    <t>1,2,3,4,6,7,8</t>
  </si>
  <si>
    <t>5,6,7,8,9</t>
  </si>
  <si>
    <t>11.9</t>
  </si>
  <si>
    <t>11.10</t>
  </si>
  <si>
    <t>11.11</t>
  </si>
  <si>
    <t>11.12</t>
  </si>
  <si>
    <t>11.13</t>
  </si>
  <si>
    <t>11.14</t>
  </si>
  <si>
    <t>LICENCIA DE CONSTRUCCIÓN</t>
  </si>
  <si>
    <t>Año</t>
  </si>
  <si>
    <t>SMMLV</t>
  </si>
  <si>
    <t>Municipio</t>
  </si>
  <si>
    <t xml:space="preserve">Tipo de construcción </t>
  </si>
  <si>
    <t>INSTITUCIONAL</t>
  </si>
  <si>
    <t>Construcción pública</t>
  </si>
  <si>
    <t>no</t>
  </si>
  <si>
    <t>Urbanismo o parcelación</t>
  </si>
  <si>
    <t>Estrato</t>
  </si>
  <si>
    <t>Q (m2)</t>
  </si>
  <si>
    <t>i</t>
  </si>
  <si>
    <t>j</t>
  </si>
  <si>
    <t>Cf</t>
  </si>
  <si>
    <t>Cv</t>
  </si>
  <si>
    <t>Expensa total</t>
  </si>
  <si>
    <t>4.1.1</t>
  </si>
  <si>
    <t>4.1.2</t>
  </si>
  <si>
    <t>4.1.3</t>
  </si>
  <si>
    <t>4.1.4</t>
  </si>
  <si>
    <t>Armado y vaciado de columnas en concreto con f'c=35MPa 0,6x1,5 Piso 1</t>
  </si>
  <si>
    <t>Armado y vaciado de columnas en concreto con f'c=35MPa 0,4x2,0 Piso 1</t>
  </si>
  <si>
    <t>Armado y vaciado de columnas en concreto con f'c=35MPa 0,25x0,25 Piso 1</t>
  </si>
  <si>
    <t>Tanques de polietileno de abastecimiento de agua potable con capacidad de 20 m3</t>
  </si>
  <si>
    <t>Tanques de polietileno de agua no potable para reserva contra incendio con capacidad de 139 m3</t>
  </si>
  <si>
    <t>Tanques de polietileno de agua lluvia filtrada con capacidad de 8 m3</t>
  </si>
  <si>
    <t>concreto de 6000 psi</t>
  </si>
  <si>
    <t>Cantidad de concreto</t>
  </si>
  <si>
    <t>11.15</t>
  </si>
  <si>
    <t>11.16</t>
  </si>
  <si>
    <t>11.17</t>
  </si>
  <si>
    <t>11.18</t>
  </si>
  <si>
    <t>11.19</t>
  </si>
  <si>
    <t>11.20</t>
  </si>
  <si>
    <t>11.21</t>
  </si>
  <si>
    <t>11.22</t>
  </si>
  <si>
    <t>11.23</t>
  </si>
  <si>
    <t>11.24</t>
  </si>
  <si>
    <t>11.25</t>
  </si>
  <si>
    <t>11.26</t>
  </si>
  <si>
    <t>11.27</t>
  </si>
  <si>
    <t>11.28</t>
  </si>
  <si>
    <t>11.29</t>
  </si>
  <si>
    <t>11.30</t>
  </si>
  <si>
    <t>11.31</t>
  </si>
  <si>
    <t>11.32</t>
  </si>
  <si>
    <t>11.33</t>
  </si>
  <si>
    <t>11.34</t>
  </si>
  <si>
    <t>11.35</t>
  </si>
  <si>
    <t>11.36</t>
  </si>
  <si>
    <t>11.37</t>
  </si>
  <si>
    <t>11.38</t>
  </si>
  <si>
    <t>11.39</t>
  </si>
  <si>
    <t>11.40</t>
  </si>
  <si>
    <t>11.41</t>
  </si>
  <si>
    <t>11.42</t>
  </si>
  <si>
    <t>11.43</t>
  </si>
  <si>
    <t>11.44</t>
  </si>
  <si>
    <t>11.45</t>
  </si>
  <si>
    <t>11.46</t>
  </si>
  <si>
    <t>11.47</t>
  </si>
  <si>
    <t>11.48</t>
  </si>
  <si>
    <t>11.49</t>
  </si>
  <si>
    <t>11.50</t>
  </si>
  <si>
    <t>11.51</t>
  </si>
  <si>
    <t>11.52</t>
  </si>
  <si>
    <t>11.53</t>
  </si>
  <si>
    <t>11.54</t>
  </si>
  <si>
    <t>11.56</t>
  </si>
  <si>
    <t>11.57</t>
  </si>
  <si>
    <t>11.58</t>
  </si>
  <si>
    <t>11.59</t>
  </si>
  <si>
    <t>11.60</t>
  </si>
  <si>
    <t>11.61</t>
  </si>
  <si>
    <t>11.62</t>
  </si>
  <si>
    <t>11.63</t>
  </si>
  <si>
    <t>11.64</t>
  </si>
  <si>
    <t>11.65</t>
  </si>
  <si>
    <t>11.66</t>
  </si>
  <si>
    <t>11.67</t>
  </si>
  <si>
    <t>11.68</t>
  </si>
  <si>
    <t>11.69</t>
  </si>
  <si>
    <t>11.70</t>
  </si>
  <si>
    <t>11.71</t>
  </si>
  <si>
    <t>11.72</t>
  </si>
  <si>
    <t>11.73</t>
  </si>
  <si>
    <t>11.74</t>
  </si>
  <si>
    <t>11.75</t>
  </si>
  <si>
    <t>11.76</t>
  </si>
  <si>
    <t>11.77</t>
  </si>
  <si>
    <t>11.78</t>
  </si>
  <si>
    <t>11.79</t>
  </si>
  <si>
    <t>11.80</t>
  </si>
  <si>
    <t>11.81</t>
  </si>
  <si>
    <t>11.82</t>
  </si>
  <si>
    <t>11.83</t>
  </si>
  <si>
    <t>11.84</t>
  </si>
  <si>
    <t>11.85</t>
  </si>
  <si>
    <t>11.86</t>
  </si>
  <si>
    <t>11.87</t>
  </si>
  <si>
    <t>11.88</t>
  </si>
  <si>
    <t>11.89</t>
  </si>
  <si>
    <t>11.90</t>
  </si>
  <si>
    <t>11.91</t>
  </si>
  <si>
    <t>11.92</t>
  </si>
  <si>
    <t>11.93</t>
  </si>
  <si>
    <t>11.94</t>
  </si>
  <si>
    <t>11.95</t>
  </si>
  <si>
    <t>11.96</t>
  </si>
  <si>
    <t>11.97</t>
  </si>
  <si>
    <t>11.98</t>
  </si>
  <si>
    <t>11.99</t>
  </si>
  <si>
    <t>11.100</t>
  </si>
  <si>
    <t>11.101</t>
  </si>
  <si>
    <t>11.102</t>
  </si>
  <si>
    <t>11.103</t>
  </si>
  <si>
    <t>11.104</t>
  </si>
  <si>
    <t>11.105</t>
  </si>
  <si>
    <t>11.106</t>
  </si>
  <si>
    <t>13.15</t>
  </si>
  <si>
    <t>13.16</t>
  </si>
  <si>
    <t>13.17</t>
  </si>
  <si>
    <t>13.18</t>
  </si>
  <si>
    <t>13.19</t>
  </si>
  <si>
    <t>13.20</t>
  </si>
  <si>
    <t>13.21</t>
  </si>
  <si>
    <t>13.22</t>
  </si>
  <si>
    <t>13.23</t>
  </si>
  <si>
    <t>13.24</t>
  </si>
  <si>
    <t>13.25</t>
  </si>
  <si>
    <t>13.26</t>
  </si>
  <si>
    <t>13.27</t>
  </si>
  <si>
    <t>13.28</t>
  </si>
  <si>
    <t>13.29</t>
  </si>
  <si>
    <t>13.30</t>
  </si>
  <si>
    <t>13.31</t>
  </si>
  <si>
    <t>13.32</t>
  </si>
  <si>
    <t>13.33</t>
  </si>
  <si>
    <t>13.34</t>
  </si>
  <si>
    <t>13.35</t>
  </si>
  <si>
    <t>13.36</t>
  </si>
  <si>
    <t>13.37</t>
  </si>
  <si>
    <t>13.38</t>
  </si>
  <si>
    <t>13.39</t>
  </si>
  <si>
    <t>13.40</t>
  </si>
  <si>
    <t>13.41</t>
  </si>
  <si>
    <t>13.42</t>
  </si>
  <si>
    <t>13.43</t>
  </si>
  <si>
    <t>13.44</t>
  </si>
  <si>
    <t>13.45</t>
  </si>
  <si>
    <t>13.46</t>
  </si>
  <si>
    <t>13.47</t>
  </si>
  <si>
    <t>13.48</t>
  </si>
  <si>
    <t>13.49</t>
  </si>
  <si>
    <t>13.50</t>
  </si>
  <si>
    <t>13.51</t>
  </si>
  <si>
    <t>13.52</t>
  </si>
  <si>
    <t>13.53</t>
  </si>
  <si>
    <t>13.54</t>
  </si>
  <si>
    <t>13.55</t>
  </si>
  <si>
    <t>13.56</t>
  </si>
  <si>
    <t>13.57</t>
  </si>
  <si>
    <t>13.58</t>
  </si>
  <si>
    <t>13.59</t>
  </si>
  <si>
    <t>13.60</t>
  </si>
  <si>
    <t>13.61</t>
  </si>
  <si>
    <t>13.62</t>
  </si>
  <si>
    <t>13.63</t>
  </si>
  <si>
    <t>13.64</t>
  </si>
  <si>
    <t>13.65</t>
  </si>
  <si>
    <t>13.66</t>
  </si>
  <si>
    <t>13.67</t>
  </si>
  <si>
    <t>13.68</t>
  </si>
  <si>
    <t>13.69</t>
  </si>
  <si>
    <t>13.70</t>
  </si>
  <si>
    <t>13.71</t>
  </si>
  <si>
    <t>13.72</t>
  </si>
  <si>
    <t>13.73</t>
  </si>
  <si>
    <t>13.74</t>
  </si>
  <si>
    <t>13.75</t>
  </si>
  <si>
    <t>13.76</t>
  </si>
  <si>
    <t>13.77</t>
  </si>
  <si>
    <t>13.78</t>
  </si>
  <si>
    <t>13.79</t>
  </si>
  <si>
    <t>13.80</t>
  </si>
  <si>
    <t>13.81</t>
  </si>
  <si>
    <t>13.82</t>
  </si>
  <si>
    <t>13.83</t>
  </si>
  <si>
    <t>13.84</t>
  </si>
  <si>
    <t>13.85</t>
  </si>
  <si>
    <t>13.86</t>
  </si>
  <si>
    <t>13.87</t>
  </si>
  <si>
    <t>13.88</t>
  </si>
  <si>
    <t>13.89</t>
  </si>
  <si>
    <t>13.90</t>
  </si>
  <si>
    <t>13.91</t>
  </si>
  <si>
    <t>13.92</t>
  </si>
  <si>
    <t>13.93</t>
  </si>
  <si>
    <t>13.94</t>
  </si>
  <si>
    <t>13.95</t>
  </si>
  <si>
    <t>13.96</t>
  </si>
  <si>
    <t>13.97</t>
  </si>
  <si>
    <t>13.98</t>
  </si>
  <si>
    <t>13.99</t>
  </si>
  <si>
    <t>13.100</t>
  </si>
  <si>
    <t>13.101</t>
  </si>
  <si>
    <t>13.102</t>
  </si>
  <si>
    <t>13.103</t>
  </si>
  <si>
    <t>13.104</t>
  </si>
  <si>
    <t>13.105</t>
  </si>
  <si>
    <t>13.106</t>
  </si>
  <si>
    <t>(4 primeros tanques)</t>
  </si>
  <si>
    <t>(todos)</t>
  </si>
  <si>
    <t>16.41</t>
  </si>
  <si>
    <t>16.42</t>
  </si>
  <si>
    <t>16.43</t>
  </si>
  <si>
    <t>16.44</t>
  </si>
  <si>
    <t>16.45</t>
  </si>
  <si>
    <t>16.46</t>
  </si>
  <si>
    <t>16.47</t>
  </si>
  <si>
    <t>16.48</t>
  </si>
  <si>
    <t>16.49</t>
  </si>
  <si>
    <t>16.50</t>
  </si>
  <si>
    <t>16.51</t>
  </si>
  <si>
    <t>16.52</t>
  </si>
  <si>
    <t>16.53</t>
  </si>
  <si>
    <t>16.54</t>
  </si>
  <si>
    <t>16.55</t>
  </si>
  <si>
    <t>16.56</t>
  </si>
  <si>
    <t>16.57</t>
  </si>
  <si>
    <t>16.58</t>
  </si>
  <si>
    <t>16.59</t>
  </si>
  <si>
    <t>16.60</t>
  </si>
  <si>
    <t>16.61</t>
  </si>
  <si>
    <t>16.62</t>
  </si>
  <si>
    <t>16.63</t>
  </si>
  <si>
    <t>16.64</t>
  </si>
  <si>
    <t>16.65</t>
  </si>
  <si>
    <t>16.66</t>
  </si>
  <si>
    <t>16.67</t>
  </si>
  <si>
    <t>16.68</t>
  </si>
  <si>
    <t>16.69</t>
  </si>
  <si>
    <t>16.70</t>
  </si>
  <si>
    <t>16.71</t>
  </si>
  <si>
    <t>16.72</t>
  </si>
  <si>
    <t>16.73</t>
  </si>
  <si>
    <t>16.74</t>
  </si>
  <si>
    <t>16.75</t>
  </si>
  <si>
    <t>16.76</t>
  </si>
  <si>
    <t>16.77</t>
  </si>
  <si>
    <t>16.78</t>
  </si>
  <si>
    <t>16.79</t>
  </si>
  <si>
    <t>16.80</t>
  </si>
  <si>
    <t>16.81</t>
  </si>
  <si>
    <t>16.82</t>
  </si>
  <si>
    <t>16.83</t>
  </si>
  <si>
    <t>16.84</t>
  </si>
  <si>
    <t>16.85</t>
  </si>
  <si>
    <t>16.86</t>
  </si>
  <si>
    <t>16.87</t>
  </si>
  <si>
    <t>16.88</t>
  </si>
  <si>
    <t>16.89</t>
  </si>
  <si>
    <t>16.90</t>
  </si>
  <si>
    <t>16.91</t>
  </si>
  <si>
    <t>16.92</t>
  </si>
  <si>
    <t>16.93</t>
  </si>
  <si>
    <t>16.94</t>
  </si>
  <si>
    <t>16.95</t>
  </si>
  <si>
    <t>16.96</t>
  </si>
  <si>
    <t>16.97</t>
  </si>
  <si>
    <t>16.98</t>
  </si>
  <si>
    <t>16.99</t>
  </si>
  <si>
    <t>16.100</t>
  </si>
  <si>
    <t>16.101</t>
  </si>
  <si>
    <t>16.102</t>
  </si>
  <si>
    <t>17.33</t>
  </si>
  <si>
    <t>17.34</t>
  </si>
  <si>
    <t>17.35</t>
  </si>
  <si>
    <t>17.36</t>
  </si>
  <si>
    <t>17.37</t>
  </si>
  <si>
    <t>17.38</t>
  </si>
  <si>
    <t>17.39</t>
  </si>
  <si>
    <t>17.40</t>
  </si>
  <si>
    <t>17.41</t>
  </si>
  <si>
    <t>17.42</t>
  </si>
  <si>
    <t>17.43</t>
  </si>
  <si>
    <t>17.44</t>
  </si>
  <si>
    <t>17.45</t>
  </si>
  <si>
    <t>17.46</t>
  </si>
  <si>
    <t>17.47</t>
  </si>
  <si>
    <t>17.48</t>
  </si>
  <si>
    <t>17.49</t>
  </si>
  <si>
    <t>17.50</t>
  </si>
  <si>
    <t>17.51</t>
  </si>
  <si>
    <t>17.52</t>
  </si>
  <si>
    <t>17.53</t>
  </si>
  <si>
    <t>17.54</t>
  </si>
  <si>
    <t>17.55</t>
  </si>
  <si>
    <t>17.56</t>
  </si>
  <si>
    <t>17.57</t>
  </si>
  <si>
    <t>17.58</t>
  </si>
  <si>
    <t>17.59</t>
  </si>
  <si>
    <t>17.60</t>
  </si>
  <si>
    <t>17.61</t>
  </si>
  <si>
    <t>17.62</t>
  </si>
  <si>
    <t>17.63</t>
  </si>
  <si>
    <t>17.64</t>
  </si>
  <si>
    <t>17.65</t>
  </si>
  <si>
    <t>17.66</t>
  </si>
  <si>
    <t>17.67</t>
  </si>
  <si>
    <t>17.68</t>
  </si>
  <si>
    <t>17.69</t>
  </si>
  <si>
    <t>17.70</t>
  </si>
  <si>
    <t>17.71</t>
  </si>
  <si>
    <t>17.72</t>
  </si>
  <si>
    <t>17.73</t>
  </si>
  <si>
    <t>17.74</t>
  </si>
  <si>
    <t>17.75</t>
  </si>
  <si>
    <t>17.76</t>
  </si>
  <si>
    <t>17.77</t>
  </si>
  <si>
    <t>17.78</t>
  </si>
  <si>
    <t>17.79</t>
  </si>
  <si>
    <t>17.80</t>
  </si>
  <si>
    <t>17.81</t>
  </si>
  <si>
    <t>17.82</t>
  </si>
  <si>
    <t>17.83</t>
  </si>
  <si>
    <t>17.84</t>
  </si>
  <si>
    <t>17.85</t>
  </si>
  <si>
    <t>17.86</t>
  </si>
  <si>
    <t>17.87</t>
  </si>
  <si>
    <t>17.88</t>
  </si>
  <si>
    <t>17.89</t>
  </si>
  <si>
    <t>17.90</t>
  </si>
  <si>
    <t>17.91</t>
  </si>
  <si>
    <t>17.92</t>
  </si>
  <si>
    <t>17.93</t>
  </si>
  <si>
    <t>17.94</t>
  </si>
  <si>
    <t>17.95</t>
  </si>
  <si>
    <t>17.96</t>
  </si>
  <si>
    <t>17.97</t>
  </si>
  <si>
    <t>17.98</t>
  </si>
  <si>
    <t>17.99</t>
  </si>
  <si>
    <t>17.100</t>
  </si>
  <si>
    <t>17.101</t>
  </si>
  <si>
    <t>17.102</t>
  </si>
  <si>
    <t>17.103</t>
  </si>
  <si>
    <t>17.104</t>
  </si>
  <si>
    <t>17.105</t>
  </si>
  <si>
    <t>17.106</t>
  </si>
  <si>
    <t>17.107</t>
  </si>
  <si>
    <t>17.108</t>
  </si>
  <si>
    <t>17.109</t>
  </si>
  <si>
    <t>Revestimiento exterior de fachada ventilada, con páneles prefablicados de celulosa-cemento, instalada sobre estructura metálica de  color GRIS E20nail Piso 1</t>
  </si>
  <si>
    <t>Revestimiento exterior de fachada ventilada, con páneles prefablicados de celulosa-cemento, instalada sobre estructura metálica de  color GRIS E20nail Piso 2</t>
  </si>
  <si>
    <t>Revestimiento exterior de fachada ventilada, con páneles prefablicados de celulosa-cemento, instalada sobre estructura metálica de  color GRIS E20nail Piso 3</t>
  </si>
  <si>
    <t>Revestimiento exterior de fachada ventilada, con páneles prefablicados de celulosa-cemento, instalada sobre estructura metálica de  color GRIS E20nail Piso 4</t>
  </si>
  <si>
    <t>Revestimiento exterior de fachada ventilada, con páneles prefablicados de celulosa-cemento, instalada sobre estructura metálica de  color GRIS E20nail Piso 5</t>
  </si>
  <si>
    <t>Revestimiento exterior de fachada ventilada, con páneles prefablicados de celulosa-cemento, instalada sobre estructura metálica de  color GRIS E20nail Piso 6</t>
  </si>
  <si>
    <t>Revestimiento exterior de fachada ventilada, con páneles prefablicados de celulosa-cemento, instalada sobre estructura metálica de  color GRIS E20nail Piso 7</t>
  </si>
  <si>
    <t>Revestimiento exterior de fachada ventilada, con páneles prefablicados de celulosa-cemento, instalada sobre estructura metálica de  color GRIS E20nail Piso 8</t>
  </si>
  <si>
    <t>Revestimiento exterior de fachada ventilada, con páneles prefablicados de celulosa-cemento, instalada sobre estructura metálica de  color GRIS E20nail Piso 9</t>
  </si>
  <si>
    <t>Instalación módulos de prefabricado en concreto de GRC Piso 6</t>
  </si>
  <si>
    <t>Instalación módulos de prefabricado en concreto de GRC Piso 7</t>
  </si>
  <si>
    <t>Instalación módulos de prefabricado en concreto de GRC Piso 8</t>
  </si>
  <si>
    <t>Instalación módulos de prefabricado en concreto de GRC Piso 9</t>
  </si>
  <si>
    <t>TOTAL CAPITULO 13</t>
  </si>
  <si>
    <t>TOTAL CAPITULO 15</t>
  </si>
  <si>
    <t>TOTAL CAPITULO 16</t>
  </si>
  <si>
    <t>TOTAL CAPITULO 17</t>
  </si>
  <si>
    <t>TOTAL  POR METRO CUADRADO</t>
  </si>
  <si>
    <t>AREA TOTAL (M2)</t>
  </si>
  <si>
    <t>Pintura para muros, dinteles, sillares y cielo raso en drywall Piso 5</t>
  </si>
  <si>
    <t>8.6</t>
  </si>
  <si>
    <t>8.7</t>
  </si>
  <si>
    <t>8.8</t>
  </si>
  <si>
    <t>8.9</t>
  </si>
  <si>
    <t>8.10</t>
  </si>
  <si>
    <t>8.4</t>
  </si>
  <si>
    <t>8.11</t>
  </si>
  <si>
    <t>8.12</t>
  </si>
  <si>
    <t>8.13</t>
  </si>
  <si>
    <t>8.14</t>
  </si>
  <si>
    <t>8.15</t>
  </si>
  <si>
    <t>8.16</t>
  </si>
  <si>
    <t>8.17</t>
  </si>
  <si>
    <t>8.18</t>
  </si>
  <si>
    <t xml:space="preserve">Escalera de emergencia metálica </t>
  </si>
  <si>
    <t>12.44</t>
  </si>
  <si>
    <t>Escalera metálica a todo costo</t>
  </si>
  <si>
    <t xml:space="preserve">Tiempo de instalación </t>
  </si>
  <si>
    <t>Costo Directo Total</t>
  </si>
  <si>
    <t>Tasa promedio</t>
  </si>
  <si>
    <t xml:space="preserve">Póliza de Todo Riesgo en Construcción </t>
  </si>
  <si>
    <t>Póliza de Responsabilidad civil Extracontractual</t>
  </si>
  <si>
    <t>Valor Asegurado</t>
  </si>
  <si>
    <t>Tasa</t>
  </si>
  <si>
    <t xml:space="preserve">TOTAL POLIZAS </t>
  </si>
  <si>
    <t>Especificación</t>
  </si>
  <si>
    <t>Alquiler (mes)</t>
  </si>
  <si>
    <t>Duración del equipo (días)</t>
  </si>
  <si>
    <t>Duración del equipo (meses)</t>
  </si>
  <si>
    <t>Valor del alquiler</t>
  </si>
  <si>
    <t>Valor total compra</t>
  </si>
  <si>
    <t>1.6 Andamio tramo completo (1,5x1,5)</t>
  </si>
  <si>
    <t xml:space="preserve">Acueducto </t>
  </si>
  <si>
    <t>Alcantarillado</t>
  </si>
  <si>
    <t>Energía</t>
  </si>
  <si>
    <t>Gas</t>
  </si>
  <si>
    <t>Telefonía</t>
  </si>
  <si>
    <t>Análisis granulométrico de gruesos y finos</t>
  </si>
  <si>
    <t>Ensayo</t>
  </si>
  <si>
    <t>Norma</t>
  </si>
  <si>
    <t>INV E 213</t>
  </si>
  <si>
    <t>Densidad, gravedad y absorción del agregado grueso</t>
  </si>
  <si>
    <t>INV E 223</t>
  </si>
  <si>
    <t>Densidad, gravedad y absorción del agregado fino</t>
  </si>
  <si>
    <t>INV E 222</t>
  </si>
  <si>
    <t>Área total</t>
  </si>
  <si>
    <t>Número de muestras</t>
  </si>
  <si>
    <t>TOTAL ENSAYO</t>
  </si>
  <si>
    <t>2.1 Ensayos de control de calidad de los concretos y agregados</t>
  </si>
  <si>
    <t>2.2 Ensayos para el contról de calidad del concreto</t>
  </si>
  <si>
    <t>Número de muestras totales</t>
  </si>
  <si>
    <t>NTC 673</t>
  </si>
  <si>
    <t>Resistencia a la compresión de espécimenes cilíndricos 7 días</t>
  </si>
  <si>
    <t>Resistencia a la compresión de espécimenes cilíndricos 14 días</t>
  </si>
  <si>
    <t>Resistencia a la compresión de espécimenes cilíndricos 28 días</t>
  </si>
  <si>
    <t>TOTAL VALOR UNITARIO</t>
  </si>
  <si>
    <t>2.3 Ensayos para el contról de calidad del acero</t>
  </si>
  <si>
    <t>ENSAYO</t>
  </si>
  <si>
    <t>Tensión en varilas corrugadas (hasta 3/8'') (incluyendolo)</t>
  </si>
  <si>
    <t>Tensión en varilas corrugadas (desde 1/2'' hasta 1'') (incluyendolo)</t>
  </si>
  <si>
    <t>Tensión en varilas corrugadas (mayor a 1'')</t>
  </si>
  <si>
    <t>Tensión en varilas lisas (hasta 3/8'') (incluyendolo)</t>
  </si>
  <si>
    <t>Tensión en varilas lisas (desde 1/2'' hasta 1'') (incluyendolo)</t>
  </si>
  <si>
    <t>Tensión en varilas lisas (mayor a 1'')</t>
  </si>
  <si>
    <t>Doblamiento del acero</t>
  </si>
  <si>
    <t>Ensayo para determinar las características geométricas del corrugado sobre una muestra de barras corrugadas</t>
  </si>
  <si>
    <t xml:space="preserve">Masa por metro lineal y diámetro equivalente de barras lisas y corrugadas </t>
  </si>
  <si>
    <t>Diámetro</t>
  </si>
  <si>
    <t>Cantidad de coladas</t>
  </si>
  <si>
    <t>Muestras a tensión</t>
  </si>
  <si>
    <t>Muestra a doblamiento</t>
  </si>
  <si>
    <t>Muestras para determinar características geométricas</t>
  </si>
  <si>
    <t xml:space="preserve">Muestras para masa </t>
  </si>
  <si>
    <t xml:space="preserve">Refuerzo corrugado φ 1/4'' </t>
  </si>
  <si>
    <t xml:space="preserve">Refuerzo corrugado φ 3/8'' </t>
  </si>
  <si>
    <t xml:space="preserve"> Refuerzo corrugado φ 1/2'' </t>
  </si>
  <si>
    <t xml:space="preserve">Refuerzo corrugado φ 5/8'' </t>
  </si>
  <si>
    <t xml:space="preserve"> Refuerzo corrugadoφ 3/4''</t>
  </si>
  <si>
    <t>Refuerzo corrugado φ 7/8''</t>
  </si>
  <si>
    <t xml:space="preserve">Ensayo a tensión refuerzo  φ 1/4'' </t>
  </si>
  <si>
    <t xml:space="preserve">Ensayo a tensión refuerzo  φ 3/8''  </t>
  </si>
  <si>
    <t>Ensayo a tensión refuerzo  φ 1/2'</t>
  </si>
  <si>
    <t xml:space="preserve">Ensayo a tensión refuerzo  φ 5/8'' </t>
  </si>
  <si>
    <t>Ensayo a tensión refuerzo  φ 3/4''</t>
  </si>
  <si>
    <t>Ensayo a tensión refuerzo  φ 7/8''</t>
  </si>
  <si>
    <t>Ensayo Doblamiento del acero</t>
  </si>
  <si>
    <t>Ensayo para determinar las características geométricas del corrugado</t>
  </si>
  <si>
    <t xml:space="preserve">Ensayo de masa por metro lineal y diámetro equivalente de barras lisas y corrugadas </t>
  </si>
  <si>
    <t>IVA del 16%</t>
  </si>
  <si>
    <t>TABLA DE RESUMEN PRECIOS COMERCIALES</t>
  </si>
  <si>
    <t>Refuerzo corrugado φ 1''</t>
  </si>
  <si>
    <t>Refuerzo corrugado φ 10/8''</t>
  </si>
  <si>
    <t>Ensayo a tensión refuerzo  φ 1''</t>
  </si>
  <si>
    <t>Ensayo a tensión refuerzo  φ 10/8''</t>
  </si>
  <si>
    <t>RESUMEN COSTOS DIRECTOS</t>
  </si>
  <si>
    <t>NÚMERO</t>
  </si>
  <si>
    <t>CAPÍTULOS</t>
  </si>
  <si>
    <t>VALOR</t>
  </si>
  <si>
    <t>CARPINTERÍA EN MADERA</t>
  </si>
  <si>
    <t xml:space="preserve">INSTALACIONES HIDRO-SANITARIAS DESAGÜES </t>
  </si>
  <si>
    <t>INSTALACIONES HIDRO-SANITARIAS ABASTOS</t>
  </si>
  <si>
    <t>VALOR TOTAL DEL PROYECTO</t>
  </si>
  <si>
    <t>Valor real del salario mensual para trabajadores de la construcción</t>
  </si>
  <si>
    <t>Salario mínimo mensual vigente</t>
  </si>
  <si>
    <t>Auxilio de transporte</t>
  </si>
  <si>
    <t>Dotación mensual</t>
  </si>
  <si>
    <t>Aporte a la ARL (6,96%)</t>
  </si>
  <si>
    <t>Aporte la pensión (12%)</t>
  </si>
  <si>
    <t>Prima (8,33% del salario base, incluyendo transporte)</t>
  </si>
  <si>
    <t>Vacaciones (4,17%)</t>
  </si>
  <si>
    <t>Cesantías (10% del salario base, incluyendo transporte)</t>
  </si>
  <si>
    <t>Intereses a las Cesantías (12% del valor de las cesantías)</t>
  </si>
  <si>
    <t>Aporte al SENA (2%)</t>
  </si>
  <si>
    <t>Aporte al ICBF (3%)</t>
  </si>
  <si>
    <t>Aporte a la caja de compensación (4%)</t>
  </si>
  <si>
    <t>Aporte al FIC (2,5%)</t>
  </si>
  <si>
    <t># de salarios por mes</t>
  </si>
  <si>
    <t>Valor unitario real por mes</t>
  </si>
  <si>
    <t>Valor  real por mes</t>
  </si>
  <si>
    <t>Director de obra</t>
  </si>
  <si>
    <t>Residente de Estructura</t>
  </si>
  <si>
    <t>Residente de Acabados</t>
  </si>
  <si>
    <t>Auxiliar de Ingeniería</t>
  </si>
  <si>
    <t>Maestro de obra 1</t>
  </si>
  <si>
    <t>Maestro de obra 2</t>
  </si>
  <si>
    <t>Oficial 1</t>
  </si>
  <si>
    <t>Oficial 2</t>
  </si>
  <si>
    <t>Ayudante 1</t>
  </si>
  <si>
    <t>Ayudante 2</t>
  </si>
  <si>
    <t>Almacenista</t>
  </si>
  <si>
    <t>Herramientero</t>
  </si>
  <si>
    <t>Patiero</t>
  </si>
  <si>
    <t>Vigilancia armada</t>
  </si>
  <si>
    <t>4.6</t>
  </si>
  <si>
    <t>4.7</t>
  </si>
  <si>
    <t>4.8</t>
  </si>
  <si>
    <t>4.9</t>
  </si>
  <si>
    <t>4.10</t>
  </si>
  <si>
    <t>4.11</t>
  </si>
  <si>
    <t>4.12</t>
  </si>
  <si>
    <t>4.13</t>
  </si>
  <si>
    <t>4.14</t>
  </si>
  <si>
    <t>1.7 Grúa telescópica</t>
  </si>
  <si>
    <t>Malacate (1500 Kg)</t>
  </si>
  <si>
    <t xml:space="preserve">Pluma grúa </t>
  </si>
  <si>
    <t>Mezcladora de trompo</t>
  </si>
  <si>
    <t>Bomba para concreto</t>
  </si>
  <si>
    <t>Vibrador eléctrico</t>
  </si>
  <si>
    <t>Andamio tramo completo (1,5x1,5)</t>
  </si>
  <si>
    <t>Grúa telescópica</t>
  </si>
  <si>
    <t>1.1 Malacate (1500 Kg)</t>
  </si>
  <si>
    <t xml:space="preserve">1.2 Pluma grúa </t>
  </si>
  <si>
    <t>1.3 Mezcladora de trompo</t>
  </si>
  <si>
    <t>1.4 Bomba para concreto</t>
  </si>
  <si>
    <t>1.5 Vibrador eléctrico</t>
  </si>
  <si>
    <t>Agregados</t>
  </si>
  <si>
    <t>Acero</t>
  </si>
  <si>
    <t>En construcción</t>
  </si>
  <si>
    <t>En alturas</t>
  </si>
  <si>
    <t>2.4 Ensayos para el contról de calidad de la mampostería</t>
  </si>
  <si>
    <t>Bloque de concreto (15x20x40)</t>
  </si>
  <si>
    <t xml:space="preserve">Mortero de pega </t>
  </si>
  <si>
    <t>Numero de probetas</t>
  </si>
  <si>
    <t>Valor por unidad</t>
  </si>
  <si>
    <t>Mortero de relleno (m3)</t>
  </si>
  <si>
    <t>Mortero de relleno</t>
  </si>
  <si>
    <t>#Lotes</t>
  </si>
  <si>
    <t>Valor por unidad (resistencia)</t>
  </si>
  <si>
    <t>Valor por unidad (%absrocion)</t>
  </si>
  <si>
    <t>Valor por unidad (densidad)</t>
  </si>
  <si>
    <t>#unidades(15x20x40)</t>
  </si>
  <si>
    <t>Muretes</t>
  </si>
  <si>
    <t>Numero de Muretes</t>
  </si>
  <si>
    <t xml:space="preserve">Mampostería </t>
  </si>
  <si>
    <t>Armado  y vaciado de losa de cubierta aligerada con porón recuperable e=0.6m de f'c 24,5MPa</t>
  </si>
  <si>
    <t>LOSA CUBIERTA</t>
  </si>
  <si>
    <t>Vaciado de mortero de entrepiso</t>
  </si>
  <si>
    <t>Piso mortero reforzado e=8 cm</t>
  </si>
  <si>
    <t>10198</t>
  </si>
  <si>
    <t>malla tipo d 63</t>
  </si>
  <si>
    <t>Vaciado de losa de entrepiso</t>
  </si>
  <si>
    <t>Cubierta</t>
  </si>
  <si>
    <t>Armado y vaciado de losa de cubierta aligerada con porón recuperable e=0.6m de f'c 24,5MPa</t>
  </si>
  <si>
    <t>Armado y vaciado de losa DE cubierta aligerada con porón recuperable e=0.6m de f'c 24,5MPa</t>
  </si>
  <si>
    <t>COSTOS TOTALES</t>
  </si>
  <si>
    <t>COSTOS</t>
  </si>
  <si>
    <t>Costos directos</t>
  </si>
  <si>
    <t>Costos Indirectos</t>
  </si>
  <si>
    <t>Gastos generales</t>
  </si>
  <si>
    <t>Costo directo por metro cuadrado</t>
  </si>
  <si>
    <t>Costo total por metro cuadrado</t>
  </si>
  <si>
    <t>PROGRAMACIÓN Y PRESUPUESTOS</t>
  </si>
  <si>
    <t>PROYECTO CENTRO DE IDIOMAS EAFIT</t>
  </si>
  <si>
    <t>Nombre</t>
  </si>
  <si>
    <t>Centro de idiomas EAFIT</t>
  </si>
  <si>
    <t>Ubicación</t>
  </si>
  <si>
    <t>Calle 5 sur, 43 c. Medellín</t>
  </si>
  <si>
    <t xml:space="preserve">Área construida (m2) </t>
  </si>
  <si>
    <t>Niveles de construcción</t>
  </si>
  <si>
    <t>Tipología</t>
  </si>
  <si>
    <t>Proyecto institucional</t>
  </si>
  <si>
    <t>Sistema constructivo</t>
  </si>
  <si>
    <t>Aporticado</t>
  </si>
  <si>
    <t>Tipo de cimentación</t>
  </si>
  <si>
    <t xml:space="preserve">Pilas </t>
  </si>
  <si>
    <t>Tipo de losa</t>
  </si>
  <si>
    <t>Aligerada</t>
  </si>
  <si>
    <t>PLANOS</t>
  </si>
  <si>
    <t>Descripción</t>
  </si>
  <si>
    <t>ARQUITECTÓNICOS</t>
  </si>
  <si>
    <t>A-000</t>
  </si>
  <si>
    <t>Área taludes</t>
  </si>
  <si>
    <t>A-100-109</t>
  </si>
  <si>
    <t>Planta pisos 1 al 9</t>
  </si>
  <si>
    <t>A-200-203</t>
  </si>
  <si>
    <t>Alzados norte, oriental, sur y occidental. Escalera central</t>
  </si>
  <si>
    <t>A-300-305</t>
  </si>
  <si>
    <t>Alzados</t>
  </si>
  <si>
    <t>A-306-316</t>
  </si>
  <si>
    <t>Cortes fachadas</t>
  </si>
  <si>
    <t>A-500-518</t>
  </si>
  <si>
    <t>Detalles escaleras centrales y de emergencia</t>
  </si>
  <si>
    <t>A-521-523</t>
  </si>
  <si>
    <t>Detalles ascensores</t>
  </si>
  <si>
    <t>A-524-532</t>
  </si>
  <si>
    <t>Detalles y especificaciones de plantas y alzados, vistas del 1 al 28 (ventanas exteriores)</t>
  </si>
  <si>
    <t>A-532-533</t>
  </si>
  <si>
    <t>Detalle pasamanos plantas</t>
  </si>
  <si>
    <t>A-534-536</t>
  </si>
  <si>
    <t xml:space="preserve">Detalles muebles </t>
  </si>
  <si>
    <t>A-537-539</t>
  </si>
  <si>
    <t>Especificaciones generales</t>
  </si>
  <si>
    <t>A-540-548</t>
  </si>
  <si>
    <t>Borde de losa pisos 1 al 9</t>
  </si>
  <si>
    <t>A-549</t>
  </si>
  <si>
    <t>Módulos de fachada GRC</t>
  </si>
  <si>
    <t>A-550</t>
  </si>
  <si>
    <t>Detalles teléfonos de emergencia y tomas para bomberos</t>
  </si>
  <si>
    <t>I-100-111</t>
  </si>
  <si>
    <t>Especifiaciones piso, muros, zócalos, pisos 1 al 9</t>
  </si>
  <si>
    <t>I-113-123</t>
  </si>
  <si>
    <t>Especificaciones cielos</t>
  </si>
  <si>
    <t>I-500-514</t>
  </si>
  <si>
    <t>Detalles de baños</t>
  </si>
  <si>
    <t>U-100</t>
  </si>
  <si>
    <t>Localización</t>
  </si>
  <si>
    <t>ESTRUCTURALES</t>
  </si>
  <si>
    <t>E-EDI-00</t>
  </si>
  <si>
    <t>Planta de cargas vivas: Nivel 2 al 5 y nivel típico.</t>
  </si>
  <si>
    <t>E-EDI-01</t>
  </si>
  <si>
    <t>Plantas de cimentaciones y vigas niveles 2 al 9</t>
  </si>
  <si>
    <t>E-EDI-02</t>
  </si>
  <si>
    <t>Plantas de refuerzo inferior y superior, niveles 2 al 9 y cubierta.</t>
  </si>
  <si>
    <t>E-EDI-03</t>
  </si>
  <si>
    <t>Despiece de nervios niveles 2 al 9</t>
  </si>
  <si>
    <t>E-EDI-04</t>
  </si>
  <si>
    <t>Despiece vigas de cimentación, vigas aéreas niveles 2 al 9 y vigas de cubierta</t>
  </si>
  <si>
    <t>E-EDI-05</t>
  </si>
  <si>
    <t xml:space="preserve">Escaleras de concreto tramo 1 y 2. Refuerzo y detalles. </t>
  </si>
  <si>
    <t>E-EDI-06</t>
  </si>
  <si>
    <t xml:space="preserve">Detalles mampostería. Ascensores (Losas puntos fijos) </t>
  </si>
  <si>
    <t>E-EDI-07</t>
  </si>
  <si>
    <t>Detalles generales y viga metálica de apoyo a facahda en GRC pisos 6 al 9.</t>
  </si>
  <si>
    <t>E-EDI-08</t>
  </si>
  <si>
    <t>Escaleras de emergencia centrales y traseras</t>
  </si>
  <si>
    <t>E-EDI-09</t>
  </si>
  <si>
    <t>Planta de cubierta y cerchas (ubicación, secciones y detalles)</t>
  </si>
  <si>
    <t>E-EDI-10</t>
  </si>
  <si>
    <t>Portería acceso principal, planta de cimentaciones, vigas y mampostería</t>
  </si>
  <si>
    <t>INSTALACIONES ELÈCTRICAS</t>
  </si>
  <si>
    <t>01-10</t>
  </si>
  <si>
    <t>Diseño de salidas de energía piso 1 a cubierta</t>
  </si>
  <si>
    <t>11-20</t>
  </si>
  <si>
    <t>Diseño de salidas de iluminación piso 1 a cubierta</t>
  </si>
  <si>
    <t>21-29</t>
  </si>
  <si>
    <t>Salidas de comunicaciones niveles 1 al 9</t>
  </si>
  <si>
    <t>30-38</t>
  </si>
  <si>
    <t>Salidas de seguridad niveles 1 al 9</t>
  </si>
  <si>
    <t>39-48</t>
  </si>
  <si>
    <t xml:space="preserve">Salidas de fuerza niveles 1 al 9 </t>
  </si>
  <si>
    <t>49</t>
  </si>
  <si>
    <t>Sistema de puesta a tierra</t>
  </si>
  <si>
    <t>50</t>
  </si>
  <si>
    <t>Sistema de protección externa</t>
  </si>
  <si>
    <t>51</t>
  </si>
  <si>
    <t>Subestación eléctrica</t>
  </si>
  <si>
    <t>52</t>
  </si>
  <si>
    <t xml:space="preserve">Cuartos técnicos </t>
  </si>
  <si>
    <t>53</t>
  </si>
  <si>
    <t>55</t>
  </si>
  <si>
    <t>Diagrama unifilial</t>
  </si>
  <si>
    <t>56-64</t>
  </si>
  <si>
    <t>Control de iluminación-automatización, niveles 1 al 9</t>
  </si>
  <si>
    <t xml:space="preserve">HIDROSANITARIOS </t>
  </si>
  <si>
    <t xml:space="preserve">H1 </t>
  </si>
  <si>
    <t>Abastos</t>
  </si>
  <si>
    <t>H2</t>
  </si>
  <si>
    <t>Tanques</t>
  </si>
  <si>
    <t>H3</t>
  </si>
  <si>
    <t>Isométricos y bombas</t>
  </si>
  <si>
    <t>CUADRO DE ÁREAS</t>
  </si>
  <si>
    <t>Áreas (m2)</t>
  </si>
  <si>
    <t>Cantidad (m2)</t>
  </si>
  <si>
    <t>Nivel 1</t>
  </si>
  <si>
    <t>Nivel 2</t>
  </si>
  <si>
    <t>Nivel 3</t>
  </si>
  <si>
    <t>Nivel 4</t>
  </si>
  <si>
    <t>Nivel 5</t>
  </si>
  <si>
    <t>Nivel 6</t>
  </si>
  <si>
    <t>Nivel 7</t>
  </si>
  <si>
    <t>Nivel 8</t>
  </si>
  <si>
    <t>Nivel 9</t>
  </si>
  <si>
    <t>INFORMACIÓN GENERAL</t>
  </si>
  <si>
    <r>
      <t xml:space="preserve">Obra: </t>
    </r>
    <r>
      <rPr>
        <sz val="11"/>
        <rFont val="Calibri"/>
        <family val="2"/>
        <scheme val="minor"/>
      </rPr>
      <t>CENTRO DE IDIOMAS EAFIT</t>
    </r>
  </si>
  <si>
    <r>
      <t xml:space="preserve">Preparó: </t>
    </r>
    <r>
      <rPr>
        <sz val="11"/>
        <rFont val="Calibri"/>
        <family val="2"/>
        <scheme val="minor"/>
      </rPr>
      <t>SANTIAGO ARENAS, JUANITA CASTRILLÓN, NATALIA CONVERS</t>
    </r>
  </si>
  <si>
    <t>7.9</t>
  </si>
  <si>
    <t>7.2</t>
  </si>
  <si>
    <t>7.3</t>
  </si>
  <si>
    <t>7.4</t>
  </si>
  <si>
    <t>7.5</t>
  </si>
  <si>
    <t>7.6</t>
  </si>
  <si>
    <t>7.7</t>
  </si>
  <si>
    <t>7.8</t>
  </si>
  <si>
    <t>Otros</t>
  </si>
  <si>
    <t xml:space="preserve">Escalera metálica </t>
  </si>
  <si>
    <t>11.107</t>
  </si>
  <si>
    <t>11.108</t>
  </si>
  <si>
    <t>Armado y vaciado de columnas en concreto con f'c=35MPa 0,6x1,2 Piso 2</t>
  </si>
  <si>
    <t>Armado y vaciado de columnas en concreto con f'c=35MPa 0,4x0,4 Piso 2</t>
  </si>
  <si>
    <t>Armado y vaciado de columnas en concreto con f'c=35MPa 0,6x0,8Piso 3</t>
  </si>
  <si>
    <t>Armado y vaciado de columnas en concreto con f'c=35MPa 0,6x1,2 Piso 3</t>
  </si>
  <si>
    <t>Armado y vaciado de columnas en concreto con f'c=35MPa 0,6x0,8Piso 4</t>
  </si>
  <si>
    <t>Armado y vaciado de columnas en concreto con f'c=35MPa 0,6x1,2 Piso 4</t>
  </si>
  <si>
    <t>Armado y vaciado de columnas en concreto con f'c=35MPa 0,6x0,8Piso 5</t>
  </si>
  <si>
    <t>Armado y vaciado de columnas en concreto con f'c=35MPa 0,6x1,2 Piso 5</t>
  </si>
  <si>
    <t>Armado y vaciado de columnas en concreto con f'c=35MPa 0,6x0,8Piso 6</t>
  </si>
  <si>
    <t>Armado y vaciado de columnas en concreto con f'c=35MPa 0,6x1,2 Piso 6</t>
  </si>
  <si>
    <t>Armado y vaciado de escaleras en concreto con f'c=24,5MPa</t>
  </si>
  <si>
    <t>Armado y vaciado de columnas en concreto con f'c=28MPa 0,6x0,8Piso 9</t>
  </si>
  <si>
    <t>Armado y vaciado de columnas en concreto con f'c=28MPa 0,6x1,2 Piso 9</t>
  </si>
  <si>
    <t>Armado y vaciado de columnas en concreto con f'c=28MPa 0,6x0,8Piso 8</t>
  </si>
  <si>
    <t>Armado y vaciado de columnas en concreto con f'c=28MPa 0,6x1,2 Piso 8</t>
  </si>
  <si>
    <t>Armado y vaciado de columnas en concreto con f'c=28MPa 0,6x0,8Piso 7</t>
  </si>
  <si>
    <t>Armado y vaciado de columnas en concreto con f'c=28MPa 0,6x1,2 Piso 7</t>
  </si>
  <si>
    <t>Armado y vaciado de columnas en concreto con f'c=28MPa 0,6x1,5 Piso 7</t>
  </si>
  <si>
    <t>Tipo columna</t>
  </si>
  <si>
    <t>Dimensiones</t>
  </si>
  <si>
    <t>Altura</t>
  </si>
  <si>
    <t>Base</t>
  </si>
  <si>
    <t>18-1</t>
  </si>
  <si>
    <t>18-2</t>
  </si>
  <si>
    <t>TOTAL CONCRETO F'C=28 Mpa</t>
  </si>
  <si>
    <t>TOTAL CONCRETO F'C=35 Mpa</t>
  </si>
  <si>
    <t>Columna f'c=35MPa de dimensiones de (0,25x0,25)</t>
  </si>
  <si>
    <t>Columna f'c=35MPa de dimensiones de (0,6x1,2)</t>
  </si>
  <si>
    <t>Columna f'c=35MPa de dimensiones de (0,6x0,8)</t>
  </si>
  <si>
    <t>Columna f'c=35MPa de dimensiones de (0,4x0,4)</t>
  </si>
  <si>
    <t>Columna f'c=35MPa de dimensiones de (0,6x1,5)</t>
  </si>
  <si>
    <t>Columna f'c=35 MPa de dimensiones de (0,4x2)</t>
  </si>
  <si>
    <t>Columna f'c=28 MPa de dimensiones de (0,6x1,5)</t>
  </si>
  <si>
    <t>Columna f'c=28 MPa de dimensiones de (0,6x0,8)</t>
  </si>
  <si>
    <t>Columna f'c=28 MPa de dimensiones de (0,6x1,2)</t>
  </si>
  <si>
    <t>m/m3</t>
  </si>
  <si>
    <t>Volumen (m3)</t>
  </si>
  <si>
    <t>Armado y vaciado de columnas en concreto con f'c=35MPa de dimensión de 0,6x1,5</t>
  </si>
  <si>
    <t>Armado y vaciado de columnas en concreto con f'c=35MPa de dimensión de 0,4x2</t>
  </si>
  <si>
    <t>Armado y vaciado de columnas en concreto con f'c=35MPa de dimensión de 0,25x,25</t>
  </si>
  <si>
    <t>Armado y vaciado de columnas en concreto con f'c=35MPa de dimensión de 0,6x1,2</t>
  </si>
  <si>
    <t>Armado y vaciado de columnas en concreto con f'c=35MPa de dimensión de 0,6x0,8</t>
  </si>
  <si>
    <t>Armado y vaciado de columnas en concreto con f'c=28MPa de dimensión de 0,6x1,5</t>
  </si>
  <si>
    <t>Columnas (1,5X0,6) f'c=28MPa</t>
  </si>
  <si>
    <t>Armado y vaciado de columnas en concreto con f'c=28MPa de dimensión de 0,6x0,8</t>
  </si>
  <si>
    <t>Armado y vaciado de columnas en concreto con f'c=28MPa de dimensión de 0,6x1,2</t>
  </si>
  <si>
    <t>Armado y vaciado de columnas en concreto con f'c=35MPa de dimensión de 0,4x0,4</t>
  </si>
  <si>
    <t>Armado y vaciado de columnas en concreto con f'c=35MPa con dimensiones de 0,6x1,5</t>
  </si>
  <si>
    <t>Armado y vaciado de columnas en concreto con f'c=35MPa con dimensiones de 0,4x2</t>
  </si>
  <si>
    <t>Armado y vaciado de columnas en concreto con f'c=35MPa con dimensiones de 0,25x0,25</t>
  </si>
  <si>
    <t>Armado y vaciado de columnas en concreto con f'c=35MPa con dimensiones de 0,6x1,2</t>
  </si>
  <si>
    <t>Armado y vaciado de columnas en concreto con f'c=35MPa con dimensiones de 0,6x0,8</t>
  </si>
  <si>
    <t>Armado y vaciado de columnas en concreto con f'c=35MPa con dimensiones de 0,4x0,4</t>
  </si>
  <si>
    <t>Armado y vaciado de columnas en concreto con f'c=28MPa con dimensiones de 0,6x1,5</t>
  </si>
  <si>
    <t>Armado y vaciado de columnas en concreto con f'c=28MPa con dimensiones de 0,6x0,8</t>
  </si>
  <si>
    <t>Armado y vaciado de columnas en concreto con f'c=28MPa con dimensiones de 0,6x1,2</t>
  </si>
  <si>
    <t>Tipo</t>
  </si>
  <si>
    <t>unidad</t>
  </si>
  <si>
    <t>Armado y vaciado de columnas en concreto con f'c=35MPa 0,4x0,4Piso 1</t>
  </si>
  <si>
    <t>Armado y vaciado de columnas en concreto con f'c=35MPa 0,4x2 Piso 2</t>
  </si>
  <si>
    <t>Tareas</t>
  </si>
  <si>
    <t>Todos</t>
  </si>
  <si>
    <t>Datos</t>
  </si>
  <si>
    <t>Trimestre</t>
  </si>
  <si>
    <t>Costo acumulado</t>
  </si>
  <si>
    <t>2016</t>
  </si>
  <si>
    <t>T2</t>
  </si>
  <si>
    <t>T3</t>
  </si>
  <si>
    <t>T4</t>
  </si>
  <si>
    <t>Total 2016</t>
  </si>
  <si>
    <t>2017</t>
  </si>
  <si>
    <t>T1</t>
  </si>
  <si>
    <t>Total 2017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</si>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</sst>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(&quot;$&quot;\ * #,##0.00_);_(&quot;$&quot;\ * \(#,##0.00\);_(&quot;$&quot;\ * &quot;-&quot;??_);_(@_)"/>
    <numFmt numFmtId="167" formatCode="_(* #,##0.00_);_(* \(#,##0.00\);_(* &quot;-&quot;??_);_(@_)"/>
    <numFmt numFmtId="168" formatCode="0.000"/>
    <numFmt numFmtId="169" formatCode="_([$€-2]* #,##0.00_);_([$€-2]* \(#,##0.00\);_([$€-2]* &quot;-&quot;??_)"/>
    <numFmt numFmtId="170" formatCode="0.0%"/>
    <numFmt numFmtId="171" formatCode="&quot;$&quot;\ #,##0;[Red]&quot;$&quot;\ #,##0"/>
    <numFmt numFmtId="172" formatCode="0.0"/>
    <numFmt numFmtId="173" formatCode="_(* #,##0_);_(* \(#,##0\);_(* &quot;-&quot;??_);_(@_)"/>
    <numFmt numFmtId="174" formatCode="_(&quot;$&quot;\ * #,##0_);_(&quot;$&quot;\ * \(#,##0\);_(&quot;$&quot;\ * &quot;-&quot;??_);_(@_)"/>
    <numFmt numFmtId="175" formatCode="[$$-240A]#,##0.00"/>
    <numFmt numFmtId="176" formatCode="_-* #,##0.0\ _€_-;\-* #,##0.0\ _€_-;_-* &quot;-&quot;??\ _€_-;_-@_-"/>
    <numFmt numFmtId="177" formatCode="_(* #,##0.000_);_(* \(#,##0.000\);_(* &quot;-&quot;??_);_(@_)"/>
    <numFmt numFmtId="178" formatCode="#.##000"/>
    <numFmt numFmtId="179" formatCode="&quot;$&quot;\ #,##0"/>
    <numFmt numFmtId="180" formatCode="&quot;$&quot;#,##0.00"/>
    <numFmt numFmtId="181" formatCode="_([$$-240A]\ * #,##0.00_);_([$$-240A]\ * \(#,##0.00\);_([$$-240A]\ * &quot;-&quot;??_);_(@_)"/>
    <numFmt numFmtId="182" formatCode="_-[$$-240A]* #,##0.00_-;\-[$$-240A]* #,##0.00_-;_-[$$-240A]* &quot;-&quot;??_-;_-@_-"/>
    <numFmt numFmtId="183" formatCode="&quot;$&quot;\ #,##0.00"/>
    <numFmt numFmtId="184" formatCode="#,##0;[Red]#,##0"/>
    <numFmt numFmtId="185" formatCode="&quot;$&quot;#,##0"/>
    <numFmt numFmtId="186" formatCode="0.000%"/>
    <numFmt numFmtId="187" formatCode="_-[$$-240A]\ * #,##0.00_ ;_-[$$-240A]\ * \-#,##0.00\ ;_-[$$-240A]\ * &quot;-&quot;??_ ;_-@_ 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entury Gothic"/>
      <family val="2"/>
    </font>
    <font>
      <b/>
      <sz val="10"/>
      <name val="Century Gothic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7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entury Gothic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vertAlign val="superscript"/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theme="1"/>
      <name val="Eras Medium ITC"/>
      <family val="2"/>
    </font>
    <font>
      <sz val="9"/>
      <name val="Eras Medium ITC"/>
      <family val="2"/>
    </font>
    <font>
      <b/>
      <sz val="11"/>
      <name val="Calibri"/>
      <family val="2"/>
      <scheme val="minor"/>
    </font>
    <font>
      <b/>
      <sz val="9"/>
      <color indexed="8"/>
      <name val="Eras Medium ITC"/>
      <family val="2"/>
    </font>
    <font>
      <sz val="11"/>
      <color theme="1"/>
      <name val="Eras Medium ITC"/>
      <family val="2"/>
    </font>
    <font>
      <vertAlign val="superscript"/>
      <sz val="10"/>
      <color rgb="FF000000"/>
      <name val="Calibri"/>
      <family val="2"/>
      <scheme val="minor"/>
    </font>
    <font>
      <sz val="11"/>
      <name val="Calibri "/>
    </font>
    <font>
      <sz val="11"/>
      <color theme="1"/>
      <name val="Calibri "/>
    </font>
    <font>
      <sz val="11"/>
      <color theme="0"/>
      <name val="Calibri"/>
      <family val="2"/>
      <scheme val="minor"/>
    </font>
    <font>
      <b/>
      <sz val="11"/>
      <name val="Calibri 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 "/>
    </font>
    <font>
      <sz val="10"/>
      <color theme="6" tint="0.39997558519241921"/>
      <name val="Arial"/>
      <family val="2"/>
    </font>
    <font>
      <sz val="11"/>
      <color theme="4" tint="-0.249977111117893"/>
      <name val="Calibri"/>
      <family val="2"/>
      <scheme val="minor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9"/>
      <name val="Eras Medium ITC"/>
      <family val="2"/>
    </font>
    <font>
      <b/>
      <sz val="14"/>
      <name val="Arial"/>
      <family val="2"/>
    </font>
    <font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7">
    <xf numFmtId="0" fontId="0" fillId="0" borderId="0"/>
    <xf numFmtId="169" fontId="17" fillId="0" borderId="0" applyFont="0" applyFill="0" applyBorder="0" applyAlignment="0" applyProtection="0"/>
    <xf numFmtId="0" fontId="17" fillId="0" borderId="0"/>
    <xf numFmtId="9" fontId="30" fillId="0" borderId="0" applyFont="0" applyFill="0" applyBorder="0" applyAlignment="0" applyProtection="0"/>
    <xf numFmtId="165" fontId="35" fillId="0" borderId="0" applyFont="0" applyFill="0" applyBorder="0" applyAlignment="0" applyProtection="0"/>
    <xf numFmtId="0" fontId="44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44" fillId="30" borderId="0" applyNumberFormat="0" applyBorder="0" applyAlignment="0" applyProtection="0"/>
    <xf numFmtId="164" fontId="17" fillId="0" borderId="0" applyFont="0" applyFill="0" applyBorder="0" applyAlignment="0" applyProtection="0"/>
    <xf numFmtId="0" fontId="12" fillId="0" borderId="0"/>
    <xf numFmtId="166" fontId="48" fillId="0" borderId="0" applyFont="0" applyFill="0" applyBorder="0" applyAlignment="0" applyProtection="0"/>
    <xf numFmtId="0" fontId="52" fillId="0" borderId="0"/>
    <xf numFmtId="0" fontId="17" fillId="0" borderId="0"/>
    <xf numFmtId="9" fontId="17" fillId="0" borderId="0" applyFont="0" applyFill="0" applyBorder="0" applyAlignment="0" applyProtection="0"/>
    <xf numFmtId="0" fontId="3" fillId="0" borderId="0"/>
    <xf numFmtId="0" fontId="2" fillId="0" borderId="0"/>
  </cellStyleXfs>
  <cellXfs count="2606">
    <xf numFmtId="0" fontId="0" fillId="0" borderId="0" xfId="0"/>
    <xf numFmtId="0" fontId="15" fillId="0" borderId="0" xfId="0" applyFont="1"/>
    <xf numFmtId="0" fontId="16" fillId="0" borderId="0" xfId="0" applyFont="1"/>
    <xf numFmtId="0" fontId="15" fillId="0" borderId="0" xfId="0" applyFont="1" applyBorder="1"/>
    <xf numFmtId="0" fontId="17" fillId="0" borderId="1" xfId="0" applyFont="1" applyBorder="1"/>
    <xf numFmtId="0" fontId="0" fillId="0" borderId="1" xfId="0" applyBorder="1"/>
    <xf numFmtId="2" fontId="18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0" fillId="0" borderId="0" xfId="0" applyBorder="1"/>
    <xf numFmtId="0" fontId="16" fillId="2" borderId="6" xfId="0" applyFont="1" applyFill="1" applyBorder="1"/>
    <xf numFmtId="0" fontId="15" fillId="2" borderId="6" xfId="0" applyFont="1" applyFill="1" applyBorder="1"/>
    <xf numFmtId="0" fontId="16" fillId="2" borderId="0" xfId="0" applyFont="1" applyFill="1" applyBorder="1"/>
    <xf numFmtId="0" fontId="15" fillId="2" borderId="0" xfId="0" applyFont="1" applyFill="1" applyBorder="1"/>
    <xf numFmtId="0" fontId="16" fillId="2" borderId="8" xfId="0" applyFont="1" applyFill="1" applyBorder="1"/>
    <xf numFmtId="0" fontId="15" fillId="2" borderId="9" xfId="0" applyFont="1" applyFill="1" applyBorder="1"/>
    <xf numFmtId="0" fontId="19" fillId="2" borderId="8" xfId="0" applyFont="1" applyFill="1" applyBorder="1"/>
    <xf numFmtId="0" fontId="19" fillId="2" borderId="6" xfId="0" applyFont="1" applyFill="1" applyBorder="1"/>
    <xf numFmtId="0" fontId="18" fillId="2" borderId="6" xfId="0" applyFont="1" applyFill="1" applyBorder="1"/>
    <xf numFmtId="0" fontId="18" fillId="2" borderId="0" xfId="0" applyFont="1" applyFill="1" applyBorder="1"/>
    <xf numFmtId="0" fontId="19" fillId="2" borderId="0" xfId="0" applyFont="1" applyFill="1" applyBorder="1"/>
    <xf numFmtId="0" fontId="18" fillId="2" borderId="9" xfId="0" applyFont="1" applyFill="1" applyBorder="1"/>
    <xf numFmtId="0" fontId="19" fillId="2" borderId="7" xfId="0" applyFont="1" applyFill="1" applyBorder="1"/>
    <xf numFmtId="0" fontId="18" fillId="2" borderId="7" xfId="0" applyFont="1" applyFill="1" applyBorder="1"/>
    <xf numFmtId="0" fontId="19" fillId="2" borderId="12" xfId="0" applyFont="1" applyFill="1" applyBorder="1"/>
    <xf numFmtId="0" fontId="18" fillId="2" borderId="13" xfId="0" applyFont="1" applyFill="1" applyBorder="1"/>
    <xf numFmtId="0" fontId="19" fillId="3" borderId="4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168" fontId="18" fillId="3" borderId="1" xfId="2" applyNumberFormat="1" applyFont="1" applyFill="1" applyBorder="1" applyAlignment="1">
      <alignment horizontal="center" vertical="center"/>
    </xf>
    <xf numFmtId="0" fontId="18" fillId="0" borderId="1" xfId="0" applyFont="1" applyBorder="1"/>
    <xf numFmtId="2" fontId="17" fillId="0" borderId="0" xfId="0" applyNumberFormat="1" applyFont="1"/>
    <xf numFmtId="0" fontId="17" fillId="0" borderId="0" xfId="0" applyFont="1"/>
    <xf numFmtId="0" fontId="15" fillId="0" borderId="0" xfId="0" applyFont="1" applyFill="1"/>
    <xf numFmtId="0" fontId="15" fillId="0" borderId="1" xfId="0" applyFont="1" applyBorder="1"/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/>
    <xf numFmtId="0" fontId="24" fillId="0" borderId="1" xfId="0" applyFont="1" applyBorder="1" applyAlignment="1">
      <alignment horizontal="right" vertical="center"/>
    </xf>
    <xf numFmtId="0" fontId="24" fillId="0" borderId="1" xfId="0" applyFont="1" applyFill="1" applyBorder="1"/>
    <xf numFmtId="0" fontId="24" fillId="0" borderId="1" xfId="0" applyFont="1" applyBorder="1" applyAlignment="1"/>
    <xf numFmtId="0" fontId="24" fillId="3" borderId="1" xfId="0" applyFont="1" applyFill="1" applyBorder="1"/>
    <xf numFmtId="0" fontId="24" fillId="3" borderId="1" xfId="0" applyFont="1" applyFill="1" applyBorder="1" applyAlignment="1"/>
    <xf numFmtId="0" fontId="25" fillId="0" borderId="1" xfId="0" applyFont="1" applyBorder="1"/>
    <xf numFmtId="0" fontId="24" fillId="0" borderId="4" xfId="0" applyFont="1" applyBorder="1"/>
    <xf numFmtId="0" fontId="24" fillId="0" borderId="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25" fillId="0" borderId="1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0" xfId="0" applyFont="1" applyAlignment="1">
      <alignment wrapText="1"/>
    </xf>
    <xf numFmtId="0" fontId="16" fillId="0" borderId="1" xfId="0" applyFont="1" applyFill="1" applyBorder="1"/>
    <xf numFmtId="0" fontId="24" fillId="0" borderId="1" xfId="0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8" fillId="0" borderId="1" xfId="0" applyFont="1" applyBorder="1" applyAlignment="1"/>
    <xf numFmtId="0" fontId="19" fillId="6" borderId="1" xfId="0" applyFont="1" applyFill="1" applyBorder="1" applyAlignment="1">
      <alignment horizontal="center" vertical="center"/>
    </xf>
    <xf numFmtId="0" fontId="18" fillId="3" borderId="1" xfId="0" applyFont="1" applyFill="1" applyBorder="1"/>
    <xf numFmtId="0" fontId="18" fillId="3" borderId="1" xfId="0" applyFont="1" applyFill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4" fillId="0" borderId="1" xfId="0" applyFont="1" applyFill="1" applyBorder="1" applyAlignment="1">
      <alignment horizontal="right"/>
    </xf>
    <xf numFmtId="0" fontId="18" fillId="0" borderId="1" xfId="0" applyFont="1" applyBorder="1" applyAlignment="1">
      <alignment horizontal="right"/>
    </xf>
    <xf numFmtId="49" fontId="18" fillId="0" borderId="1" xfId="0" applyNumberFormat="1" applyFont="1" applyBorder="1" applyAlignment="1">
      <alignment horizontal="center" vertical="center" wrapText="1"/>
    </xf>
    <xf numFmtId="0" fontId="19" fillId="0" borderId="1" xfId="2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4" fillId="0" borderId="1" xfId="0" applyFont="1" applyBorder="1" applyAlignment="1">
      <alignment horizontal="right" vertical="center" wrapText="1"/>
    </xf>
    <xf numFmtId="0" fontId="21" fillId="4" borderId="1" xfId="0" applyFont="1" applyFill="1" applyBorder="1"/>
    <xf numFmtId="0" fontId="15" fillId="7" borderId="0" xfId="0" applyFont="1" applyFill="1"/>
    <xf numFmtId="0" fontId="21" fillId="0" borderId="1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6" fillId="0" borderId="0" xfId="0" applyFont="1" applyFill="1" applyBorder="1"/>
    <xf numFmtId="0" fontId="16" fillId="0" borderId="0" xfId="0" applyFont="1" applyBorder="1"/>
    <xf numFmtId="0" fontId="21" fillId="0" borderId="0" xfId="0" applyFont="1" applyFill="1" applyBorder="1" applyAlignment="1">
      <alignment vertical="center"/>
    </xf>
    <xf numFmtId="0" fontId="15" fillId="0" borderId="0" xfId="0" applyFont="1" applyFill="1" applyBorder="1"/>
    <xf numFmtId="0" fontId="21" fillId="0" borderId="0" xfId="0" applyFont="1" applyFill="1" applyBorder="1" applyAlignment="1"/>
    <xf numFmtId="0" fontId="21" fillId="0" borderId="14" xfId="0" applyFont="1" applyFill="1" applyBorder="1" applyAlignment="1"/>
    <xf numFmtId="0" fontId="21" fillId="0" borderId="1" xfId="0" applyFont="1" applyFill="1" applyBorder="1" applyAlignment="1"/>
    <xf numFmtId="0" fontId="15" fillId="0" borderId="0" xfId="0" applyFont="1" applyFill="1" applyBorder="1" applyAlignment="1">
      <alignment wrapText="1"/>
    </xf>
    <xf numFmtId="0" fontId="21" fillId="0" borderId="17" xfId="0" applyFont="1" applyFill="1" applyBorder="1" applyAlignment="1"/>
    <xf numFmtId="0" fontId="21" fillId="0" borderId="5" xfId="0" applyFont="1" applyFill="1" applyBorder="1" applyAlignment="1"/>
    <xf numFmtId="0" fontId="21" fillId="0" borderId="2" xfId="0" applyFont="1" applyFill="1" applyBorder="1" applyAlignment="1"/>
    <xf numFmtId="0" fontId="24" fillId="0" borderId="8" xfId="0" applyFont="1" applyBorder="1" applyAlignment="1"/>
    <xf numFmtId="0" fontId="24" fillId="0" borderId="0" xfId="0" applyFont="1" applyBorder="1" applyAlignment="1"/>
    <xf numFmtId="0" fontId="24" fillId="0" borderId="0" xfId="0" applyFont="1" applyFill="1" applyBorder="1" applyAlignment="1"/>
    <xf numFmtId="0" fontId="24" fillId="0" borderId="1" xfId="0" applyFont="1" applyFill="1" applyBorder="1" applyAlignment="1"/>
    <xf numFmtId="0" fontId="24" fillId="0" borderId="17" xfId="0" applyFont="1" applyBorder="1" applyAlignment="1"/>
    <xf numFmtId="0" fontId="19" fillId="0" borderId="8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19" fillId="0" borderId="17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/>
    </xf>
    <xf numFmtId="0" fontId="19" fillId="0" borderId="14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8" fillId="3" borderId="0" xfId="0" applyFont="1" applyFill="1" applyBorder="1" applyAlignment="1">
      <alignment horizontal="center"/>
    </xf>
    <xf numFmtId="2" fontId="18" fillId="3" borderId="3" xfId="2" applyNumberFormat="1" applyFont="1" applyFill="1" applyBorder="1" applyAlignment="1">
      <alignment horizontal="center" vertical="center"/>
    </xf>
    <xf numFmtId="168" fontId="18" fillId="3" borderId="3" xfId="2" applyNumberFormat="1" applyFont="1" applyFill="1" applyBorder="1" applyAlignment="1">
      <alignment horizontal="center" vertical="center"/>
    </xf>
    <xf numFmtId="0" fontId="18" fillId="3" borderId="3" xfId="2" applyFont="1" applyFill="1" applyBorder="1" applyAlignment="1">
      <alignment horizontal="center" vertical="center"/>
    </xf>
    <xf numFmtId="2" fontId="18" fillId="3" borderId="1" xfId="2" applyNumberFormat="1" applyFont="1" applyFill="1" applyBorder="1" applyAlignment="1">
      <alignment horizontal="center" vertical="center"/>
    </xf>
    <xf numFmtId="0" fontId="18" fillId="3" borderId="1" xfId="2" applyFont="1" applyFill="1" applyBorder="1" applyAlignment="1">
      <alignment horizontal="center" vertical="center"/>
    </xf>
    <xf numFmtId="2" fontId="18" fillId="3" borderId="4" xfId="2" applyNumberFormat="1" applyFont="1" applyFill="1" applyBorder="1" applyAlignment="1">
      <alignment horizontal="center" vertical="center"/>
    </xf>
    <xf numFmtId="168" fontId="18" fillId="3" borderId="4" xfId="2" applyNumberFormat="1" applyFont="1" applyFill="1" applyBorder="1" applyAlignment="1">
      <alignment horizontal="center" vertical="center"/>
    </xf>
    <xf numFmtId="0" fontId="18" fillId="3" borderId="4" xfId="2" applyFont="1" applyFill="1" applyBorder="1" applyAlignment="1">
      <alignment horizontal="center" vertical="center"/>
    </xf>
    <xf numFmtId="0" fontId="19" fillId="0" borderId="3" xfId="2" applyFont="1" applyFill="1" applyBorder="1" applyAlignment="1">
      <alignment horizontal="center" vertical="center"/>
    </xf>
    <xf numFmtId="0" fontId="19" fillId="0" borderId="4" xfId="2" applyFont="1" applyFill="1" applyBorder="1" applyAlignment="1">
      <alignment horizontal="center" vertical="center"/>
    </xf>
    <xf numFmtId="1" fontId="19" fillId="4" borderId="17" xfId="2" applyNumberFormat="1" applyFont="1" applyFill="1" applyBorder="1" applyAlignment="1">
      <alignment horizontal="center" vertical="center"/>
    </xf>
    <xf numFmtId="168" fontId="19" fillId="4" borderId="1" xfId="2" applyNumberFormat="1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/>
    </xf>
    <xf numFmtId="0" fontId="26" fillId="7" borderId="1" xfId="0" applyFont="1" applyFill="1" applyBorder="1"/>
    <xf numFmtId="2" fontId="18" fillId="0" borderId="17" xfId="0" applyNumberFormat="1" applyFont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wrapText="1"/>
    </xf>
    <xf numFmtId="1" fontId="18" fillId="0" borderId="1" xfId="0" applyNumberFormat="1" applyFont="1" applyBorder="1" applyAlignment="1">
      <alignment horizontal="center" wrapText="1"/>
    </xf>
    <xf numFmtId="2" fontId="18" fillId="0" borderId="15" xfId="0" applyNumberFormat="1" applyFont="1" applyBorder="1" applyAlignment="1">
      <alignment horizontal="center" vertical="center" wrapText="1"/>
    </xf>
    <xf numFmtId="0" fontId="18" fillId="0" borderId="15" xfId="0" applyNumberFormat="1" applyFont="1" applyBorder="1" applyAlignment="1">
      <alignment horizontal="center" wrapText="1"/>
    </xf>
    <xf numFmtId="1" fontId="18" fillId="0" borderId="16" xfId="0" applyNumberFormat="1" applyFont="1" applyBorder="1" applyAlignment="1">
      <alignment horizontal="center" wrapText="1"/>
    </xf>
    <xf numFmtId="2" fontId="18" fillId="0" borderId="5" xfId="0" applyNumberFormat="1" applyFont="1" applyBorder="1" applyAlignment="1">
      <alignment horizontal="center" wrapText="1"/>
    </xf>
    <xf numFmtId="2" fontId="19" fillId="4" borderId="5" xfId="0" applyNumberFormat="1" applyFont="1" applyFill="1" applyBorder="1" applyAlignment="1">
      <alignment vertical="center" wrapText="1"/>
    </xf>
    <xf numFmtId="49" fontId="19" fillId="3" borderId="15" xfId="0" applyNumberFormat="1" applyFont="1" applyFill="1" applyBorder="1" applyAlignment="1">
      <alignment horizontal="center" vertical="center" wrapText="1"/>
    </xf>
    <xf numFmtId="2" fontId="19" fillId="3" borderId="15" xfId="0" applyNumberFormat="1" applyFont="1" applyFill="1" applyBorder="1" applyAlignment="1">
      <alignment vertical="center" wrapText="1"/>
    </xf>
    <xf numFmtId="2" fontId="19" fillId="4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0" fontId="19" fillId="0" borderId="0" xfId="2" applyFont="1" applyFill="1" applyBorder="1" applyAlignment="1">
      <alignment vertical="center"/>
    </xf>
    <xf numFmtId="0" fontId="26" fillId="4" borderId="1" xfId="0" applyFont="1" applyFill="1" applyBorder="1" applyAlignment="1">
      <alignment horizontal="center"/>
    </xf>
    <xf numFmtId="0" fontId="24" fillId="0" borderId="4" xfId="0" applyFont="1" applyFill="1" applyBorder="1"/>
    <xf numFmtId="0" fontId="16" fillId="0" borderId="1" xfId="0" applyFont="1" applyBorder="1"/>
    <xf numFmtId="0" fontId="15" fillId="0" borderId="0" xfId="0" applyFont="1" applyBorder="1" applyAlignment="1">
      <alignment wrapText="1"/>
    </xf>
    <xf numFmtId="0" fontId="19" fillId="2" borderId="7" xfId="0" applyFont="1" applyFill="1" applyBorder="1" applyAlignment="1"/>
    <xf numFmtId="0" fontId="0" fillId="0" borderId="0" xfId="0" applyBorder="1" applyAlignment="1">
      <alignment horizontal="center" vertical="center"/>
    </xf>
    <xf numFmtId="0" fontId="26" fillId="12" borderId="14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6" fillId="11" borderId="0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12" xfId="0" applyBorder="1" applyAlignment="1">
      <alignment vertical="center"/>
    </xf>
    <xf numFmtId="0" fontId="0" fillId="0" borderId="21" xfId="0" applyBorder="1"/>
    <xf numFmtId="0" fontId="0" fillId="0" borderId="12" xfId="0" applyBorder="1"/>
    <xf numFmtId="0" fontId="0" fillId="0" borderId="32" xfId="0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34" xfId="0" applyBorder="1"/>
    <xf numFmtId="0" fontId="26" fillId="0" borderId="35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0" fillId="0" borderId="32" xfId="0" applyBorder="1"/>
    <xf numFmtId="0" fontId="0" fillId="0" borderId="19" xfId="0" applyBorder="1"/>
    <xf numFmtId="0" fontId="26" fillId="0" borderId="44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8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0" fillId="0" borderId="44" xfId="0" applyBorder="1"/>
    <xf numFmtId="0" fontId="0" fillId="0" borderId="47" xfId="0" applyBorder="1"/>
    <xf numFmtId="0" fontId="17" fillId="0" borderId="48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/>
    </xf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19" fillId="2" borderId="56" xfId="0" applyFont="1" applyFill="1" applyBorder="1"/>
    <xf numFmtId="0" fontId="19" fillId="2" borderId="57" xfId="0" applyFont="1" applyFill="1" applyBorder="1"/>
    <xf numFmtId="0" fontId="18" fillId="2" borderId="57" xfId="0" applyFont="1" applyFill="1" applyBorder="1"/>
    <xf numFmtId="0" fontId="19" fillId="2" borderId="49" xfId="0" applyFont="1" applyFill="1" applyBorder="1"/>
    <xf numFmtId="0" fontId="18" fillId="2" borderId="49" xfId="0" applyFont="1" applyFill="1" applyBorder="1"/>
    <xf numFmtId="0" fontId="18" fillId="2" borderId="58" xfId="0" applyFont="1" applyFill="1" applyBorder="1"/>
    <xf numFmtId="0" fontId="18" fillId="2" borderId="51" xfId="0" applyFont="1" applyFill="1" applyBorder="1"/>
    <xf numFmtId="0" fontId="19" fillId="5" borderId="14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49" fontId="19" fillId="0" borderId="4" xfId="0" applyNumberFormat="1" applyFont="1" applyBorder="1" applyAlignment="1">
      <alignment horizontal="center" vertical="center" wrapText="1"/>
    </xf>
    <xf numFmtId="49" fontId="19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56" xfId="0" applyFill="1" applyBorder="1"/>
    <xf numFmtId="0" fontId="0" fillId="3" borderId="49" xfId="0" applyFill="1" applyBorder="1"/>
    <xf numFmtId="0" fontId="0" fillId="3" borderId="58" xfId="0" applyFill="1" applyBorder="1"/>
    <xf numFmtId="0" fontId="0" fillId="3" borderId="12" xfId="0" applyFill="1" applyBorder="1"/>
    <xf numFmtId="0" fontId="0" fillId="3" borderId="0" xfId="0" applyFill="1" applyBorder="1"/>
    <xf numFmtId="0" fontId="0" fillId="3" borderId="13" xfId="0" applyFill="1" applyBorder="1"/>
    <xf numFmtId="0" fontId="0" fillId="3" borderId="54" xfId="0" applyFill="1" applyBorder="1"/>
    <xf numFmtId="0" fontId="0" fillId="3" borderId="51" xfId="0" applyFill="1" applyBorder="1"/>
    <xf numFmtId="0" fontId="0" fillId="3" borderId="55" xfId="0" applyFill="1" applyBorder="1"/>
    <xf numFmtId="0" fontId="18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20" xfId="0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2" fontId="0" fillId="0" borderId="1" xfId="0" applyNumberFormat="1" applyBorder="1"/>
    <xf numFmtId="2" fontId="19" fillId="4" borderId="47" xfId="0" applyNumberFormat="1" applyFont="1" applyFill="1" applyBorder="1" applyAlignment="1">
      <alignment horizontal="center" vertical="center" wrapText="1"/>
    </xf>
    <xf numFmtId="49" fontId="19" fillId="4" borderId="48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Fill="1" applyBorder="1" applyAlignment="1">
      <alignment horizontal="center"/>
    </xf>
    <xf numFmtId="0" fontId="0" fillId="0" borderId="1" xfId="0" applyBorder="1" applyAlignment="1">
      <alignment horizontal="right"/>
    </xf>
    <xf numFmtId="0" fontId="19" fillId="3" borderId="21" xfId="0" applyFont="1" applyFill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top"/>
    </xf>
    <xf numFmtId="49" fontId="19" fillId="4" borderId="33" xfId="0" applyNumberFormat="1" applyFont="1" applyFill="1" applyBorder="1" applyAlignment="1">
      <alignment horizontal="center" vertical="center" wrapText="1"/>
    </xf>
    <xf numFmtId="49" fontId="19" fillId="4" borderId="18" xfId="0" applyNumberFormat="1" applyFont="1" applyFill="1" applyBorder="1" applyAlignment="1">
      <alignment horizontal="center" vertical="center" wrapText="1"/>
    </xf>
    <xf numFmtId="49" fontId="18" fillId="0" borderId="21" xfId="0" applyNumberFormat="1" applyFont="1" applyBorder="1" applyAlignment="1">
      <alignment horizontal="center" vertical="center" wrapText="1"/>
    </xf>
    <xf numFmtId="1" fontId="18" fillId="0" borderId="18" xfId="0" applyNumberFormat="1" applyFont="1" applyBorder="1" applyAlignment="1">
      <alignment horizontal="center" vertical="center" wrapText="1"/>
    </xf>
    <xf numFmtId="0" fontId="16" fillId="2" borderId="15" xfId="0" applyFont="1" applyFill="1" applyBorder="1"/>
    <xf numFmtId="0" fontId="15" fillId="2" borderId="15" xfId="0" applyFont="1" applyFill="1" applyBorder="1"/>
    <xf numFmtId="49" fontId="19" fillId="0" borderId="21" xfId="0" applyNumberFormat="1" applyFont="1" applyBorder="1" applyAlignment="1">
      <alignment horizontal="center" vertical="top" wrapText="1"/>
    </xf>
    <xf numFmtId="49" fontId="19" fillId="3" borderId="67" xfId="0" applyNumberFormat="1" applyFont="1" applyFill="1" applyBorder="1" applyAlignment="1">
      <alignment horizontal="center" vertical="center" wrapText="1"/>
    </xf>
    <xf numFmtId="49" fontId="19" fillId="3" borderId="25" xfId="0" applyNumberFormat="1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  <xf numFmtId="0" fontId="19" fillId="3" borderId="33" xfId="0" applyFont="1" applyFill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top"/>
    </xf>
    <xf numFmtId="0" fontId="19" fillId="3" borderId="34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/>
    <xf numFmtId="0" fontId="0" fillId="0" borderId="3" xfId="0" applyBorder="1"/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wrapText="1"/>
    </xf>
    <xf numFmtId="2" fontId="19" fillId="4" borderId="1" xfId="0" applyNumberFormat="1" applyFont="1" applyFill="1" applyBorder="1" applyAlignment="1">
      <alignment vertical="center" wrapText="1"/>
    </xf>
    <xf numFmtId="49" fontId="19" fillId="0" borderId="21" xfId="0" applyNumberFormat="1" applyFont="1" applyBorder="1" applyAlignment="1">
      <alignment horizontal="center" vertical="center" wrapText="1"/>
    </xf>
    <xf numFmtId="49" fontId="19" fillId="0" borderId="18" xfId="0" applyNumberFormat="1" applyFont="1" applyBorder="1" applyAlignment="1">
      <alignment horizontal="center" vertical="center" wrapText="1"/>
    </xf>
    <xf numFmtId="0" fontId="0" fillId="0" borderId="21" xfId="0" applyFill="1" applyBorder="1" applyAlignment="1">
      <alignment wrapText="1"/>
    </xf>
    <xf numFmtId="0" fontId="0" fillId="0" borderId="18" xfId="0" applyBorder="1" applyAlignment="1">
      <alignment horizontal="center"/>
    </xf>
    <xf numFmtId="2" fontId="19" fillId="4" borderId="19" xfId="0" applyNumberFormat="1" applyFont="1" applyFill="1" applyBorder="1" applyAlignment="1">
      <alignment vertical="center" wrapText="1"/>
    </xf>
    <xf numFmtId="49" fontId="19" fillId="4" borderId="20" xfId="0" applyNumberFormat="1" applyFont="1" applyFill="1" applyBorder="1" applyAlignment="1">
      <alignment horizontal="center" vertical="center" wrapText="1"/>
    </xf>
    <xf numFmtId="1" fontId="19" fillId="4" borderId="1" xfId="2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28" fillId="0" borderId="1" xfId="0" applyFont="1" applyFill="1" applyBorder="1" applyAlignment="1">
      <alignment vertical="center"/>
    </xf>
    <xf numFmtId="0" fontId="15" fillId="0" borderId="1" xfId="0" applyFont="1" applyFill="1" applyBorder="1"/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28" fillId="0" borderId="1" xfId="0" applyFont="1" applyFill="1" applyBorder="1" applyAlignment="1"/>
    <xf numFmtId="0" fontId="19" fillId="5" borderId="5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6" borderId="3" xfId="0" applyFont="1" applyFill="1" applyBorder="1" applyAlignment="1">
      <alignment horizontal="center" vertical="center"/>
    </xf>
    <xf numFmtId="0" fontId="15" fillId="0" borderId="3" xfId="0" applyFont="1" applyBorder="1"/>
    <xf numFmtId="0" fontId="15" fillId="0" borderId="3" xfId="0" applyFont="1" applyBorder="1" applyAlignment="1">
      <alignment wrapText="1"/>
    </xf>
    <xf numFmtId="0" fontId="19" fillId="6" borderId="21" xfId="0" applyFont="1" applyFill="1" applyBorder="1" applyAlignment="1">
      <alignment horizontal="center" vertical="center"/>
    </xf>
    <xf numFmtId="0" fontId="0" fillId="0" borderId="18" xfId="0" applyBorder="1"/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15" fillId="0" borderId="18" xfId="0" applyFont="1" applyBorder="1"/>
    <xf numFmtId="0" fontId="19" fillId="0" borderId="21" xfId="0" applyFont="1" applyFill="1" applyBorder="1" applyAlignment="1">
      <alignment horizontal="center" vertical="center"/>
    </xf>
    <xf numFmtId="0" fontId="15" fillId="0" borderId="21" xfId="0" applyFont="1" applyBorder="1"/>
    <xf numFmtId="0" fontId="18" fillId="0" borderId="3" xfId="0" applyFont="1" applyBorder="1"/>
    <xf numFmtId="0" fontId="18" fillId="0" borderId="3" xfId="0" applyFont="1" applyBorder="1" applyAlignment="1">
      <alignment horizontal="center"/>
    </xf>
    <xf numFmtId="0" fontId="19" fillId="4" borderId="21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27" xfId="0" applyFont="1" applyBorder="1" applyAlignment="1">
      <alignment horizontal="center"/>
    </xf>
    <xf numFmtId="0" fontId="21" fillId="4" borderId="21" xfId="0" applyFont="1" applyFill="1" applyBorder="1" applyAlignment="1">
      <alignment horizontal="center"/>
    </xf>
    <xf numFmtId="0" fontId="24" fillId="0" borderId="18" xfId="0" applyFont="1" applyBorder="1"/>
    <xf numFmtId="0" fontId="24" fillId="0" borderId="21" xfId="0" applyFont="1" applyBorder="1"/>
    <xf numFmtId="0" fontId="25" fillId="0" borderId="0" xfId="0" applyFont="1" applyBorder="1"/>
    <xf numFmtId="0" fontId="21" fillId="4" borderId="18" xfId="0" applyFont="1" applyFill="1" applyBorder="1"/>
    <xf numFmtId="0" fontId="21" fillId="6" borderId="21" xfId="0" applyFont="1" applyFill="1" applyBorder="1" applyAlignment="1">
      <alignment horizontal="center"/>
    </xf>
    <xf numFmtId="0" fontId="24" fillId="0" borderId="18" xfId="0" applyFont="1" applyFill="1" applyBorder="1"/>
    <xf numFmtId="0" fontId="25" fillId="0" borderId="0" xfId="0" applyFont="1" applyFill="1" applyBorder="1"/>
    <xf numFmtId="0" fontId="24" fillId="3" borderId="21" xfId="0" applyFont="1" applyFill="1" applyBorder="1"/>
    <xf numFmtId="0" fontId="24" fillId="0" borderId="12" xfId="0" applyFont="1" applyBorder="1"/>
    <xf numFmtId="0" fontId="21" fillId="6" borderId="21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center" vertical="center"/>
    </xf>
    <xf numFmtId="0" fontId="24" fillId="0" borderId="21" xfId="0" applyFont="1" applyFill="1" applyBorder="1"/>
    <xf numFmtId="0" fontId="19" fillId="6" borderId="34" xfId="0" applyFont="1" applyFill="1" applyBorder="1" applyAlignment="1">
      <alignment horizontal="center"/>
    </xf>
    <xf numFmtId="0" fontId="18" fillId="0" borderId="69" xfId="0" applyFont="1" applyBorder="1" applyAlignment="1">
      <alignment horizontal="center"/>
    </xf>
    <xf numFmtId="0" fontId="18" fillId="0" borderId="21" xfId="0" applyFont="1" applyBorder="1"/>
    <xf numFmtId="0" fontId="19" fillId="6" borderId="21" xfId="0" applyFont="1" applyFill="1" applyBorder="1" applyAlignment="1">
      <alignment horizontal="center"/>
    </xf>
    <xf numFmtId="0" fontId="18" fillId="0" borderId="21" xfId="0" applyFont="1" applyFill="1" applyBorder="1"/>
    <xf numFmtId="0" fontId="18" fillId="3" borderId="21" xfId="0" applyFont="1" applyFill="1" applyBorder="1"/>
    <xf numFmtId="0" fontId="18" fillId="3" borderId="18" xfId="0" applyFont="1" applyFill="1" applyBorder="1" applyAlignment="1">
      <alignment horizontal="center"/>
    </xf>
    <xf numFmtId="0" fontId="24" fillId="3" borderId="18" xfId="0" applyFont="1" applyFill="1" applyBorder="1"/>
    <xf numFmtId="0" fontId="24" fillId="0" borderId="27" xfId="0" applyFont="1" applyBorder="1"/>
    <xf numFmtId="0" fontId="24" fillId="0" borderId="18" xfId="0" applyFont="1" applyBorder="1" applyAlignment="1">
      <alignment wrapText="1"/>
    </xf>
    <xf numFmtId="0" fontId="21" fillId="4" borderId="18" xfId="0" applyFont="1" applyFill="1" applyBorder="1" applyAlignment="1">
      <alignment horizontal="center" wrapText="1"/>
    </xf>
    <xf numFmtId="0" fontId="21" fillId="2" borderId="56" xfId="0" applyFont="1" applyFill="1" applyBorder="1"/>
    <xf numFmtId="0" fontId="21" fillId="2" borderId="57" xfId="0" applyFont="1" applyFill="1" applyBorder="1"/>
    <xf numFmtId="0" fontId="24" fillId="2" borderId="57" xfId="0" applyFont="1" applyFill="1" applyBorder="1"/>
    <xf numFmtId="0" fontId="24" fillId="2" borderId="57" xfId="0" applyFont="1" applyFill="1" applyBorder="1" applyAlignment="1">
      <alignment wrapText="1"/>
    </xf>
    <xf numFmtId="0" fontId="24" fillId="2" borderId="49" xfId="0" applyFont="1" applyFill="1" applyBorder="1"/>
    <xf numFmtId="0" fontId="21" fillId="2" borderId="49" xfId="0" applyFont="1" applyFill="1" applyBorder="1"/>
    <xf numFmtId="0" fontId="24" fillId="2" borderId="58" xfId="0" applyFont="1" applyFill="1" applyBorder="1"/>
    <xf numFmtId="0" fontId="21" fillId="2" borderId="54" xfId="0" applyFont="1" applyFill="1" applyBorder="1"/>
    <xf numFmtId="0" fontId="21" fillId="2" borderId="60" xfId="0" applyFont="1" applyFill="1" applyBorder="1"/>
    <xf numFmtId="0" fontId="24" fillId="2" borderId="60" xfId="0" applyFont="1" applyFill="1" applyBorder="1"/>
    <xf numFmtId="0" fontId="24" fillId="2" borderId="60" xfId="0" applyFont="1" applyFill="1" applyBorder="1" applyAlignment="1">
      <alignment wrapText="1"/>
    </xf>
    <xf numFmtId="0" fontId="24" fillId="2" borderId="51" xfId="0" applyFont="1" applyFill="1" applyBorder="1"/>
    <xf numFmtId="0" fontId="21" fillId="2" borderId="51" xfId="0" applyFont="1" applyFill="1" applyBorder="1"/>
    <xf numFmtId="0" fontId="24" fillId="2" borderId="55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5" fillId="0" borderId="69" xfId="0" applyFont="1" applyBorder="1"/>
    <xf numFmtId="0" fontId="0" fillId="0" borderId="69" xfId="0" applyBorder="1"/>
    <xf numFmtId="0" fontId="21" fillId="0" borderId="4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19" fillId="4" borderId="30" xfId="0" applyFont="1" applyFill="1" applyBorder="1" applyAlignment="1">
      <alignment horizontal="center"/>
    </xf>
    <xf numFmtId="0" fontId="19" fillId="4" borderId="31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19" fillId="4" borderId="34" xfId="0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/>
    </xf>
    <xf numFmtId="0" fontId="16" fillId="0" borderId="3" xfId="0" applyFont="1" applyBorder="1"/>
    <xf numFmtId="1" fontId="0" fillId="0" borderId="1" xfId="0" applyNumberFormat="1" applyBorder="1"/>
    <xf numFmtId="0" fontId="27" fillId="0" borderId="3" xfId="0" applyFont="1" applyBorder="1"/>
    <xf numFmtId="0" fontId="21" fillId="0" borderId="0" xfId="0" applyFont="1" applyFill="1" applyBorder="1"/>
    <xf numFmtId="0" fontId="24" fillId="0" borderId="0" xfId="0" applyFont="1" applyFill="1" applyBorder="1"/>
    <xf numFmtId="0" fontId="24" fillId="0" borderId="0" xfId="0" applyFont="1" applyFill="1" applyBorder="1" applyAlignment="1">
      <alignment wrapText="1"/>
    </xf>
    <xf numFmtId="12" fontId="0" fillId="0" borderId="1" xfId="0" applyNumberFormat="1" applyBorder="1" applyAlignment="1">
      <alignment horizontal="right"/>
    </xf>
    <xf numFmtId="12" fontId="0" fillId="0" borderId="1" xfId="0" applyNumberFormat="1" applyBorder="1"/>
    <xf numFmtId="12" fontId="0" fillId="0" borderId="4" xfId="0" applyNumberFormat="1" applyBorder="1"/>
    <xf numFmtId="2" fontId="19" fillId="4" borderId="46" xfId="0" applyNumberFormat="1" applyFont="1" applyFill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0" fontId="18" fillId="3" borderId="19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8" fillId="3" borderId="32" xfId="0" applyFont="1" applyFill="1" applyBorder="1" applyAlignment="1">
      <alignment horizontal="center" vertical="center" wrapText="1"/>
    </xf>
    <xf numFmtId="0" fontId="19" fillId="3" borderId="20" xfId="0" applyFont="1" applyFill="1" applyBorder="1" applyAlignment="1">
      <alignment horizontal="center" vertical="center" wrapText="1"/>
    </xf>
    <xf numFmtId="0" fontId="19" fillId="3" borderId="46" xfId="0" applyFont="1" applyFill="1" applyBorder="1" applyAlignment="1">
      <alignment horizontal="center" vertical="center" wrapText="1"/>
    </xf>
    <xf numFmtId="0" fontId="26" fillId="0" borderId="53" xfId="0" applyFont="1" applyBorder="1" applyAlignment="1">
      <alignment horizontal="center"/>
    </xf>
    <xf numFmtId="0" fontId="18" fillId="3" borderId="34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right" vertical="center" wrapText="1"/>
    </xf>
    <xf numFmtId="49" fontId="18" fillId="0" borderId="3" xfId="0" applyNumberFormat="1" applyFont="1" applyBorder="1" applyAlignment="1">
      <alignment horizontal="right" vertical="center" wrapText="1"/>
    </xf>
    <xf numFmtId="49" fontId="0" fillId="0" borderId="3" xfId="0" applyNumberFormat="1" applyBorder="1"/>
    <xf numFmtId="0" fontId="19" fillId="16" borderId="44" xfId="0" applyFont="1" applyFill="1" applyBorder="1" applyAlignment="1">
      <alignment horizontal="center" vertical="center" wrapText="1"/>
    </xf>
    <xf numFmtId="0" fontId="19" fillId="16" borderId="47" xfId="0" applyFont="1" applyFill="1" applyBorder="1" applyAlignment="1">
      <alignment horizontal="center" vertical="center" wrapText="1"/>
    </xf>
    <xf numFmtId="49" fontId="19" fillId="16" borderId="47" xfId="0" applyNumberFormat="1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26" fillId="13" borderId="61" xfId="0" applyFont="1" applyFill="1" applyBorder="1"/>
    <xf numFmtId="2" fontId="18" fillId="3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Border="1"/>
    <xf numFmtId="2" fontId="18" fillId="3" borderId="3" xfId="0" applyNumberFormat="1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right"/>
    </xf>
    <xf numFmtId="2" fontId="18" fillId="3" borderId="1" xfId="0" applyNumberFormat="1" applyFont="1" applyFill="1" applyBorder="1" applyAlignment="1">
      <alignment horizontal="right" vertical="center" wrapText="1"/>
    </xf>
    <xf numFmtId="0" fontId="19" fillId="16" borderId="61" xfId="0" applyFont="1" applyFill="1" applyBorder="1" applyAlignment="1">
      <alignment horizontal="center" vertical="center" wrapText="1"/>
    </xf>
    <xf numFmtId="2" fontId="0" fillId="0" borderId="63" xfId="0" applyNumberFormat="1" applyBorder="1"/>
    <xf numFmtId="0" fontId="0" fillId="0" borderId="64" xfId="0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70" xfId="0" applyFont="1" applyFill="1" applyBorder="1" applyAlignment="1">
      <alignment horizontal="center" vertical="center" wrapText="1"/>
    </xf>
    <xf numFmtId="0" fontId="0" fillId="0" borderId="31" xfId="0" applyBorder="1"/>
    <xf numFmtId="0" fontId="17" fillId="0" borderId="69" xfId="0" applyFont="1" applyBorder="1" applyAlignment="1">
      <alignment horizontal="center" vertical="center"/>
    </xf>
    <xf numFmtId="0" fontId="26" fillId="0" borderId="47" xfId="0" applyFont="1" applyBorder="1"/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9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2" fontId="18" fillId="17" borderId="61" xfId="0" applyNumberFormat="1" applyFont="1" applyFill="1" applyBorder="1" applyAlignment="1">
      <alignment horizontal="center" vertical="center" wrapText="1"/>
    </xf>
    <xf numFmtId="2" fontId="18" fillId="17" borderId="70" xfId="0" applyNumberFormat="1" applyFont="1" applyFill="1" applyBorder="1" applyAlignment="1">
      <alignment horizontal="center" vertical="center" wrapText="1"/>
    </xf>
    <xf numFmtId="0" fontId="0" fillId="0" borderId="3" xfId="0" applyFill="1" applyBorder="1"/>
    <xf numFmtId="2" fontId="18" fillId="17" borderId="71" xfId="0" applyNumberFormat="1" applyFont="1" applyFill="1" applyBorder="1" applyAlignment="1">
      <alignment horizontal="center" vertical="center" wrapText="1"/>
    </xf>
    <xf numFmtId="2" fontId="18" fillId="18" borderId="61" xfId="0" applyNumberFormat="1" applyFont="1" applyFill="1" applyBorder="1" applyAlignment="1">
      <alignment horizontal="center" vertical="center" wrapText="1"/>
    </xf>
    <xf numFmtId="0" fontId="0" fillId="0" borderId="63" xfId="0" applyBorder="1"/>
    <xf numFmtId="0" fontId="0" fillId="0" borderId="30" xfId="0" applyFill="1" applyBorder="1"/>
    <xf numFmtId="0" fontId="0" fillId="0" borderId="19" xfId="0" applyFill="1" applyBorder="1"/>
    <xf numFmtId="0" fontId="17" fillId="0" borderId="19" xfId="0" applyFont="1" applyBorder="1"/>
    <xf numFmtId="0" fontId="0" fillId="0" borderId="63" xfId="0" applyFill="1" applyBorder="1"/>
    <xf numFmtId="0" fontId="0" fillId="0" borderId="22" xfId="0" applyBorder="1"/>
    <xf numFmtId="2" fontId="18" fillId="17" borderId="47" xfId="0" applyNumberFormat="1" applyFont="1" applyFill="1" applyBorder="1" applyAlignment="1">
      <alignment horizontal="center" vertical="center" wrapText="1"/>
    </xf>
    <xf numFmtId="2" fontId="18" fillId="17" borderId="48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26" fillId="6" borderId="44" xfId="0" applyFont="1" applyFill="1" applyBorder="1"/>
    <xf numFmtId="0" fontId="26" fillId="6" borderId="47" xfId="0" applyFont="1" applyFill="1" applyBorder="1" applyAlignment="1">
      <alignment horizontal="left"/>
    </xf>
    <xf numFmtId="0" fontId="26" fillId="6" borderId="47" xfId="0" applyFont="1" applyFill="1" applyBorder="1"/>
    <xf numFmtId="0" fontId="26" fillId="6" borderId="48" xfId="0" applyFont="1" applyFill="1" applyBorder="1"/>
    <xf numFmtId="0" fontId="26" fillId="17" borderId="47" xfId="0" applyFont="1" applyFill="1" applyBorder="1"/>
    <xf numFmtId="0" fontId="26" fillId="17" borderId="48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0" xfId="0" applyBorder="1"/>
    <xf numFmtId="0" fontId="0" fillId="0" borderId="33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168" fontId="0" fillId="0" borderId="0" xfId="0" applyNumberFormat="1"/>
    <xf numFmtId="0" fontId="19" fillId="2" borderId="0" xfId="0" applyFont="1" applyFill="1" applyBorder="1" applyAlignment="1"/>
    <xf numFmtId="168" fontId="0" fillId="0" borderId="1" xfId="0" applyNumberFormat="1" applyBorder="1"/>
    <xf numFmtId="0" fontId="0" fillId="0" borderId="4" xfId="0" applyFill="1" applyBorder="1"/>
    <xf numFmtId="168" fontId="0" fillId="0" borderId="4" xfId="0" applyNumberFormat="1" applyBorder="1"/>
    <xf numFmtId="168" fontId="26" fillId="17" borderId="30" xfId="0" applyNumberFormat="1" applyFont="1" applyFill="1" applyBorder="1"/>
    <xf numFmtId="168" fontId="26" fillId="17" borderId="1" xfId="0" applyNumberFormat="1" applyFont="1" applyFill="1" applyBorder="1"/>
    <xf numFmtId="168" fontId="26" fillId="17" borderId="19" xfId="0" applyNumberFormat="1" applyFont="1" applyFill="1" applyBorder="1"/>
    <xf numFmtId="0" fontId="0" fillId="18" borderId="44" xfId="0" applyFill="1" applyBorder="1"/>
    <xf numFmtId="0" fontId="0" fillId="18" borderId="47" xfId="0" applyFill="1" applyBorder="1"/>
    <xf numFmtId="0" fontId="0" fillId="18" borderId="48" xfId="0" applyFill="1" applyBorder="1"/>
    <xf numFmtId="0" fontId="17" fillId="0" borderId="3" xfId="0" applyFont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171" fontId="31" fillId="0" borderId="19" xfId="0" applyNumberFormat="1" applyFont="1" applyBorder="1" applyAlignment="1">
      <alignment horizontal="center" vertical="center"/>
    </xf>
    <xf numFmtId="172" fontId="31" fillId="0" borderId="19" xfId="0" applyNumberFormat="1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171" fontId="31" fillId="0" borderId="3" xfId="0" applyNumberFormat="1" applyFont="1" applyBorder="1" applyAlignment="1">
      <alignment horizontal="center" vertical="center"/>
    </xf>
    <xf numFmtId="172" fontId="31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1" fillId="0" borderId="0" xfId="0" applyFont="1"/>
    <xf numFmtId="171" fontId="31" fillId="0" borderId="1" xfId="0" applyNumberFormat="1" applyFont="1" applyBorder="1" applyAlignment="1">
      <alignment horizontal="center" vertical="center"/>
    </xf>
    <xf numFmtId="172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1" fontId="31" fillId="0" borderId="1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72" fontId="31" fillId="3" borderId="1" xfId="0" applyNumberFormat="1" applyFont="1" applyFill="1" applyBorder="1" applyAlignment="1">
      <alignment horizontal="center" vertical="center"/>
    </xf>
    <xf numFmtId="1" fontId="31" fillId="3" borderId="3" xfId="0" applyNumberFormat="1" applyFont="1" applyFill="1" applyBorder="1" applyAlignment="1">
      <alignment horizontal="center" vertical="center"/>
    </xf>
    <xf numFmtId="171" fontId="31" fillId="0" borderId="4" xfId="0" applyNumberFormat="1" applyFont="1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31" fillId="0" borderId="29" xfId="0" applyFont="1" applyBorder="1" applyAlignment="1">
      <alignment horizontal="center" vertical="center"/>
    </xf>
    <xf numFmtId="0" fontId="17" fillId="0" borderId="0" xfId="0" applyFont="1" applyBorder="1"/>
    <xf numFmtId="0" fontId="17" fillId="0" borderId="0" xfId="0" applyFont="1" applyBorder="1" applyAlignment="1">
      <alignment horizontal="left" vertical="center" wrapText="1"/>
    </xf>
    <xf numFmtId="2" fontId="31" fillId="0" borderId="0" xfId="0" applyNumberFormat="1" applyFont="1" applyBorder="1" applyAlignment="1">
      <alignment horizontal="center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171" fontId="31" fillId="0" borderId="3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1" fillId="0" borderId="0" xfId="0" applyFont="1" applyBorder="1"/>
    <xf numFmtId="0" fontId="26" fillId="0" borderId="1" xfId="0" applyFont="1" applyBorder="1" applyAlignment="1">
      <alignment horizontal="center"/>
    </xf>
    <xf numFmtId="0" fontId="26" fillId="0" borderId="8" xfId="0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center"/>
    </xf>
    <xf numFmtId="16" fontId="17" fillId="0" borderId="1" xfId="0" applyNumberFormat="1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1" xfId="0" applyFont="1" applyBorder="1"/>
    <xf numFmtId="16" fontId="17" fillId="0" borderId="1" xfId="0" applyNumberFormat="1" applyFont="1" applyBorder="1" applyAlignment="1">
      <alignment horizontal="center" vertical="center"/>
    </xf>
    <xf numFmtId="0" fontId="26" fillId="0" borderId="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/>
    </xf>
    <xf numFmtId="0" fontId="26" fillId="0" borderId="0" xfId="0" applyFont="1" applyFill="1" applyBorder="1" applyAlignment="1"/>
    <xf numFmtId="0" fontId="26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7" fillId="0" borderId="0" xfId="0" applyFont="1" applyBorder="1" applyAlignment="1">
      <alignment vertical="center"/>
    </xf>
    <xf numFmtId="0" fontId="17" fillId="0" borderId="2" xfId="0" applyFont="1" applyFill="1" applyBorder="1" applyAlignment="1">
      <alignment horizontal="center"/>
    </xf>
    <xf numFmtId="0" fontId="21" fillId="2" borderId="0" xfId="0" applyFont="1" applyFill="1" applyBorder="1"/>
    <xf numFmtId="0" fontId="24" fillId="2" borderId="0" xfId="0" applyFont="1" applyFill="1" applyBorder="1"/>
    <xf numFmtId="0" fontId="24" fillId="2" borderId="0" xfId="0" applyFont="1" applyFill="1" applyBorder="1" applyAlignment="1">
      <alignment wrapText="1"/>
    </xf>
    <xf numFmtId="0" fontId="26" fillId="0" borderId="1" xfId="0" applyFont="1" applyFill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0" fontId="17" fillId="0" borderId="1" xfId="0" quotePrefix="1" applyFont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7" fillId="0" borderId="4" xfId="0" applyFont="1" applyFill="1" applyBorder="1" applyAlignment="1">
      <alignment horizontal="center" vertical="center"/>
    </xf>
    <xf numFmtId="0" fontId="26" fillId="9" borderId="1" xfId="0" applyFont="1" applyFill="1" applyBorder="1"/>
    <xf numFmtId="0" fontId="26" fillId="9" borderId="1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6" fillId="9" borderId="1" xfId="0" applyFont="1" applyFill="1" applyBorder="1" applyAlignment="1"/>
    <xf numFmtId="0" fontId="26" fillId="9" borderId="4" xfId="0" applyFont="1" applyFill="1" applyBorder="1" applyAlignment="1">
      <alignment horizontal="center" vertical="center"/>
    </xf>
    <xf numFmtId="0" fontId="26" fillId="9" borderId="4" xfId="0" applyFont="1" applyFill="1" applyBorder="1" applyAlignment="1"/>
    <xf numFmtId="0" fontId="26" fillId="6" borderId="1" xfId="0" applyFont="1" applyFill="1" applyBorder="1"/>
    <xf numFmtId="0" fontId="26" fillId="9" borderId="1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0" xfId="0" applyFont="1" applyFill="1" applyBorder="1"/>
    <xf numFmtId="0" fontId="0" fillId="0" borderId="1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/>
    <xf numFmtId="0" fontId="26" fillId="0" borderId="1" xfId="0" applyFont="1" applyBorder="1" applyAlignment="1">
      <alignment vertical="center"/>
    </xf>
    <xf numFmtId="0" fontId="26" fillId="6" borderId="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26" fillId="0" borderId="4" xfId="0" applyFont="1" applyFill="1" applyBorder="1" applyAlignment="1">
      <alignment horizontal="center" vertical="center"/>
    </xf>
    <xf numFmtId="0" fontId="26" fillId="0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40" xfId="0" applyFont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1" fillId="0" borderId="1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1" fillId="0" borderId="34" xfId="0" applyFont="1" applyFill="1" applyBorder="1" applyAlignment="1">
      <alignment horizontal="center" vertical="center"/>
    </xf>
    <xf numFmtId="0" fontId="31" fillId="0" borderId="21" xfId="0" applyFont="1" applyFill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172" fontId="31" fillId="0" borderId="4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32" fillId="5" borderId="5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19" fillId="5" borderId="40" xfId="0" applyFont="1" applyFill="1" applyBorder="1" applyAlignment="1">
      <alignment horizontal="center" vertical="center"/>
    </xf>
    <xf numFmtId="0" fontId="19" fillId="5" borderId="62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0" fillId="20" borderId="1" xfId="0" applyFill="1" applyBorder="1"/>
    <xf numFmtId="0" fontId="0" fillId="20" borderId="29" xfId="0" applyFill="1" applyBorder="1"/>
    <xf numFmtId="0" fontId="0" fillId="20" borderId="21" xfId="0" applyFill="1" applyBorder="1"/>
    <xf numFmtId="0" fontId="0" fillId="20" borderId="32" xfId="0" applyFill="1" applyBorder="1"/>
    <xf numFmtId="0" fontId="0" fillId="20" borderId="44" xfId="0" applyFill="1" applyBorder="1"/>
    <xf numFmtId="0" fontId="0" fillId="0" borderId="48" xfId="0" applyBorder="1"/>
    <xf numFmtId="0" fontId="0" fillId="0" borderId="1" xfId="0" applyBorder="1" applyAlignment="1">
      <alignment horizontal="center"/>
    </xf>
    <xf numFmtId="2" fontId="31" fillId="0" borderId="3" xfId="0" applyNumberFormat="1" applyFont="1" applyBorder="1" applyAlignment="1">
      <alignment horizontal="center" vertical="center"/>
    </xf>
    <xf numFmtId="2" fontId="31" fillId="0" borderId="1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0" borderId="3" xfId="0" applyNumberFormat="1" applyFont="1" applyFill="1" applyBorder="1" applyAlignment="1">
      <alignment horizontal="center" vertical="center"/>
    </xf>
    <xf numFmtId="2" fontId="31" fillId="0" borderId="1" xfId="0" applyNumberFormat="1" applyFont="1" applyFill="1" applyBorder="1" applyAlignment="1">
      <alignment horizontal="center" vertical="center"/>
    </xf>
    <xf numFmtId="2" fontId="17" fillId="3" borderId="4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24" fillId="0" borderId="22" xfId="0" applyFont="1" applyBorder="1"/>
    <xf numFmtId="0" fontId="18" fillId="0" borderId="4" xfId="0" applyFont="1" applyFill="1" applyBorder="1" applyAlignment="1">
      <alignment horizontal="center"/>
    </xf>
    <xf numFmtId="0" fontId="18" fillId="0" borderId="4" xfId="0" applyFont="1" applyBorder="1" applyAlignment="1">
      <alignment horizontal="right"/>
    </xf>
    <xf numFmtId="0" fontId="24" fillId="0" borderId="33" xfId="0" applyFont="1" applyBorder="1"/>
    <xf numFmtId="0" fontId="21" fillId="4" borderId="30" xfId="0" applyFont="1" applyFill="1" applyBorder="1" applyAlignment="1">
      <alignment horizontal="center"/>
    </xf>
    <xf numFmtId="0" fontId="21" fillId="4" borderId="31" xfId="0" applyFont="1" applyFill="1" applyBorder="1" applyAlignment="1">
      <alignment horizontal="center"/>
    </xf>
    <xf numFmtId="0" fontId="19" fillId="18" borderId="30" xfId="0" applyFont="1" applyFill="1" applyBorder="1" applyAlignment="1">
      <alignment horizontal="center"/>
    </xf>
    <xf numFmtId="0" fontId="19" fillId="18" borderId="31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21" fillId="3" borderId="13" xfId="0" applyFont="1" applyFill="1" applyBorder="1" applyAlignment="1">
      <alignment horizontal="center"/>
    </xf>
    <xf numFmtId="0" fontId="15" fillId="0" borderId="12" xfId="0" applyFont="1" applyBorder="1"/>
    <xf numFmtId="0" fontId="15" fillId="0" borderId="13" xfId="0" applyFont="1" applyBorder="1"/>
    <xf numFmtId="0" fontId="19" fillId="0" borderId="9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0" fillId="0" borderId="18" xfId="0" applyFont="1" applyBorder="1"/>
    <xf numFmtId="0" fontId="21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vertical="center"/>
    </xf>
    <xf numFmtId="0" fontId="28" fillId="0" borderId="18" xfId="0" applyFont="1" applyFill="1" applyBorder="1"/>
    <xf numFmtId="0" fontId="15" fillId="0" borderId="21" xfId="0" applyFont="1" applyFill="1" applyBorder="1"/>
    <xf numFmtId="0" fontId="19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horizontal="center"/>
    </xf>
    <xf numFmtId="0" fontId="28" fillId="0" borderId="18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2" fontId="15" fillId="0" borderId="0" xfId="0" applyNumberFormat="1" applyFont="1"/>
    <xf numFmtId="2" fontId="21" fillId="4" borderId="1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2" fontId="18" fillId="17" borderId="1" xfId="0" applyNumberFormat="1" applyFont="1" applyFill="1" applyBorder="1" applyAlignment="1">
      <alignment vertical="center" wrapText="1"/>
    </xf>
    <xf numFmtId="49" fontId="18" fillId="0" borderId="1" xfId="0" applyNumberFormat="1" applyFont="1" applyFill="1" applyBorder="1" applyAlignment="1">
      <alignment horizontal="right" vertical="center" wrapText="1"/>
    </xf>
    <xf numFmtId="2" fontId="18" fillId="0" borderId="1" xfId="0" applyNumberFormat="1" applyFont="1" applyFill="1" applyBorder="1" applyAlignment="1">
      <alignment horizontal="right" vertical="center" wrapText="1"/>
    </xf>
    <xf numFmtId="0" fontId="21" fillId="18" borderId="1" xfId="0" applyFont="1" applyFill="1" applyBorder="1" applyAlignment="1">
      <alignment horizont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0" fontId="17" fillId="18" borderId="47" xfId="0" applyFont="1" applyFill="1" applyBorder="1"/>
    <xf numFmtId="0" fontId="17" fillId="18" borderId="48" xfId="0" applyFont="1" applyFill="1" applyBorder="1"/>
    <xf numFmtId="0" fontId="0" fillId="3" borderId="0" xfId="0" applyFill="1" applyBorder="1" applyAlignment="1">
      <alignment horizontal="center" vertical="center" wrapText="1"/>
    </xf>
    <xf numFmtId="0" fontId="0" fillId="3" borderId="5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 wrapText="1"/>
    </xf>
    <xf numFmtId="0" fontId="0" fillId="0" borderId="24" xfId="0" applyBorder="1"/>
    <xf numFmtId="0" fontId="17" fillId="0" borderId="64" xfId="0" applyFont="1" applyBorder="1"/>
    <xf numFmtId="2" fontId="31" fillId="0" borderId="4" xfId="0" applyNumberFormat="1" applyFont="1" applyBorder="1" applyAlignment="1">
      <alignment horizontal="center" vertical="center"/>
    </xf>
    <xf numFmtId="1" fontId="31" fillId="0" borderId="63" xfId="0" applyNumberFormat="1" applyFont="1" applyBorder="1" applyAlignment="1">
      <alignment horizontal="center" vertical="center"/>
    </xf>
    <xf numFmtId="0" fontId="26" fillId="6" borderId="1" xfId="0" applyFont="1" applyFill="1" applyBorder="1" applyAlignment="1"/>
    <xf numFmtId="0" fontId="26" fillId="3" borderId="1" xfId="0" applyFont="1" applyFill="1" applyBorder="1" applyAlignment="1"/>
    <xf numFmtId="0" fontId="26" fillId="3" borderId="1" xfId="0" applyFont="1" applyFill="1" applyBorder="1" applyAlignment="1">
      <alignment horizontal="center"/>
    </xf>
    <xf numFmtId="0" fontId="17" fillId="0" borderId="0" xfId="2"/>
    <xf numFmtId="0" fontId="17" fillId="0" borderId="0" xfId="2" applyFill="1" applyBorder="1"/>
    <xf numFmtId="0" fontId="17" fillId="0" borderId="0" xfId="2" applyFill="1" applyBorder="1" applyAlignment="1">
      <alignment horizontal="center"/>
    </xf>
    <xf numFmtId="0" fontId="17" fillId="0" borderId="0" xfId="2" applyFont="1" applyFill="1" applyBorder="1" applyAlignment="1">
      <alignment horizontal="center"/>
    </xf>
    <xf numFmtId="0" fontId="26" fillId="0" borderId="1" xfId="2" applyFont="1" applyBorder="1" applyAlignment="1">
      <alignment horizontal="center"/>
    </xf>
    <xf numFmtId="0" fontId="26" fillId="6" borderId="1" xfId="2" applyFont="1" applyFill="1" applyBorder="1" applyAlignment="1">
      <alignment horizontal="center"/>
    </xf>
    <xf numFmtId="0" fontId="26" fillId="0" borderId="14" xfId="2" applyFont="1" applyBorder="1" applyAlignment="1">
      <alignment horizontal="center"/>
    </xf>
    <xf numFmtId="0" fontId="17" fillId="0" borderId="0" xfId="2" applyFill="1"/>
    <xf numFmtId="0" fontId="26" fillId="0" borderId="11" xfId="2" applyFont="1" applyFill="1" applyBorder="1" applyAlignment="1">
      <alignment horizontal="center" vertical="center" wrapText="1"/>
    </xf>
    <xf numFmtId="0" fontId="17" fillId="0" borderId="14" xfId="2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/>
    <xf numFmtId="0" fontId="26" fillId="0" borderId="1" xfId="2" applyFont="1" applyFill="1" applyBorder="1" applyAlignment="1">
      <alignment horizontal="center" vertical="center"/>
    </xf>
    <xf numFmtId="0" fontId="17" fillId="0" borderId="1" xfId="2" applyBorder="1"/>
    <xf numFmtId="0" fontId="17" fillId="0" borderId="1" xfId="2" applyFont="1" applyBorder="1" applyAlignment="1">
      <alignment horizontal="center"/>
    </xf>
    <xf numFmtId="0" fontId="17" fillId="0" borderId="2" xfId="2" applyFont="1" applyFill="1" applyBorder="1" applyAlignment="1">
      <alignment horizontal="center"/>
    </xf>
    <xf numFmtId="0" fontId="17" fillId="0" borderId="9" xfId="2" applyBorder="1" applyAlignment="1"/>
    <xf numFmtId="0" fontId="17" fillId="0" borderId="0" xfId="2" applyFont="1" applyBorder="1" applyAlignment="1">
      <alignment vertical="center"/>
    </xf>
    <xf numFmtId="0" fontId="17" fillId="0" borderId="1" xfId="2" applyFont="1" applyFill="1" applyBorder="1" applyAlignment="1">
      <alignment horizontal="center"/>
    </xf>
    <xf numFmtId="0" fontId="17" fillId="6" borderId="1" xfId="2" applyFill="1" applyBorder="1" applyAlignment="1">
      <alignment horizontal="center"/>
    </xf>
    <xf numFmtId="0" fontId="17" fillId="0" borderId="0" xfId="2" applyFont="1" applyAlignment="1">
      <alignment horizontal="center"/>
    </xf>
    <xf numFmtId="0" fontId="26" fillId="0" borderId="1" xfId="2" applyFont="1" applyFill="1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26" fillId="0" borderId="14" xfId="2" applyFont="1" applyBorder="1"/>
    <xf numFmtId="0" fontId="26" fillId="0" borderId="1" xfId="2" applyFont="1" applyBorder="1"/>
    <xf numFmtId="0" fontId="26" fillId="0" borderId="0" xfId="2" applyFont="1" applyFill="1" applyBorder="1" applyAlignment="1"/>
    <xf numFmtId="0" fontId="17" fillId="0" borderId="0" xfId="2" applyBorder="1"/>
    <xf numFmtId="0" fontId="17" fillId="0" borderId="0" xfId="2" applyFont="1" applyBorder="1" applyAlignment="1">
      <alignment horizontal="center"/>
    </xf>
    <xf numFmtId="0" fontId="17" fillId="0" borderId="0" xfId="2" applyBorder="1" applyAlignment="1">
      <alignment horizontal="center"/>
    </xf>
    <xf numFmtId="0" fontId="17" fillId="0" borderId="1" xfId="2" applyFill="1" applyBorder="1"/>
    <xf numFmtId="0" fontId="26" fillId="0" borderId="17" xfId="2" applyFont="1" applyFill="1" applyBorder="1" applyAlignment="1">
      <alignment horizontal="center"/>
    </xf>
    <xf numFmtId="0" fontId="26" fillId="0" borderId="7" xfId="2" applyFont="1" applyFill="1" applyBorder="1" applyAlignment="1">
      <alignment horizontal="center"/>
    </xf>
    <xf numFmtId="0" fontId="26" fillId="0" borderId="14" xfId="2" applyFont="1" applyFill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26" fillId="0" borderId="11" xfId="2" applyFont="1" applyFill="1" applyBorder="1" applyAlignment="1">
      <alignment vertical="center" wrapText="1"/>
    </xf>
    <xf numFmtId="0" fontId="17" fillId="0" borderId="0" xfId="2" applyBorder="1" applyAlignment="1"/>
    <xf numFmtId="0" fontId="17" fillId="0" borderId="0" xfId="2" applyFont="1" applyBorder="1" applyAlignment="1"/>
    <xf numFmtId="0" fontId="26" fillId="0" borderId="0" xfId="2" applyFont="1" applyFill="1" applyBorder="1" applyAlignment="1">
      <alignment horizontal="center" vertical="center"/>
    </xf>
    <xf numFmtId="0" fontId="17" fillId="0" borderId="14" xfId="2" applyFont="1" applyFill="1" applyBorder="1" applyAlignment="1">
      <alignment horizontal="center"/>
    </xf>
    <xf numFmtId="0" fontId="17" fillId="0" borderId="1" xfId="2" applyFill="1" applyBorder="1" applyAlignment="1">
      <alignment horizontal="center"/>
    </xf>
    <xf numFmtId="0" fontId="17" fillId="0" borderId="17" xfId="2" applyFill="1" applyBorder="1" applyAlignment="1">
      <alignment horizontal="center"/>
    </xf>
    <xf numFmtId="0" fontId="17" fillId="0" borderId="7" xfId="2" applyFont="1" applyFill="1" applyBorder="1" applyAlignment="1"/>
    <xf numFmtId="0" fontId="26" fillId="0" borderId="14" xfId="2" applyFont="1" applyFill="1" applyBorder="1" applyAlignment="1">
      <alignment horizontal="center" vertical="center"/>
    </xf>
    <xf numFmtId="0" fontId="26" fillId="0" borderId="9" xfId="2" applyFont="1" applyFill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 vertical="center"/>
    </xf>
    <xf numFmtId="0" fontId="17" fillId="0" borderId="0" xfId="2" applyFont="1" applyBorder="1"/>
    <xf numFmtId="0" fontId="26" fillId="0" borderId="2" xfId="2" applyFont="1" applyFill="1" applyBorder="1" applyAlignment="1">
      <alignment horizontal="center"/>
    </xf>
    <xf numFmtId="0" fontId="26" fillId="0" borderId="4" xfId="2" applyFont="1" applyBorder="1" applyAlignment="1">
      <alignment horizontal="center"/>
    </xf>
    <xf numFmtId="0" fontId="18" fillId="2" borderId="6" xfId="2" applyFont="1" applyFill="1" applyBorder="1"/>
    <xf numFmtId="0" fontId="18" fillId="2" borderId="13" xfId="2" applyFont="1" applyFill="1" applyBorder="1"/>
    <xf numFmtId="0" fontId="18" fillId="2" borderId="0" xfId="2" applyFont="1" applyFill="1" applyBorder="1"/>
    <xf numFmtId="0" fontId="19" fillId="2" borderId="0" xfId="2" applyFont="1" applyFill="1" applyBorder="1"/>
    <xf numFmtId="0" fontId="18" fillId="2" borderId="7" xfId="2" applyFont="1" applyFill="1" applyBorder="1"/>
    <xf numFmtId="0" fontId="19" fillId="2" borderId="7" xfId="2" applyFont="1" applyFill="1" applyBorder="1" applyAlignment="1"/>
    <xf numFmtId="0" fontId="19" fillId="2" borderId="12" xfId="2" applyFont="1" applyFill="1" applyBorder="1"/>
    <xf numFmtId="0" fontId="19" fillId="2" borderId="6" xfId="2" applyFont="1" applyFill="1" applyBorder="1"/>
    <xf numFmtId="0" fontId="17" fillId="6" borderId="14" xfId="2" applyFill="1" applyBorder="1" applyAlignment="1">
      <alignment horizontal="center"/>
    </xf>
    <xf numFmtId="0" fontId="17" fillId="6" borderId="6" xfId="2" applyFill="1" applyBorder="1" applyAlignment="1"/>
    <xf numFmtId="0" fontId="17" fillId="6" borderId="11" xfId="2" applyFill="1" applyBorder="1" applyAlignment="1"/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/>
    <xf numFmtId="168" fontId="18" fillId="0" borderId="1" xfId="0" applyNumberFormat="1" applyFont="1" applyBorder="1"/>
    <xf numFmtId="0" fontId="18" fillId="0" borderId="3" xfId="0" applyNumberFormat="1" applyFont="1" applyBorder="1" applyAlignment="1">
      <alignment horizontal="right" vertical="center" wrapText="1"/>
    </xf>
    <xf numFmtId="15" fontId="18" fillId="2" borderId="0" xfId="0" applyNumberFormat="1" applyFont="1" applyFill="1" applyBorder="1"/>
    <xf numFmtId="0" fontId="26" fillId="18" borderId="44" xfId="0" applyFont="1" applyFill="1" applyBorder="1" applyAlignment="1">
      <alignment horizontal="center"/>
    </xf>
    <xf numFmtId="0" fontId="26" fillId="18" borderId="47" xfId="0" applyFont="1" applyFill="1" applyBorder="1" applyAlignment="1">
      <alignment horizontal="center"/>
    </xf>
    <xf numFmtId="0" fontId="26" fillId="18" borderId="48" xfId="0" applyFont="1" applyFill="1" applyBorder="1" applyAlignment="1">
      <alignment horizontal="center"/>
    </xf>
    <xf numFmtId="0" fontId="17" fillId="18" borderId="34" xfId="0" applyFon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17" fillId="18" borderId="69" xfId="0" applyFont="1" applyFill="1" applyBorder="1" applyAlignment="1">
      <alignment horizontal="center"/>
    </xf>
    <xf numFmtId="0" fontId="17" fillId="18" borderId="21" xfId="0" applyFon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17" fillId="18" borderId="18" xfId="0" applyFont="1" applyFill="1" applyBorder="1" applyAlignment="1">
      <alignment horizontal="center"/>
    </xf>
    <xf numFmtId="0" fontId="17" fillId="18" borderId="32" xfId="0" applyFont="1" applyFill="1" applyBorder="1" applyAlignment="1">
      <alignment horizontal="center"/>
    </xf>
    <xf numFmtId="0" fontId="0" fillId="18" borderId="19" xfId="0" applyFill="1" applyBorder="1" applyAlignment="1">
      <alignment horizontal="center"/>
    </xf>
    <xf numFmtId="0" fontId="17" fillId="18" borderId="20" xfId="0" applyFont="1" applyFill="1" applyBorder="1" applyAlignment="1">
      <alignment horizontal="center"/>
    </xf>
    <xf numFmtId="0" fontId="0" fillId="0" borderId="69" xfId="0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7" fillId="0" borderId="21" xfId="0" applyFont="1" applyFill="1" applyBorder="1" applyAlignment="1">
      <alignment horizontal="center"/>
    </xf>
    <xf numFmtId="0" fontId="17" fillId="0" borderId="4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7" fillId="0" borderId="32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26" fillId="15" borderId="24" xfId="0" applyFont="1" applyFill="1" applyBorder="1" applyAlignment="1">
      <alignment horizontal="center"/>
    </xf>
    <xf numFmtId="0" fontId="26" fillId="15" borderId="63" xfId="0" applyFont="1" applyFill="1" applyBorder="1" applyAlignment="1">
      <alignment horizontal="center"/>
    </xf>
    <xf numFmtId="0" fontId="26" fillId="15" borderId="64" xfId="0" applyFont="1" applyFill="1" applyBorder="1" applyAlignment="1">
      <alignment horizontal="center"/>
    </xf>
    <xf numFmtId="0" fontId="26" fillId="15" borderId="61" xfId="0" applyFont="1" applyFill="1" applyBorder="1" applyAlignment="1">
      <alignment horizontal="center"/>
    </xf>
    <xf numFmtId="0" fontId="17" fillId="0" borderId="70" xfId="0" applyFont="1" applyBorder="1" applyAlignment="1">
      <alignment horizontal="center"/>
    </xf>
    <xf numFmtId="0" fontId="17" fillId="0" borderId="72" xfId="0" applyFont="1" applyBorder="1" applyAlignment="1">
      <alignment horizontal="center"/>
    </xf>
    <xf numFmtId="0" fontId="17" fillId="0" borderId="71" xfId="0" applyFont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61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17" fillId="4" borderId="1" xfId="0" applyFont="1" applyFill="1" applyBorder="1" applyAlignment="1">
      <alignment horizontal="center" vertical="center"/>
    </xf>
    <xf numFmtId="0" fontId="26" fillId="21" borderId="2" xfId="0" applyFont="1" applyFill="1" applyBorder="1" applyAlignment="1">
      <alignment horizontal="center" vertical="center" wrapText="1"/>
    </xf>
    <xf numFmtId="0" fontId="17" fillId="0" borderId="0" xfId="0" applyFont="1" applyFill="1"/>
    <xf numFmtId="0" fontId="21" fillId="2" borderId="57" xfId="0" applyFont="1" applyFill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6" fillId="0" borderId="0" xfId="0" applyFont="1"/>
    <xf numFmtId="173" fontId="36" fillId="0" borderId="0" xfId="4" applyNumberFormat="1" applyFont="1"/>
    <xf numFmtId="174" fontId="36" fillId="0" borderId="0" xfId="0" applyNumberFormat="1" applyFont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4" xfId="0" applyFont="1" applyFill="1" applyBorder="1" applyAlignment="1">
      <alignment horizontal="center"/>
    </xf>
    <xf numFmtId="0" fontId="17" fillId="0" borderId="17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175" fontId="26" fillId="4" borderId="1" xfId="4" applyNumberFormat="1" applyFont="1" applyFill="1" applyBorder="1" applyAlignment="1">
      <alignment horizontal="center"/>
    </xf>
    <xf numFmtId="165" fontId="17" fillId="0" borderId="1" xfId="4" applyFont="1" applyBorder="1" applyAlignment="1">
      <alignment horizontal="center"/>
    </xf>
    <xf numFmtId="165" fontId="0" fillId="0" borderId="1" xfId="4" applyFont="1" applyBorder="1" applyAlignment="1">
      <alignment horizontal="center"/>
    </xf>
    <xf numFmtId="165" fontId="17" fillId="0" borderId="1" xfId="4" applyFont="1" applyBorder="1" applyAlignment="1">
      <alignment horizontal="left"/>
    </xf>
    <xf numFmtId="165" fontId="17" fillId="0" borderId="17" xfId="4" applyFont="1" applyBorder="1" applyAlignment="1">
      <alignment horizontal="center"/>
    </xf>
    <xf numFmtId="165" fontId="0" fillId="0" borderId="0" xfId="0" applyNumberFormat="1"/>
    <xf numFmtId="0" fontId="32" fillId="5" borderId="52" xfId="0" applyFont="1" applyFill="1" applyBorder="1" applyAlignment="1">
      <alignment horizontal="center" vertical="center"/>
    </xf>
    <xf numFmtId="0" fontId="31" fillId="0" borderId="38" xfId="0" applyFont="1" applyFill="1" applyBorder="1" applyAlignment="1">
      <alignment horizontal="left" vertical="center"/>
    </xf>
    <xf numFmtId="0" fontId="31" fillId="0" borderId="57" xfId="0" applyFont="1" applyFill="1" applyBorder="1" applyAlignment="1">
      <alignment horizontal="left" vertical="center"/>
    </xf>
    <xf numFmtId="0" fontId="31" fillId="0" borderId="39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9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165" fontId="17" fillId="0" borderId="1" xfId="4" applyFont="1" applyBorder="1" applyAlignment="1">
      <alignment horizontal="left" vertical="center"/>
    </xf>
    <xf numFmtId="165" fontId="17" fillId="0" borderId="1" xfId="4" applyFont="1" applyFill="1" applyBorder="1" applyAlignment="1">
      <alignment horizontal="left"/>
    </xf>
    <xf numFmtId="0" fontId="0" fillId="0" borderId="14" xfId="0" applyBorder="1"/>
    <xf numFmtId="165" fontId="17" fillId="3" borderId="1" xfId="4" applyFont="1" applyFill="1" applyBorder="1" applyAlignment="1">
      <alignment horizontal="center"/>
    </xf>
    <xf numFmtId="165" fontId="17" fillId="0" borderId="1" xfId="4" applyFont="1" applyFill="1" applyBorder="1" applyAlignment="1">
      <alignment horizontal="center"/>
    </xf>
    <xf numFmtId="165" fontId="17" fillId="0" borderId="17" xfId="4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Fill="1" applyBorder="1" applyAlignment="1">
      <alignment horizontal="center" wrapText="1"/>
    </xf>
    <xf numFmtId="0" fontId="26" fillId="0" borderId="1" xfId="0" applyFont="1" applyBorder="1" applyAlignment="1">
      <alignment wrapText="1"/>
    </xf>
    <xf numFmtId="0" fontId="26" fillId="0" borderId="0" xfId="0" applyFont="1" applyFill="1" applyAlignment="1">
      <alignment horizontal="center"/>
    </xf>
    <xf numFmtId="0" fontId="0" fillId="0" borderId="19" xfId="0" applyFill="1" applyBorder="1" applyAlignment="1">
      <alignment horizontal="center"/>
    </xf>
    <xf numFmtId="0" fontId="17" fillId="0" borderId="20" xfId="0" applyFont="1" applyFill="1" applyBorder="1" applyAlignment="1">
      <alignment horizontal="center"/>
    </xf>
    <xf numFmtId="49" fontId="38" fillId="0" borderId="0" xfId="0" applyNumberFormat="1" applyFont="1"/>
    <xf numFmtId="167" fontId="36" fillId="0" borderId="0" xfId="4" applyNumberFormat="1" applyFont="1"/>
    <xf numFmtId="177" fontId="36" fillId="0" borderId="0" xfId="4" applyNumberFormat="1" applyFont="1"/>
    <xf numFmtId="0" fontId="26" fillId="5" borderId="1" xfId="0" applyFont="1" applyFill="1" applyBorder="1" applyAlignment="1">
      <alignment horizontal="center"/>
    </xf>
    <xf numFmtId="175" fontId="0" fillId="0" borderId="0" xfId="0" applyNumberFormat="1"/>
    <xf numFmtId="165" fontId="0" fillId="0" borderId="1" xfId="4" applyFont="1" applyFill="1" applyBorder="1" applyAlignment="1">
      <alignment horizontal="center"/>
    </xf>
    <xf numFmtId="0" fontId="39" fillId="0" borderId="0" xfId="0" applyFont="1" applyAlignment="1">
      <alignment horizontal="center" vertical="top"/>
    </xf>
    <xf numFmtId="0" fontId="34" fillId="0" borderId="0" xfId="0" applyFont="1" applyFill="1" applyAlignment="1">
      <alignment wrapText="1"/>
    </xf>
    <xf numFmtId="171" fontId="31" fillId="0" borderId="10" xfId="0" applyNumberFormat="1" applyFont="1" applyFill="1" applyBorder="1" applyAlignment="1">
      <alignment horizontal="center" vertical="center"/>
    </xf>
    <xf numFmtId="171" fontId="32" fillId="15" borderId="45" xfId="0" applyNumberFormat="1" applyFont="1" applyFill="1" applyBorder="1" applyAlignment="1">
      <alignment horizontal="center" vertical="center"/>
    </xf>
    <xf numFmtId="170" fontId="32" fillId="15" borderId="61" xfId="0" applyNumberFormat="1" applyFont="1" applyFill="1" applyBorder="1" applyAlignment="1">
      <alignment horizontal="center" vertical="center"/>
    </xf>
    <xf numFmtId="171" fontId="31" fillId="0" borderId="8" xfId="0" applyNumberFormat="1" applyFont="1" applyFill="1" applyBorder="1" applyAlignment="1">
      <alignment horizontal="center" vertical="center"/>
    </xf>
    <xf numFmtId="171" fontId="32" fillId="15" borderId="61" xfId="0" applyNumberFormat="1" applyFont="1" applyFill="1" applyBorder="1" applyAlignment="1">
      <alignment horizontal="center" vertical="center"/>
    </xf>
    <xf numFmtId="171" fontId="31" fillId="0" borderId="10" xfId="0" applyNumberFormat="1" applyFont="1" applyBorder="1" applyAlignment="1">
      <alignment horizontal="center" vertical="center"/>
    </xf>
    <xf numFmtId="171" fontId="32" fillId="15" borderId="52" xfId="0" applyNumberFormat="1" applyFont="1" applyFill="1" applyBorder="1" applyAlignment="1">
      <alignment horizontal="center" vertical="center"/>
    </xf>
    <xf numFmtId="171" fontId="32" fillId="15" borderId="50" xfId="0" applyNumberFormat="1" applyFont="1" applyFill="1" applyBorder="1" applyAlignment="1">
      <alignment horizontal="center" vertical="center"/>
    </xf>
    <xf numFmtId="165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40" fillId="0" borderId="0" xfId="0" applyFont="1" applyFill="1" applyBorder="1" applyAlignment="1">
      <alignment horizontal="left"/>
    </xf>
    <xf numFmtId="0" fontId="36" fillId="0" borderId="0" xfId="0" applyFont="1" applyFill="1" applyBorder="1" applyAlignment="1">
      <alignment horizontal="center"/>
    </xf>
    <xf numFmtId="167" fontId="14" fillId="0" borderId="0" xfId="4" applyNumberFormat="1" applyFont="1" applyFill="1" applyBorder="1" applyAlignment="1">
      <alignment horizontal="center"/>
    </xf>
    <xf numFmtId="173" fontId="14" fillId="0" borderId="0" xfId="4" applyNumberFormat="1" applyFont="1" applyFill="1" applyBorder="1" applyAlignment="1">
      <alignment horizontal="right"/>
    </xf>
    <xf numFmtId="178" fontId="14" fillId="0" borderId="0" xfId="0" applyNumberFormat="1" applyFont="1" applyFill="1" applyBorder="1" applyAlignment="1">
      <alignment horizontal="right"/>
    </xf>
    <xf numFmtId="173" fontId="36" fillId="0" borderId="0" xfId="4" applyNumberFormat="1" applyFont="1" applyBorder="1"/>
    <xf numFmtId="165" fontId="0" fillId="0" borderId="1" xfId="0" applyNumberFormat="1" applyBorder="1"/>
    <xf numFmtId="0" fontId="40" fillId="3" borderId="0" xfId="0" applyFont="1" applyFill="1" applyBorder="1" applyAlignment="1">
      <alignment horizontal="left"/>
    </xf>
    <xf numFmtId="0" fontId="36" fillId="3" borderId="0" xfId="0" applyFont="1" applyFill="1" applyBorder="1" applyAlignment="1">
      <alignment horizontal="center"/>
    </xf>
    <xf numFmtId="167" fontId="14" fillId="3" borderId="0" xfId="4" applyNumberFormat="1" applyFont="1" applyFill="1" applyBorder="1" applyAlignment="1">
      <alignment horizontal="center"/>
    </xf>
    <xf numFmtId="173" fontId="14" fillId="3" borderId="0" xfId="4" applyNumberFormat="1" applyFont="1" applyFill="1" applyBorder="1" applyAlignment="1">
      <alignment horizontal="right"/>
    </xf>
    <xf numFmtId="178" fontId="14" fillId="3" borderId="0" xfId="0" applyNumberFormat="1" applyFont="1" applyFill="1" applyBorder="1" applyAlignment="1">
      <alignment horizontal="right"/>
    </xf>
    <xf numFmtId="173" fontId="18" fillId="3" borderId="0" xfId="2" applyNumberFormat="1" applyFont="1" applyFill="1" applyBorder="1" applyAlignment="1">
      <alignment horizontal="right"/>
    </xf>
    <xf numFmtId="165" fontId="17" fillId="0" borderId="3" xfId="4" applyFont="1" applyBorder="1" applyAlignment="1">
      <alignment horizontal="center"/>
    </xf>
    <xf numFmtId="165" fontId="17" fillId="0" borderId="3" xfId="4" applyFont="1" applyBorder="1" applyAlignment="1">
      <alignment horizontal="left"/>
    </xf>
    <xf numFmtId="0" fontId="0" fillId="0" borderId="0" xfId="0" applyFill="1" applyAlignment="1">
      <alignment wrapText="1"/>
    </xf>
    <xf numFmtId="49" fontId="38" fillId="21" borderId="0" xfId="0" applyNumberFormat="1" applyFont="1" applyFill="1"/>
    <xf numFmtId="0" fontId="36" fillId="0" borderId="0" xfId="0" applyFont="1" applyFill="1" applyBorder="1" applyAlignment="1">
      <alignment horizontal="left"/>
    </xf>
    <xf numFmtId="167" fontId="36" fillId="0" borderId="0" xfId="4" applyNumberFormat="1" applyFont="1" applyFill="1" applyBorder="1" applyAlignment="1">
      <alignment horizontal="center"/>
    </xf>
    <xf numFmtId="173" fontId="36" fillId="0" borderId="0" xfId="4" applyNumberFormat="1" applyFont="1" applyFill="1" applyBorder="1" applyAlignment="1">
      <alignment horizontal="center"/>
    </xf>
    <xf numFmtId="178" fontId="36" fillId="0" borderId="0" xfId="0" applyNumberFormat="1" applyFont="1" applyFill="1" applyBorder="1" applyAlignment="1">
      <alignment horizontal="center"/>
    </xf>
    <xf numFmtId="0" fontId="36" fillId="3" borderId="0" xfId="0" applyFont="1" applyFill="1" applyBorder="1"/>
    <xf numFmtId="167" fontId="14" fillId="3" borderId="0" xfId="4" applyNumberFormat="1" applyFont="1" applyFill="1" applyBorder="1"/>
    <xf numFmtId="173" fontId="14" fillId="3" borderId="0" xfId="4" applyNumberFormat="1" applyFont="1" applyFill="1" applyBorder="1"/>
    <xf numFmtId="178" fontId="14" fillId="3" borderId="0" xfId="0" applyNumberFormat="1" applyFont="1" applyFill="1" applyBorder="1"/>
    <xf numFmtId="165" fontId="17" fillId="0" borderId="11" xfId="4" applyFont="1" applyBorder="1" applyAlignment="1">
      <alignment horizontal="left"/>
    </xf>
    <xf numFmtId="171" fontId="31" fillId="0" borderId="8" xfId="0" applyNumberFormat="1" applyFont="1" applyBorder="1" applyAlignment="1">
      <alignment horizontal="center" vertical="center"/>
    </xf>
    <xf numFmtId="165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36" fillId="0" borderId="1" xfId="0" applyFont="1" applyBorder="1"/>
    <xf numFmtId="167" fontId="36" fillId="0" borderId="1" xfId="4" applyNumberFormat="1" applyFont="1" applyBorder="1"/>
    <xf numFmtId="177" fontId="36" fillId="0" borderId="1" xfId="4" applyNumberFormat="1" applyFont="1" applyBorder="1"/>
    <xf numFmtId="173" fontId="36" fillId="0" borderId="1" xfId="4" applyNumberFormat="1" applyFont="1" applyBorder="1"/>
    <xf numFmtId="174" fontId="36" fillId="0" borderId="1" xfId="0" applyNumberFormat="1" applyFont="1" applyBorder="1"/>
    <xf numFmtId="167" fontId="36" fillId="0" borderId="1" xfId="4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32" fillId="5" borderId="61" xfId="0" applyFont="1" applyFill="1" applyBorder="1" applyAlignment="1">
      <alignment horizontal="center" vertical="center"/>
    </xf>
    <xf numFmtId="0" fontId="21" fillId="2" borderId="56" xfId="2" applyFont="1" applyFill="1" applyBorder="1"/>
    <xf numFmtId="0" fontId="21" fillId="2" borderId="57" xfId="2" applyFont="1" applyFill="1" applyBorder="1" applyAlignment="1">
      <alignment horizontal="center"/>
    </xf>
    <xf numFmtId="0" fontId="24" fillId="2" borderId="49" xfId="2" applyFont="1" applyFill="1" applyBorder="1"/>
    <xf numFmtId="0" fontId="21" fillId="2" borderId="49" xfId="2" applyFont="1" applyFill="1" applyBorder="1"/>
    <xf numFmtId="0" fontId="24" fillId="2" borderId="58" xfId="2" applyFont="1" applyFill="1" applyBorder="1"/>
    <xf numFmtId="0" fontId="21" fillId="2" borderId="54" xfId="2" applyFont="1" applyFill="1" applyBorder="1"/>
    <xf numFmtId="0" fontId="21" fillId="2" borderId="60" xfId="2" applyFont="1" applyFill="1" applyBorder="1"/>
    <xf numFmtId="0" fontId="24" fillId="2" borderId="60" xfId="2" applyFont="1" applyFill="1" applyBorder="1"/>
    <xf numFmtId="0" fontId="24" fillId="2" borderId="60" xfId="2" applyFont="1" applyFill="1" applyBorder="1" applyAlignment="1">
      <alignment wrapText="1"/>
    </xf>
    <xf numFmtId="0" fontId="24" fillId="2" borderId="51" xfId="2" applyFont="1" applyFill="1" applyBorder="1"/>
    <xf numFmtId="0" fontId="21" fillId="2" borderId="51" xfId="2" applyFont="1" applyFill="1" applyBorder="1"/>
    <xf numFmtId="0" fontId="24" fillId="2" borderId="55" xfId="2" applyFont="1" applyFill="1" applyBorder="1"/>
    <xf numFmtId="0" fontId="26" fillId="7" borderId="1" xfId="2" applyFont="1" applyFill="1" applyBorder="1" applyAlignment="1">
      <alignment horizontal="center"/>
    </xf>
    <xf numFmtId="0" fontId="26" fillId="4" borderId="1" xfId="2" applyFont="1" applyFill="1" applyBorder="1" applyAlignment="1">
      <alignment horizontal="center"/>
    </xf>
    <xf numFmtId="0" fontId="45" fillId="4" borderId="1" xfId="2" applyFont="1" applyFill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1" xfId="2" applyFont="1" applyFill="1" applyBorder="1" applyAlignment="1">
      <alignment horizontal="center" vertical="center"/>
    </xf>
    <xf numFmtId="0" fontId="42" fillId="0" borderId="0" xfId="2" applyFont="1" applyBorder="1" applyAlignment="1">
      <alignment vertical="center"/>
    </xf>
    <xf numFmtId="0" fontId="42" fillId="0" borderId="0" xfId="2" applyFont="1" applyBorder="1" applyAlignment="1">
      <alignment horizontal="center" vertical="center"/>
    </xf>
    <xf numFmtId="0" fontId="43" fillId="0" borderId="0" xfId="2" applyFont="1" applyBorder="1" applyAlignment="1">
      <alignment vertical="center"/>
    </xf>
    <xf numFmtId="0" fontId="28" fillId="0" borderId="1" xfId="7" applyFont="1" applyFill="1" applyBorder="1" applyAlignment="1">
      <alignment horizontal="center"/>
    </xf>
    <xf numFmtId="180" fontId="13" fillId="0" borderId="1" xfId="2" applyNumberFormat="1" applyFont="1" applyBorder="1" applyAlignment="1">
      <alignment horizontal="center"/>
    </xf>
    <xf numFmtId="0" fontId="28" fillId="0" borderId="0" xfId="2" applyFont="1" applyFill="1" applyBorder="1"/>
    <xf numFmtId="0" fontId="27" fillId="0" borderId="0" xfId="2" applyFont="1" applyFill="1" applyBorder="1" applyAlignment="1"/>
    <xf numFmtId="0" fontId="27" fillId="26" borderId="1" xfId="2" applyFont="1" applyFill="1" applyBorder="1" applyAlignment="1">
      <alignment horizontal="center" wrapText="1"/>
    </xf>
    <xf numFmtId="0" fontId="28" fillId="0" borderId="0" xfId="2" applyFont="1" applyFill="1" applyBorder="1" applyAlignment="1">
      <alignment wrapText="1"/>
    </xf>
    <xf numFmtId="0" fontId="26" fillId="0" borderId="0" xfId="2" applyFont="1" applyFill="1" applyBorder="1" applyAlignment="1">
      <alignment horizontal="center" wrapText="1"/>
    </xf>
    <xf numFmtId="0" fontId="13" fillId="0" borderId="1" xfId="2" applyFont="1" applyBorder="1" applyAlignment="1">
      <alignment vertical="center" wrapText="1"/>
    </xf>
    <xf numFmtId="0" fontId="13" fillId="0" borderId="1" xfId="2" applyFont="1" applyBorder="1" applyAlignment="1">
      <alignment horizontal="center" vertical="center" wrapText="1"/>
    </xf>
    <xf numFmtId="180" fontId="13" fillId="0" borderId="1" xfId="2" applyNumberFormat="1" applyFont="1" applyBorder="1" applyAlignment="1">
      <alignment horizontal="center" vertical="center" wrapText="1"/>
    </xf>
    <xf numFmtId="0" fontId="28" fillId="0" borderId="0" xfId="2" applyFont="1" applyFill="1" applyBorder="1" applyAlignment="1">
      <alignment vertical="center" wrapText="1"/>
    </xf>
    <xf numFmtId="0" fontId="26" fillId="0" borderId="0" xfId="2" applyFont="1" applyFill="1" applyBorder="1" applyAlignment="1">
      <alignment horizontal="center" vertical="center" wrapText="1"/>
    </xf>
    <xf numFmtId="180" fontId="27" fillId="0" borderId="1" xfId="2" applyNumberFormat="1" applyFont="1" applyBorder="1" applyAlignment="1">
      <alignment horizontal="center"/>
    </xf>
    <xf numFmtId="0" fontId="28" fillId="22" borderId="0" xfId="2" applyFont="1" applyFill="1" applyBorder="1"/>
    <xf numFmtId="0" fontId="13" fillId="0" borderId="1" xfId="2" applyFont="1" applyBorder="1" applyAlignment="1">
      <alignment horizontal="left"/>
    </xf>
    <xf numFmtId="0" fontId="13" fillId="0" borderId="1" xfId="2" applyFont="1" applyBorder="1" applyAlignment="1">
      <alignment horizontal="center"/>
    </xf>
    <xf numFmtId="2" fontId="13" fillId="0" borderId="1" xfId="2" applyNumberFormat="1" applyFont="1" applyBorder="1" applyAlignment="1">
      <alignment horizontal="center"/>
    </xf>
    <xf numFmtId="0" fontId="13" fillId="0" borderId="1" xfId="2" applyFont="1" applyBorder="1" applyAlignment="1">
      <alignment horizontal="left" wrapText="1"/>
    </xf>
    <xf numFmtId="0" fontId="13" fillId="0" borderId="1" xfId="2" applyFont="1" applyBorder="1" applyAlignment="1">
      <alignment horizontal="center" wrapText="1"/>
    </xf>
    <xf numFmtId="2" fontId="13" fillId="0" borderId="1" xfId="2" applyNumberFormat="1" applyFont="1" applyBorder="1" applyAlignment="1">
      <alignment horizontal="center" wrapText="1"/>
    </xf>
    <xf numFmtId="180" fontId="13" fillId="0" borderId="1" xfId="2" applyNumberFormat="1" applyFont="1" applyBorder="1" applyAlignment="1">
      <alignment horizontal="center" wrapText="1"/>
    </xf>
    <xf numFmtId="0" fontId="27" fillId="26" borderId="1" xfId="2" applyFont="1" applyFill="1" applyBorder="1" applyAlignment="1">
      <alignment horizontal="center" vertical="center" wrapText="1"/>
    </xf>
    <xf numFmtId="0" fontId="27" fillId="26" borderId="1" xfId="2" applyFont="1" applyFill="1" applyBorder="1" applyAlignment="1">
      <alignment horizontal="left" vertical="center" wrapText="1"/>
    </xf>
    <xf numFmtId="0" fontId="13" fillId="0" borderId="4" xfId="2" applyFont="1" applyBorder="1" applyAlignment="1">
      <alignment horizontal="center" vertical="center"/>
    </xf>
    <xf numFmtId="0" fontId="13" fillId="0" borderId="1" xfId="2" applyFont="1" applyFill="1" applyBorder="1" applyAlignment="1">
      <alignment horizontal="center" vertical="center"/>
    </xf>
    <xf numFmtId="0" fontId="13" fillId="0" borderId="1" xfId="2" applyFont="1" applyFill="1" applyBorder="1" applyAlignment="1">
      <alignment horizontal="left" vertical="center" wrapText="1"/>
    </xf>
    <xf numFmtId="0" fontId="13" fillId="0" borderId="1" xfId="2" applyFont="1" applyBorder="1"/>
    <xf numFmtId="180" fontId="13" fillId="0" borderId="1" xfId="2" applyNumberFormat="1" applyFont="1" applyFill="1" applyBorder="1" applyAlignment="1">
      <alignment horizontal="center"/>
    </xf>
    <xf numFmtId="165" fontId="17" fillId="0" borderId="14" xfId="4" applyFont="1" applyBorder="1" applyAlignment="1"/>
    <xf numFmtId="0" fontId="0" fillId="0" borderId="17" xfId="0" applyBorder="1"/>
    <xf numFmtId="0" fontId="12" fillId="0" borderId="0" xfId="10"/>
    <xf numFmtId="0" fontId="32" fillId="5" borderId="52" xfId="10" applyFont="1" applyFill="1" applyBorder="1" applyAlignment="1">
      <alignment horizontal="center" vertical="center"/>
    </xf>
    <xf numFmtId="0" fontId="12" fillId="0" borderId="0" xfId="10" applyFill="1" applyBorder="1"/>
    <xf numFmtId="0" fontId="31" fillId="0" borderId="3" xfId="10" applyFont="1" applyBorder="1" applyAlignment="1">
      <alignment horizontal="center" vertical="center"/>
    </xf>
    <xf numFmtId="0" fontId="31" fillId="0" borderId="1" xfId="10" applyFont="1" applyFill="1" applyBorder="1" applyAlignment="1">
      <alignment horizontal="center" vertical="center"/>
    </xf>
    <xf numFmtId="0" fontId="31" fillId="0" borderId="1" xfId="10" applyFont="1" applyBorder="1" applyAlignment="1">
      <alignment horizontal="center" vertical="center"/>
    </xf>
    <xf numFmtId="2" fontId="31" fillId="0" borderId="1" xfId="10" applyNumberFormat="1" applyFont="1" applyFill="1" applyBorder="1" applyAlignment="1">
      <alignment horizontal="center" vertical="center"/>
    </xf>
    <xf numFmtId="2" fontId="31" fillId="0" borderId="1" xfId="10" applyNumberFormat="1" applyFont="1" applyBorder="1" applyAlignment="1">
      <alignment horizontal="center" vertical="center"/>
    </xf>
    <xf numFmtId="171" fontId="31" fillId="0" borderId="1" xfId="10" applyNumberFormat="1" applyFont="1" applyBorder="1" applyAlignment="1">
      <alignment horizontal="center" vertical="center"/>
    </xf>
    <xf numFmtId="0" fontId="31" fillId="0" borderId="29" xfId="10" applyFont="1" applyBorder="1" applyAlignment="1">
      <alignment horizontal="center" vertical="center"/>
    </xf>
    <xf numFmtId="2" fontId="31" fillId="0" borderId="3" xfId="10" applyNumberFormat="1" applyFont="1" applyBorder="1" applyAlignment="1">
      <alignment horizontal="center" vertical="center"/>
    </xf>
    <xf numFmtId="171" fontId="31" fillId="0" borderId="3" xfId="10" applyNumberFormat="1" applyFont="1" applyBorder="1" applyAlignment="1">
      <alignment horizontal="center" vertical="center"/>
    </xf>
    <xf numFmtId="0" fontId="31" fillId="0" borderId="34" xfId="10" applyFont="1" applyBorder="1" applyAlignment="1">
      <alignment horizontal="center" vertical="center"/>
    </xf>
    <xf numFmtId="0" fontId="31" fillId="0" borderId="21" xfId="10" applyFont="1" applyBorder="1" applyAlignment="1">
      <alignment horizontal="center" vertical="center"/>
    </xf>
    <xf numFmtId="0" fontId="31" fillId="0" borderId="4" xfId="10" applyFont="1" applyBorder="1" applyAlignment="1">
      <alignment horizontal="center" vertical="center"/>
    </xf>
    <xf numFmtId="0" fontId="32" fillId="0" borderId="1" xfId="10" applyFont="1" applyFill="1" applyBorder="1" applyAlignment="1">
      <alignment horizontal="center" vertical="center"/>
    </xf>
    <xf numFmtId="172" fontId="31" fillId="0" borderId="3" xfId="10" applyNumberFormat="1" applyFont="1" applyBorder="1" applyAlignment="1">
      <alignment horizontal="center" vertical="center"/>
    </xf>
    <xf numFmtId="0" fontId="31" fillId="0" borderId="1" xfId="10" applyFont="1" applyBorder="1" applyAlignment="1">
      <alignment horizontal="left" vertical="center" wrapText="1"/>
    </xf>
    <xf numFmtId="0" fontId="31" fillId="0" borderId="1" xfId="10" applyFont="1" applyBorder="1" applyAlignment="1">
      <alignment vertical="center" wrapText="1"/>
    </xf>
    <xf numFmtId="0" fontId="31" fillId="0" borderId="3" xfId="10" applyFont="1" applyBorder="1" applyAlignment="1">
      <alignment horizontal="left" vertical="center" wrapText="1"/>
    </xf>
    <xf numFmtId="0" fontId="32" fillId="5" borderId="52" xfId="10" applyFont="1" applyFill="1" applyBorder="1" applyAlignment="1">
      <alignment horizontal="center" vertical="center" wrapText="1"/>
    </xf>
    <xf numFmtId="0" fontId="46" fillId="32" borderId="61" xfId="2" applyFont="1" applyFill="1" applyBorder="1" applyAlignment="1">
      <alignment horizontal="center" vertical="center" wrapText="1"/>
    </xf>
    <xf numFmtId="0" fontId="12" fillId="0" borderId="1" xfId="10" applyBorder="1"/>
    <xf numFmtId="0" fontId="32" fillId="5" borderId="54" xfId="10" applyFont="1" applyFill="1" applyBorder="1" applyAlignment="1">
      <alignment horizontal="center" vertical="center"/>
    </xf>
    <xf numFmtId="0" fontId="12" fillId="0" borderId="3" xfId="10" applyBorder="1"/>
    <xf numFmtId="0" fontId="31" fillId="0" borderId="3" xfId="10" applyFont="1" applyBorder="1" applyAlignment="1">
      <alignment vertical="center" wrapText="1"/>
    </xf>
    <xf numFmtId="0" fontId="17" fillId="0" borderId="1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183" fontId="31" fillId="0" borderId="3" xfId="0" applyNumberFormat="1" applyFont="1" applyFill="1" applyBorder="1" applyAlignment="1">
      <alignment horizontal="center" vertical="center"/>
    </xf>
    <xf numFmtId="183" fontId="31" fillId="0" borderId="10" xfId="0" applyNumberFormat="1" applyFont="1" applyFill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42" fillId="0" borderId="69" xfId="0" applyNumberFormat="1" applyFont="1" applyBorder="1" applyAlignment="1">
      <alignment horizontal="right"/>
    </xf>
    <xf numFmtId="166" fontId="42" fillId="0" borderId="18" xfId="0" applyNumberFormat="1" applyFont="1" applyBorder="1" applyAlignment="1">
      <alignment horizontal="right"/>
    </xf>
    <xf numFmtId="10" fontId="42" fillId="0" borderId="18" xfId="0" applyNumberFormat="1" applyFont="1" applyBorder="1" applyAlignment="1">
      <alignment horizontal="right"/>
    </xf>
    <xf numFmtId="9" fontId="42" fillId="0" borderId="18" xfId="0" applyNumberFormat="1" applyFont="1" applyBorder="1" applyAlignment="1">
      <alignment horizontal="right"/>
    </xf>
    <xf numFmtId="166" fontId="45" fillId="33" borderId="20" xfId="0" applyNumberFormat="1" applyFont="1" applyFill="1" applyBorder="1" applyAlignment="1">
      <alignment horizontal="center"/>
    </xf>
    <xf numFmtId="183" fontId="42" fillId="0" borderId="18" xfId="0" applyNumberFormat="1" applyFont="1" applyBorder="1" applyAlignment="1">
      <alignment horizontal="right"/>
    </xf>
    <xf numFmtId="166" fontId="17" fillId="0" borderId="1" xfId="2" applyNumberFormat="1" applyBorder="1" applyAlignment="1">
      <alignment horizontal="center"/>
    </xf>
    <xf numFmtId="166" fontId="17" fillId="0" borderId="1" xfId="2" applyNumberFormat="1" applyBorder="1"/>
    <xf numFmtId="2" fontId="42" fillId="0" borderId="1" xfId="0" applyNumberFormat="1" applyFont="1" applyBorder="1" applyAlignment="1">
      <alignment horizontal="right"/>
    </xf>
    <xf numFmtId="166" fontId="26" fillId="4" borderId="1" xfId="2" applyNumberFormat="1" applyFont="1" applyFill="1" applyBorder="1" applyAlignment="1">
      <alignment horizontal="center"/>
    </xf>
    <xf numFmtId="166" fontId="26" fillId="5" borderId="1" xfId="2" applyNumberFormat="1" applyFont="1" applyFill="1" applyBorder="1"/>
    <xf numFmtId="166" fontId="31" fillId="0" borderId="1" xfId="0" applyNumberFormat="1" applyFont="1" applyBorder="1" applyAlignment="1">
      <alignment horizontal="center" vertical="center"/>
    </xf>
    <xf numFmtId="166" fontId="31" fillId="0" borderId="1" xfId="0" applyNumberFormat="1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center" vertical="center"/>
    </xf>
    <xf numFmtId="166" fontId="17" fillId="0" borderId="1" xfId="0" applyNumberFormat="1" applyFont="1" applyBorder="1"/>
    <xf numFmtId="166" fontId="31" fillId="0" borderId="3" xfId="0" applyNumberFormat="1" applyFont="1" applyFill="1" applyBorder="1" applyAlignment="1">
      <alignment horizontal="center" vertical="center"/>
    </xf>
    <xf numFmtId="0" fontId="31" fillId="0" borderId="10" xfId="10" applyFont="1" applyFill="1" applyBorder="1" applyAlignment="1">
      <alignment horizontal="center" vertical="center"/>
    </xf>
    <xf numFmtId="0" fontId="31" fillId="0" borderId="14" xfId="10" applyFont="1" applyFill="1" applyBorder="1" applyAlignment="1">
      <alignment horizontal="center" vertical="center"/>
    </xf>
    <xf numFmtId="0" fontId="31" fillId="0" borderId="1" xfId="10" applyFont="1" applyFill="1" applyBorder="1" applyAlignment="1">
      <alignment vertical="center"/>
    </xf>
    <xf numFmtId="0" fontId="11" fillId="0" borderId="0" xfId="10" applyFont="1" applyAlignment="1">
      <alignment horizontal="center"/>
    </xf>
    <xf numFmtId="166" fontId="45" fillId="33" borderId="5" xfId="0" applyNumberFormat="1" applyFont="1" applyFill="1" applyBorder="1" applyAlignment="1">
      <alignment horizontal="center"/>
    </xf>
    <xf numFmtId="0" fontId="0" fillId="0" borderId="0" xfId="0" applyFill="1" applyAlignment="1">
      <alignment vertical="center"/>
    </xf>
    <xf numFmtId="179" fontId="0" fillId="0" borderId="1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66" fontId="0" fillId="0" borderId="1" xfId="0" applyNumberFormat="1" applyFill="1" applyBorder="1" applyAlignment="1">
      <alignment vertical="center"/>
    </xf>
    <xf numFmtId="9" fontId="0" fillId="0" borderId="1" xfId="0" applyNumberFormat="1" applyFill="1" applyBorder="1" applyAlignment="1">
      <alignment vertical="center"/>
    </xf>
    <xf numFmtId="0" fontId="27" fillId="33" borderId="1" xfId="2" applyFont="1" applyFill="1" applyBorder="1" applyAlignment="1">
      <alignment horizontal="center"/>
    </xf>
    <xf numFmtId="182" fontId="27" fillId="33" borderId="1" xfId="2" applyNumberFormat="1" applyFont="1" applyFill="1" applyBorder="1"/>
    <xf numFmtId="182" fontId="17" fillId="0" borderId="1" xfId="2" applyNumberFormat="1" applyBorder="1" applyAlignment="1">
      <alignment horizontal="center"/>
    </xf>
    <xf numFmtId="180" fontId="27" fillId="34" borderId="1" xfId="2" applyNumberFormat="1" applyFont="1" applyFill="1" applyBorder="1" applyAlignment="1">
      <alignment horizontal="center"/>
    </xf>
    <xf numFmtId="180" fontId="17" fillId="0" borderId="1" xfId="2" applyNumberFormat="1" applyBorder="1" applyAlignment="1">
      <alignment horizontal="center"/>
    </xf>
    <xf numFmtId="166" fontId="45" fillId="34" borderId="1" xfId="2" applyNumberFormat="1" applyFont="1" applyFill="1" applyBorder="1" applyAlignment="1">
      <alignment horizontal="center"/>
    </xf>
    <xf numFmtId="0" fontId="31" fillId="0" borderId="4" xfId="1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172" fontId="31" fillId="0" borderId="1" xfId="10" applyNumberFormat="1" applyFont="1" applyFill="1" applyBorder="1" applyAlignment="1">
      <alignment vertical="center"/>
    </xf>
    <xf numFmtId="1" fontId="31" fillId="0" borderId="1" xfId="10" applyNumberFormat="1" applyFont="1" applyFill="1" applyBorder="1" applyAlignment="1">
      <alignment vertical="center"/>
    </xf>
    <xf numFmtId="1" fontId="11" fillId="0" borderId="1" xfId="10" applyNumberFormat="1" applyFont="1" applyFill="1" applyBorder="1"/>
    <xf numFmtId="0" fontId="31" fillId="0" borderId="3" xfId="10" applyFont="1" applyBorder="1" applyAlignment="1">
      <alignment vertical="center"/>
    </xf>
    <xf numFmtId="0" fontId="31" fillId="0" borderId="2" xfId="10" applyFont="1" applyBorder="1" applyAlignment="1">
      <alignment vertical="center"/>
    </xf>
    <xf numFmtId="0" fontId="31" fillId="0" borderId="2" xfId="10" applyFont="1" applyBorder="1" applyAlignment="1">
      <alignment horizontal="center" vertical="center"/>
    </xf>
    <xf numFmtId="0" fontId="31" fillId="0" borderId="1" xfId="10" applyFont="1" applyBorder="1" applyAlignment="1">
      <alignment vertical="center"/>
    </xf>
    <xf numFmtId="0" fontId="31" fillId="0" borderId="4" xfId="10" applyFont="1" applyBorder="1" applyAlignment="1">
      <alignment vertical="center"/>
    </xf>
    <xf numFmtId="0" fontId="31" fillId="0" borderId="3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1" fillId="0" borderId="4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 wrapText="1"/>
    </xf>
    <xf numFmtId="184" fontId="31" fillId="0" borderId="3" xfId="0" applyNumberFormat="1" applyFont="1" applyFill="1" applyBorder="1" applyAlignment="1">
      <alignment horizontal="center" vertical="center"/>
    </xf>
    <xf numFmtId="184" fontId="31" fillId="0" borderId="1" xfId="0" applyNumberFormat="1" applyFont="1" applyFill="1" applyBorder="1" applyAlignment="1">
      <alignment horizontal="center" vertical="center"/>
    </xf>
    <xf numFmtId="179" fontId="31" fillId="0" borderId="3" xfId="0" applyNumberFormat="1" applyFont="1" applyFill="1" applyBorder="1" applyAlignment="1">
      <alignment horizontal="center" vertical="center"/>
    </xf>
    <xf numFmtId="179" fontId="31" fillId="0" borderId="1" xfId="0" applyNumberFormat="1" applyFont="1" applyFill="1" applyBorder="1" applyAlignment="1">
      <alignment horizontal="center" vertical="center"/>
    </xf>
    <xf numFmtId="0" fontId="31" fillId="0" borderId="3" xfId="0" applyNumberFormat="1" applyFont="1" applyFill="1" applyBorder="1" applyAlignment="1">
      <alignment horizontal="center" vertical="center"/>
    </xf>
    <xf numFmtId="184" fontId="31" fillId="0" borderId="1" xfId="0" applyNumberFormat="1" applyFont="1" applyBorder="1" applyAlignment="1">
      <alignment horizontal="center" vertical="center"/>
    </xf>
    <xf numFmtId="184" fontId="31" fillId="0" borderId="4" xfId="0" applyNumberFormat="1" applyFont="1" applyBorder="1" applyAlignment="1">
      <alignment horizontal="center" vertical="center"/>
    </xf>
    <xf numFmtId="2" fontId="12" fillId="0" borderId="1" xfId="10" applyNumberFormat="1" applyBorder="1"/>
    <xf numFmtId="2" fontId="12" fillId="0" borderId="3" xfId="10" applyNumberFormat="1" applyBorder="1"/>
    <xf numFmtId="179" fontId="31" fillId="0" borderId="1" xfId="3" applyNumberFormat="1" applyFont="1" applyFill="1" applyBorder="1" applyAlignment="1">
      <alignment horizontal="center" vertical="center"/>
    </xf>
    <xf numFmtId="184" fontId="31" fillId="0" borderId="4" xfId="0" applyNumberFormat="1" applyFont="1" applyFill="1" applyBorder="1" applyAlignment="1">
      <alignment horizontal="center" vertical="center"/>
    </xf>
    <xf numFmtId="179" fontId="31" fillId="0" borderId="4" xfId="0" applyNumberFormat="1" applyFont="1" applyFill="1" applyBorder="1" applyAlignment="1">
      <alignment horizontal="center" vertical="center"/>
    </xf>
    <xf numFmtId="0" fontId="0" fillId="3" borderId="0" xfId="0" applyFill="1" applyBorder="1" applyAlignment="1"/>
    <xf numFmtId="0" fontId="0" fillId="0" borderId="1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horizontal="center"/>
    </xf>
    <xf numFmtId="0" fontId="0" fillId="3" borderId="2" xfId="0" applyFill="1" applyBorder="1" applyAlignment="1">
      <alignment vertical="center" wrapText="1"/>
    </xf>
    <xf numFmtId="0" fontId="0" fillId="3" borderId="4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12" fillId="0" borderId="2" xfId="10" applyBorder="1"/>
    <xf numFmtId="2" fontId="12" fillId="0" borderId="2" xfId="10" applyNumberFormat="1" applyBorder="1"/>
    <xf numFmtId="0" fontId="31" fillId="0" borderId="2" xfId="0" applyNumberFormat="1" applyFont="1" applyFill="1" applyBorder="1" applyAlignment="1">
      <alignment horizontal="center" vertical="center"/>
    </xf>
    <xf numFmtId="0" fontId="31" fillId="0" borderId="3" xfId="10" applyFont="1" applyFill="1" applyBorder="1" applyAlignment="1">
      <alignment vertical="center"/>
    </xf>
    <xf numFmtId="172" fontId="31" fillId="0" borderId="3" xfId="10" applyNumberFormat="1" applyFont="1" applyFill="1" applyBorder="1" applyAlignment="1">
      <alignment vertical="center"/>
    </xf>
    <xf numFmtId="1" fontId="11" fillId="0" borderId="3" xfId="10" applyNumberFormat="1" applyFont="1" applyFill="1" applyBorder="1"/>
    <xf numFmtId="1" fontId="31" fillId="0" borderId="3" xfId="10" applyNumberFormat="1" applyFont="1" applyFill="1" applyBorder="1" applyAlignment="1">
      <alignment vertical="center"/>
    </xf>
    <xf numFmtId="0" fontId="17" fillId="0" borderId="1" xfId="0" applyFont="1" applyBorder="1" applyAlignment="1">
      <alignment horizontal="left"/>
    </xf>
    <xf numFmtId="0" fontId="31" fillId="0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165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32" fillId="5" borderId="52" xfId="1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0" fontId="0" fillId="0" borderId="36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167" fontId="36" fillId="0" borderId="1" xfId="4" applyNumberFormat="1" applyFont="1" applyFill="1" applyBorder="1" applyAlignment="1">
      <alignment horizontal="center"/>
    </xf>
    <xf numFmtId="173" fontId="36" fillId="0" borderId="1" xfId="4" applyNumberFormat="1" applyFont="1" applyFill="1" applyBorder="1" applyAlignment="1">
      <alignment horizontal="right"/>
    </xf>
    <xf numFmtId="178" fontId="36" fillId="0" borderId="1" xfId="0" applyNumberFormat="1" applyFont="1" applyFill="1" applyBorder="1" applyAlignment="1">
      <alignment horizontal="right"/>
    </xf>
    <xf numFmtId="185" fontId="31" fillId="0" borderId="1" xfId="0" applyNumberFormat="1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left"/>
    </xf>
    <xf numFmtId="172" fontId="17" fillId="0" borderId="1" xfId="0" applyNumberFormat="1" applyFont="1" applyBorder="1" applyAlignment="1">
      <alignment horizontal="center"/>
    </xf>
    <xf numFmtId="185" fontId="17" fillId="0" borderId="1" xfId="0" applyNumberFormat="1" applyFont="1" applyBorder="1" applyAlignment="1">
      <alignment horizontal="center"/>
    </xf>
    <xf numFmtId="185" fontId="17" fillId="0" borderId="1" xfId="4" applyNumberFormat="1" applyFont="1" applyBorder="1" applyAlignment="1">
      <alignment horizontal="center"/>
    </xf>
    <xf numFmtId="165" fontId="50" fillId="0" borderId="1" xfId="4" applyFont="1" applyBorder="1" applyAlignment="1">
      <alignment horizontal="center"/>
    </xf>
    <xf numFmtId="165" fontId="50" fillId="0" borderId="1" xfId="4" applyFont="1" applyBorder="1" applyAlignment="1">
      <alignment horizontal="left"/>
    </xf>
    <xf numFmtId="0" fontId="31" fillId="0" borderId="17" xfId="10" applyFont="1" applyBorder="1" applyAlignment="1">
      <alignment horizontal="center" vertical="center"/>
    </xf>
    <xf numFmtId="0" fontId="0" fillId="3" borderId="5" xfId="0" applyFill="1" applyBorder="1" applyAlignment="1">
      <alignment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10" xfId="0" applyFill="1" applyBorder="1" applyAlignment="1">
      <alignment vertical="center" wrapText="1"/>
    </xf>
    <xf numFmtId="0" fontId="17" fillId="0" borderId="37" xfId="0" applyFont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3" borderId="4" xfId="0" applyFont="1" applyFill="1" applyBorder="1" applyAlignment="1">
      <alignment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vertical="center" wrapText="1"/>
    </xf>
    <xf numFmtId="0" fontId="0" fillId="3" borderId="56" xfId="0" applyFill="1" applyBorder="1" applyAlignment="1">
      <alignment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12" xfId="0" applyFill="1" applyBorder="1" applyAlignment="1">
      <alignment vertical="center" wrapText="1"/>
    </xf>
    <xf numFmtId="0" fontId="0" fillId="3" borderId="54" xfId="0" applyFill="1" applyBorder="1" applyAlignment="1">
      <alignment vertical="center" wrapText="1"/>
    </xf>
    <xf numFmtId="0" fontId="17" fillId="3" borderId="70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vertical="center" wrapText="1"/>
    </xf>
    <xf numFmtId="0" fontId="17" fillId="3" borderId="71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horizontal="center" vertical="center" wrapText="1"/>
    </xf>
    <xf numFmtId="0" fontId="31" fillId="0" borderId="3" xfId="10" applyFont="1" applyFill="1" applyBorder="1" applyAlignment="1">
      <alignment horizontal="center" vertical="center"/>
    </xf>
    <xf numFmtId="2" fontId="31" fillId="0" borderId="3" xfId="10" applyNumberFormat="1" applyFont="1" applyFill="1" applyBorder="1" applyAlignment="1">
      <alignment horizontal="center" vertical="center"/>
    </xf>
    <xf numFmtId="0" fontId="31" fillId="0" borderId="4" xfId="10" applyFont="1" applyFill="1" applyBorder="1" applyAlignment="1">
      <alignment horizontal="center" vertical="center"/>
    </xf>
    <xf numFmtId="2" fontId="31" fillId="0" borderId="4" xfId="10" applyNumberFormat="1" applyFont="1" applyFill="1" applyBorder="1" applyAlignment="1">
      <alignment horizontal="center" vertical="center"/>
    </xf>
    <xf numFmtId="185" fontId="31" fillId="0" borderId="3" xfId="10" applyNumberFormat="1" applyFont="1" applyFill="1" applyBorder="1" applyAlignment="1">
      <alignment vertical="center"/>
    </xf>
    <xf numFmtId="185" fontId="31" fillId="0" borderId="1" xfId="10" applyNumberFormat="1" applyFont="1" applyFill="1" applyBorder="1" applyAlignment="1">
      <alignment vertical="center"/>
    </xf>
    <xf numFmtId="185" fontId="31" fillId="0" borderId="4" xfId="10" applyNumberFormat="1" applyFont="1" applyFill="1" applyBorder="1" applyAlignment="1">
      <alignment vertical="center"/>
    </xf>
    <xf numFmtId="0" fontId="19" fillId="16" borderId="44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65" fontId="17" fillId="0" borderId="1" xfId="4" applyFont="1" applyBorder="1" applyAlignment="1">
      <alignment horizontal="center"/>
    </xf>
    <xf numFmtId="165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15" borderId="5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15" borderId="45" xfId="0" applyFont="1" applyFill="1" applyBorder="1" applyAlignment="1">
      <alignment horizontal="center"/>
    </xf>
    <xf numFmtId="0" fontId="26" fillId="15" borderId="48" xfId="0" applyFont="1" applyFill="1" applyBorder="1" applyAlignment="1">
      <alignment horizontal="center"/>
    </xf>
    <xf numFmtId="0" fontId="0" fillId="0" borderId="70" xfId="0" applyBorder="1"/>
    <xf numFmtId="0" fontId="0" fillId="0" borderId="72" xfId="0" applyBorder="1"/>
    <xf numFmtId="0" fontId="0" fillId="0" borderId="71" xfId="0" applyBorder="1"/>
    <xf numFmtId="2" fontId="19" fillId="3" borderId="4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0" fontId="0" fillId="0" borderId="0" xfId="0" applyAlignment="1">
      <alignment horizontal="left"/>
    </xf>
    <xf numFmtId="185" fontId="0" fillId="7" borderId="1" xfId="0" applyNumberFormat="1" applyFill="1" applyBorder="1"/>
    <xf numFmtId="0" fontId="26" fillId="36" borderId="1" xfId="0" applyFont="1" applyFill="1" applyBorder="1" applyAlignment="1">
      <alignment horizontal="center" vertical="center"/>
    </xf>
    <xf numFmtId="0" fontId="26" fillId="16" borderId="44" xfId="0" applyFont="1" applyFill="1" applyBorder="1" applyAlignment="1">
      <alignment horizontal="center" vertical="center"/>
    </xf>
    <xf numFmtId="0" fontId="26" fillId="16" borderId="47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/>
    </xf>
    <xf numFmtId="0" fontId="26" fillId="7" borderId="52" xfId="0" applyFont="1" applyFill="1" applyBorder="1" applyAlignment="1"/>
    <xf numFmtId="185" fontId="17" fillId="0" borderId="3" xfId="0" applyNumberFormat="1" applyFont="1" applyFill="1" applyBorder="1" applyAlignment="1">
      <alignment horizontal="center"/>
    </xf>
    <xf numFmtId="185" fontId="17" fillId="0" borderId="1" xfId="0" applyNumberFormat="1" applyFont="1" applyFill="1" applyBorder="1" applyAlignment="1">
      <alignment horizontal="center"/>
    </xf>
    <xf numFmtId="0" fontId="26" fillId="16" borderId="3" xfId="0" applyFont="1" applyFill="1" applyBorder="1" applyAlignment="1">
      <alignment horizontal="center" vertical="center"/>
    </xf>
    <xf numFmtId="0" fontId="26" fillId="16" borderId="34" xfId="0" applyFont="1" applyFill="1" applyBorder="1" applyAlignment="1">
      <alignment horizontal="center" vertical="center"/>
    </xf>
    <xf numFmtId="0" fontId="17" fillId="0" borderId="24" xfId="0" applyFont="1" applyFill="1" applyBorder="1" applyAlignment="1">
      <alignment horizontal="center"/>
    </xf>
    <xf numFmtId="3" fontId="17" fillId="0" borderId="63" xfId="0" applyNumberFormat="1" applyFont="1" applyFill="1" applyBorder="1" applyAlignment="1"/>
    <xf numFmtId="3" fontId="17" fillId="0" borderId="63" xfId="0" applyNumberFormat="1" applyFont="1" applyFill="1" applyBorder="1" applyAlignment="1">
      <alignment horizontal="center"/>
    </xf>
    <xf numFmtId="185" fontId="17" fillId="0" borderId="63" xfId="0" applyNumberFormat="1" applyFont="1" applyFill="1" applyBorder="1" applyAlignment="1">
      <alignment horizontal="center"/>
    </xf>
    <xf numFmtId="180" fontId="0" fillId="0" borderId="3" xfId="0" applyNumberFormat="1" applyFill="1" applyBorder="1"/>
    <xf numFmtId="180" fontId="0" fillId="0" borderId="1" xfId="0" applyNumberFormat="1" applyFill="1" applyBorder="1"/>
    <xf numFmtId="0" fontId="17" fillId="0" borderId="1" xfId="0" applyFont="1" applyFill="1" applyBorder="1"/>
    <xf numFmtId="0" fontId="10" fillId="0" borderId="1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3" xfId="0" applyFont="1" applyFill="1" applyBorder="1"/>
    <xf numFmtId="0" fontId="26" fillId="0" borderId="3" xfId="0" applyFont="1" applyFill="1" applyBorder="1" applyAlignment="1">
      <alignment horizontal="right"/>
    </xf>
    <xf numFmtId="0" fontId="0" fillId="0" borderId="21" xfId="0" applyFill="1" applyBorder="1" applyAlignment="1">
      <alignment horizontal="center" vertical="center"/>
    </xf>
    <xf numFmtId="0" fontId="10" fillId="0" borderId="19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center"/>
    </xf>
    <xf numFmtId="180" fontId="0" fillId="0" borderId="19" xfId="0" applyNumberFormat="1" applyFill="1" applyBorder="1"/>
    <xf numFmtId="0" fontId="17" fillId="0" borderId="34" xfId="0" applyFont="1" applyFill="1" applyBorder="1" applyAlignment="1">
      <alignment horizontal="center" vertical="center"/>
    </xf>
    <xf numFmtId="0" fontId="27" fillId="16" borderId="44" xfId="0" applyFont="1" applyFill="1" applyBorder="1" applyAlignment="1">
      <alignment horizontal="center"/>
    </xf>
    <xf numFmtId="0" fontId="27" fillId="16" borderId="46" xfId="0" applyFont="1" applyFill="1" applyBorder="1"/>
    <xf numFmtId="0" fontId="27" fillId="16" borderId="47" xfId="0" applyFont="1" applyFill="1" applyBorder="1"/>
    <xf numFmtId="0" fontId="27" fillId="16" borderId="45" xfId="0" applyFont="1" applyFill="1" applyBorder="1"/>
    <xf numFmtId="0" fontId="27" fillId="16" borderId="44" xfId="0" applyFont="1" applyFill="1" applyBorder="1"/>
    <xf numFmtId="2" fontId="31" fillId="0" borderId="2" xfId="0" applyNumberFormat="1" applyFont="1" applyBorder="1" applyAlignment="1">
      <alignment horizontal="center" vertical="center"/>
    </xf>
    <xf numFmtId="184" fontId="31" fillId="0" borderId="2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78" fontId="36" fillId="0" borderId="1" xfId="0" applyNumberFormat="1" applyFont="1" applyBorder="1"/>
    <xf numFmtId="49" fontId="36" fillId="0" borderId="1" xfId="0" applyNumberFormat="1" applyFont="1" applyBorder="1"/>
    <xf numFmtId="175" fontId="0" fillId="0" borderId="1" xfId="0" applyNumberFormat="1" applyBorder="1"/>
    <xf numFmtId="0" fontId="17" fillId="0" borderId="1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166" fontId="0" fillId="0" borderId="1" xfId="0" applyNumberFormat="1" applyBorder="1"/>
    <xf numFmtId="0" fontId="32" fillId="5" borderId="56" xfId="10" applyFont="1" applyFill="1" applyBorder="1" applyAlignment="1">
      <alignment horizontal="center" vertical="center"/>
    </xf>
    <xf numFmtId="166" fontId="12" fillId="0" borderId="1" xfId="10" applyNumberFormat="1" applyBorder="1"/>
    <xf numFmtId="0" fontId="12" fillId="0" borderId="1" xfId="10" applyBorder="1" applyAlignment="1">
      <alignment horizontal="center"/>
    </xf>
    <xf numFmtId="0" fontId="31" fillId="0" borderId="1" xfId="10" applyFont="1" applyBorder="1"/>
    <xf numFmtId="2" fontId="31" fillId="0" borderId="1" xfId="10" applyNumberFormat="1" applyFont="1" applyFill="1" applyBorder="1" applyAlignment="1">
      <alignment vertical="center"/>
    </xf>
    <xf numFmtId="0" fontId="9" fillId="0" borderId="0" xfId="10" applyFont="1"/>
    <xf numFmtId="0" fontId="36" fillId="0" borderId="1" xfId="0" applyFont="1" applyBorder="1" applyAlignment="1">
      <alignment vertical="center"/>
    </xf>
    <xf numFmtId="0" fontId="17" fillId="0" borderId="1" xfId="2" applyBorder="1" applyAlignment="1">
      <alignment horizontal="right"/>
    </xf>
    <xf numFmtId="0" fontId="9" fillId="0" borderId="1" xfId="10" applyFont="1" applyBorder="1"/>
    <xf numFmtId="0" fontId="12" fillId="0" borderId="1" xfId="10" applyBorder="1" applyAlignment="1">
      <alignment horizontal="right"/>
    </xf>
    <xf numFmtId="0" fontId="17" fillId="0" borderId="1" xfId="2" applyFont="1" applyBorder="1" applyAlignment="1">
      <alignment horizontal="right"/>
    </xf>
    <xf numFmtId="0" fontId="17" fillId="0" borderId="3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0" borderId="3" xfId="0" applyBorder="1" applyAlignment="1">
      <alignment horizontal="right"/>
    </xf>
    <xf numFmtId="166" fontId="0" fillId="0" borderId="3" xfId="0" applyNumberFormat="1" applyBorder="1"/>
    <xf numFmtId="171" fontId="31" fillId="0" borderId="1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wrapText="1"/>
    </xf>
    <xf numFmtId="167" fontId="36" fillId="3" borderId="1" xfId="4" applyNumberFormat="1" applyFont="1" applyFill="1" applyBorder="1" applyAlignment="1">
      <alignment horizontal="center"/>
    </xf>
    <xf numFmtId="177" fontId="36" fillId="0" borderId="1" xfId="4" applyNumberFormat="1" applyFont="1" applyBorder="1" applyAlignment="1">
      <alignment horizontal="center"/>
    </xf>
    <xf numFmtId="173" fontId="36" fillId="0" borderId="1" xfId="4" applyNumberFormat="1" applyFont="1" applyBorder="1" applyAlignment="1">
      <alignment horizontal="center"/>
    </xf>
    <xf numFmtId="174" fontId="36" fillId="0" borderId="1" xfId="0" applyNumberFormat="1" applyFont="1" applyBorder="1" applyAlignment="1">
      <alignment horizontal="center"/>
    </xf>
    <xf numFmtId="2" fontId="31" fillId="0" borderId="3" xfId="10" applyNumberFormat="1" applyFont="1" applyBorder="1" applyAlignment="1">
      <alignment vertical="center"/>
    </xf>
    <xf numFmtId="2" fontId="31" fillId="0" borderId="1" xfId="10" applyNumberFormat="1" applyFont="1" applyBorder="1" applyAlignment="1">
      <alignment vertical="center"/>
    </xf>
    <xf numFmtId="165" fontId="31" fillId="0" borderId="3" xfId="10" applyNumberFormat="1" applyFont="1" applyBorder="1" applyAlignment="1">
      <alignment vertical="center"/>
    </xf>
    <xf numFmtId="165" fontId="12" fillId="0" borderId="3" xfId="10" applyNumberFormat="1" applyBorder="1"/>
    <xf numFmtId="165" fontId="12" fillId="0" borderId="1" xfId="10" applyNumberFormat="1" applyBorder="1"/>
    <xf numFmtId="165" fontId="31" fillId="0" borderId="1" xfId="10" applyNumberFormat="1" applyFont="1" applyBorder="1" applyAlignment="1">
      <alignment vertical="center"/>
    </xf>
    <xf numFmtId="0" fontId="17" fillId="0" borderId="3" xfId="0" applyFont="1" applyBorder="1" applyAlignment="1">
      <alignment vertical="center" wrapText="1"/>
    </xf>
    <xf numFmtId="172" fontId="31" fillId="0" borderId="1" xfId="0" applyNumberFormat="1" applyFont="1" applyBorder="1" applyAlignment="1">
      <alignment vertical="center"/>
    </xf>
    <xf numFmtId="2" fontId="31" fillId="0" borderId="3" xfId="10" applyNumberFormat="1" applyFont="1" applyFill="1" applyBorder="1" applyAlignment="1">
      <alignment vertical="center"/>
    </xf>
    <xf numFmtId="0" fontId="43" fillId="0" borderId="15" xfId="2" applyFont="1" applyFill="1" applyBorder="1" applyAlignment="1">
      <alignment vertical="center" wrapText="1"/>
    </xf>
    <xf numFmtId="0" fontId="43" fillId="0" borderId="16" xfId="2" applyFont="1" applyFill="1" applyBorder="1" applyAlignment="1">
      <alignment vertical="center" wrapText="1"/>
    </xf>
    <xf numFmtId="0" fontId="43" fillId="0" borderId="0" xfId="2" applyFont="1" applyFill="1" applyBorder="1" applyAlignment="1">
      <alignment vertical="center" wrapText="1"/>
    </xf>
    <xf numFmtId="0" fontId="43" fillId="0" borderId="9" xfId="2" applyFont="1" applyFill="1" applyBorder="1" applyAlignment="1">
      <alignment vertical="center" wrapText="1"/>
    </xf>
    <xf numFmtId="0" fontId="51" fillId="0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165" fontId="17" fillId="0" borderId="1" xfId="4" applyFont="1" applyBorder="1" applyAlignment="1">
      <alignment horizontal="center"/>
    </xf>
    <xf numFmtId="165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2" fontId="31" fillId="0" borderId="3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wrapText="1"/>
    </xf>
    <xf numFmtId="0" fontId="12" fillId="0" borderId="3" xfId="10" applyFill="1" applyBorder="1" applyAlignment="1"/>
    <xf numFmtId="2" fontId="31" fillId="0" borderId="3" xfId="10" applyNumberFormat="1" applyFont="1" applyBorder="1" applyAlignment="1">
      <alignment horizontal="center"/>
    </xf>
    <xf numFmtId="0" fontId="31" fillId="0" borderId="1" xfId="10" applyFont="1" applyBorder="1" applyAlignment="1">
      <alignment wrapText="1"/>
    </xf>
    <xf numFmtId="0" fontId="31" fillId="0" borderId="3" xfId="10" applyNumberFormat="1" applyFont="1" applyBorder="1" applyAlignment="1">
      <alignment horizontal="center"/>
    </xf>
    <xf numFmtId="0" fontId="31" fillId="0" borderId="3" xfId="10" applyNumberFormat="1" applyFont="1" applyBorder="1" applyAlignment="1">
      <alignment horizontal="center" vertical="center"/>
    </xf>
    <xf numFmtId="2" fontId="31" fillId="0" borderId="1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wrapText="1"/>
    </xf>
    <xf numFmtId="0" fontId="26" fillId="5" borderId="1" xfId="0" applyFont="1" applyFill="1" applyBorder="1"/>
    <xf numFmtId="0" fontId="36" fillId="0" borderId="17" xfId="0" applyFont="1" applyBorder="1"/>
    <xf numFmtId="2" fontId="17" fillId="0" borderId="3" xfId="0" applyNumberFormat="1" applyFont="1" applyBorder="1" applyAlignment="1">
      <alignment vertical="center" wrapText="1"/>
    </xf>
    <xf numFmtId="165" fontId="17" fillId="0" borderId="3" xfId="0" applyNumberFormat="1" applyFont="1" applyBorder="1" applyAlignment="1">
      <alignment vertical="center" wrapText="1"/>
    </xf>
    <xf numFmtId="3" fontId="31" fillId="0" borderId="21" xfId="0" applyNumberFormat="1" applyFont="1" applyBorder="1" applyAlignment="1">
      <alignment horizontal="center" vertical="center"/>
    </xf>
    <xf numFmtId="0" fontId="0" fillId="21" borderId="0" xfId="0" applyFill="1"/>
    <xf numFmtId="0" fontId="31" fillId="0" borderId="0" xfId="10" applyFont="1" applyBorder="1" applyAlignment="1">
      <alignment vertical="center"/>
    </xf>
    <xf numFmtId="0" fontId="8" fillId="0" borderId="1" xfId="10" applyFont="1" applyBorder="1"/>
    <xf numFmtId="0" fontId="8" fillId="0" borderId="1" xfId="10" applyFont="1" applyBorder="1" applyAlignment="1">
      <alignment horizontal="center"/>
    </xf>
    <xf numFmtId="3" fontId="12" fillId="0" borderId="1" xfId="10" applyNumberFormat="1" applyBorder="1" applyAlignment="1">
      <alignment horizontal="center"/>
    </xf>
    <xf numFmtId="165" fontId="9" fillId="0" borderId="1" xfId="10" applyNumberFormat="1" applyFont="1" applyBorder="1"/>
    <xf numFmtId="0" fontId="17" fillId="0" borderId="3" xfId="0" applyFont="1" applyBorder="1" applyAlignment="1">
      <alignment horizontal="center"/>
    </xf>
    <xf numFmtId="165" fontId="31" fillId="0" borderId="2" xfId="10" applyNumberFormat="1" applyFont="1" applyBorder="1" applyAlignment="1">
      <alignment vertical="center"/>
    </xf>
    <xf numFmtId="165" fontId="12" fillId="0" borderId="2" xfId="10" applyNumberFormat="1" applyBorder="1"/>
    <xf numFmtId="172" fontId="31" fillId="0" borderId="2" xfId="10" applyNumberFormat="1" applyFont="1" applyBorder="1" applyAlignment="1">
      <alignment horizontal="center" vertical="center"/>
    </xf>
    <xf numFmtId="184" fontId="31" fillId="0" borderId="2" xfId="0" applyNumberFormat="1" applyFont="1" applyFill="1" applyBorder="1" applyAlignment="1">
      <alignment horizontal="center" vertical="center"/>
    </xf>
    <xf numFmtId="165" fontId="12" fillId="0" borderId="4" xfId="10" applyNumberFormat="1" applyBorder="1"/>
    <xf numFmtId="165" fontId="31" fillId="0" borderId="4" xfId="10" applyNumberFormat="1" applyFont="1" applyBorder="1" applyAlignment="1">
      <alignment vertical="center"/>
    </xf>
    <xf numFmtId="0" fontId="31" fillId="0" borderId="2" xfId="10" applyFont="1" applyFill="1" applyBorder="1" applyAlignment="1">
      <alignment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26" fillId="0" borderId="14" xfId="0" applyFont="1" applyFill="1" applyBorder="1" applyAlignment="1">
      <alignment horizontal="center"/>
    </xf>
    <xf numFmtId="0" fontId="7" fillId="0" borderId="1" xfId="10" applyFont="1" applyBorder="1"/>
    <xf numFmtId="3" fontId="8" fillId="0" borderId="1" xfId="10" applyNumberFormat="1" applyFont="1" applyBorder="1" applyAlignment="1">
      <alignment horizontal="center"/>
    </xf>
    <xf numFmtId="179" fontId="32" fillId="12" borderId="52" xfId="10" applyNumberFormat="1" applyFont="1" applyFill="1" applyBorder="1" applyAlignment="1">
      <alignment horizontal="center" vertical="center"/>
    </xf>
    <xf numFmtId="2" fontId="31" fillId="0" borderId="4" xfId="10" applyNumberFormat="1" applyFont="1" applyBorder="1" applyAlignment="1">
      <alignment vertical="center"/>
    </xf>
    <xf numFmtId="2" fontId="31" fillId="0" borderId="4" xfId="10" applyNumberFormat="1" applyFont="1" applyBorder="1" applyAlignment="1">
      <alignment horizontal="center" vertical="center"/>
    </xf>
    <xf numFmtId="171" fontId="31" fillId="0" borderId="4" xfId="10" applyNumberFormat="1" applyFont="1" applyBorder="1" applyAlignment="1">
      <alignment horizontal="center" vertical="center"/>
    </xf>
    <xf numFmtId="0" fontId="32" fillId="0" borderId="3" xfId="10" applyFont="1" applyFill="1" applyBorder="1" applyAlignment="1">
      <alignment horizontal="center" vertical="center"/>
    </xf>
    <xf numFmtId="166" fontId="12" fillId="0" borderId="3" xfId="10" applyNumberFormat="1" applyBorder="1"/>
    <xf numFmtId="185" fontId="32" fillId="5" borderId="61" xfId="10" applyNumberFormat="1" applyFont="1" applyFill="1" applyBorder="1" applyAlignment="1">
      <alignment vertical="center"/>
    </xf>
    <xf numFmtId="179" fontId="32" fillId="5" borderId="61" xfId="10" applyNumberFormat="1" applyFont="1" applyFill="1" applyBorder="1" applyAlignment="1">
      <alignment vertical="center"/>
    </xf>
    <xf numFmtId="166" fontId="32" fillId="5" borderId="61" xfId="10" applyNumberFormat="1" applyFont="1" applyFill="1" applyBorder="1" applyAlignment="1">
      <alignment vertical="center"/>
    </xf>
    <xf numFmtId="185" fontId="32" fillId="12" borderId="61" xfId="10" applyNumberFormat="1" applyFont="1" applyFill="1" applyBorder="1" applyAlignment="1">
      <alignment vertical="center"/>
    </xf>
    <xf numFmtId="185" fontId="32" fillId="12" borderId="61" xfId="10" applyNumberFormat="1" applyFont="1" applyFill="1" applyBorder="1" applyAlignment="1">
      <alignment horizontal="center" vertical="center"/>
    </xf>
    <xf numFmtId="179" fontId="32" fillId="12" borderId="61" xfId="10" applyNumberFormat="1" applyFont="1" applyFill="1" applyBorder="1" applyAlignment="1">
      <alignment horizontal="center" vertical="center"/>
    </xf>
    <xf numFmtId="166" fontId="32" fillId="12" borderId="61" xfId="10" applyNumberFormat="1" applyFont="1" applyFill="1" applyBorder="1" applyAlignment="1">
      <alignment horizontal="center" vertical="center"/>
    </xf>
    <xf numFmtId="0" fontId="9" fillId="0" borderId="3" xfId="10" applyFont="1" applyBorder="1"/>
    <xf numFmtId="0" fontId="32" fillId="5" borderId="61" xfId="10" applyFont="1" applyFill="1" applyBorder="1" applyAlignment="1">
      <alignment horizontal="center" vertical="center"/>
    </xf>
    <xf numFmtId="171" fontId="31" fillId="0" borderId="2" xfId="0" applyNumberFormat="1" applyFont="1" applyBorder="1" applyAlignment="1">
      <alignment horizontal="center" vertical="center"/>
    </xf>
    <xf numFmtId="1" fontId="31" fillId="0" borderId="4" xfId="0" applyNumberFormat="1" applyFont="1" applyBorder="1" applyAlignment="1">
      <alignment horizontal="center" vertical="center"/>
    </xf>
    <xf numFmtId="166" fontId="31" fillId="0" borderId="4" xfId="0" applyNumberFormat="1" applyFont="1" applyBorder="1" applyAlignment="1">
      <alignment horizontal="center" vertical="center"/>
    </xf>
    <xf numFmtId="171" fontId="32" fillId="15" borderId="53" xfId="0" applyNumberFormat="1" applyFont="1" applyFill="1" applyBorder="1" applyAlignment="1">
      <alignment horizontal="center" vertical="center"/>
    </xf>
    <xf numFmtId="1" fontId="31" fillId="3" borderId="2" xfId="0" applyNumberFormat="1" applyFont="1" applyFill="1" applyBorder="1" applyAlignment="1">
      <alignment horizontal="center" vertical="center"/>
    </xf>
    <xf numFmtId="0" fontId="26" fillId="20" borderId="53" xfId="0" applyFont="1" applyFill="1" applyBorder="1"/>
    <xf numFmtId="171" fontId="26" fillId="20" borderId="61" xfId="0" applyNumberFormat="1" applyFont="1" applyFill="1" applyBorder="1"/>
    <xf numFmtId="0" fontId="32" fillId="15" borderId="53" xfId="0" applyFont="1" applyFill="1" applyBorder="1" applyAlignment="1">
      <alignment vertical="center"/>
    </xf>
    <xf numFmtId="0" fontId="32" fillId="15" borderId="61" xfId="0" applyFont="1" applyFill="1" applyBorder="1" applyAlignment="1">
      <alignment vertical="center"/>
    </xf>
    <xf numFmtId="186" fontId="31" fillId="0" borderId="3" xfId="0" applyNumberFormat="1" applyFont="1" applyFill="1" applyBorder="1" applyAlignment="1">
      <alignment horizontal="center" vertical="center"/>
    </xf>
    <xf numFmtId="9" fontId="26" fillId="20" borderId="53" xfId="3" applyFont="1" applyFill="1" applyBorder="1" applyAlignment="1">
      <alignment horizontal="center"/>
    </xf>
    <xf numFmtId="10" fontId="0" fillId="0" borderId="0" xfId="3" applyNumberFormat="1" applyFont="1"/>
    <xf numFmtId="10" fontId="0" fillId="0" borderId="0" xfId="3" applyNumberFormat="1" applyFont="1" applyFill="1"/>
    <xf numFmtId="10" fontId="17" fillId="0" borderId="0" xfId="3" applyNumberFormat="1" applyFont="1" applyFill="1"/>
    <xf numFmtId="0" fontId="34" fillId="0" borderId="0" xfId="0" applyFont="1"/>
    <xf numFmtId="186" fontId="0" fillId="0" borderId="0" xfId="3" applyNumberFormat="1" applyFont="1" applyFill="1"/>
    <xf numFmtId="186" fontId="0" fillId="0" borderId="0" xfId="3" applyNumberFormat="1" applyFont="1"/>
    <xf numFmtId="165" fontId="17" fillId="0" borderId="7" xfId="4" applyFont="1" applyFill="1" applyBorder="1" applyAlignment="1">
      <alignment horizontal="center"/>
    </xf>
    <xf numFmtId="166" fontId="43" fillId="0" borderId="18" xfId="11" applyNumberFormat="1" applyFont="1" applyFill="1" applyBorder="1" applyAlignment="1">
      <alignment horizontal="right"/>
    </xf>
    <xf numFmtId="166" fontId="28" fillId="0" borderId="1" xfId="7" applyNumberFormat="1" applyFont="1" applyFill="1" applyBorder="1" applyAlignment="1">
      <alignment horizontal="center"/>
    </xf>
    <xf numFmtId="166" fontId="43" fillId="0" borderId="1" xfId="11" applyNumberFormat="1" applyFont="1" applyFill="1" applyBorder="1" applyAlignment="1">
      <alignment horizontal="right"/>
    </xf>
    <xf numFmtId="0" fontId="26" fillId="0" borderId="0" xfId="2" applyFont="1" applyFill="1"/>
    <xf numFmtId="179" fontId="6" fillId="0" borderId="18" xfId="0" applyNumberFormat="1" applyFont="1" applyFill="1" applyBorder="1"/>
    <xf numFmtId="170" fontId="6" fillId="0" borderId="18" xfId="0" applyNumberFormat="1" applyFont="1" applyFill="1" applyBorder="1"/>
    <xf numFmtId="166" fontId="45" fillId="16" borderId="20" xfId="0" applyNumberFormat="1" applyFont="1" applyFill="1" applyBorder="1" applyAlignment="1">
      <alignment horizontal="center"/>
    </xf>
    <xf numFmtId="170" fontId="6" fillId="0" borderId="18" xfId="3" applyNumberFormat="1" applyFont="1" applyFill="1" applyBorder="1"/>
    <xf numFmtId="10" fontId="6" fillId="0" borderId="18" xfId="3" applyNumberFormat="1" applyFont="1" applyFill="1" applyBorder="1"/>
    <xf numFmtId="179" fontId="27" fillId="37" borderId="61" xfId="0" applyNumberFormat="1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 vertical="center"/>
    </xf>
    <xf numFmtId="166" fontId="34" fillId="0" borderId="1" xfId="2" applyNumberFormat="1" applyFont="1" applyBorder="1" applyAlignment="1">
      <alignment horizontal="center"/>
    </xf>
    <xf numFmtId="0" fontId="26" fillId="7" borderId="0" xfId="0" applyFont="1" applyFill="1" applyBorder="1" applyAlignment="1"/>
    <xf numFmtId="0" fontId="26" fillId="7" borderId="0" xfId="0" applyFont="1" applyFill="1" applyBorder="1" applyAlignment="1">
      <alignment horizontal="center"/>
    </xf>
    <xf numFmtId="180" fontId="17" fillId="0" borderId="1" xfId="0" applyNumberFormat="1" applyFont="1" applyFill="1" applyBorder="1"/>
    <xf numFmtId="166" fontId="28" fillId="0" borderId="1" xfId="0" applyNumberFormat="1" applyFont="1" applyBorder="1"/>
    <xf numFmtId="166" fontId="6" fillId="0" borderId="18" xfId="11" applyFont="1" applyBorder="1" applyAlignment="1">
      <alignment horizontal="center"/>
    </xf>
    <xf numFmtId="166" fontId="6" fillId="16" borderId="55" xfId="0" applyNumberFormat="1" applyFont="1" applyFill="1" applyBorder="1"/>
    <xf numFmtId="0" fontId="26" fillId="7" borderId="56" xfId="0" applyFont="1" applyFill="1" applyBorder="1" applyAlignment="1"/>
    <xf numFmtId="180" fontId="26" fillId="0" borderId="1" xfId="0" applyNumberFormat="1" applyFont="1" applyFill="1" applyBorder="1"/>
    <xf numFmtId="180" fontId="26" fillId="25" borderId="1" xfId="0" applyNumberFormat="1" applyFont="1" applyFill="1" applyBorder="1"/>
    <xf numFmtId="180" fontId="26" fillId="37" borderId="1" xfId="0" applyNumberFormat="1" applyFont="1" applyFill="1" applyBorder="1"/>
    <xf numFmtId="180" fontId="26" fillId="37" borderId="4" xfId="0" applyNumberFormat="1" applyFont="1" applyFill="1" applyBorder="1"/>
    <xf numFmtId="180" fontId="26" fillId="0" borderId="1" xfId="0" applyNumberFormat="1" applyFont="1" applyFill="1" applyBorder="1" applyAlignment="1">
      <alignment horizontal="center"/>
    </xf>
    <xf numFmtId="180" fontId="26" fillId="25" borderId="4" xfId="0" applyNumberFormat="1" applyFont="1" applyFill="1" applyBorder="1"/>
    <xf numFmtId="185" fontId="32" fillId="17" borderId="1" xfId="0" applyNumberFormat="1" applyFont="1" applyFill="1" applyBorder="1" applyAlignment="1">
      <alignment horizontal="center"/>
    </xf>
    <xf numFmtId="185" fontId="31" fillId="0" borderId="1" xfId="0" applyNumberFormat="1" applyFont="1" applyBorder="1" applyAlignment="1">
      <alignment horizontal="center"/>
    </xf>
    <xf numFmtId="185" fontId="55" fillId="0" borderId="1" xfId="2" applyNumberFormat="1" applyFont="1" applyBorder="1" applyAlignment="1">
      <alignment horizontal="center" vertical="center" wrapText="1"/>
    </xf>
    <xf numFmtId="185" fontId="17" fillId="0" borderId="0" xfId="0" applyNumberFormat="1" applyFont="1"/>
    <xf numFmtId="185" fontId="17" fillId="0" borderId="1" xfId="0" applyNumberFormat="1" applyFont="1" applyBorder="1"/>
    <xf numFmtId="180" fontId="17" fillId="0" borderId="1" xfId="0" applyNumberFormat="1" applyFont="1" applyBorder="1"/>
    <xf numFmtId="0" fontId="38" fillId="3" borderId="12" xfId="0" applyFont="1" applyFill="1" applyBorder="1" applyAlignment="1">
      <alignment horizontal="center" vertical="center"/>
    </xf>
    <xf numFmtId="0" fontId="57" fillId="3" borderId="0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" fillId="3" borderId="21" xfId="0" applyFont="1" applyFill="1" applyBorder="1" applyAlignment="1">
      <alignment horizontal="center"/>
    </xf>
    <xf numFmtId="166" fontId="28" fillId="3" borderId="1" xfId="0" applyNumberFormat="1" applyFont="1" applyFill="1" applyBorder="1"/>
    <xf numFmtId="166" fontId="5" fillId="3" borderId="1" xfId="0" applyNumberFormat="1" applyFont="1" applyFill="1" applyBorder="1"/>
    <xf numFmtId="0" fontId="57" fillId="6" borderId="29" xfId="0" applyFont="1" applyFill="1" applyBorder="1" applyAlignment="1">
      <alignment horizontal="center" vertical="center"/>
    </xf>
    <xf numFmtId="0" fontId="57" fillId="6" borderId="30" xfId="0" applyFont="1" applyFill="1" applyBorder="1" applyAlignment="1">
      <alignment horizontal="center" vertical="center"/>
    </xf>
    <xf numFmtId="0" fontId="57" fillId="6" borderId="3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165" fontId="17" fillId="0" borderId="17" xfId="4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166" fontId="42" fillId="0" borderId="1" xfId="0" applyNumberFormat="1" applyFont="1" applyBorder="1" applyAlignment="1">
      <alignment horizontal="right"/>
    </xf>
    <xf numFmtId="166" fontId="43" fillId="3" borderId="1" xfId="11" applyNumberFormat="1" applyFont="1" applyFill="1" applyBorder="1" applyAlignment="1">
      <alignment horizontal="right"/>
    </xf>
    <xf numFmtId="166" fontId="42" fillId="16" borderId="1" xfId="0" applyNumberFormat="1" applyFont="1" applyFill="1" applyBorder="1" applyAlignment="1">
      <alignment horizontal="center"/>
    </xf>
    <xf numFmtId="0" fontId="45" fillId="7" borderId="29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5" fillId="7" borderId="38" xfId="0" applyFont="1" applyFill="1" applyBorder="1" applyAlignment="1">
      <alignment horizontal="center" vertical="center" wrapText="1"/>
    </xf>
    <xf numFmtId="44" fontId="4" fillId="3" borderId="14" xfId="0" applyNumberFormat="1" applyFont="1" applyFill="1" applyBorder="1" applyAlignment="1">
      <alignment horizontal="left"/>
    </xf>
    <xf numFmtId="0" fontId="26" fillId="7" borderId="58" xfId="0" applyFont="1" applyFill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43" fillId="0" borderId="1" xfId="0" applyFont="1" applyBorder="1" applyAlignment="1">
      <alignment horizontal="center"/>
    </xf>
    <xf numFmtId="0" fontId="43" fillId="0" borderId="1" xfId="0" applyFont="1" applyFill="1" applyBorder="1" applyAlignment="1">
      <alignment horizontal="center" vertical="center"/>
    </xf>
    <xf numFmtId="0" fontId="0" fillId="7" borderId="1" xfId="0" applyFill="1" applyBorder="1"/>
    <xf numFmtId="0" fontId="26" fillId="7" borderId="12" xfId="0" applyFont="1" applyFill="1" applyBorder="1" applyAlignment="1"/>
    <xf numFmtId="166" fontId="0" fillId="0" borderId="1" xfId="0" applyNumberFormat="1" applyFill="1" applyBorder="1"/>
    <xf numFmtId="0" fontId="42" fillId="0" borderId="1" xfId="0" applyFont="1" applyFill="1" applyBorder="1" applyAlignment="1">
      <alignment horizontal="center"/>
    </xf>
    <xf numFmtId="185" fontId="0" fillId="0" borderId="1" xfId="0" applyNumberFormat="1" applyBorder="1"/>
    <xf numFmtId="0" fontId="42" fillId="0" borderId="1" xfId="0" applyFont="1" applyFill="1" applyBorder="1" applyAlignment="1">
      <alignment horizontal="right" vertical="center"/>
    </xf>
    <xf numFmtId="44" fontId="0" fillId="0" borderId="1" xfId="0" applyNumberFormat="1" applyBorder="1"/>
    <xf numFmtId="166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right"/>
    </xf>
    <xf numFmtId="0" fontId="34" fillId="7" borderId="1" xfId="0" applyFont="1" applyFill="1" applyBorder="1" applyAlignment="1">
      <alignment horizontal="left"/>
    </xf>
    <xf numFmtId="0" fontId="34" fillId="7" borderId="1" xfId="0" applyFont="1" applyFill="1" applyBorder="1"/>
    <xf numFmtId="185" fontId="34" fillId="7" borderId="1" xfId="0" applyNumberFormat="1" applyFont="1" applyFill="1" applyBorder="1"/>
    <xf numFmtId="0" fontId="0" fillId="19" borderId="1" xfId="0" applyFill="1" applyBorder="1" applyAlignment="1">
      <alignment horizontal="center"/>
    </xf>
    <xf numFmtId="0" fontId="0" fillId="19" borderId="1" xfId="0" applyFill="1" applyBorder="1"/>
    <xf numFmtId="166" fontId="0" fillId="0" borderId="1" xfId="11" applyFont="1" applyBorder="1"/>
    <xf numFmtId="0" fontId="27" fillId="37" borderId="1" xfId="0" applyFont="1" applyFill="1" applyBorder="1"/>
    <xf numFmtId="166" fontId="27" fillId="37" borderId="1" xfId="0" applyNumberFormat="1" applyFont="1" applyFill="1" applyBorder="1"/>
    <xf numFmtId="0" fontId="58" fillId="0" borderId="1" xfId="0" applyFont="1" applyBorder="1"/>
    <xf numFmtId="167" fontId="58" fillId="0" borderId="1" xfId="4" applyNumberFormat="1" applyFont="1" applyBorder="1"/>
    <xf numFmtId="177" fontId="58" fillId="0" borderId="1" xfId="4" applyNumberFormat="1" applyFont="1" applyBorder="1"/>
    <xf numFmtId="173" fontId="58" fillId="0" borderId="1" xfId="4" applyNumberFormat="1" applyFont="1" applyBorder="1"/>
    <xf numFmtId="174" fontId="58" fillId="0" borderId="1" xfId="0" applyNumberFormat="1" applyFont="1" applyBorder="1"/>
    <xf numFmtId="10" fontId="26" fillId="4" borderId="1" xfId="2" applyNumberFormat="1" applyFont="1" applyFill="1" applyBorder="1" applyAlignment="1">
      <alignment horizontal="center"/>
    </xf>
    <xf numFmtId="44" fontId="26" fillId="4" borderId="1" xfId="2" applyNumberFormat="1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3" borderId="21" xfId="2" applyFont="1" applyFill="1" applyBorder="1" applyAlignment="1">
      <alignment horizontal="center"/>
    </xf>
    <xf numFmtId="0" fontId="27" fillId="3" borderId="1" xfId="2" applyFont="1" applyFill="1" applyBorder="1" applyAlignment="1">
      <alignment horizontal="center" vertical="center"/>
    </xf>
    <xf numFmtId="0" fontId="27" fillId="3" borderId="18" xfId="2" applyFont="1" applyFill="1" applyBorder="1" applyAlignment="1">
      <alignment horizontal="center"/>
    </xf>
    <xf numFmtId="0" fontId="17" fillId="3" borderId="21" xfId="2" applyFill="1" applyBorder="1" applyAlignment="1">
      <alignment horizontal="center"/>
    </xf>
    <xf numFmtId="187" fontId="17" fillId="3" borderId="1" xfId="2" applyNumberFormat="1" applyFill="1" applyBorder="1" applyAlignment="1">
      <alignment horizontal="center"/>
    </xf>
    <xf numFmtId="9" fontId="0" fillId="3" borderId="18" xfId="14" applyNumberFormat="1" applyFont="1" applyFill="1" applyBorder="1" applyAlignment="1">
      <alignment horizontal="center"/>
    </xf>
    <xf numFmtId="0" fontId="17" fillId="3" borderId="0" xfId="2" applyFill="1"/>
    <xf numFmtId="0" fontId="3" fillId="0" borderId="0" xfId="15"/>
    <xf numFmtId="0" fontId="54" fillId="0" borderId="76" xfId="15" applyFont="1" applyBorder="1"/>
    <xf numFmtId="0" fontId="60" fillId="0" borderId="72" xfId="15" applyFont="1" applyBorder="1" applyAlignment="1"/>
    <xf numFmtId="0" fontId="3" fillId="0" borderId="0" xfId="15" applyBorder="1" applyAlignment="1"/>
    <xf numFmtId="0" fontId="3" fillId="0" borderId="13" xfId="15" applyBorder="1" applyAlignment="1"/>
    <xf numFmtId="4" fontId="54" fillId="0" borderId="77" xfId="15" applyNumberFormat="1" applyFont="1" applyBorder="1" applyAlignment="1">
      <alignment horizontal="left" vertical="center"/>
    </xf>
    <xf numFmtId="0" fontId="54" fillId="0" borderId="77" xfId="15" applyNumberFormat="1" applyFont="1" applyFill="1" applyBorder="1" applyAlignment="1">
      <alignment horizontal="left"/>
    </xf>
    <xf numFmtId="0" fontId="54" fillId="0" borderId="77" xfId="15" applyFont="1" applyFill="1" applyBorder="1"/>
    <xf numFmtId="0" fontId="54" fillId="0" borderId="77" xfId="15" applyFont="1" applyBorder="1"/>
    <xf numFmtId="0" fontId="54" fillId="0" borderId="75" xfId="15" applyFont="1" applyBorder="1"/>
    <xf numFmtId="0" fontId="54" fillId="0" borderId="1" xfId="15" applyFont="1" applyFill="1" applyBorder="1" applyAlignment="1">
      <alignment horizontal="center"/>
    </xf>
    <xf numFmtId="0" fontId="60" fillId="0" borderId="0" xfId="15" applyFont="1" applyBorder="1"/>
    <xf numFmtId="0" fontId="3" fillId="0" borderId="13" xfId="15" applyBorder="1"/>
    <xf numFmtId="0" fontId="3" fillId="0" borderId="1" xfId="15" applyBorder="1" applyAlignment="1">
      <alignment horizontal="center"/>
    </xf>
    <xf numFmtId="0" fontId="54" fillId="0" borderId="21" xfId="15" applyFont="1" applyBorder="1" applyAlignment="1">
      <alignment horizontal="center"/>
    </xf>
    <xf numFmtId="49" fontId="54" fillId="0" borderId="21" xfId="15" applyNumberFormat="1" applyFont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9" fontId="5" fillId="3" borderId="18" xfId="3" applyFont="1" applyFill="1" applyBorder="1" applyAlignment="1">
      <alignment horizontal="center"/>
    </xf>
    <xf numFmtId="187" fontId="17" fillId="0" borderId="1" xfId="2" applyNumberFormat="1" applyFill="1" applyBorder="1" applyAlignment="1">
      <alignment horizontal="center"/>
    </xf>
    <xf numFmtId="0" fontId="26" fillId="17" borderId="35" xfId="0" applyFont="1" applyFill="1" applyBorder="1" applyAlignment="1">
      <alignment horizontal="right"/>
    </xf>
    <xf numFmtId="0" fontId="26" fillId="17" borderId="44" xfId="0" applyFont="1" applyFill="1" applyBorder="1" applyAlignment="1">
      <alignment horizontal="right"/>
    </xf>
    <xf numFmtId="0" fontId="17" fillId="0" borderId="63" xfId="0" applyFont="1" applyFill="1" applyBorder="1" applyAlignment="1"/>
    <xf numFmtId="185" fontId="26" fillId="7" borderId="53" xfId="0" applyNumberFormat="1" applyFont="1" applyFill="1" applyBorder="1" applyAlignment="1"/>
    <xf numFmtId="172" fontId="31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4" xfId="0" applyFont="1" applyFill="1" applyBorder="1" applyAlignment="1">
      <alignment horizontal="center" vertical="center"/>
    </xf>
    <xf numFmtId="172" fontId="31" fillId="0" borderId="4" xfId="0" applyNumberFormat="1" applyFont="1" applyFill="1" applyBorder="1" applyAlignment="1">
      <alignment horizontal="center" vertical="center"/>
    </xf>
    <xf numFmtId="171" fontId="31" fillId="0" borderId="4" xfId="0" applyNumberFormat="1" applyFont="1" applyFill="1" applyBorder="1" applyAlignment="1">
      <alignment horizontal="center" vertical="center"/>
    </xf>
    <xf numFmtId="3" fontId="8" fillId="0" borderId="0" xfId="10" applyNumberFormat="1" applyFont="1" applyBorder="1" applyAlignment="1">
      <alignment horizontal="center"/>
    </xf>
    <xf numFmtId="165" fontId="32" fillId="12" borderId="70" xfId="10" applyNumberFormat="1" applyFont="1" applyFill="1" applyBorder="1" applyAlignment="1">
      <alignment horizontal="center" vertical="center"/>
    </xf>
    <xf numFmtId="166" fontId="32" fillId="5" borderId="71" xfId="10" applyNumberFormat="1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12" fillId="0" borderId="1" xfId="10" applyFill="1" applyBorder="1" applyAlignment="1">
      <alignment horizontal="right"/>
    </xf>
    <xf numFmtId="0" fontId="12" fillId="0" borderId="1" xfId="10" applyFill="1" applyBorder="1"/>
    <xf numFmtId="2" fontId="12" fillId="0" borderId="1" xfId="10" applyNumberFormat="1" applyFill="1" applyBorder="1" applyAlignment="1">
      <alignment horizontal="right"/>
    </xf>
    <xf numFmtId="179" fontId="17" fillId="0" borderId="1" xfId="0" applyNumberFormat="1" applyFont="1" applyFill="1" applyBorder="1" applyAlignment="1">
      <alignment vertical="center"/>
    </xf>
    <xf numFmtId="171" fontId="17" fillId="0" borderId="0" xfId="0" applyNumberFormat="1" applyFont="1"/>
    <xf numFmtId="185" fontId="12" fillId="0" borderId="0" xfId="10" applyNumberFormat="1"/>
    <xf numFmtId="0" fontId="17" fillId="0" borderId="1" xfId="0" applyFont="1" applyBorder="1" applyAlignment="1"/>
    <xf numFmtId="171" fontId="0" fillId="0" borderId="0" xfId="0" applyNumberFormat="1" applyFill="1"/>
    <xf numFmtId="0" fontId="57" fillId="5" borderId="61" xfId="15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165" fontId="17" fillId="0" borderId="17" xfId="4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4" xfId="0" applyFont="1" applyBorder="1" applyAlignment="1"/>
    <xf numFmtId="1" fontId="11" fillId="0" borderId="4" xfId="10" applyNumberFormat="1" applyFont="1" applyFill="1" applyBorder="1"/>
    <xf numFmtId="2" fontId="31" fillId="0" borderId="4" xfId="10" applyNumberFormat="1" applyFont="1" applyFill="1" applyBorder="1" applyAlignment="1">
      <alignment vertical="center"/>
    </xf>
    <xf numFmtId="179" fontId="12" fillId="0" borderId="0" xfId="10" applyNumberFormat="1"/>
    <xf numFmtId="185" fontId="34" fillId="0" borderId="0" xfId="0" applyNumberFormat="1" applyFont="1" applyFill="1" applyAlignment="1">
      <alignment wrapText="1"/>
    </xf>
    <xf numFmtId="185" fontId="0" fillId="0" borderId="0" xfId="0" applyNumberFormat="1"/>
    <xf numFmtId="44" fontId="34" fillId="0" borderId="0" xfId="0" applyNumberFormat="1" applyFont="1" applyFill="1" applyAlignment="1">
      <alignment wrapText="1"/>
    </xf>
    <xf numFmtId="179" fontId="0" fillId="0" borderId="0" xfId="0" applyNumberFormat="1"/>
    <xf numFmtId="166" fontId="34" fillId="0" borderId="0" xfId="0" applyNumberFormat="1" applyFont="1" applyFill="1" applyAlignment="1">
      <alignment wrapText="1"/>
    </xf>
    <xf numFmtId="44" fontId="0" fillId="0" borderId="0" xfId="0" applyNumberFormat="1"/>
    <xf numFmtId="179" fontId="34" fillId="0" borderId="0" xfId="0" applyNumberFormat="1" applyFont="1" applyFill="1" applyAlignment="1">
      <alignment wrapText="1"/>
    </xf>
    <xf numFmtId="2" fontId="12" fillId="0" borderId="0" xfId="10" applyNumberFormat="1"/>
    <xf numFmtId="0" fontId="31" fillId="0" borderId="5" xfId="0" applyFont="1" applyFill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171" fontId="32" fillId="15" borderId="49" xfId="0" applyNumberFormat="1" applyFont="1" applyFill="1" applyBorder="1" applyAlignment="1">
      <alignment horizontal="center" vertical="center"/>
    </xf>
    <xf numFmtId="170" fontId="32" fillId="15" borderId="70" xfId="0" applyNumberFormat="1" applyFont="1" applyFill="1" applyBorder="1" applyAlignment="1">
      <alignment horizontal="center" vertical="center"/>
    </xf>
    <xf numFmtId="10" fontId="31" fillId="0" borderId="3" xfId="0" applyNumberFormat="1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2" fillId="0" borderId="1" xfId="16" applyBorder="1"/>
    <xf numFmtId="49" fontId="2" fillId="0" borderId="1" xfId="16" applyNumberFormat="1" applyBorder="1" applyAlignment="1">
      <alignment horizontal="right"/>
    </xf>
    <xf numFmtId="0" fontId="2" fillId="0" borderId="3" xfId="16" applyBorder="1"/>
    <xf numFmtId="0" fontId="2" fillId="0" borderId="46" xfId="16" applyBorder="1" applyAlignment="1">
      <alignment horizontal="center"/>
    </xf>
    <xf numFmtId="0" fontId="2" fillId="0" borderId="69" xfId="16" applyBorder="1"/>
    <xf numFmtId="0" fontId="2" fillId="0" borderId="18" xfId="16" applyBorder="1"/>
    <xf numFmtId="49" fontId="2" fillId="0" borderId="19" xfId="16" applyNumberFormat="1" applyBorder="1" applyAlignment="1">
      <alignment horizontal="right"/>
    </xf>
    <xf numFmtId="0" fontId="2" fillId="0" borderId="19" xfId="16" applyBorder="1"/>
    <xf numFmtId="0" fontId="2" fillId="0" borderId="45" xfId="16" applyBorder="1" applyAlignment="1">
      <alignment horizontal="center"/>
    </xf>
    <xf numFmtId="0" fontId="2" fillId="0" borderId="10" xfId="16" applyBorder="1"/>
    <xf numFmtId="0" fontId="2" fillId="0" borderId="14" xfId="16" applyBorder="1"/>
    <xf numFmtId="0" fontId="2" fillId="0" borderId="40" xfId="16" applyBorder="1"/>
    <xf numFmtId="0" fontId="2" fillId="0" borderId="64" xfId="16" applyBorder="1"/>
    <xf numFmtId="0" fontId="2" fillId="0" borderId="58" xfId="16" applyFill="1" applyBorder="1"/>
    <xf numFmtId="0" fontId="2" fillId="0" borderId="55" xfId="16" applyFill="1" applyBorder="1"/>
    <xf numFmtId="0" fontId="2" fillId="0" borderId="70" xfId="16" applyBorder="1"/>
    <xf numFmtId="0" fontId="2" fillId="0" borderId="71" xfId="16" applyBorder="1"/>
    <xf numFmtId="2" fontId="0" fillId="0" borderId="4" xfId="0" applyNumberFormat="1" applyBorder="1"/>
    <xf numFmtId="0" fontId="18" fillId="0" borderId="4" xfId="0" applyFont="1" applyBorder="1"/>
    <xf numFmtId="49" fontId="18" fillId="0" borderId="1" xfId="0" applyNumberFormat="1" applyFont="1" applyFill="1" applyBorder="1" applyAlignment="1">
      <alignment horizontal="center" vertical="center" wrapText="1"/>
    </xf>
    <xf numFmtId="2" fontId="18" fillId="0" borderId="1" xfId="0" applyNumberFormat="1" applyFont="1" applyFill="1" applyBorder="1" applyAlignment="1">
      <alignment horizontal="center" vertical="center" wrapText="1"/>
    </xf>
    <xf numFmtId="165" fontId="17" fillId="0" borderId="3" xfId="4" applyFont="1" applyFill="1" applyBorder="1" applyAlignment="1">
      <alignment horizontal="left"/>
    </xf>
    <xf numFmtId="2" fontId="31" fillId="0" borderId="1" xfId="10" applyNumberFormat="1" applyFont="1" applyBorder="1" applyAlignment="1">
      <alignment wrapText="1"/>
    </xf>
    <xf numFmtId="180" fontId="0" fillId="0" borderId="0" xfId="0" applyNumberFormat="1"/>
    <xf numFmtId="179" fontId="12" fillId="0" borderId="0" xfId="10" applyNumberFormat="1" applyFill="1" applyBorder="1"/>
    <xf numFmtId="0" fontId="31" fillId="0" borderId="4" xfId="10" applyFont="1" applyBorder="1" applyAlignment="1">
      <alignment horizontal="left" vertical="center" wrapText="1"/>
    </xf>
    <xf numFmtId="2" fontId="31" fillId="0" borderId="4" xfId="10" applyNumberFormat="1" applyFont="1" applyBorder="1" applyAlignment="1">
      <alignment horizontal="right" vertical="center" wrapText="1"/>
    </xf>
    <xf numFmtId="2" fontId="31" fillId="0" borderId="4" xfId="10" applyNumberFormat="1" applyFont="1" applyBorder="1" applyAlignment="1">
      <alignment wrapText="1"/>
    </xf>
    <xf numFmtId="0" fontId="12" fillId="0" borderId="2" xfId="10" applyFill="1" applyBorder="1" applyAlignment="1"/>
    <xf numFmtId="2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 vertical="center"/>
    </xf>
    <xf numFmtId="171" fontId="0" fillId="0" borderId="0" xfId="0" applyNumberFormat="1"/>
    <xf numFmtId="44" fontId="12" fillId="0" borderId="0" xfId="10" applyNumberFormat="1"/>
    <xf numFmtId="1" fontId="26" fillId="6" borderId="1" xfId="2" applyNumberFormat="1" applyFont="1" applyFill="1" applyBorder="1" applyAlignment="1">
      <alignment horizontal="center"/>
    </xf>
    <xf numFmtId="171" fontId="0" fillId="0" borderId="0" xfId="3" applyNumberFormat="1" applyFont="1"/>
    <xf numFmtId="2" fontId="34" fillId="0" borderId="0" xfId="0" applyNumberFormat="1" applyFont="1" applyFill="1" applyAlignment="1">
      <alignment wrapText="1"/>
    </xf>
    <xf numFmtId="180" fontId="12" fillId="0" borderId="0" xfId="10" applyNumberFormat="1"/>
    <xf numFmtId="180" fontId="34" fillId="0" borderId="0" xfId="0" applyNumberFormat="1" applyFont="1" applyFill="1" applyAlignment="1">
      <alignment wrapText="1"/>
    </xf>
    <xf numFmtId="183" fontId="31" fillId="0" borderId="1" xfId="0" applyNumberFormat="1" applyFont="1" applyFill="1" applyBorder="1" applyAlignment="1">
      <alignment horizontal="center" vertical="center"/>
    </xf>
    <xf numFmtId="183" fontId="32" fillId="5" borderId="61" xfId="10" applyNumberFormat="1" applyFont="1" applyFill="1" applyBorder="1" applyAlignment="1">
      <alignment vertical="center"/>
    </xf>
    <xf numFmtId="183" fontId="31" fillId="0" borderId="1" xfId="3" applyNumberFormat="1" applyFont="1" applyFill="1" applyBorder="1" applyAlignment="1">
      <alignment horizontal="center" vertical="center"/>
    </xf>
    <xf numFmtId="183" fontId="31" fillId="0" borderId="2" xfId="3" applyNumberFormat="1" applyFont="1" applyFill="1" applyBorder="1" applyAlignment="1">
      <alignment horizontal="center" vertical="center"/>
    </xf>
    <xf numFmtId="180" fontId="31" fillId="0" borderId="3" xfId="10" applyNumberFormat="1" applyFont="1" applyFill="1" applyBorder="1" applyAlignment="1">
      <alignment vertical="center"/>
    </xf>
    <xf numFmtId="180" fontId="31" fillId="0" borderId="1" xfId="10" applyNumberFormat="1" applyFont="1" applyFill="1" applyBorder="1" applyAlignment="1">
      <alignment vertical="center"/>
    </xf>
    <xf numFmtId="180" fontId="31" fillId="0" borderId="4" xfId="10" applyNumberFormat="1" applyFont="1" applyFill="1" applyBorder="1" applyAlignment="1">
      <alignment vertical="center"/>
    </xf>
    <xf numFmtId="180" fontId="32" fillId="5" borderId="61" xfId="10" applyNumberFormat="1" applyFont="1" applyFill="1" applyBorder="1" applyAlignment="1">
      <alignment vertical="center"/>
    </xf>
    <xf numFmtId="183" fontId="31" fillId="0" borderId="4" xfId="3" applyNumberFormat="1" applyFont="1" applyFill="1" applyBorder="1" applyAlignment="1">
      <alignment horizontal="center" vertical="center"/>
    </xf>
    <xf numFmtId="180" fontId="32" fillId="12" borderId="61" xfId="10" applyNumberFormat="1" applyFont="1" applyFill="1" applyBorder="1" applyAlignment="1">
      <alignment horizontal="center" vertical="center"/>
    </xf>
    <xf numFmtId="0" fontId="2" fillId="0" borderId="0" xfId="10" applyFont="1"/>
    <xf numFmtId="43" fontId="12" fillId="0" borderId="0" xfId="10" applyNumberFormat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0" xfId="0" applyNumberFormat="1" applyBorder="1"/>
    <xf numFmtId="0" fontId="0" fillId="0" borderId="83" xfId="0" applyNumberFormat="1" applyBorder="1"/>
    <xf numFmtId="0" fontId="0" fillId="0" borderId="84" xfId="0" applyBorder="1"/>
    <xf numFmtId="0" fontId="0" fillId="0" borderId="85" xfId="0" applyBorder="1"/>
    <xf numFmtId="0" fontId="0" fillId="0" borderId="85" xfId="0" applyNumberFormat="1" applyBorder="1"/>
    <xf numFmtId="0" fontId="0" fillId="0" borderId="86" xfId="0" applyNumberFormat="1" applyBorder="1"/>
    <xf numFmtId="0" fontId="0" fillId="0" borderId="87" xfId="0" applyBorder="1"/>
    <xf numFmtId="0" fontId="0" fillId="0" borderId="88" xfId="0" applyBorder="1"/>
    <xf numFmtId="0" fontId="0" fillId="0" borderId="87" xfId="0" applyNumberFormat="1" applyBorder="1"/>
    <xf numFmtId="0" fontId="0" fillId="0" borderId="89" xfId="0" applyNumberFormat="1" applyBorder="1"/>
    <xf numFmtId="0" fontId="0" fillId="0" borderId="80" xfId="0" pivotButton="1" applyBorder="1"/>
    <xf numFmtId="0" fontId="0" fillId="0" borderId="79" xfId="0" pivotButton="1" applyBorder="1"/>
    <xf numFmtId="0" fontId="17" fillId="0" borderId="0" xfId="2" applyFill="1" applyBorder="1" applyAlignment="1">
      <alignment horizontal="center"/>
    </xf>
    <xf numFmtId="0" fontId="38" fillId="4" borderId="1" xfId="2" applyFont="1" applyFill="1" applyBorder="1" applyAlignment="1">
      <alignment horizontal="center" vertical="center"/>
    </xf>
    <xf numFmtId="0" fontId="38" fillId="3" borderId="1" xfId="2" applyFont="1" applyFill="1" applyBorder="1" applyAlignment="1">
      <alignment vertical="center"/>
    </xf>
    <xf numFmtId="0" fontId="28" fillId="3" borderId="78" xfId="2" applyFont="1" applyFill="1" applyBorder="1" applyAlignment="1">
      <alignment horizontal="center"/>
    </xf>
    <xf numFmtId="0" fontId="28" fillId="3" borderId="11" xfId="2" applyFont="1" applyFill="1" applyBorder="1" applyAlignment="1">
      <alignment horizontal="center"/>
    </xf>
    <xf numFmtId="2" fontId="28" fillId="3" borderId="27" xfId="2" applyNumberFormat="1" applyFont="1" applyFill="1" applyBorder="1" applyAlignment="1">
      <alignment horizontal="center"/>
    </xf>
    <xf numFmtId="0" fontId="28" fillId="3" borderId="28" xfId="2" applyFont="1" applyFill="1" applyBorder="1" applyAlignment="1">
      <alignment horizontal="center"/>
    </xf>
    <xf numFmtId="0" fontId="28" fillId="3" borderId="27" xfId="2" applyFont="1" applyFill="1" applyBorder="1" applyAlignment="1">
      <alignment horizontal="center"/>
    </xf>
    <xf numFmtId="0" fontId="28" fillId="3" borderId="17" xfId="2" applyFont="1" applyFill="1" applyBorder="1" applyAlignment="1">
      <alignment horizontal="center"/>
    </xf>
    <xf numFmtId="2" fontId="28" fillId="3" borderId="78" xfId="2" applyNumberFormat="1" applyFont="1" applyFill="1" applyBorder="1" applyAlignment="1">
      <alignment horizontal="center"/>
    </xf>
    <xf numFmtId="0" fontId="28" fillId="3" borderId="26" xfId="2" applyFont="1" applyFill="1" applyBorder="1" applyAlignment="1">
      <alignment horizontal="center"/>
    </xf>
    <xf numFmtId="0" fontId="38" fillId="4" borderId="56" xfId="2" applyFont="1" applyFill="1" applyBorder="1" applyAlignment="1">
      <alignment horizontal="center" vertical="center"/>
    </xf>
    <xf numFmtId="0" fontId="38" fillId="4" borderId="49" xfId="2" applyFont="1" applyFill="1" applyBorder="1" applyAlignment="1">
      <alignment horizontal="center" vertical="center"/>
    </xf>
    <xf numFmtId="0" fontId="38" fillId="4" borderId="58" xfId="2" applyFont="1" applyFill="1" applyBorder="1" applyAlignment="1">
      <alignment horizontal="center" vertical="center"/>
    </xf>
    <xf numFmtId="0" fontId="38" fillId="4" borderId="54" xfId="2" applyFont="1" applyFill="1" applyBorder="1" applyAlignment="1">
      <alignment horizontal="center" vertical="center"/>
    </xf>
    <xf numFmtId="0" fontId="38" fillId="4" borderId="51" xfId="2" applyFont="1" applyFill="1" applyBorder="1" applyAlignment="1">
      <alignment horizontal="center" vertical="center"/>
    </xf>
    <xf numFmtId="0" fontId="38" fillId="4" borderId="55" xfId="2" applyFont="1" applyFill="1" applyBorder="1" applyAlignment="1">
      <alignment horizontal="center" vertical="center"/>
    </xf>
    <xf numFmtId="0" fontId="38" fillId="4" borderId="52" xfId="2" applyFont="1" applyFill="1" applyBorder="1" applyAlignment="1">
      <alignment horizontal="center"/>
    </xf>
    <xf numFmtId="0" fontId="38" fillId="4" borderId="46" xfId="2" applyFont="1" applyFill="1" applyBorder="1" applyAlignment="1">
      <alignment horizontal="center"/>
    </xf>
    <xf numFmtId="0" fontId="38" fillId="4" borderId="53" xfId="2" applyFont="1" applyFill="1" applyBorder="1" applyAlignment="1">
      <alignment horizontal="center"/>
    </xf>
    <xf numFmtId="0" fontId="28" fillId="4" borderId="59" xfId="2" applyFont="1" applyFill="1" applyBorder="1" applyAlignment="1">
      <alignment horizontal="center"/>
    </xf>
    <xf numFmtId="0" fontId="28" fillId="4" borderId="41" xfId="2" applyFont="1" applyFill="1" applyBorder="1" applyAlignment="1">
      <alignment horizontal="center"/>
    </xf>
    <xf numFmtId="2" fontId="28" fillId="4" borderId="59" xfId="2" applyNumberFormat="1" applyFont="1" applyFill="1" applyBorder="1" applyAlignment="1">
      <alignment horizontal="center"/>
    </xf>
    <xf numFmtId="0" fontId="28" fillId="4" borderId="62" xfId="2" applyFont="1" applyFill="1" applyBorder="1" applyAlignment="1">
      <alignment horizontal="center"/>
    </xf>
    <xf numFmtId="0" fontId="54" fillId="0" borderId="1" xfId="15" applyFont="1" applyBorder="1" applyAlignment="1">
      <alignment horizontal="left" vertical="center"/>
    </xf>
    <xf numFmtId="0" fontId="54" fillId="0" borderId="18" xfId="15" applyFont="1" applyBorder="1" applyAlignment="1">
      <alignment horizontal="left" vertical="center"/>
    </xf>
    <xf numFmtId="0" fontId="57" fillId="5" borderId="65" xfId="15" applyFont="1" applyFill="1" applyBorder="1" applyAlignment="1">
      <alignment horizontal="center"/>
    </xf>
    <xf numFmtId="0" fontId="57" fillId="5" borderId="57" xfId="15" applyFont="1" applyFill="1" applyBorder="1" applyAlignment="1">
      <alignment horizontal="center"/>
    </xf>
    <xf numFmtId="0" fontId="57" fillId="5" borderId="66" xfId="15" applyFont="1" applyFill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0" fontId="57" fillId="5" borderId="29" xfId="15" applyFont="1" applyFill="1" applyBorder="1" applyAlignment="1">
      <alignment horizontal="center"/>
    </xf>
    <xf numFmtId="0" fontId="57" fillId="5" borderId="30" xfId="15" applyFont="1" applyFill="1" applyBorder="1" applyAlignment="1">
      <alignment horizontal="center"/>
    </xf>
    <xf numFmtId="0" fontId="57" fillId="5" borderId="31" xfId="15" applyFont="1" applyFill="1" applyBorder="1" applyAlignment="1">
      <alignment horizontal="center"/>
    </xf>
    <xf numFmtId="0" fontId="57" fillId="5" borderId="34" xfId="15" applyFont="1" applyFill="1" applyBorder="1" applyAlignment="1">
      <alignment horizontal="center"/>
    </xf>
    <xf numFmtId="0" fontId="57" fillId="5" borderId="3" xfId="15" applyFont="1" applyFill="1" applyBorder="1" applyAlignment="1">
      <alignment horizontal="center"/>
    </xf>
    <xf numFmtId="0" fontId="57" fillId="5" borderId="69" xfId="15" applyFont="1" applyFill="1" applyBorder="1" applyAlignment="1">
      <alignment horizontal="center"/>
    </xf>
    <xf numFmtId="0" fontId="57" fillId="0" borderId="27" xfId="15" applyFont="1" applyBorder="1" applyAlignment="1">
      <alignment horizontal="left"/>
    </xf>
    <xf numFmtId="0" fontId="57" fillId="0" borderId="28" xfId="15" applyFont="1" applyBorder="1" applyAlignment="1">
      <alignment horizontal="left"/>
    </xf>
    <xf numFmtId="0" fontId="57" fillId="0" borderId="27" xfId="15" applyFont="1" applyFill="1" applyBorder="1" applyAlignment="1">
      <alignment horizontal="left"/>
    </xf>
    <xf numFmtId="0" fontId="57" fillId="0" borderId="28" xfId="15" applyFont="1" applyFill="1" applyBorder="1" applyAlignment="1">
      <alignment horizontal="left"/>
    </xf>
    <xf numFmtId="0" fontId="57" fillId="0" borderId="59" xfId="15" applyFont="1" applyBorder="1" applyAlignment="1">
      <alignment horizontal="left"/>
    </xf>
    <xf numFmtId="0" fontId="57" fillId="0" borderId="62" xfId="15" applyFont="1" applyBorder="1" applyAlignment="1">
      <alignment horizontal="left"/>
    </xf>
    <xf numFmtId="0" fontId="56" fillId="5" borderId="61" xfId="15" applyFont="1" applyFill="1" applyBorder="1" applyAlignment="1">
      <alignment horizontal="center"/>
    </xf>
    <xf numFmtId="0" fontId="57" fillId="5" borderId="61" xfId="15" applyFont="1" applyFill="1" applyBorder="1" applyAlignment="1">
      <alignment horizontal="center"/>
    </xf>
    <xf numFmtId="0" fontId="57" fillId="5" borderId="52" xfId="15" applyFont="1" applyFill="1" applyBorder="1" applyAlignment="1">
      <alignment horizontal="center" vertical="center" wrapText="1"/>
    </xf>
    <xf numFmtId="0" fontId="57" fillId="5" borderId="53" xfId="15" applyFont="1" applyFill="1" applyBorder="1" applyAlignment="1">
      <alignment horizontal="center" vertical="center" wrapText="1"/>
    </xf>
    <xf numFmtId="0" fontId="59" fillId="23" borderId="70" xfId="15" applyFont="1" applyFill="1" applyBorder="1" applyAlignment="1">
      <alignment horizontal="center" vertical="center" wrapText="1"/>
    </xf>
    <xf numFmtId="0" fontId="59" fillId="23" borderId="72" xfId="15" applyFont="1" applyFill="1" applyBorder="1" applyAlignment="1">
      <alignment horizontal="center" vertical="center" wrapText="1"/>
    </xf>
    <xf numFmtId="0" fontId="59" fillId="23" borderId="71" xfId="15" applyFont="1" applyFill="1" applyBorder="1" applyAlignment="1">
      <alignment horizontal="center" vertical="center" wrapText="1"/>
    </xf>
    <xf numFmtId="0" fontId="56" fillId="5" borderId="52" xfId="15" applyFont="1" applyFill="1" applyBorder="1" applyAlignment="1">
      <alignment horizontal="center" vertical="center"/>
    </xf>
    <xf numFmtId="0" fontId="56" fillId="5" borderId="53" xfId="15" applyFont="1" applyFill="1" applyBorder="1" applyAlignment="1">
      <alignment horizontal="center" vertical="center"/>
    </xf>
    <xf numFmtId="0" fontId="57" fillId="0" borderId="65" xfId="15" applyFont="1" applyBorder="1" applyAlignment="1">
      <alignment horizontal="left"/>
    </xf>
    <xf numFmtId="0" fontId="57" fillId="0" borderId="66" xfId="15" applyFont="1" applyBorder="1" applyAlignment="1">
      <alignment horizontal="left"/>
    </xf>
    <xf numFmtId="0" fontId="32" fillId="20" borderId="52" xfId="0" applyFont="1" applyFill="1" applyBorder="1" applyAlignment="1">
      <alignment horizontal="center" vertical="center"/>
    </xf>
    <xf numFmtId="0" fontId="32" fillId="20" borderId="50" xfId="0" applyFont="1" applyFill="1" applyBorder="1" applyAlignment="1">
      <alignment horizontal="center" vertical="center"/>
    </xf>
    <xf numFmtId="0" fontId="32" fillId="20" borderId="53" xfId="0" applyFont="1" applyFill="1" applyBorder="1" applyAlignment="1">
      <alignment horizontal="center" vertical="center"/>
    </xf>
    <xf numFmtId="0" fontId="32" fillId="20" borderId="56" xfId="0" applyFont="1" applyFill="1" applyBorder="1" applyAlignment="1">
      <alignment horizontal="center" vertical="center"/>
    </xf>
    <xf numFmtId="0" fontId="32" fillId="20" borderId="49" xfId="0" applyFont="1" applyFill="1" applyBorder="1" applyAlignment="1">
      <alignment horizontal="center" vertical="center"/>
    </xf>
    <xf numFmtId="0" fontId="32" fillId="20" borderId="58" xfId="0" applyFont="1" applyFill="1" applyBorder="1" applyAlignment="1">
      <alignment horizontal="center" vertical="center"/>
    </xf>
    <xf numFmtId="0" fontId="26" fillId="20" borderId="52" xfId="0" applyFont="1" applyFill="1" applyBorder="1" applyAlignment="1">
      <alignment horizontal="center"/>
    </xf>
    <xf numFmtId="0" fontId="26" fillId="20" borderId="50" xfId="0" applyFont="1" applyFill="1" applyBorder="1" applyAlignment="1">
      <alignment horizontal="center"/>
    </xf>
    <xf numFmtId="0" fontId="26" fillId="20" borderId="53" xfId="0" applyFont="1" applyFill="1" applyBorder="1" applyAlignment="1">
      <alignment horizontal="center"/>
    </xf>
    <xf numFmtId="0" fontId="17" fillId="0" borderId="14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31" fillId="0" borderId="3" xfId="0" applyFont="1" applyBorder="1" applyAlignment="1">
      <alignment horizontal="left" vertical="center"/>
    </xf>
    <xf numFmtId="0" fontId="17" fillId="3" borderId="14" xfId="0" applyFont="1" applyFill="1" applyBorder="1" applyAlignment="1">
      <alignment horizontal="left" vertical="center" wrapText="1"/>
    </xf>
    <xf numFmtId="0" fontId="17" fillId="3" borderId="7" xfId="0" applyFont="1" applyFill="1" applyBorder="1" applyAlignment="1">
      <alignment horizontal="left" vertical="center" wrapText="1"/>
    </xf>
    <xf numFmtId="0" fontId="17" fillId="3" borderId="17" xfId="0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32" fillId="5" borderId="52" xfId="0" applyFont="1" applyFill="1" applyBorder="1" applyAlignment="1">
      <alignment horizontal="center" vertical="center"/>
    </xf>
    <xf numFmtId="0" fontId="32" fillId="5" borderId="50" xfId="0" applyFont="1" applyFill="1" applyBorder="1" applyAlignment="1">
      <alignment horizontal="center" vertical="center"/>
    </xf>
    <xf numFmtId="0" fontId="32" fillId="5" borderId="53" xfId="0" applyFont="1" applyFill="1" applyBorder="1" applyAlignment="1">
      <alignment horizontal="center" vertical="center"/>
    </xf>
    <xf numFmtId="0" fontId="31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7" fillId="0" borderId="17" xfId="0" applyFont="1" applyBorder="1" applyAlignment="1">
      <alignment horizontal="left" vertical="center" wrapText="1"/>
    </xf>
    <xf numFmtId="0" fontId="17" fillId="3" borderId="3" xfId="0" applyFont="1" applyFill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/>
    </xf>
    <xf numFmtId="0" fontId="17" fillId="3" borderId="57" xfId="0" applyFont="1" applyFill="1" applyBorder="1" applyAlignment="1">
      <alignment horizontal="left" vertical="center" wrapText="1"/>
    </xf>
    <xf numFmtId="0" fontId="17" fillId="3" borderId="39" xfId="0" applyFont="1" applyFill="1" applyBorder="1" applyAlignment="1">
      <alignment horizontal="left" vertical="center" wrapText="1"/>
    </xf>
    <xf numFmtId="0" fontId="32" fillId="5" borderId="44" xfId="0" applyFont="1" applyFill="1" applyBorder="1" applyAlignment="1">
      <alignment horizontal="center" vertical="center"/>
    </xf>
    <xf numFmtId="0" fontId="32" fillId="5" borderId="47" xfId="0" applyFont="1" applyFill="1" applyBorder="1" applyAlignment="1">
      <alignment horizontal="center" vertical="center"/>
    </xf>
    <xf numFmtId="0" fontId="32" fillId="5" borderId="4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21" fillId="2" borderId="57" xfId="0" applyFont="1" applyFill="1" applyBorder="1" applyAlignment="1">
      <alignment horizontal="center"/>
    </xf>
    <xf numFmtId="0" fontId="32" fillId="4" borderId="65" xfId="0" applyFont="1" applyFill="1" applyBorder="1" applyAlignment="1">
      <alignment horizontal="center" vertical="center"/>
    </xf>
    <xf numFmtId="0" fontId="32" fillId="4" borderId="59" xfId="0" applyFont="1" applyFill="1" applyBorder="1" applyAlignment="1">
      <alignment horizontal="center" vertical="center"/>
    </xf>
    <xf numFmtId="0" fontId="32" fillId="4" borderId="29" xfId="0" applyFont="1" applyFill="1" applyBorder="1" applyAlignment="1">
      <alignment horizontal="center" vertical="center"/>
    </xf>
    <xf numFmtId="0" fontId="32" fillId="4" borderId="30" xfId="0" applyFont="1" applyFill="1" applyBorder="1" applyAlignment="1">
      <alignment horizontal="center" vertical="center"/>
    </xf>
    <xf numFmtId="0" fontId="32" fillId="4" borderId="31" xfId="0" applyFont="1" applyFill="1" applyBorder="1" applyAlignment="1">
      <alignment horizontal="center" vertical="center"/>
    </xf>
    <xf numFmtId="0" fontId="32" fillId="4" borderId="32" xfId="0" applyFont="1" applyFill="1" applyBorder="1" applyAlignment="1">
      <alignment horizontal="center" vertical="center"/>
    </xf>
    <xf numFmtId="0" fontId="32" fillId="4" borderId="19" xfId="0" applyFont="1" applyFill="1" applyBorder="1" applyAlignment="1">
      <alignment horizontal="center" vertical="center"/>
    </xf>
    <xf numFmtId="0" fontId="32" fillId="4" borderId="20" xfId="0" applyFont="1" applyFill="1" applyBorder="1" applyAlignment="1">
      <alignment horizontal="center" vertical="center"/>
    </xf>
    <xf numFmtId="0" fontId="32" fillId="4" borderId="57" xfId="0" applyFont="1" applyFill="1" applyBorder="1" applyAlignment="1">
      <alignment horizontal="center" vertical="center"/>
    </xf>
    <xf numFmtId="0" fontId="32" fillId="4" borderId="60" xfId="0" applyFont="1" applyFill="1" applyBorder="1" applyAlignment="1">
      <alignment horizontal="center" vertical="center"/>
    </xf>
    <xf numFmtId="0" fontId="32" fillId="4" borderId="76" xfId="0" applyFont="1" applyFill="1" applyBorder="1" applyAlignment="1">
      <alignment horizontal="center" vertical="center"/>
    </xf>
    <xf numFmtId="0" fontId="32" fillId="4" borderId="75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/>
    </xf>
    <xf numFmtId="0" fontId="31" fillId="0" borderId="7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3" xfId="0" applyFont="1" applyFill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3" xfId="0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0" fontId="17" fillId="0" borderId="1" xfId="0" applyFont="1" applyBorder="1" applyAlignment="1">
      <alignment horizontal="left" vertical="center"/>
    </xf>
    <xf numFmtId="0" fontId="32" fillId="4" borderId="70" xfId="0" applyFont="1" applyFill="1" applyBorder="1" applyAlignment="1">
      <alignment horizontal="center" vertical="center" wrapText="1"/>
    </xf>
    <xf numFmtId="0" fontId="32" fillId="4" borderId="71" xfId="0" applyFont="1" applyFill="1" applyBorder="1" applyAlignment="1">
      <alignment horizontal="center" vertical="center" wrapText="1"/>
    </xf>
    <xf numFmtId="0" fontId="31" fillId="0" borderId="10" xfId="0" applyFont="1" applyFill="1" applyBorder="1" applyAlignment="1">
      <alignment horizontal="left" vertical="center"/>
    </xf>
    <xf numFmtId="0" fontId="31" fillId="0" borderId="6" xfId="0" applyFont="1" applyFill="1" applyBorder="1" applyAlignment="1">
      <alignment horizontal="left" vertical="center"/>
    </xf>
    <xf numFmtId="0" fontId="31" fillId="0" borderId="11" xfId="0" applyFont="1" applyFill="1" applyBorder="1" applyAlignment="1">
      <alignment horizontal="left" vertical="center"/>
    </xf>
    <xf numFmtId="0" fontId="32" fillId="4" borderId="58" xfId="0" applyFont="1" applyFill="1" applyBorder="1" applyAlignment="1">
      <alignment horizontal="center" vertical="center" wrapText="1"/>
    </xf>
    <xf numFmtId="0" fontId="32" fillId="4" borderId="55" xfId="0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left" vertical="center" wrapText="1"/>
    </xf>
    <xf numFmtId="0" fontId="31" fillId="0" borderId="14" xfId="0" applyFont="1" applyFill="1" applyBorder="1" applyAlignment="1">
      <alignment horizontal="left" vertical="center" wrapText="1"/>
    </xf>
    <xf numFmtId="0" fontId="31" fillId="0" borderId="7" xfId="0" applyFont="1" applyFill="1" applyBorder="1" applyAlignment="1">
      <alignment horizontal="left" vertical="center" wrapText="1"/>
    </xf>
    <xf numFmtId="0" fontId="31" fillId="0" borderId="17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vertical="center"/>
    </xf>
    <xf numFmtId="0" fontId="32" fillId="5" borderId="46" xfId="0" applyFont="1" applyFill="1" applyBorder="1" applyAlignment="1">
      <alignment horizontal="center" vertical="center"/>
    </xf>
    <xf numFmtId="0" fontId="32" fillId="20" borderId="44" xfId="0" applyFont="1" applyFill="1" applyBorder="1" applyAlignment="1">
      <alignment horizontal="center" vertical="center"/>
    </xf>
    <xf numFmtId="0" fontId="32" fillId="20" borderId="47" xfId="0" applyFont="1" applyFill="1" applyBorder="1" applyAlignment="1">
      <alignment horizontal="center" vertical="center"/>
    </xf>
    <xf numFmtId="0" fontId="17" fillId="0" borderId="8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 wrapText="1"/>
    </xf>
    <xf numFmtId="0" fontId="17" fillId="0" borderId="3" xfId="0" applyFont="1" applyFill="1" applyBorder="1" applyAlignment="1">
      <alignment horizontal="left"/>
    </xf>
    <xf numFmtId="0" fontId="32" fillId="20" borderId="46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left" vertical="center" wrapText="1"/>
    </xf>
    <xf numFmtId="0" fontId="32" fillId="20" borderId="54" xfId="0" applyFont="1" applyFill="1" applyBorder="1" applyAlignment="1">
      <alignment horizontal="center" vertical="center"/>
    </xf>
    <xf numFmtId="0" fontId="32" fillId="20" borderId="51" xfId="0" applyFont="1" applyFill="1" applyBorder="1" applyAlignment="1">
      <alignment horizontal="center" vertical="center"/>
    </xf>
    <xf numFmtId="0" fontId="32" fillId="20" borderId="55" xfId="0" applyFont="1" applyFill="1" applyBorder="1" applyAlignment="1">
      <alignment horizontal="center" vertical="center"/>
    </xf>
    <xf numFmtId="0" fontId="17" fillId="0" borderId="19" xfId="0" applyFont="1" applyBorder="1" applyAlignment="1">
      <alignment vertical="center"/>
    </xf>
    <xf numFmtId="4" fontId="54" fillId="3" borderId="1" xfId="0" applyNumberFormat="1" applyFont="1" applyFill="1" applyBorder="1" applyAlignment="1">
      <alignment horizontal="left"/>
    </xf>
    <xf numFmtId="0" fontId="5" fillId="3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27" fillId="16" borderId="32" xfId="0" applyFont="1" applyFill="1" applyBorder="1" applyAlignment="1">
      <alignment horizontal="center"/>
    </xf>
    <xf numFmtId="0" fontId="27" fillId="16" borderId="19" xfId="0" applyFont="1" applyFill="1" applyBorder="1" applyAlignment="1">
      <alignment horizontal="center"/>
    </xf>
    <xf numFmtId="166" fontId="5" fillId="3" borderId="19" xfId="0" applyNumberFormat="1" applyFont="1" applyFill="1" applyBorder="1" applyAlignment="1">
      <alignment horizontal="center"/>
    </xf>
    <xf numFmtId="166" fontId="5" fillId="3" borderId="20" xfId="0" applyNumberFormat="1" applyFont="1" applyFill="1" applyBorder="1" applyAlignment="1">
      <alignment horizontal="center"/>
    </xf>
    <xf numFmtId="0" fontId="54" fillId="0" borderId="14" xfId="0" applyFont="1" applyBorder="1" applyAlignment="1">
      <alignment horizontal="left"/>
    </xf>
    <xf numFmtId="0" fontId="54" fillId="0" borderId="7" xfId="0" applyFont="1" applyBorder="1" applyAlignment="1">
      <alignment horizontal="left"/>
    </xf>
    <xf numFmtId="0" fontId="54" fillId="0" borderId="17" xfId="0" applyFont="1" applyBorder="1" applyAlignment="1">
      <alignment horizontal="left"/>
    </xf>
    <xf numFmtId="0" fontId="38" fillId="6" borderId="12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7" fillId="6" borderId="30" xfId="0" applyFont="1" applyFill="1" applyBorder="1" applyAlignment="1">
      <alignment horizontal="center" vertical="center"/>
    </xf>
    <xf numFmtId="0" fontId="49" fillId="33" borderId="59" xfId="0" applyFont="1" applyFill="1" applyBorder="1" applyAlignment="1">
      <alignment horizontal="left"/>
    </xf>
    <xf numFmtId="0" fontId="49" fillId="33" borderId="60" xfId="0" applyFont="1" applyFill="1" applyBorder="1" applyAlignment="1">
      <alignment horizontal="left"/>
    </xf>
    <xf numFmtId="0" fontId="49" fillId="33" borderId="41" xfId="0" applyFont="1" applyFill="1" applyBorder="1" applyAlignment="1">
      <alignment horizontal="left"/>
    </xf>
    <xf numFmtId="0" fontId="21" fillId="2" borderId="57" xfId="2" applyFont="1" applyFill="1" applyBorder="1" applyAlignment="1">
      <alignment horizontal="center"/>
    </xf>
    <xf numFmtId="0" fontId="26" fillId="5" borderId="1" xfId="2" applyFont="1" applyFill="1" applyBorder="1" applyAlignment="1">
      <alignment horizontal="center"/>
    </xf>
    <xf numFmtId="0" fontId="26" fillId="35" borderId="1" xfId="2" applyFont="1" applyFill="1" applyBorder="1" applyAlignment="1">
      <alignment horizontal="center"/>
    </xf>
    <xf numFmtId="0" fontId="38" fillId="11" borderId="1" xfId="2" applyFont="1" applyFill="1" applyBorder="1" applyAlignment="1">
      <alignment horizontal="center" vertical="center"/>
    </xf>
    <xf numFmtId="0" fontId="42" fillId="0" borderId="34" xfId="0" applyFont="1" applyBorder="1" applyAlignment="1">
      <alignment horizontal="left"/>
    </xf>
    <xf numFmtId="0" fontId="42" fillId="0" borderId="3" xfId="0" applyFont="1" applyBorder="1" applyAlignment="1">
      <alignment horizontal="left"/>
    </xf>
    <xf numFmtId="0" fontId="42" fillId="0" borderId="21" xfId="0" applyFont="1" applyFill="1" applyBorder="1" applyAlignment="1">
      <alignment horizontal="left"/>
    </xf>
    <xf numFmtId="0" fontId="42" fillId="0" borderId="1" xfId="0" applyFont="1" applyFill="1" applyBorder="1" applyAlignment="1">
      <alignment horizontal="left"/>
    </xf>
    <xf numFmtId="0" fontId="42" fillId="0" borderId="21" xfId="0" applyFont="1" applyBorder="1" applyAlignment="1">
      <alignment horizontal="left"/>
    </xf>
    <xf numFmtId="0" fontId="42" fillId="0" borderId="1" xfId="0" applyFont="1" applyBorder="1" applyAlignment="1">
      <alignment horizontal="left"/>
    </xf>
    <xf numFmtId="0" fontId="28" fillId="0" borderId="1" xfId="7" applyFont="1" applyFill="1" applyBorder="1" applyAlignment="1">
      <alignment horizontal="center"/>
    </xf>
    <xf numFmtId="0" fontId="28" fillId="0" borderId="1" xfId="2" applyFont="1" applyFill="1" applyBorder="1" applyAlignment="1"/>
    <xf numFmtId="0" fontId="17" fillId="0" borderId="1" xfId="2" applyFont="1" applyBorder="1" applyAlignment="1">
      <alignment horizontal="left"/>
    </xf>
    <xf numFmtId="0" fontId="27" fillId="0" borderId="1" xfId="2" applyFont="1" applyBorder="1" applyAlignment="1">
      <alignment horizontal="center"/>
    </xf>
    <xf numFmtId="0" fontId="27" fillId="0" borderId="14" xfId="2" applyFont="1" applyBorder="1" applyAlignment="1">
      <alignment horizontal="center" vertical="center" wrapText="1"/>
    </xf>
    <xf numFmtId="0" fontId="27" fillId="0" borderId="7" xfId="2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 wrapText="1"/>
    </xf>
    <xf numFmtId="0" fontId="13" fillId="0" borderId="14" xfId="2" applyFont="1" applyBorder="1" applyAlignment="1">
      <alignment horizontal="center"/>
    </xf>
    <xf numFmtId="0" fontId="13" fillId="0" borderId="7" xfId="2" applyFont="1" applyBorder="1" applyAlignment="1">
      <alignment horizontal="center"/>
    </xf>
    <xf numFmtId="0" fontId="13" fillId="0" borderId="17" xfId="2" applyFont="1" applyBorder="1" applyAlignment="1">
      <alignment horizontal="center"/>
    </xf>
    <xf numFmtId="0" fontId="27" fillId="10" borderId="52" xfId="2" applyFont="1" applyFill="1" applyBorder="1" applyAlignment="1">
      <alignment horizontal="center"/>
    </xf>
    <xf numFmtId="0" fontId="27" fillId="10" borderId="50" xfId="2" applyFont="1" applyFill="1" applyBorder="1" applyAlignment="1">
      <alignment horizontal="center"/>
    </xf>
    <xf numFmtId="0" fontId="27" fillId="10" borderId="53" xfId="2" applyFont="1" applyFill="1" applyBorder="1" applyAlignment="1">
      <alignment horizontal="center"/>
    </xf>
    <xf numFmtId="0" fontId="27" fillId="0" borderId="1" xfId="2" applyFont="1" applyFill="1" applyBorder="1" applyAlignment="1">
      <alignment horizontal="center"/>
    </xf>
    <xf numFmtId="0" fontId="28" fillId="0" borderId="1" xfId="8" applyFont="1" applyFill="1" applyBorder="1" applyAlignment="1">
      <alignment horizontal="center"/>
    </xf>
    <xf numFmtId="181" fontId="28" fillId="0" borderId="1" xfId="7" applyNumberFormat="1" applyFont="1" applyFill="1" applyBorder="1" applyAlignment="1">
      <alignment horizontal="center"/>
    </xf>
    <xf numFmtId="0" fontId="38" fillId="0" borderId="10" xfId="7" applyFont="1" applyFill="1" applyBorder="1" applyAlignment="1">
      <alignment horizontal="center"/>
    </xf>
    <xf numFmtId="0" fontId="38" fillId="0" borderId="6" xfId="7" applyFont="1" applyFill="1" applyBorder="1" applyAlignment="1">
      <alignment horizontal="center"/>
    </xf>
    <xf numFmtId="0" fontId="38" fillId="0" borderId="11" xfId="7" applyFont="1" applyFill="1" applyBorder="1" applyAlignment="1">
      <alignment horizontal="center"/>
    </xf>
    <xf numFmtId="0" fontId="38" fillId="31" borderId="3" xfId="5" applyFont="1" applyFill="1" applyBorder="1" applyAlignment="1">
      <alignment horizontal="center" vertical="center"/>
    </xf>
    <xf numFmtId="0" fontId="27" fillId="22" borderId="1" xfId="2" applyFont="1" applyFill="1" applyBorder="1" applyAlignment="1">
      <alignment horizontal="center"/>
    </xf>
    <xf numFmtId="0" fontId="28" fillId="0" borderId="14" xfId="8" applyFont="1" applyFill="1" applyBorder="1" applyAlignment="1">
      <alignment horizontal="center"/>
    </xf>
    <xf numFmtId="0" fontId="28" fillId="0" borderId="17" xfId="8" applyFont="1" applyFill="1" applyBorder="1" applyAlignment="1">
      <alignment horizontal="center"/>
    </xf>
    <xf numFmtId="181" fontId="28" fillId="0" borderId="1" xfId="6" applyNumberFormat="1" applyFont="1" applyFill="1" applyBorder="1" applyAlignment="1"/>
    <xf numFmtId="0" fontId="27" fillId="10" borderId="1" xfId="2" applyFont="1" applyFill="1" applyBorder="1" applyAlignment="1">
      <alignment horizontal="center"/>
    </xf>
    <xf numFmtId="0" fontId="13" fillId="0" borderId="1" xfId="2" applyFont="1" applyFill="1" applyBorder="1" applyAlignment="1">
      <alignment horizontal="center"/>
    </xf>
    <xf numFmtId="0" fontId="27" fillId="34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7" fillId="0" borderId="14" xfId="2" applyFont="1" applyBorder="1" applyAlignment="1">
      <alignment horizontal="left"/>
    </xf>
    <xf numFmtId="0" fontId="0" fillId="23" borderId="3" xfId="0" applyFill="1" applyBorder="1" applyAlignment="1">
      <alignment horizontal="center" vertical="center"/>
    </xf>
    <xf numFmtId="0" fontId="38" fillId="11" borderId="14" xfId="2" applyFont="1" applyFill="1" applyBorder="1" applyAlignment="1">
      <alignment horizontal="center" vertical="center"/>
    </xf>
    <xf numFmtId="0" fontId="38" fillId="11" borderId="7" xfId="2" applyFont="1" applyFill="1" applyBorder="1" applyAlignment="1">
      <alignment horizontal="center" vertical="center"/>
    </xf>
    <xf numFmtId="0" fontId="38" fillId="11" borderId="17" xfId="2" applyFont="1" applyFill="1" applyBorder="1" applyAlignment="1">
      <alignment horizontal="center" vertical="center"/>
    </xf>
    <xf numFmtId="0" fontId="38" fillId="10" borderId="1" xfId="2" applyFont="1" applyFill="1" applyBorder="1" applyAlignment="1">
      <alignment horizontal="center" vertical="center"/>
    </xf>
    <xf numFmtId="0" fontId="42" fillId="0" borderId="27" xfId="0" applyFont="1" applyBorder="1" applyAlignment="1">
      <alignment horizontal="left"/>
    </xf>
    <xf numFmtId="0" fontId="42" fillId="0" borderId="7" xfId="0" applyFont="1" applyBorder="1" applyAlignment="1">
      <alignment horizontal="left"/>
    </xf>
    <xf numFmtId="0" fontId="42" fillId="0" borderId="17" xfId="0" applyFont="1" applyBorder="1" applyAlignment="1">
      <alignment horizontal="left"/>
    </xf>
    <xf numFmtId="0" fontId="49" fillId="33" borderId="67" xfId="0" applyFont="1" applyFill="1" applyBorder="1" applyAlignment="1">
      <alignment horizontal="left"/>
    </xf>
    <xf numFmtId="0" fontId="49" fillId="33" borderId="15" xfId="0" applyFont="1" applyFill="1" applyBorder="1" applyAlignment="1">
      <alignment horizontal="left"/>
    </xf>
    <xf numFmtId="0" fontId="49" fillId="33" borderId="16" xfId="0" applyFont="1" applyFill="1" applyBorder="1" applyAlignment="1">
      <alignment horizontal="left"/>
    </xf>
    <xf numFmtId="0" fontId="27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27" fillId="34" borderId="1" xfId="2" applyFont="1" applyFill="1" applyBorder="1" applyAlignment="1">
      <alignment horizontal="left"/>
    </xf>
    <xf numFmtId="0" fontId="27" fillId="37" borderId="59" xfId="0" applyFont="1" applyFill="1" applyBorder="1" applyAlignment="1">
      <alignment horizontal="center"/>
    </xf>
    <xf numFmtId="0" fontId="27" fillId="37" borderId="60" xfId="0" applyFont="1" applyFill="1" applyBorder="1" applyAlignment="1">
      <alignment horizontal="center"/>
    </xf>
    <xf numFmtId="0" fontId="53" fillId="0" borderId="21" xfId="12" applyFont="1" applyFill="1" applyBorder="1" applyAlignment="1">
      <alignment horizontal="left" vertical="center"/>
    </xf>
    <xf numFmtId="0" fontId="53" fillId="0" borderId="1" xfId="12" applyFont="1" applyFill="1" applyBorder="1" applyAlignment="1">
      <alignment horizontal="left" vertical="center"/>
    </xf>
    <xf numFmtId="0" fontId="27" fillId="37" borderId="41" xfId="0" applyFont="1" applyFill="1" applyBorder="1" applyAlignment="1">
      <alignment horizontal="center"/>
    </xf>
    <xf numFmtId="0" fontId="17" fillId="0" borderId="7" xfId="2" applyFont="1" applyBorder="1" applyAlignment="1">
      <alignment horizontal="left"/>
    </xf>
    <xf numFmtId="0" fontId="17" fillId="0" borderId="17" xfId="2" applyFont="1" applyBorder="1" applyAlignment="1">
      <alignment horizontal="left"/>
    </xf>
    <xf numFmtId="10" fontId="0" fillId="0" borderId="1" xfId="0" applyNumberFormat="1" applyFill="1" applyBorder="1" applyAlignment="1">
      <alignment horizontal="center"/>
    </xf>
    <xf numFmtId="0" fontId="26" fillId="7" borderId="52" xfId="0" applyFont="1" applyFill="1" applyBorder="1" applyAlignment="1">
      <alignment horizontal="center"/>
    </xf>
    <xf numFmtId="0" fontId="26" fillId="7" borderId="50" xfId="0" applyFont="1" applyFill="1" applyBorder="1" applyAlignment="1">
      <alignment horizontal="center"/>
    </xf>
    <xf numFmtId="44" fontId="4" fillId="3" borderId="21" xfId="0" applyNumberFormat="1" applyFont="1" applyFill="1" applyBorder="1" applyAlignment="1">
      <alignment horizontal="center" vertical="center"/>
    </xf>
    <xf numFmtId="44" fontId="4" fillId="3" borderId="18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80" fontId="0" fillId="0" borderId="38" xfId="0" applyNumberFormat="1" applyFill="1" applyBorder="1" applyAlignment="1">
      <alignment horizontal="center"/>
    </xf>
    <xf numFmtId="180" fontId="0" fillId="0" borderId="66" xfId="0" applyNumberFormat="1" applyFill="1" applyBorder="1" applyAlignment="1">
      <alignment horizontal="center"/>
    </xf>
    <xf numFmtId="180" fontId="26" fillId="0" borderId="52" xfId="0" applyNumberFormat="1" applyFont="1" applyFill="1" applyBorder="1" applyAlignment="1">
      <alignment horizontal="center"/>
    </xf>
    <xf numFmtId="0" fontId="26" fillId="0" borderId="53" xfId="0" applyFont="1" applyFill="1" applyBorder="1" applyAlignment="1">
      <alignment horizontal="center"/>
    </xf>
    <xf numFmtId="185" fontId="26" fillId="16" borderId="38" xfId="0" applyNumberFormat="1" applyFont="1" applyFill="1" applyBorder="1" applyAlignment="1">
      <alignment horizontal="center" vertical="center"/>
    </xf>
    <xf numFmtId="185" fontId="26" fillId="16" borderId="66" xfId="0" applyNumberFormat="1" applyFont="1" applyFill="1" applyBorder="1" applyAlignment="1">
      <alignment horizontal="center" vertical="center"/>
    </xf>
    <xf numFmtId="185" fontId="17" fillId="0" borderId="40" xfId="0" applyNumberFormat="1" applyFont="1" applyFill="1" applyBorder="1" applyAlignment="1">
      <alignment horizontal="center"/>
    </xf>
    <xf numFmtId="185" fontId="17" fillId="0" borderId="62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5" fillId="7" borderId="30" xfId="0" applyFont="1" applyFill="1" applyBorder="1" applyAlignment="1">
      <alignment horizontal="center" vertical="center"/>
    </xf>
    <xf numFmtId="0" fontId="45" fillId="7" borderId="29" xfId="0" applyFont="1" applyFill="1" applyBorder="1" applyAlignment="1">
      <alignment horizontal="center" vertical="center"/>
    </xf>
    <xf numFmtId="0" fontId="45" fillId="7" borderId="31" xfId="0" applyFont="1" applyFill="1" applyBorder="1" applyAlignment="1">
      <alignment horizontal="center" vertical="center"/>
    </xf>
    <xf numFmtId="0" fontId="27" fillId="0" borderId="52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3" xfId="0" applyFont="1" applyBorder="1" applyAlignment="1">
      <alignment horizontal="center"/>
    </xf>
    <xf numFmtId="0" fontId="26" fillId="17" borderId="47" xfId="0" applyFont="1" applyFill="1" applyBorder="1" applyAlignment="1">
      <alignment horizontal="center"/>
    </xf>
    <xf numFmtId="0" fontId="26" fillId="17" borderId="45" xfId="0" applyFont="1" applyFill="1" applyBorder="1" applyAlignment="1">
      <alignment horizontal="center"/>
    </xf>
    <xf numFmtId="0" fontId="26" fillId="17" borderId="48" xfId="0" applyFont="1" applyFill="1" applyBorder="1" applyAlignment="1">
      <alignment horizontal="center"/>
    </xf>
    <xf numFmtId="180" fontId="26" fillId="37" borderId="5" xfId="0" applyNumberFormat="1" applyFont="1" applyFill="1" applyBorder="1" applyAlignment="1">
      <alignment horizontal="center"/>
    </xf>
    <xf numFmtId="180" fontId="26" fillId="37" borderId="15" xfId="0" applyNumberFormat="1" applyFont="1" applyFill="1" applyBorder="1" applyAlignment="1">
      <alignment horizontal="center"/>
    </xf>
    <xf numFmtId="180" fontId="26" fillId="37" borderId="16" xfId="0" applyNumberFormat="1" applyFont="1" applyFill="1" applyBorder="1" applyAlignment="1">
      <alignment horizontal="center"/>
    </xf>
    <xf numFmtId="0" fontId="27" fillId="16" borderId="45" xfId="0" applyFont="1" applyFill="1" applyBorder="1" applyAlignment="1">
      <alignment horizontal="center"/>
    </xf>
    <xf numFmtId="0" fontId="27" fillId="16" borderId="53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0" fontId="26" fillId="7" borderId="14" xfId="0" applyFont="1" applyFill="1" applyBorder="1" applyAlignment="1">
      <alignment horizontal="center"/>
    </xf>
    <xf numFmtId="0" fontId="26" fillId="7" borderId="7" xfId="0" applyFont="1" applyFill="1" applyBorder="1" applyAlignment="1">
      <alignment horizontal="center"/>
    </xf>
    <xf numFmtId="180" fontId="17" fillId="0" borderId="1" xfId="0" applyNumberFormat="1" applyFont="1" applyFill="1" applyBorder="1" applyAlignment="1">
      <alignment horizontal="center"/>
    </xf>
    <xf numFmtId="180" fontId="26" fillId="25" borderId="1" xfId="0" applyNumberFormat="1" applyFont="1" applyFill="1" applyBorder="1" applyAlignment="1">
      <alignment horizontal="center"/>
    </xf>
    <xf numFmtId="180" fontId="26" fillId="37" borderId="4" xfId="0" applyNumberFormat="1" applyFont="1" applyFill="1" applyBorder="1" applyAlignment="1">
      <alignment horizontal="center"/>
    </xf>
    <xf numFmtId="0" fontId="26" fillId="7" borderId="53" xfId="0" applyFont="1" applyFill="1" applyBorder="1" applyAlignment="1">
      <alignment horizontal="center"/>
    </xf>
    <xf numFmtId="0" fontId="0" fillId="0" borderId="0" xfId="0" applyAlignment="1">
      <alignment horizontal="left"/>
    </xf>
    <xf numFmtId="10" fontId="0" fillId="7" borderId="1" xfId="0" applyNumberFormat="1" applyFill="1" applyBorder="1" applyAlignment="1">
      <alignment horizontal="center"/>
    </xf>
    <xf numFmtId="0" fontId="10" fillId="0" borderId="3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26" fillId="7" borderId="0" xfId="0" applyFont="1" applyFill="1" applyBorder="1" applyAlignment="1">
      <alignment horizontal="center"/>
    </xf>
    <xf numFmtId="0" fontId="26" fillId="7" borderId="49" xfId="0" applyFont="1" applyFill="1" applyBorder="1" applyAlignment="1">
      <alignment horizontal="center"/>
    </xf>
    <xf numFmtId="0" fontId="26" fillId="7" borderId="58" xfId="0" applyFont="1" applyFill="1" applyBorder="1" applyAlignment="1">
      <alignment horizontal="center"/>
    </xf>
    <xf numFmtId="0" fontId="49" fillId="17" borderId="12" xfId="0" applyFont="1" applyFill="1" applyBorder="1" applyAlignment="1">
      <alignment horizontal="center"/>
    </xf>
    <xf numFmtId="0" fontId="49" fillId="17" borderId="0" xfId="0" applyFont="1" applyFill="1" applyBorder="1" applyAlignment="1">
      <alignment horizontal="center"/>
    </xf>
    <xf numFmtId="0" fontId="26" fillId="17" borderId="36" xfId="0" applyFont="1" applyFill="1" applyBorder="1" applyAlignment="1">
      <alignment horizontal="center"/>
    </xf>
    <xf numFmtId="0" fontId="26" fillId="17" borderId="42" xfId="0" applyFont="1" applyFill="1" applyBorder="1" applyAlignment="1">
      <alignment horizontal="center"/>
    </xf>
    <xf numFmtId="0" fontId="26" fillId="17" borderId="37" xfId="0" applyFon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17" fillId="0" borderId="14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17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185" fontId="17" fillId="0" borderId="38" xfId="0" applyNumberFormat="1" applyFont="1" applyFill="1" applyBorder="1" applyAlignment="1">
      <alignment horizontal="center"/>
    </xf>
    <xf numFmtId="185" fontId="17" fillId="0" borderId="57" xfId="0" applyNumberFormat="1" applyFont="1" applyFill="1" applyBorder="1" applyAlignment="1">
      <alignment horizontal="center"/>
    </xf>
    <xf numFmtId="185" fontId="17" fillId="0" borderId="39" xfId="0" applyNumberFormat="1" applyFont="1" applyFill="1" applyBorder="1" applyAlignment="1">
      <alignment horizontal="center"/>
    </xf>
    <xf numFmtId="0" fontId="42" fillId="0" borderId="19" xfId="0" applyFont="1" applyBorder="1" applyAlignment="1">
      <alignment horizontal="left"/>
    </xf>
    <xf numFmtId="0" fontId="4" fillId="3" borderId="19" xfId="0" applyFont="1" applyFill="1" applyBorder="1" applyAlignment="1">
      <alignment horizontal="center" vertical="center"/>
    </xf>
    <xf numFmtId="44" fontId="4" fillId="3" borderId="32" xfId="0" applyNumberFormat="1" applyFont="1" applyFill="1" applyBorder="1" applyAlignment="1">
      <alignment horizontal="center" vertical="center"/>
    </xf>
    <xf numFmtId="44" fontId="4" fillId="3" borderId="20" xfId="0" applyNumberFormat="1" applyFont="1" applyFill="1" applyBorder="1" applyAlignment="1">
      <alignment horizontal="center" vertical="center"/>
    </xf>
    <xf numFmtId="44" fontId="0" fillId="0" borderId="72" xfId="0" applyNumberFormat="1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26" fillId="16" borderId="45" xfId="0" applyFont="1" applyFill="1" applyBorder="1" applyAlignment="1">
      <alignment horizontal="center" vertical="center"/>
    </xf>
    <xf numFmtId="0" fontId="26" fillId="16" borderId="50" xfId="0" applyFont="1" applyFill="1" applyBorder="1" applyAlignment="1">
      <alignment horizontal="center" vertical="center"/>
    </xf>
    <xf numFmtId="0" fontId="26" fillId="16" borderId="53" xfId="0" applyFont="1" applyFill="1" applyBorder="1" applyAlignment="1">
      <alignment horizontal="center" vertical="center"/>
    </xf>
    <xf numFmtId="0" fontId="26" fillId="36" borderId="1" xfId="0" applyFont="1" applyFill="1" applyBorder="1" applyAlignment="1">
      <alignment horizontal="center" vertical="center"/>
    </xf>
    <xf numFmtId="0" fontId="26" fillId="36" borderId="14" xfId="0" applyFont="1" applyFill="1" applyBorder="1" applyAlignment="1">
      <alignment horizontal="center" vertical="center"/>
    </xf>
    <xf numFmtId="0" fontId="26" fillId="36" borderId="17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left"/>
    </xf>
    <xf numFmtId="180" fontId="0" fillId="0" borderId="14" xfId="0" applyNumberFormat="1" applyFill="1" applyBorder="1" applyAlignment="1">
      <alignment horizontal="center"/>
    </xf>
    <xf numFmtId="180" fontId="0" fillId="0" borderId="7" xfId="0" applyNumberFormat="1" applyFill="1" applyBorder="1" applyAlignment="1">
      <alignment horizontal="center"/>
    </xf>
    <xf numFmtId="180" fontId="0" fillId="0" borderId="17" xfId="0" applyNumberFormat="1" applyFill="1" applyBorder="1" applyAlignment="1">
      <alignment horizontal="center"/>
    </xf>
    <xf numFmtId="0" fontId="26" fillId="7" borderId="1" xfId="0" applyFont="1" applyFill="1" applyBorder="1" applyAlignment="1">
      <alignment horizontal="center"/>
    </xf>
    <xf numFmtId="0" fontId="54" fillId="0" borderId="27" xfId="0" applyFont="1" applyBorder="1" applyAlignment="1">
      <alignment horizontal="left"/>
    </xf>
    <xf numFmtId="0" fontId="27" fillId="17" borderId="59" xfId="0" applyFont="1" applyFill="1" applyBorder="1" applyAlignment="1">
      <alignment horizontal="left"/>
    </xf>
    <xf numFmtId="0" fontId="27" fillId="17" borderId="60" xfId="0" applyFont="1" applyFill="1" applyBorder="1" applyAlignment="1">
      <alignment horizontal="left"/>
    </xf>
    <xf numFmtId="0" fontId="31" fillId="0" borderId="1" xfId="0" applyFont="1" applyBorder="1" applyAlignment="1">
      <alignment horizontal="center"/>
    </xf>
    <xf numFmtId="0" fontId="31" fillId="0" borderId="1" xfId="0" applyFont="1" applyBorder="1" applyAlignment="1">
      <alignment horizontal="center" vertical="center" wrapText="1"/>
    </xf>
    <xf numFmtId="0" fontId="31" fillId="0" borderId="1" xfId="0" applyFont="1" applyBorder="1" applyAlignment="1">
      <alignment horizontal="center" wrapText="1"/>
    </xf>
    <xf numFmtId="0" fontId="56" fillId="17" borderId="1" xfId="0" applyFont="1" applyFill="1" applyBorder="1" applyAlignment="1">
      <alignment horizontal="center" vertical="center"/>
    </xf>
    <xf numFmtId="0" fontId="56" fillId="17" borderId="1" xfId="0" applyFont="1" applyFill="1" applyBorder="1" applyAlignment="1">
      <alignment horizontal="center" vertical="center" wrapText="1"/>
    </xf>
    <xf numFmtId="0" fontId="54" fillId="0" borderId="1" xfId="13" applyFont="1" applyBorder="1" applyAlignment="1">
      <alignment horizontal="left"/>
    </xf>
    <xf numFmtId="0" fontId="32" fillId="7" borderId="1" xfId="0" applyFont="1" applyFill="1" applyBorder="1" applyAlignment="1">
      <alignment horizontal="center"/>
    </xf>
    <xf numFmtId="0" fontId="32" fillId="17" borderId="1" xfId="0" applyFont="1" applyFill="1" applyBorder="1" applyAlignment="1">
      <alignment horizontal="center" wrapText="1"/>
    </xf>
    <xf numFmtId="185" fontId="55" fillId="0" borderId="4" xfId="2" applyNumberFormat="1" applyFont="1" applyBorder="1" applyAlignment="1">
      <alignment horizontal="center" vertical="center" wrapText="1"/>
    </xf>
    <xf numFmtId="185" fontId="55" fillId="0" borderId="3" xfId="2" applyNumberFormat="1" applyFont="1" applyBorder="1" applyAlignment="1">
      <alignment horizontal="center" vertical="center" wrapText="1"/>
    </xf>
    <xf numFmtId="0" fontId="26" fillId="37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16" borderId="47" xfId="0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30" xfId="2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19" xfId="2" applyFont="1" applyFill="1" applyBorder="1" applyAlignment="1">
      <alignment horizontal="center" vertical="center"/>
    </xf>
    <xf numFmtId="187" fontId="26" fillId="3" borderId="31" xfId="2" applyNumberFormat="1" applyFont="1" applyFill="1" applyBorder="1" applyAlignment="1">
      <alignment horizontal="center" vertical="center"/>
    </xf>
    <xf numFmtId="187" fontId="26" fillId="3" borderId="20" xfId="2" applyNumberFormat="1" applyFont="1" applyFill="1" applyBorder="1" applyAlignment="1">
      <alignment horizontal="center" vertical="center"/>
    </xf>
    <xf numFmtId="0" fontId="26" fillId="4" borderId="56" xfId="2" applyFont="1" applyFill="1" applyBorder="1" applyAlignment="1">
      <alignment horizontal="center" vertical="center"/>
    </xf>
    <xf numFmtId="0" fontId="26" fillId="4" borderId="49" xfId="2" applyFont="1" applyFill="1" applyBorder="1" applyAlignment="1">
      <alignment horizontal="center" vertical="center"/>
    </xf>
    <xf numFmtId="0" fontId="26" fillId="4" borderId="58" xfId="2" applyFont="1" applyFill="1" applyBorder="1" applyAlignment="1">
      <alignment horizontal="center" vertical="center"/>
    </xf>
    <xf numFmtId="0" fontId="26" fillId="4" borderId="78" xfId="2" applyFont="1" applyFill="1" applyBorder="1" applyAlignment="1">
      <alignment horizontal="center" vertical="center"/>
    </xf>
    <xf numFmtId="0" fontId="26" fillId="4" borderId="6" xfId="2" applyFont="1" applyFill="1" applyBorder="1" applyAlignment="1">
      <alignment horizontal="center" vertical="center"/>
    </xf>
    <xf numFmtId="0" fontId="26" fillId="4" borderId="26" xfId="2" applyFont="1" applyFill="1" applyBorder="1" applyAlignment="1">
      <alignment horizontal="center" vertical="center"/>
    </xf>
    <xf numFmtId="0" fontId="26" fillId="5" borderId="2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187" fontId="26" fillId="5" borderId="18" xfId="2" applyNumberFormat="1" applyFont="1" applyFill="1" applyBorder="1" applyAlignment="1">
      <alignment horizontal="center" vertical="center"/>
    </xf>
    <xf numFmtId="187" fontId="26" fillId="5" borderId="20" xfId="2" applyNumberFormat="1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26" fillId="4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2" fontId="36" fillId="0" borderId="1" xfId="4" applyNumberFormat="1" applyFont="1" applyBorder="1" applyAlignment="1">
      <alignment horizontal="center" vertical="center"/>
    </xf>
    <xf numFmtId="0" fontId="26" fillId="5" borderId="1" xfId="0" applyFont="1" applyFill="1" applyBorder="1" applyAlignment="1">
      <alignment horizontal="center" vertical="center"/>
    </xf>
    <xf numFmtId="0" fontId="26" fillId="0" borderId="15" xfId="0" applyFont="1" applyBorder="1" applyAlignment="1">
      <alignment horizontal="center"/>
    </xf>
    <xf numFmtId="165" fontId="17" fillId="0" borderId="7" xfId="4" applyFont="1" applyBorder="1" applyAlignment="1">
      <alignment horizontal="left"/>
    </xf>
    <xf numFmtId="165" fontId="17" fillId="0" borderId="17" xfId="4" applyFont="1" applyBorder="1" applyAlignment="1">
      <alignment horizontal="left"/>
    </xf>
    <xf numFmtId="0" fontId="26" fillId="0" borderId="17" xfId="0" applyFont="1" applyBorder="1" applyAlignment="1">
      <alignment horizontal="center"/>
    </xf>
    <xf numFmtId="0" fontId="26" fillId="4" borderId="17" xfId="0" applyFont="1" applyFill="1" applyBorder="1" applyAlignment="1">
      <alignment horizontal="center" wrapText="1"/>
    </xf>
    <xf numFmtId="0" fontId="32" fillId="0" borderId="1" xfId="0" applyFont="1" applyFill="1" applyBorder="1" applyAlignment="1">
      <alignment horizontal="center" vertical="center"/>
    </xf>
    <xf numFmtId="2" fontId="36" fillId="0" borderId="4" xfId="4" applyNumberFormat="1" applyFont="1" applyBorder="1" applyAlignment="1">
      <alignment horizontal="center" vertical="center"/>
    </xf>
    <xf numFmtId="2" fontId="36" fillId="0" borderId="2" xfId="4" applyNumberFormat="1" applyFont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26" fillId="25" borderId="1" xfId="0" applyFont="1" applyFill="1" applyBorder="1" applyAlignment="1">
      <alignment horizontal="center"/>
    </xf>
    <xf numFmtId="2" fontId="37" fillId="0" borderId="4" xfId="4" applyNumberFormat="1" applyFont="1" applyBorder="1" applyAlignment="1">
      <alignment horizontal="center" vertical="center"/>
    </xf>
    <xf numFmtId="2" fontId="37" fillId="0" borderId="2" xfId="4" applyNumberFormat="1" applyFont="1" applyBorder="1" applyAlignment="1">
      <alignment horizontal="center" vertical="center"/>
    </xf>
    <xf numFmtId="2" fontId="37" fillId="0" borderId="3" xfId="4" applyNumberFormat="1" applyFont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vertical="center" wrapText="1"/>
    </xf>
    <xf numFmtId="0" fontId="26" fillId="4" borderId="14" xfId="0" applyFont="1" applyFill="1" applyBorder="1" applyAlignment="1">
      <alignment horizontal="center" wrapText="1"/>
    </xf>
    <xf numFmtId="0" fontId="26" fillId="4" borderId="7" xfId="0" applyFont="1" applyFill="1" applyBorder="1" applyAlignment="1">
      <alignment horizontal="center" wrapText="1"/>
    </xf>
    <xf numFmtId="165" fontId="26" fillId="0" borderId="1" xfId="4" applyFont="1" applyFill="1" applyBorder="1" applyAlignment="1">
      <alignment horizontal="center"/>
    </xf>
    <xf numFmtId="0" fontId="26" fillId="5" borderId="4" xfId="0" applyFont="1" applyFill="1" applyBorder="1" applyAlignment="1">
      <alignment horizontal="center" vertical="center"/>
    </xf>
    <xf numFmtId="0" fontId="26" fillId="5" borderId="2" xfId="0" applyFont="1" applyFill="1" applyBorder="1" applyAlignment="1">
      <alignment horizontal="center" vertical="center"/>
    </xf>
    <xf numFmtId="0" fontId="26" fillId="5" borderId="3" xfId="0" applyFont="1" applyFill="1" applyBorder="1" applyAlignment="1">
      <alignment horizontal="center" vertical="center"/>
    </xf>
    <xf numFmtId="49" fontId="38" fillId="0" borderId="4" xfId="0" applyNumberFormat="1" applyFont="1" applyBorder="1" applyAlignment="1">
      <alignment horizontal="center" vertical="center"/>
    </xf>
    <xf numFmtId="49" fontId="38" fillId="0" borderId="2" xfId="0" applyNumberFormat="1" applyFont="1" applyBorder="1" applyAlignment="1">
      <alignment horizontal="center" vertical="center"/>
    </xf>
    <xf numFmtId="49" fontId="38" fillId="0" borderId="3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2" fontId="37" fillId="0" borderId="1" xfId="4" applyNumberFormat="1" applyFont="1" applyBorder="1" applyAlignment="1">
      <alignment horizontal="center" vertical="center"/>
    </xf>
    <xf numFmtId="0" fontId="26" fillId="25" borderId="14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7" xfId="0" applyFont="1" applyFill="1" applyBorder="1" applyAlignment="1">
      <alignment horizontal="center"/>
    </xf>
    <xf numFmtId="49" fontId="36" fillId="0" borderId="1" xfId="4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2" fillId="0" borderId="14" xfId="0" applyFont="1" applyFill="1" applyBorder="1" applyAlignment="1">
      <alignment horizontal="center" vertical="center"/>
    </xf>
    <xf numFmtId="0" fontId="32" fillId="0" borderId="7" xfId="0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9" fontId="36" fillId="0" borderId="4" xfId="4" applyNumberFormat="1" applyFont="1" applyBorder="1" applyAlignment="1">
      <alignment horizontal="center" vertical="center"/>
    </xf>
    <xf numFmtId="49" fontId="36" fillId="0" borderId="2" xfId="4" applyNumberFormat="1" applyFont="1" applyBorder="1" applyAlignment="1">
      <alignment horizontal="center" vertical="center"/>
    </xf>
    <xf numFmtId="49" fontId="36" fillId="0" borderId="3" xfId="4" applyNumberFormat="1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165" fontId="17" fillId="0" borderId="7" xfId="4" applyFont="1" applyBorder="1" applyAlignment="1">
      <alignment horizontal="center"/>
    </xf>
    <xf numFmtId="165" fontId="17" fillId="0" borderId="17" xfId="4" applyFont="1" applyBorder="1" applyAlignment="1">
      <alignment horizontal="center"/>
    </xf>
    <xf numFmtId="0" fontId="26" fillId="5" borderId="1" xfId="0" applyFont="1" applyFill="1" applyBorder="1" applyAlignment="1">
      <alignment horizontal="center" vertical="center" wrapText="1"/>
    </xf>
    <xf numFmtId="2" fontId="36" fillId="0" borderId="3" xfId="4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/>
    </xf>
    <xf numFmtId="0" fontId="0" fillId="5" borderId="1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9" xfId="0" applyBorder="1" applyAlignment="1">
      <alignment horizontal="center"/>
    </xf>
    <xf numFmtId="0" fontId="32" fillId="0" borderId="5" xfId="0" applyFont="1" applyFill="1" applyBorder="1" applyAlignment="1">
      <alignment horizontal="center" vertical="center"/>
    </xf>
    <xf numFmtId="0" fontId="32" fillId="0" borderId="15" xfId="0" applyFont="1" applyFill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wrapText="1"/>
    </xf>
    <xf numFmtId="0" fontId="26" fillId="4" borderId="5" xfId="0" applyFont="1" applyFill="1" applyBorder="1" applyAlignment="1">
      <alignment horizontal="center" wrapText="1"/>
    </xf>
    <xf numFmtId="0" fontId="26" fillId="4" borderId="15" xfId="0" applyFont="1" applyFill="1" applyBorder="1" applyAlignment="1">
      <alignment horizontal="center" wrapText="1"/>
    </xf>
    <xf numFmtId="0" fontId="26" fillId="4" borderId="16" xfId="0" applyFont="1" applyFill="1" applyBorder="1" applyAlignment="1">
      <alignment horizontal="center" wrapText="1"/>
    </xf>
    <xf numFmtId="0" fontId="17" fillId="0" borderId="1" xfId="0" applyFont="1" applyFill="1" applyBorder="1" applyAlignment="1">
      <alignment horizontal="center"/>
    </xf>
    <xf numFmtId="0" fontId="17" fillId="0" borderId="1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 wrapText="1"/>
    </xf>
    <xf numFmtId="176" fontId="36" fillId="0" borderId="1" xfId="4" applyNumberFormat="1" applyFont="1" applyBorder="1" applyAlignment="1">
      <alignment horizontal="center" vertical="center"/>
    </xf>
    <xf numFmtId="165" fontId="17" fillId="0" borderId="14" xfId="4" applyFont="1" applyBorder="1" applyAlignment="1">
      <alignment horizontal="left"/>
    </xf>
    <xf numFmtId="165" fontId="17" fillId="0" borderId="14" xfId="4" applyFont="1" applyBorder="1" applyAlignment="1">
      <alignment horizontal="center"/>
    </xf>
    <xf numFmtId="0" fontId="17" fillId="0" borderId="10" xfId="0" applyFont="1" applyBorder="1" applyAlignment="1">
      <alignment horizontal="left"/>
    </xf>
    <xf numFmtId="0" fontId="17" fillId="0" borderId="11" xfId="0" applyFont="1" applyBorder="1" applyAlignment="1">
      <alignment horizontal="left"/>
    </xf>
    <xf numFmtId="165" fontId="17" fillId="0" borderId="6" xfId="4" applyFont="1" applyBorder="1" applyAlignment="1">
      <alignment horizontal="center"/>
    </xf>
    <xf numFmtId="165" fontId="17" fillId="0" borderId="11" xfId="4" applyFont="1" applyBorder="1" applyAlignment="1">
      <alignment horizontal="center"/>
    </xf>
    <xf numFmtId="165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0" borderId="14" xfId="0" applyFont="1" applyFill="1" applyBorder="1" applyAlignment="1">
      <alignment horizontal="center"/>
    </xf>
    <xf numFmtId="0" fontId="26" fillId="0" borderId="17" xfId="0" applyFont="1" applyFill="1" applyBorder="1" applyAlignment="1">
      <alignment horizontal="center"/>
    </xf>
    <xf numFmtId="0" fontId="26" fillId="0" borderId="4" xfId="0" applyFont="1" applyBorder="1" applyAlignment="1">
      <alignment horizontal="center" vertical="center"/>
    </xf>
    <xf numFmtId="0" fontId="26" fillId="0" borderId="14" xfId="0" applyFont="1" applyFill="1" applyBorder="1" applyAlignment="1">
      <alignment horizontal="center" wrapText="1"/>
    </xf>
    <xf numFmtId="0" fontId="26" fillId="0" borderId="7" xfId="0" applyFont="1" applyFill="1" applyBorder="1" applyAlignment="1">
      <alignment horizontal="center" wrapText="1"/>
    </xf>
    <xf numFmtId="0" fontId="26" fillId="0" borderId="17" xfId="0" applyFont="1" applyFill="1" applyBorder="1" applyAlignment="1">
      <alignment horizontal="center" wrapText="1"/>
    </xf>
    <xf numFmtId="49" fontId="28" fillId="0" borderId="1" xfId="0" applyNumberFormat="1" applyFont="1" applyFill="1" applyBorder="1" applyAlignment="1">
      <alignment horizontal="center" vertical="center"/>
    </xf>
    <xf numFmtId="0" fontId="26" fillId="0" borderId="7" xfId="0" applyFont="1" applyFill="1" applyBorder="1" applyAlignment="1">
      <alignment horizontal="center"/>
    </xf>
    <xf numFmtId="0" fontId="26" fillId="24" borderId="1" xfId="0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2" fillId="0" borderId="1" xfId="0" applyFont="1" applyBorder="1" applyAlignment="1">
      <alignment horizontal="left" vertical="center"/>
    </xf>
    <xf numFmtId="165" fontId="26" fillId="0" borderId="1" xfId="4" applyFont="1" applyBorder="1" applyAlignment="1">
      <alignment horizontal="center"/>
    </xf>
    <xf numFmtId="0" fontId="26" fillId="0" borderId="14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0" fontId="32" fillId="12" borderId="52" xfId="10" applyFont="1" applyFill="1" applyBorder="1" applyAlignment="1">
      <alignment horizontal="center" vertical="center"/>
    </xf>
    <xf numFmtId="0" fontId="32" fillId="12" borderId="50" xfId="10" applyFont="1" applyFill="1" applyBorder="1" applyAlignment="1">
      <alignment horizontal="center" vertical="center"/>
    </xf>
    <xf numFmtId="0" fontId="32" fillId="5" borderId="54" xfId="10" applyFont="1" applyFill="1" applyBorder="1" applyAlignment="1">
      <alignment horizontal="center" vertical="center"/>
    </xf>
    <xf numFmtId="0" fontId="32" fillId="5" borderId="51" xfId="10" applyFont="1" applyFill="1" applyBorder="1" applyAlignment="1">
      <alignment horizontal="center" vertical="center"/>
    </xf>
    <xf numFmtId="0" fontId="32" fillId="12" borderId="56" xfId="10" applyFont="1" applyFill="1" applyBorder="1" applyAlignment="1">
      <alignment horizontal="center" vertical="center"/>
    </xf>
    <xf numFmtId="0" fontId="32" fillId="12" borderId="49" xfId="10" applyFont="1" applyFill="1" applyBorder="1" applyAlignment="1">
      <alignment horizontal="center" vertical="center"/>
    </xf>
    <xf numFmtId="0" fontId="32" fillId="5" borderId="52" xfId="10" applyFont="1" applyFill="1" applyBorder="1" applyAlignment="1">
      <alignment horizontal="center" vertical="center"/>
    </xf>
    <xf numFmtId="0" fontId="32" fillId="5" borderId="50" xfId="10" applyFont="1" applyFill="1" applyBorder="1" applyAlignment="1">
      <alignment horizontal="center" vertical="center"/>
    </xf>
    <xf numFmtId="0" fontId="32" fillId="5" borderId="53" xfId="10" applyFont="1" applyFill="1" applyBorder="1" applyAlignment="1">
      <alignment horizontal="center" vertical="center"/>
    </xf>
    <xf numFmtId="0" fontId="46" fillId="32" borderId="70" xfId="2" applyFont="1" applyFill="1" applyBorder="1" applyAlignment="1">
      <alignment horizontal="center" vertical="center" wrapText="1"/>
    </xf>
    <xf numFmtId="0" fontId="46" fillId="32" borderId="71" xfId="2" applyFont="1" applyFill="1" applyBorder="1" applyAlignment="1">
      <alignment horizontal="center" vertical="center" wrapText="1"/>
    </xf>
    <xf numFmtId="0" fontId="47" fillId="32" borderId="70" xfId="2" applyFont="1" applyFill="1" applyBorder="1" applyAlignment="1">
      <alignment horizontal="center" vertical="center" wrapText="1"/>
    </xf>
    <xf numFmtId="0" fontId="47" fillId="32" borderId="71" xfId="2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right" vertical="center"/>
    </xf>
    <xf numFmtId="2" fontId="0" fillId="0" borderId="1" xfId="0" applyNumberForma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right" vertical="center"/>
    </xf>
    <xf numFmtId="0" fontId="18" fillId="0" borderId="1" xfId="0" applyFont="1" applyBorder="1" applyAlignment="1">
      <alignment horizontal="left" vertical="center"/>
    </xf>
    <xf numFmtId="2" fontId="18" fillId="0" borderId="1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169" fontId="19" fillId="12" borderId="1" xfId="1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 applyAlignment="1"/>
    <xf numFmtId="0" fontId="18" fillId="0" borderId="1" xfId="0" applyFont="1" applyBorder="1" applyAlignment="1"/>
    <xf numFmtId="0" fontId="0" fillId="4" borderId="1" xfId="0" applyFill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/>
    </xf>
    <xf numFmtId="0" fontId="26" fillId="8" borderId="49" xfId="0" applyFont="1" applyFill="1" applyBorder="1" applyAlignment="1">
      <alignment horizontal="center"/>
    </xf>
    <xf numFmtId="0" fontId="26" fillId="22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49" fontId="19" fillId="9" borderId="67" xfId="0" applyNumberFormat="1" applyFont="1" applyFill="1" applyBorder="1" applyAlignment="1">
      <alignment horizontal="center" vertical="center" wrapText="1"/>
    </xf>
    <xf numFmtId="49" fontId="19" fillId="9" borderId="15" xfId="0" applyNumberFormat="1" applyFont="1" applyFill="1" applyBorder="1" applyAlignment="1">
      <alignment horizontal="center" vertical="center" wrapText="1"/>
    </xf>
    <xf numFmtId="49" fontId="19" fillId="9" borderId="16" xfId="0" applyNumberFormat="1" applyFont="1" applyFill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49" fontId="19" fillId="0" borderId="33" xfId="0" applyNumberFormat="1" applyFont="1" applyBorder="1" applyAlignment="1">
      <alignment horizontal="center" vertical="center" wrapText="1"/>
    </xf>
    <xf numFmtId="49" fontId="19" fillId="0" borderId="68" xfId="0" applyNumberFormat="1" applyFont="1" applyBorder="1" applyAlignment="1">
      <alignment horizontal="center" vertical="center" wrapText="1"/>
    </xf>
    <xf numFmtId="49" fontId="19" fillId="0" borderId="69" xfId="0" applyNumberFormat="1" applyFont="1" applyBorder="1" applyAlignment="1">
      <alignment horizontal="center" vertical="center" wrapText="1"/>
    </xf>
    <xf numFmtId="0" fontId="18" fillId="0" borderId="4" xfId="0" applyNumberFormat="1" applyFont="1" applyBorder="1" applyAlignment="1">
      <alignment horizontal="center" vertical="center" wrapText="1"/>
    </xf>
    <xf numFmtId="0" fontId="18" fillId="0" borderId="2" xfId="0" applyNumberFormat="1" applyFont="1" applyBorder="1" applyAlignment="1">
      <alignment horizontal="center" vertical="center" wrapText="1"/>
    </xf>
    <xf numFmtId="49" fontId="19" fillId="9" borderId="44" xfId="0" applyNumberFormat="1" applyFont="1" applyFill="1" applyBorder="1" applyAlignment="1">
      <alignment horizontal="center" vertical="center" wrapText="1"/>
    </xf>
    <xf numFmtId="49" fontId="19" fillId="9" borderId="47" xfId="0" applyNumberFormat="1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19" fillId="7" borderId="27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6" fillId="12" borderId="65" xfId="0" applyFont="1" applyFill="1" applyBorder="1" applyAlignment="1">
      <alignment horizontal="center"/>
    </xf>
    <xf numFmtId="0" fontId="16" fillId="12" borderId="57" xfId="0" applyFont="1" applyFill="1" applyBorder="1" applyAlignment="1">
      <alignment horizontal="center"/>
    </xf>
    <xf numFmtId="0" fontId="16" fillId="12" borderId="6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center"/>
    </xf>
    <xf numFmtId="0" fontId="16" fillId="12" borderId="50" xfId="0" applyFont="1" applyFill="1" applyBorder="1" applyAlignment="1">
      <alignment horizontal="center"/>
    </xf>
    <xf numFmtId="0" fontId="16" fillId="12" borderId="53" xfId="0" applyFont="1" applyFill="1" applyBorder="1" applyAlignment="1">
      <alignment horizontal="center"/>
    </xf>
    <xf numFmtId="0" fontId="19" fillId="7" borderId="2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19" fillId="7" borderId="18" xfId="0" applyFont="1" applyFill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vertical="center" wrapText="1"/>
    </xf>
    <xf numFmtId="0" fontId="23" fillId="0" borderId="27" xfId="0" applyFont="1" applyBorder="1" applyAlignment="1">
      <alignment horizontal="center" vertical="top"/>
    </xf>
    <xf numFmtId="0" fontId="23" fillId="0" borderId="7" xfId="0" applyFont="1" applyBorder="1" applyAlignment="1">
      <alignment horizontal="center" vertical="top"/>
    </xf>
    <xf numFmtId="0" fontId="23" fillId="0" borderId="28" xfId="0" applyFont="1" applyBorder="1" applyAlignment="1">
      <alignment horizontal="center" vertical="top"/>
    </xf>
    <xf numFmtId="49" fontId="19" fillId="9" borderId="21" xfId="0" applyNumberFormat="1" applyFont="1" applyFill="1" applyBorder="1" applyAlignment="1">
      <alignment horizontal="center" vertical="center" wrapText="1"/>
    </xf>
    <xf numFmtId="49" fontId="19" fillId="9" borderId="1" xfId="0" applyNumberFormat="1" applyFont="1" applyFill="1" applyBorder="1" applyAlignment="1">
      <alignment horizontal="center" vertical="center" wrapText="1"/>
    </xf>
    <xf numFmtId="0" fontId="0" fillId="0" borderId="6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5" xfId="0" applyBorder="1" applyAlignment="1">
      <alignment horizontal="center"/>
    </xf>
    <xf numFmtId="0" fontId="26" fillId="15" borderId="21" xfId="0" applyFont="1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26" fillId="15" borderId="18" xfId="0" applyFont="1" applyFill="1" applyBorder="1" applyAlignment="1">
      <alignment horizontal="center"/>
    </xf>
    <xf numFmtId="0" fontId="16" fillId="12" borderId="29" xfId="0" applyFont="1" applyFill="1" applyBorder="1" applyAlignment="1">
      <alignment horizontal="center"/>
    </xf>
    <xf numFmtId="0" fontId="16" fillId="12" borderId="30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49" fontId="19" fillId="9" borderId="32" xfId="0" applyNumberFormat="1" applyFont="1" applyFill="1" applyBorder="1" applyAlignment="1">
      <alignment horizontal="center" vertical="center" wrapText="1"/>
    </xf>
    <xf numFmtId="49" fontId="19" fillId="9" borderId="19" xfId="0" applyNumberFormat="1" applyFont="1" applyFill="1" applyBorder="1" applyAlignment="1">
      <alignment horizontal="center" vertical="center" wrapText="1"/>
    </xf>
    <xf numFmtId="0" fontId="19" fillId="7" borderId="17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25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horizontal="center" vertical="center" wrapText="1"/>
    </xf>
    <xf numFmtId="0" fontId="16" fillId="12" borderId="56" xfId="0" applyFont="1" applyFill="1" applyBorder="1" applyAlignment="1">
      <alignment horizontal="center"/>
    </xf>
    <xf numFmtId="0" fontId="16" fillId="12" borderId="49" xfId="0" applyFont="1" applyFill="1" applyBorder="1" applyAlignment="1">
      <alignment horizontal="center"/>
    </xf>
    <xf numFmtId="0" fontId="16" fillId="12" borderId="58" xfId="0" applyFont="1" applyFill="1" applyBorder="1" applyAlignment="1">
      <alignment horizontal="center"/>
    </xf>
    <xf numFmtId="0" fontId="19" fillId="3" borderId="68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49" fontId="19" fillId="9" borderId="52" xfId="0" applyNumberFormat="1" applyFont="1" applyFill="1" applyBorder="1" applyAlignment="1">
      <alignment horizontal="center" vertical="center" wrapText="1"/>
    </xf>
    <xf numFmtId="49" fontId="19" fillId="9" borderId="50" xfId="0" applyNumberFormat="1" applyFont="1" applyFill="1" applyBorder="1" applyAlignment="1">
      <alignment horizontal="center" vertical="center" wrapText="1"/>
    </xf>
    <xf numFmtId="49" fontId="19" fillId="9" borderId="46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19" fillId="3" borderId="2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30" xfId="16" applyBorder="1" applyAlignment="1">
      <alignment horizontal="center" vertical="center" wrapText="1"/>
    </xf>
    <xf numFmtId="0" fontId="2" fillId="0" borderId="19" xfId="16" applyBorder="1" applyAlignment="1">
      <alignment horizontal="center" vertical="center" wrapText="1"/>
    </xf>
    <xf numFmtId="0" fontId="2" fillId="0" borderId="2" xfId="16" applyBorder="1" applyAlignment="1">
      <alignment horizontal="center" vertical="center"/>
    </xf>
    <xf numFmtId="0" fontId="2" fillId="0" borderId="3" xfId="16" applyBorder="1" applyAlignment="1">
      <alignment horizontal="center" vertical="center"/>
    </xf>
    <xf numFmtId="0" fontId="2" fillId="0" borderId="4" xfId="16" applyBorder="1" applyAlignment="1">
      <alignment horizontal="center" vertical="center"/>
    </xf>
    <xf numFmtId="0" fontId="2" fillId="0" borderId="54" xfId="16" applyBorder="1" applyAlignment="1">
      <alignment horizontal="center"/>
    </xf>
    <xf numFmtId="0" fontId="2" fillId="0" borderId="51" xfId="16" applyBorder="1" applyAlignment="1">
      <alignment horizontal="center"/>
    </xf>
    <xf numFmtId="0" fontId="2" fillId="0" borderId="31" xfId="16" applyBorder="1" applyAlignment="1">
      <alignment horizontal="center" vertical="center"/>
    </xf>
    <xf numFmtId="0" fontId="2" fillId="0" borderId="20" xfId="16" applyBorder="1" applyAlignment="1">
      <alignment horizontal="center" vertical="center"/>
    </xf>
    <xf numFmtId="0" fontId="2" fillId="0" borderId="22" xfId="16" applyBorder="1" applyAlignment="1">
      <alignment horizontal="center" vertical="center"/>
    </xf>
    <xf numFmtId="0" fontId="2" fillId="0" borderId="23" xfId="16" applyBorder="1" applyAlignment="1">
      <alignment horizontal="center" vertical="center"/>
    </xf>
    <xf numFmtId="0" fontId="2" fillId="0" borderId="24" xfId="16" applyBorder="1" applyAlignment="1">
      <alignment horizontal="center" vertical="center"/>
    </xf>
    <xf numFmtId="0" fontId="2" fillId="0" borderId="34" xfId="16" applyBorder="1" applyAlignment="1">
      <alignment horizontal="center" vertical="center"/>
    </xf>
    <xf numFmtId="0" fontId="2" fillId="0" borderId="56" xfId="16" applyBorder="1" applyAlignment="1">
      <alignment horizontal="center"/>
    </xf>
    <xf numFmtId="0" fontId="2" fillId="0" borderId="49" xfId="16" applyBorder="1" applyAlignment="1">
      <alignment horizontal="center"/>
    </xf>
    <xf numFmtId="0" fontId="2" fillId="0" borderId="63" xfId="16" applyBorder="1" applyAlignment="1">
      <alignment horizontal="center" vertical="center"/>
    </xf>
    <xf numFmtId="0" fontId="2" fillId="0" borderId="70" xfId="16" applyBorder="1" applyAlignment="1">
      <alignment horizontal="center" vertical="center" wrapText="1"/>
    </xf>
    <xf numFmtId="0" fontId="2" fillId="0" borderId="71" xfId="16" applyBorder="1" applyAlignment="1">
      <alignment horizontal="center" vertical="center" wrapText="1"/>
    </xf>
    <xf numFmtId="0" fontId="2" fillId="0" borderId="43" xfId="16" applyBorder="1" applyAlignment="1">
      <alignment horizontal="center"/>
    </xf>
    <xf numFmtId="0" fontId="2" fillId="0" borderId="42" xfId="16" applyBorder="1" applyAlignment="1">
      <alignment horizontal="center"/>
    </xf>
    <xf numFmtId="0" fontId="2" fillId="0" borderId="56" xfId="16" applyBorder="1" applyAlignment="1">
      <alignment horizontal="center" vertical="center" wrapText="1"/>
    </xf>
    <xf numFmtId="0" fontId="2" fillId="0" borderId="54" xfId="16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9" fillId="2" borderId="7" xfId="0" applyFont="1" applyFill="1" applyBorder="1" applyAlignment="1">
      <alignment horizontal="left"/>
    </xf>
    <xf numFmtId="0" fontId="19" fillId="2" borderId="57" xfId="0" applyFont="1" applyFill="1" applyBorder="1" applyAlignment="1">
      <alignment horizontal="left"/>
    </xf>
    <xf numFmtId="0" fontId="26" fillId="13" borderId="21" xfId="0" applyFont="1" applyFill="1" applyBorder="1" applyAlignment="1">
      <alignment horizontal="center"/>
    </xf>
    <xf numFmtId="0" fontId="26" fillId="13" borderId="1" xfId="0" applyFont="1" applyFill="1" applyBorder="1" applyAlignment="1">
      <alignment horizontal="center"/>
    </xf>
    <xf numFmtId="0" fontId="26" fillId="13" borderId="32" xfId="0" applyFont="1" applyFill="1" applyBorder="1" applyAlignment="1">
      <alignment horizontal="center"/>
    </xf>
    <xf numFmtId="0" fontId="26" fillId="13" borderId="19" xfId="0" applyFont="1" applyFill="1" applyBorder="1" applyAlignment="1">
      <alignment horizontal="center"/>
    </xf>
    <xf numFmtId="0" fontId="0" fillId="0" borderId="5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6" fillId="4" borderId="52" xfId="0" applyFont="1" applyFill="1" applyBorder="1" applyAlignment="1">
      <alignment horizontal="center"/>
    </xf>
    <xf numFmtId="0" fontId="26" fillId="4" borderId="50" xfId="0" applyFont="1" applyFill="1" applyBorder="1" applyAlignment="1">
      <alignment horizontal="center"/>
    </xf>
    <xf numFmtId="0" fontId="26" fillId="4" borderId="53" xfId="0" applyFont="1" applyFill="1" applyBorder="1" applyAlignment="1">
      <alignment horizontal="center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58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2" xfId="0" applyBorder="1" applyAlignment="1">
      <alignment horizontal="center"/>
    </xf>
    <xf numFmtId="0" fontId="26" fillId="13" borderId="44" xfId="0" applyFont="1" applyFill="1" applyBorder="1" applyAlignment="1">
      <alignment horizontal="center"/>
    </xf>
    <xf numFmtId="0" fontId="26" fillId="13" borderId="48" xfId="0" applyFont="1" applyFill="1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3" xfId="0" applyFont="1" applyFill="1" applyBorder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18" fillId="0" borderId="63" xfId="0" applyFont="1" applyFill="1" applyBorder="1" applyAlignment="1">
      <alignment horizontal="center" vertical="center" wrapText="1"/>
    </xf>
    <xf numFmtId="0" fontId="19" fillId="0" borderId="59" xfId="0" applyFont="1" applyFill="1" applyBorder="1" applyAlignment="1">
      <alignment horizontal="center"/>
    </xf>
    <xf numFmtId="0" fontId="19" fillId="0" borderId="60" xfId="0" applyFont="1" applyFill="1" applyBorder="1" applyAlignment="1">
      <alignment horizontal="center"/>
    </xf>
    <xf numFmtId="0" fontId="18" fillId="2" borderId="51" xfId="0" applyFont="1" applyFill="1" applyBorder="1" applyAlignment="1">
      <alignment horizontal="center"/>
    </xf>
    <xf numFmtId="0" fontId="18" fillId="2" borderId="55" xfId="0" applyFont="1" applyFill="1" applyBorder="1" applyAlignment="1">
      <alignment horizontal="center"/>
    </xf>
    <xf numFmtId="0" fontId="17" fillId="0" borderId="22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26" fillId="13" borderId="47" xfId="0" applyFont="1" applyFill="1" applyBorder="1" applyAlignment="1">
      <alignment horizontal="center"/>
    </xf>
    <xf numFmtId="0" fontId="26" fillId="4" borderId="56" xfId="0" applyFont="1" applyFill="1" applyBorder="1" applyAlignment="1">
      <alignment horizontal="center"/>
    </xf>
    <xf numFmtId="0" fontId="26" fillId="4" borderId="49" xfId="0" applyFont="1" applyFill="1" applyBorder="1" applyAlignment="1">
      <alignment horizontal="center"/>
    </xf>
    <xf numFmtId="0" fontId="26" fillId="4" borderId="58" xfId="0" applyFont="1" applyFill="1" applyBorder="1" applyAlignment="1">
      <alignment horizontal="center"/>
    </xf>
    <xf numFmtId="0" fontId="19" fillId="16" borderId="44" xfId="0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9" fillId="18" borderId="21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19" xfId="0" applyFont="1" applyFill="1" applyBorder="1" applyAlignment="1">
      <alignment horizontal="center" vertical="center"/>
    </xf>
    <xf numFmtId="0" fontId="21" fillId="18" borderId="40" xfId="0" applyFont="1" applyFill="1" applyBorder="1" applyAlignment="1">
      <alignment horizontal="center"/>
    </xf>
    <xf numFmtId="0" fontId="21" fillId="18" borderId="60" xfId="0" applyFont="1" applyFill="1" applyBorder="1" applyAlignment="1">
      <alignment horizontal="center"/>
    </xf>
    <xf numFmtId="0" fontId="21" fillId="18" borderId="62" xfId="0" applyFont="1" applyFill="1" applyBorder="1" applyAlignment="1">
      <alignment horizontal="center"/>
    </xf>
    <xf numFmtId="0" fontId="21" fillId="12" borderId="52" xfId="0" applyFont="1" applyFill="1" applyBorder="1" applyAlignment="1">
      <alignment horizontal="center"/>
    </xf>
    <xf numFmtId="0" fontId="21" fillId="12" borderId="50" xfId="0" applyFont="1" applyFill="1" applyBorder="1" applyAlignment="1">
      <alignment horizontal="center"/>
    </xf>
    <xf numFmtId="0" fontId="21" fillId="12" borderId="53" xfId="0" applyFont="1" applyFill="1" applyBorder="1" applyAlignment="1">
      <alignment horizontal="center"/>
    </xf>
    <xf numFmtId="2" fontId="21" fillId="4" borderId="38" xfId="0" applyNumberFormat="1" applyFont="1" applyFill="1" applyBorder="1" applyAlignment="1">
      <alignment horizontal="center"/>
    </xf>
    <xf numFmtId="0" fontId="21" fillId="4" borderId="57" xfId="0" applyFont="1" applyFill="1" applyBorder="1" applyAlignment="1">
      <alignment horizontal="center"/>
    </xf>
    <xf numFmtId="0" fontId="21" fillId="4" borderId="39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32" xfId="0" applyFont="1" applyFill="1" applyBorder="1" applyAlignment="1">
      <alignment horizontal="center" vertical="center"/>
    </xf>
    <xf numFmtId="0" fontId="19" fillId="5" borderId="19" xfId="0" applyFont="1" applyFill="1" applyBorder="1" applyAlignment="1">
      <alignment horizontal="center" vertical="center"/>
    </xf>
    <xf numFmtId="0" fontId="21" fillId="5" borderId="40" xfId="0" applyFont="1" applyFill="1" applyBorder="1" applyAlignment="1">
      <alignment horizontal="center"/>
    </xf>
    <xf numFmtId="0" fontId="21" fillId="5" borderId="60" xfId="0" applyFont="1" applyFill="1" applyBorder="1" applyAlignment="1">
      <alignment horizontal="center"/>
    </xf>
    <xf numFmtId="0" fontId="21" fillId="5" borderId="62" xfId="0" applyFont="1" applyFill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2" fontId="21" fillId="5" borderId="40" xfId="0" applyNumberFormat="1" applyFont="1" applyFill="1" applyBorder="1" applyAlignment="1">
      <alignment horizontal="center"/>
    </xf>
    <xf numFmtId="0" fontId="21" fillId="18" borderId="52" xfId="0" applyFont="1" applyFill="1" applyBorder="1" applyAlignment="1">
      <alignment horizontal="center"/>
    </xf>
    <xf numFmtId="0" fontId="21" fillId="18" borderId="50" xfId="0" applyFont="1" applyFill="1" applyBorder="1" applyAlignment="1">
      <alignment horizontal="center"/>
    </xf>
    <xf numFmtId="0" fontId="21" fillId="18" borderId="53" xfId="0" applyFont="1" applyFill="1" applyBorder="1" applyAlignment="1">
      <alignment horizontal="center"/>
    </xf>
    <xf numFmtId="49" fontId="18" fillId="17" borderId="1" xfId="0" applyNumberFormat="1" applyFont="1" applyFill="1" applyBorder="1" applyAlignment="1">
      <alignment horizontal="center" vertical="center" wrapText="1"/>
    </xf>
    <xf numFmtId="2" fontId="18" fillId="17" borderId="1" xfId="0" applyNumberFormat="1" applyFont="1" applyFill="1" applyBorder="1" applyAlignment="1">
      <alignment horizontal="center" vertical="center" wrapText="1"/>
    </xf>
    <xf numFmtId="0" fontId="29" fillId="7" borderId="3" xfId="0" applyFont="1" applyFill="1" applyBorder="1" applyAlignment="1">
      <alignment horizontal="center" vertical="center" wrapText="1"/>
    </xf>
    <xf numFmtId="0" fontId="29" fillId="7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49" fontId="18" fillId="17" borderId="14" xfId="0" applyNumberFormat="1" applyFont="1" applyFill="1" applyBorder="1" applyAlignment="1">
      <alignment horizontal="center" vertical="center" wrapText="1"/>
    </xf>
    <xf numFmtId="49" fontId="18" fillId="17" borderId="7" xfId="0" applyNumberFormat="1" applyFont="1" applyFill="1" applyBorder="1" applyAlignment="1">
      <alignment horizontal="center" vertical="center" wrapText="1"/>
    </xf>
    <xf numFmtId="49" fontId="18" fillId="17" borderId="17" xfId="0" applyNumberFormat="1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21" fillId="4" borderId="40" xfId="0" applyFont="1" applyFill="1" applyBorder="1" applyAlignment="1">
      <alignment horizontal="center"/>
    </xf>
    <xf numFmtId="0" fontId="21" fillId="4" borderId="60" xfId="0" applyFont="1" applyFill="1" applyBorder="1" applyAlignment="1">
      <alignment horizontal="center"/>
    </xf>
    <xf numFmtId="0" fontId="21" fillId="4" borderId="62" xfId="0" applyFont="1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21" fillId="0" borderId="29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7" fillId="0" borderId="56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19" fillId="5" borderId="18" xfId="0" applyFont="1" applyFill="1" applyBorder="1" applyAlignment="1">
      <alignment horizontal="center" vertical="center"/>
    </xf>
    <xf numFmtId="0" fontId="19" fillId="5" borderId="29" xfId="0" applyFont="1" applyFill="1" applyBorder="1" applyAlignment="1">
      <alignment horizontal="center" vertical="center"/>
    </xf>
    <xf numFmtId="0" fontId="19" fillId="5" borderId="30" xfId="0" applyFont="1" applyFill="1" applyBorder="1" applyAlignment="1">
      <alignment horizontal="center" vertical="center"/>
    </xf>
    <xf numFmtId="0" fontId="21" fillId="5" borderId="32" xfId="0" applyFont="1" applyFill="1" applyBorder="1" applyAlignment="1">
      <alignment horizontal="center"/>
    </xf>
    <xf numFmtId="0" fontId="21" fillId="5" borderId="19" xfId="0" applyFont="1" applyFill="1" applyBorder="1" applyAlignment="1">
      <alignment horizontal="center"/>
    </xf>
    <xf numFmtId="0" fontId="19" fillId="18" borderId="59" xfId="0" applyFont="1" applyFill="1" applyBorder="1" applyAlignment="1">
      <alignment horizontal="center" vertical="center"/>
    </xf>
    <xf numFmtId="0" fontId="19" fillId="18" borderId="60" xfId="0" applyFont="1" applyFill="1" applyBorder="1" applyAlignment="1">
      <alignment horizontal="center" vertical="center"/>
    </xf>
    <xf numFmtId="0" fontId="19" fillId="18" borderId="41" xfId="0" applyFont="1" applyFill="1" applyBorder="1" applyAlignment="1">
      <alignment horizontal="center" vertical="center"/>
    </xf>
    <xf numFmtId="0" fontId="19" fillId="18" borderId="40" xfId="0" applyFont="1" applyFill="1" applyBorder="1" applyAlignment="1">
      <alignment horizontal="center" vertical="center"/>
    </xf>
    <xf numFmtId="0" fontId="19" fillId="18" borderId="62" xfId="0" applyFont="1" applyFill="1" applyBorder="1" applyAlignment="1">
      <alignment horizontal="center" vertical="center"/>
    </xf>
    <xf numFmtId="0" fontId="19" fillId="18" borderId="65" xfId="0" applyFont="1" applyFill="1" applyBorder="1" applyAlignment="1">
      <alignment horizontal="center" vertical="center"/>
    </xf>
    <xf numFmtId="0" fontId="19" fillId="18" borderId="57" xfId="0" applyFont="1" applyFill="1" applyBorder="1" applyAlignment="1">
      <alignment horizontal="center" vertical="center"/>
    </xf>
    <xf numFmtId="0" fontId="19" fillId="18" borderId="39" xfId="0" applyFont="1" applyFill="1" applyBorder="1" applyAlignment="1">
      <alignment horizontal="center" vertic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21" fillId="5" borderId="21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21" fillId="7" borderId="44" xfId="0" applyFont="1" applyFill="1" applyBorder="1" applyAlignment="1">
      <alignment horizontal="center" vertical="center"/>
    </xf>
    <xf numFmtId="0" fontId="21" fillId="7" borderId="47" xfId="0" applyFont="1" applyFill="1" applyBorder="1" applyAlignment="1">
      <alignment horizontal="center" vertical="center"/>
    </xf>
    <xf numFmtId="0" fontId="21" fillId="7" borderId="4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21" fillId="4" borderId="19" xfId="0" applyFont="1" applyFill="1" applyBorder="1" applyAlignment="1">
      <alignment horizontal="center"/>
    </xf>
    <xf numFmtId="0" fontId="21" fillId="4" borderId="20" xfId="0" applyFont="1" applyFill="1" applyBorder="1" applyAlignment="1">
      <alignment horizontal="center"/>
    </xf>
    <xf numFmtId="0" fontId="19" fillId="7" borderId="47" xfId="0" applyFont="1" applyFill="1" applyBorder="1" applyAlignment="1">
      <alignment horizontal="center" vertical="center"/>
    </xf>
    <xf numFmtId="0" fontId="19" fillId="7" borderId="48" xfId="0" applyFont="1" applyFill="1" applyBorder="1" applyAlignment="1">
      <alignment horizontal="center" vertical="center"/>
    </xf>
    <xf numFmtId="0" fontId="24" fillId="0" borderId="2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0" fontId="21" fillId="5" borderId="21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4" fillId="0" borderId="2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24" fillId="0" borderId="18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0" fontId="21" fillId="5" borderId="27" xfId="0" applyFont="1" applyFill="1" applyBorder="1" applyAlignment="1">
      <alignment horizontal="center"/>
    </xf>
    <xf numFmtId="0" fontId="21" fillId="5" borderId="7" xfId="0" applyFont="1" applyFill="1" applyBorder="1" applyAlignment="1">
      <alignment horizontal="center"/>
    </xf>
    <xf numFmtId="0" fontId="21" fillId="5" borderId="17" xfId="0" applyFont="1" applyFill="1" applyBorder="1" applyAlignment="1">
      <alignment horizontal="center"/>
    </xf>
    <xf numFmtId="0" fontId="19" fillId="4" borderId="14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4" borderId="28" xfId="0" applyFont="1" applyFill="1" applyBorder="1" applyAlignment="1">
      <alignment horizontal="center"/>
    </xf>
    <xf numFmtId="0" fontId="21" fillId="4" borderId="14" xfId="0" applyFont="1" applyFill="1" applyBorder="1" applyAlignment="1">
      <alignment horizontal="center"/>
    </xf>
    <xf numFmtId="0" fontId="21" fillId="4" borderId="7" xfId="0" applyFont="1" applyFill="1" applyBorder="1" applyAlignment="1">
      <alignment horizontal="center"/>
    </xf>
    <xf numFmtId="0" fontId="21" fillId="4" borderId="28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34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7" xfId="0" applyFont="1" applyFill="1" applyBorder="1" applyAlignment="1">
      <alignment horizontal="center"/>
    </xf>
    <xf numFmtId="0" fontId="24" fillId="0" borderId="28" xfId="0" applyFont="1" applyFill="1" applyBorder="1" applyAlignment="1">
      <alignment horizontal="center"/>
    </xf>
    <xf numFmtId="0" fontId="21" fillId="5" borderId="22" xfId="0" applyFont="1" applyFill="1" applyBorder="1" applyAlignment="1">
      <alignment horizontal="center"/>
    </xf>
    <xf numFmtId="0" fontId="21" fillId="5" borderId="4" xfId="0" applyFont="1" applyFill="1" applyBorder="1" applyAlignment="1">
      <alignment horizontal="center"/>
    </xf>
    <xf numFmtId="0" fontId="21" fillId="4" borderId="4" xfId="0" applyFont="1" applyFill="1" applyBorder="1" applyAlignment="1">
      <alignment horizontal="center"/>
    </xf>
    <xf numFmtId="0" fontId="21" fillId="4" borderId="3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21" fillId="7" borderId="52" xfId="0" applyFont="1" applyFill="1" applyBorder="1" applyAlignment="1">
      <alignment horizontal="center" vertical="center"/>
    </xf>
    <xf numFmtId="0" fontId="21" fillId="7" borderId="50" xfId="0" applyFont="1" applyFill="1" applyBorder="1" applyAlignment="1">
      <alignment horizontal="center" vertical="center"/>
    </xf>
    <xf numFmtId="0" fontId="21" fillId="7" borderId="53" xfId="0" applyFont="1" applyFill="1" applyBorder="1" applyAlignment="1">
      <alignment horizontal="center" vertical="center"/>
    </xf>
    <xf numFmtId="0" fontId="19" fillId="5" borderId="22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1" fillId="12" borderId="58" xfId="0" applyFont="1" applyFill="1" applyBorder="1" applyAlignment="1">
      <alignment horizontal="center"/>
    </xf>
    <xf numFmtId="0" fontId="21" fillId="0" borderId="3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6" fillId="14" borderId="52" xfId="0" applyFont="1" applyFill="1" applyBorder="1" applyAlignment="1">
      <alignment horizontal="center"/>
    </xf>
    <xf numFmtId="0" fontId="26" fillId="14" borderId="50" xfId="0" applyFont="1" applyFill="1" applyBorder="1" applyAlignment="1">
      <alignment horizontal="center"/>
    </xf>
    <xf numFmtId="0" fontId="26" fillId="14" borderId="53" xfId="0" applyFont="1" applyFill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2" fontId="18" fillId="0" borderId="4" xfId="0" applyNumberFormat="1" applyFont="1" applyBorder="1" applyAlignment="1">
      <alignment horizontal="center" vertical="center" wrapText="1"/>
    </xf>
    <xf numFmtId="2" fontId="18" fillId="0" borderId="2" xfId="0" applyNumberFormat="1" applyFont="1" applyBorder="1" applyAlignment="1">
      <alignment horizontal="center" vertical="center" wrapText="1"/>
    </xf>
    <xf numFmtId="2" fontId="18" fillId="0" borderId="3" xfId="0" applyNumberFormat="1" applyFont="1" applyBorder="1" applyAlignment="1">
      <alignment horizontal="center" vertical="center" wrapText="1"/>
    </xf>
    <xf numFmtId="0" fontId="19" fillId="9" borderId="19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168" fontId="23" fillId="4" borderId="52" xfId="0" applyNumberFormat="1" applyFont="1" applyFill="1" applyBorder="1" applyAlignment="1">
      <alignment horizontal="center" vertical="center"/>
    </xf>
    <xf numFmtId="168" fontId="23" fillId="4" borderId="53" xfId="0" applyNumberFormat="1" applyFont="1" applyFill="1" applyBorder="1" applyAlignment="1">
      <alignment horizontal="center" vertical="center"/>
    </xf>
    <xf numFmtId="0" fontId="26" fillId="18" borderId="52" xfId="0" applyFont="1" applyFill="1" applyBorder="1" applyAlignment="1">
      <alignment horizontal="center"/>
    </xf>
    <xf numFmtId="0" fontId="26" fillId="18" borderId="50" xfId="0" applyFont="1" applyFill="1" applyBorder="1" applyAlignment="1">
      <alignment horizontal="center"/>
    </xf>
    <xf numFmtId="0" fontId="26" fillId="18" borderId="53" xfId="0" applyFont="1" applyFill="1" applyBorder="1" applyAlignment="1">
      <alignment horizontal="center"/>
    </xf>
    <xf numFmtId="168" fontId="26" fillId="18" borderId="52" xfId="0" applyNumberFormat="1" applyFont="1" applyFill="1" applyBorder="1" applyAlignment="1">
      <alignment horizontal="center"/>
    </xf>
    <xf numFmtId="0" fontId="19" fillId="12" borderId="1" xfId="0" applyFont="1" applyFill="1" applyBorder="1" applyAlignment="1">
      <alignment horizontal="center"/>
    </xf>
    <xf numFmtId="0" fontId="23" fillId="0" borderId="22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2" fontId="18" fillId="0" borderId="5" xfId="0" applyNumberFormat="1" applyFont="1" applyBorder="1" applyAlignment="1">
      <alignment horizontal="center" vertical="center" wrapText="1"/>
    </xf>
    <xf numFmtId="2" fontId="18" fillId="0" borderId="25" xfId="0" applyNumberFormat="1" applyFont="1" applyBorder="1" applyAlignment="1">
      <alignment horizontal="center" vertical="center" wrapText="1"/>
    </xf>
    <xf numFmtId="2" fontId="18" fillId="0" borderId="8" xfId="0" applyNumberFormat="1" applyFont="1" applyBorder="1" applyAlignment="1">
      <alignment horizontal="center" vertical="center" wrapText="1"/>
    </xf>
    <xf numFmtId="2" fontId="18" fillId="0" borderId="13" xfId="0" applyNumberFormat="1" applyFont="1" applyBorder="1" applyAlignment="1">
      <alignment horizontal="center" vertical="center" wrapText="1"/>
    </xf>
    <xf numFmtId="2" fontId="18" fillId="0" borderId="10" xfId="0" applyNumberFormat="1" applyFont="1" applyBorder="1" applyAlignment="1">
      <alignment horizontal="center" vertical="center" wrapText="1"/>
    </xf>
    <xf numFmtId="2" fontId="18" fillId="0" borderId="26" xfId="0" applyNumberFormat="1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0" fillId="0" borderId="2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/>
    </xf>
    <xf numFmtId="0" fontId="19" fillId="7" borderId="28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2" fillId="0" borderId="30" xfId="0" applyFont="1" applyBorder="1" applyAlignment="1">
      <alignment horizontal="center" vertical="center" wrapText="1"/>
    </xf>
    <xf numFmtId="0" fontId="22" fillId="0" borderId="31" xfId="0" applyFont="1" applyBorder="1" applyAlignment="1">
      <alignment horizontal="center" vertical="center" wrapText="1"/>
    </xf>
    <xf numFmtId="168" fontId="23" fillId="4" borderId="19" xfId="0" applyNumberFormat="1" applyFont="1" applyFill="1" applyBorder="1" applyAlignment="1">
      <alignment horizontal="center" vertical="center"/>
    </xf>
    <xf numFmtId="168" fontId="23" fillId="4" borderId="20" xfId="0" applyNumberFormat="1" applyFont="1" applyFill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 wrapText="1"/>
    </xf>
    <xf numFmtId="2" fontId="18" fillId="0" borderId="14" xfId="0" applyNumberFormat="1" applyFont="1" applyBorder="1" applyAlignment="1">
      <alignment horizontal="center" vertical="center" wrapText="1"/>
    </xf>
    <xf numFmtId="2" fontId="18" fillId="0" borderId="28" xfId="0" applyNumberFormat="1" applyFont="1" applyBorder="1" applyAlignment="1">
      <alignment horizontal="center" vertical="center" wrapText="1"/>
    </xf>
    <xf numFmtId="0" fontId="19" fillId="9" borderId="60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168" fontId="23" fillId="4" borderId="40" xfId="0" applyNumberFormat="1" applyFont="1" applyFill="1" applyBorder="1" applyAlignment="1">
      <alignment horizontal="center" vertical="center"/>
    </xf>
    <xf numFmtId="168" fontId="23" fillId="4" borderId="62" xfId="0" applyNumberFormat="1" applyFont="1" applyFill="1" applyBorder="1" applyAlignment="1">
      <alignment horizontal="center" vertical="center"/>
    </xf>
    <xf numFmtId="2" fontId="18" fillId="17" borderId="70" xfId="0" applyNumberFormat="1" applyFont="1" applyFill="1" applyBorder="1" applyAlignment="1">
      <alignment horizontal="center" vertical="center" wrapText="1"/>
    </xf>
    <xf numFmtId="2" fontId="18" fillId="17" borderId="71" xfId="0" applyNumberFormat="1" applyFont="1" applyFill="1" applyBorder="1" applyAlignment="1">
      <alignment horizontal="center" vertical="center" wrapText="1"/>
    </xf>
    <xf numFmtId="49" fontId="18" fillId="17" borderId="52" xfId="0" applyNumberFormat="1" applyFont="1" applyFill="1" applyBorder="1" applyAlignment="1">
      <alignment horizontal="center" vertical="center" wrapText="1"/>
    </xf>
    <xf numFmtId="49" fontId="18" fillId="17" borderId="50" xfId="0" applyNumberFormat="1" applyFont="1" applyFill="1" applyBorder="1" applyAlignment="1">
      <alignment horizontal="center" vertical="center" wrapText="1"/>
    </xf>
    <xf numFmtId="49" fontId="18" fillId="17" borderId="5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18" fillId="18" borderId="52" xfId="0" applyNumberFormat="1" applyFont="1" applyFill="1" applyBorder="1" applyAlignment="1">
      <alignment horizontal="center" vertical="center" wrapText="1"/>
    </xf>
    <xf numFmtId="49" fontId="18" fillId="18" borderId="50" xfId="0" applyNumberFormat="1" applyFont="1" applyFill="1" applyBorder="1" applyAlignment="1">
      <alignment horizontal="center" vertical="center" wrapText="1"/>
    </xf>
    <xf numFmtId="49" fontId="18" fillId="18" borderId="53" xfId="0" applyNumberFormat="1" applyFont="1" applyFill="1" applyBorder="1" applyAlignment="1">
      <alignment horizontal="center" vertical="center" wrapText="1"/>
    </xf>
    <xf numFmtId="2" fontId="18" fillId="18" borderId="70" xfId="0" applyNumberFormat="1" applyFont="1" applyFill="1" applyBorder="1" applyAlignment="1">
      <alignment horizontal="center" vertical="center" wrapText="1"/>
    </xf>
    <xf numFmtId="2" fontId="18" fillId="18" borderId="71" xfId="0" applyNumberFormat="1" applyFont="1" applyFill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2" fontId="18" fillId="17" borderId="72" xfId="0" applyNumberFormat="1" applyFont="1" applyFill="1" applyBorder="1" applyAlignment="1">
      <alignment horizontal="center" vertical="center" wrapText="1"/>
    </xf>
    <xf numFmtId="49" fontId="18" fillId="17" borderId="56" xfId="0" applyNumberFormat="1" applyFont="1" applyFill="1" applyBorder="1" applyAlignment="1">
      <alignment horizontal="center" vertical="center" wrapText="1"/>
    </xf>
    <xf numFmtId="49" fontId="18" fillId="17" borderId="49" xfId="0" applyNumberFormat="1" applyFont="1" applyFill="1" applyBorder="1" applyAlignment="1">
      <alignment horizontal="center" vertical="center" wrapText="1"/>
    </xf>
    <xf numFmtId="49" fontId="18" fillId="17" borderId="58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9" fillId="7" borderId="36" xfId="0" applyFont="1" applyFill="1" applyBorder="1" applyAlignment="1">
      <alignment horizontal="center" vertical="center" wrapText="1"/>
    </xf>
    <xf numFmtId="0" fontId="29" fillId="7" borderId="2" xfId="0" applyFont="1" applyFill="1" applyBorder="1" applyAlignment="1">
      <alignment horizontal="center" vertical="center" wrapText="1"/>
    </xf>
    <xf numFmtId="0" fontId="29" fillId="7" borderId="52" xfId="0" applyFont="1" applyFill="1" applyBorder="1" applyAlignment="1">
      <alignment horizontal="center" vertical="center"/>
    </xf>
    <xf numFmtId="0" fontId="29" fillId="7" borderId="50" xfId="0" applyFont="1" applyFill="1" applyBorder="1" applyAlignment="1">
      <alignment horizontal="center" vertical="center"/>
    </xf>
    <xf numFmtId="0" fontId="29" fillId="7" borderId="53" xfId="0" applyFont="1" applyFill="1" applyBorder="1" applyAlignment="1">
      <alignment horizontal="center" vertical="center"/>
    </xf>
    <xf numFmtId="0" fontId="29" fillId="7" borderId="29" xfId="0" applyFont="1" applyFill="1" applyBorder="1" applyAlignment="1">
      <alignment horizontal="center" vertical="center" wrapText="1"/>
    </xf>
    <xf numFmtId="0" fontId="29" fillId="7" borderId="22" xfId="0" applyFont="1" applyFill="1" applyBorder="1" applyAlignment="1">
      <alignment horizontal="center" vertical="center" wrapText="1"/>
    </xf>
    <xf numFmtId="0" fontId="29" fillId="7" borderId="30" xfId="0" applyFont="1" applyFill="1" applyBorder="1" applyAlignment="1">
      <alignment horizontal="center" vertical="center" wrapText="1"/>
    </xf>
    <xf numFmtId="0" fontId="29" fillId="7" borderId="4" xfId="0" applyFont="1" applyFill="1" applyBorder="1" applyAlignment="1">
      <alignment horizontal="center" vertical="center" wrapText="1"/>
    </xf>
    <xf numFmtId="0" fontId="29" fillId="7" borderId="31" xfId="0" applyFont="1" applyFill="1" applyBorder="1" applyAlignment="1">
      <alignment horizontal="center" vertical="center" wrapText="1"/>
    </xf>
    <xf numFmtId="0" fontId="29" fillId="7" borderId="33" xfId="0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49" fontId="18" fillId="17" borderId="29" xfId="0" applyNumberFormat="1" applyFont="1" applyFill="1" applyBorder="1" applyAlignment="1">
      <alignment horizontal="center" vertical="center" wrapText="1"/>
    </xf>
    <xf numFmtId="49" fontId="18" fillId="17" borderId="30" xfId="0" applyNumberFormat="1" applyFont="1" applyFill="1" applyBorder="1" applyAlignment="1">
      <alignment horizontal="center" vertical="center" wrapText="1"/>
    </xf>
    <xf numFmtId="49" fontId="18" fillId="17" borderId="32" xfId="0" applyNumberFormat="1" applyFont="1" applyFill="1" applyBorder="1" applyAlignment="1">
      <alignment horizontal="center" vertical="center" wrapText="1"/>
    </xf>
    <xf numFmtId="49" fontId="18" fillId="17" borderId="19" xfId="0" applyNumberFormat="1" applyFont="1" applyFill="1" applyBorder="1" applyAlignment="1">
      <alignment horizontal="center" vertical="center" wrapText="1"/>
    </xf>
    <xf numFmtId="2" fontId="18" fillId="17" borderId="30" xfId="0" applyNumberFormat="1" applyFont="1" applyFill="1" applyBorder="1" applyAlignment="1">
      <alignment horizontal="center" vertical="center" wrapText="1"/>
    </xf>
    <xf numFmtId="2" fontId="18" fillId="17" borderId="19" xfId="0" applyNumberFormat="1" applyFont="1" applyFill="1" applyBorder="1" applyAlignment="1">
      <alignment horizontal="center" vertical="center" wrapText="1"/>
    </xf>
    <xf numFmtId="49" fontId="18" fillId="17" borderId="44" xfId="0" applyNumberFormat="1" applyFont="1" applyFill="1" applyBorder="1" applyAlignment="1">
      <alignment horizontal="center" vertical="center" wrapText="1"/>
    </xf>
    <xf numFmtId="49" fontId="18" fillId="17" borderId="47" xfId="0" applyNumberFormat="1" applyFont="1" applyFill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2" fontId="18" fillId="17" borderId="31" xfId="0" applyNumberFormat="1" applyFont="1" applyFill="1" applyBorder="1" applyAlignment="1">
      <alignment horizontal="center" vertical="center" wrapText="1"/>
    </xf>
    <xf numFmtId="2" fontId="18" fillId="17" borderId="20" xfId="0" applyNumberFormat="1" applyFont="1" applyFill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/>
    </xf>
    <xf numFmtId="0" fontId="29" fillId="7" borderId="21" xfId="0" applyFont="1" applyFill="1" applyBorder="1" applyAlignment="1">
      <alignment horizontal="center" vertical="center" wrapText="1"/>
    </xf>
    <xf numFmtId="0" fontId="29" fillId="7" borderId="32" xfId="0" applyFont="1" applyFill="1" applyBorder="1" applyAlignment="1">
      <alignment horizontal="center" vertical="center" wrapText="1"/>
    </xf>
    <xf numFmtId="0" fontId="29" fillId="7" borderId="19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20" xfId="0" applyFont="1" applyFill="1" applyBorder="1" applyAlignment="1">
      <alignment horizontal="center" vertical="center" wrapText="1"/>
    </xf>
    <xf numFmtId="49" fontId="18" fillId="18" borderId="56" xfId="0" applyNumberFormat="1" applyFont="1" applyFill="1" applyBorder="1" applyAlignment="1">
      <alignment horizontal="center" vertical="center" wrapText="1"/>
    </xf>
    <xf numFmtId="49" fontId="18" fillId="18" borderId="49" xfId="0" applyNumberFormat="1" applyFont="1" applyFill="1" applyBorder="1" applyAlignment="1">
      <alignment horizontal="center" vertical="center" wrapText="1"/>
    </xf>
    <xf numFmtId="49" fontId="18" fillId="18" borderId="58" xfId="0" applyNumberFormat="1" applyFont="1" applyFill="1" applyBorder="1" applyAlignment="1">
      <alignment horizontal="center" vertical="center" wrapText="1"/>
    </xf>
    <xf numFmtId="49" fontId="18" fillId="18" borderId="54" xfId="0" applyNumberFormat="1" applyFont="1" applyFill="1" applyBorder="1" applyAlignment="1">
      <alignment horizontal="center" vertical="center" wrapText="1"/>
    </xf>
    <xf numFmtId="49" fontId="18" fillId="18" borderId="51" xfId="0" applyNumberFormat="1" applyFont="1" applyFill="1" applyBorder="1" applyAlignment="1">
      <alignment horizontal="center" vertical="center" wrapText="1"/>
    </xf>
    <xf numFmtId="49" fontId="18" fillId="18" borderId="55" xfId="0" applyNumberFormat="1" applyFont="1" applyFill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6" fillId="9" borderId="14" xfId="0" applyFont="1" applyFill="1" applyBorder="1" applyAlignment="1">
      <alignment horizontal="center"/>
    </xf>
    <xf numFmtId="0" fontId="26" fillId="9" borderId="7" xfId="0" applyFont="1" applyFill="1" applyBorder="1" applyAlignment="1">
      <alignment horizontal="center"/>
    </xf>
    <xf numFmtId="0" fontId="26" fillId="9" borderId="17" xfId="0" applyFont="1" applyFill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26" fillId="6" borderId="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26" fillId="22" borderId="1" xfId="0" applyFont="1" applyFill="1" applyBorder="1" applyAlignment="1">
      <alignment horizontal="center" vertical="center"/>
    </xf>
    <xf numFmtId="0" fontId="26" fillId="22" borderId="14" xfId="0" applyFont="1" applyFill="1" applyBorder="1" applyAlignment="1">
      <alignment horizontal="center"/>
    </xf>
    <xf numFmtId="0" fontId="26" fillId="22" borderId="7" xfId="0" applyFont="1" applyFill="1" applyBorder="1" applyAlignment="1">
      <alignment horizontal="center"/>
    </xf>
    <xf numFmtId="0" fontId="26" fillId="22" borderId="17" xfId="0" applyFont="1" applyFill="1" applyBorder="1" applyAlignment="1">
      <alignment horizontal="center"/>
    </xf>
    <xf numFmtId="0" fontId="26" fillId="8" borderId="10" xfId="0" applyFont="1" applyFill="1" applyBorder="1" applyAlignment="1">
      <alignment horizontal="center"/>
    </xf>
    <xf numFmtId="0" fontId="26" fillId="8" borderId="6" xfId="0" applyFont="1" applyFill="1" applyBorder="1" applyAlignment="1">
      <alignment horizontal="center"/>
    </xf>
    <xf numFmtId="0" fontId="26" fillId="9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6" fillId="9" borderId="5" xfId="0" applyFont="1" applyFill="1" applyBorder="1" applyAlignment="1">
      <alignment horizontal="center"/>
    </xf>
    <xf numFmtId="0" fontId="26" fillId="9" borderId="15" xfId="0" applyFont="1" applyFill="1" applyBorder="1" applyAlignment="1">
      <alignment horizontal="center"/>
    </xf>
    <xf numFmtId="0" fontId="26" fillId="9" borderId="16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4" xfId="0" applyBorder="1" applyAlignment="1">
      <alignment horizontal="left" vertical="center" wrapText="1"/>
    </xf>
    <xf numFmtId="0" fontId="17" fillId="0" borderId="1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26" fillId="17" borderId="44" xfId="0" applyFont="1" applyFill="1" applyBorder="1" applyAlignment="1">
      <alignment horizontal="center" vertical="center"/>
    </xf>
    <xf numFmtId="0" fontId="26" fillId="17" borderId="47" xfId="0" applyFont="1" applyFill="1" applyBorder="1" applyAlignment="1">
      <alignment horizontal="center" vertical="center"/>
    </xf>
    <xf numFmtId="0" fontId="26" fillId="6" borderId="52" xfId="0" applyFont="1" applyFill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73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74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26" fillId="15" borderId="63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26" fillId="19" borderId="52" xfId="0" applyFont="1" applyFill="1" applyBorder="1" applyAlignment="1">
      <alignment horizontal="center" vertical="center"/>
    </xf>
    <xf numFmtId="0" fontId="26" fillId="19" borderId="50" xfId="0" applyFont="1" applyFill="1" applyBorder="1" applyAlignment="1">
      <alignment horizontal="center" vertical="center"/>
    </xf>
    <xf numFmtId="0" fontId="26" fillId="19" borderId="53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26" fillId="6" borderId="14" xfId="0" applyFont="1" applyFill="1" applyBorder="1" applyAlignment="1">
      <alignment horizontal="center"/>
    </xf>
    <xf numFmtId="0" fontId="17" fillId="0" borderId="4" xfId="0" applyFont="1" applyBorder="1" applyAlignment="1">
      <alignment horizontal="center" wrapText="1"/>
    </xf>
    <xf numFmtId="0" fontId="17" fillId="0" borderId="2" xfId="0" applyFont="1" applyBorder="1" applyAlignment="1">
      <alignment horizontal="center" wrapText="1"/>
    </xf>
    <xf numFmtId="0" fontId="17" fillId="0" borderId="3" xfId="0" applyFont="1" applyBorder="1" applyAlignment="1">
      <alignment horizontal="center" wrapText="1"/>
    </xf>
    <xf numFmtId="0" fontId="26" fillId="19" borderId="49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6" fillId="15" borderId="4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26" fillId="8" borderId="52" xfId="0" applyFont="1" applyFill="1" applyBorder="1" applyAlignment="1">
      <alignment horizontal="center"/>
    </xf>
    <xf numFmtId="0" fontId="26" fillId="8" borderId="50" xfId="0" applyFont="1" applyFill="1" applyBorder="1" applyAlignment="1">
      <alignment horizontal="center"/>
    </xf>
    <xf numFmtId="0" fontId="26" fillId="8" borderId="53" xfId="0" applyFont="1" applyFill="1" applyBorder="1" applyAlignment="1">
      <alignment horizontal="center"/>
    </xf>
    <xf numFmtId="0" fontId="26" fillId="10" borderId="52" xfId="0" applyFont="1" applyFill="1" applyBorder="1" applyAlignment="1">
      <alignment horizontal="center"/>
    </xf>
    <xf numFmtId="0" fontId="26" fillId="10" borderId="50" xfId="0" applyFont="1" applyFill="1" applyBorder="1" applyAlignment="1">
      <alignment horizontal="center"/>
    </xf>
    <xf numFmtId="0" fontId="26" fillId="10" borderId="53" xfId="0" applyFont="1" applyFill="1" applyBorder="1" applyAlignment="1">
      <alignment horizontal="center"/>
    </xf>
    <xf numFmtId="0" fontId="26" fillId="0" borderId="42" xfId="0" applyFont="1" applyBorder="1" applyAlignment="1">
      <alignment horizontal="center" vertical="center"/>
    </xf>
    <xf numFmtId="0" fontId="26" fillId="0" borderId="4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6" fillId="10" borderId="54" xfId="0" applyFont="1" applyFill="1" applyBorder="1" applyAlignment="1">
      <alignment horizontal="center"/>
    </xf>
    <xf numFmtId="0" fontId="26" fillId="10" borderId="51" xfId="0" applyFont="1" applyFill="1" applyBorder="1" applyAlignment="1">
      <alignment horizontal="center"/>
    </xf>
    <xf numFmtId="0" fontId="26" fillId="10" borderId="55" xfId="0" applyFont="1" applyFill="1" applyBorder="1" applyAlignment="1">
      <alignment horizontal="center"/>
    </xf>
    <xf numFmtId="0" fontId="26" fillId="0" borderId="45" xfId="0" applyFont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26" fillId="10" borderId="12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26" fillId="10" borderId="13" xfId="0" applyFont="1" applyFill="1" applyBorder="1" applyAlignment="1">
      <alignment horizontal="center"/>
    </xf>
    <xf numFmtId="0" fontId="17" fillId="0" borderId="30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9" fillId="12" borderId="4" xfId="0" applyFont="1" applyFill="1" applyBorder="1" applyAlignment="1">
      <alignment horizontal="center"/>
    </xf>
    <xf numFmtId="0" fontId="26" fillId="11" borderId="54" xfId="0" applyFont="1" applyFill="1" applyBorder="1" applyAlignment="1">
      <alignment horizontal="center"/>
    </xf>
    <xf numFmtId="0" fontId="26" fillId="11" borderId="51" xfId="0" applyFont="1" applyFill="1" applyBorder="1" applyAlignment="1">
      <alignment horizontal="center"/>
    </xf>
    <xf numFmtId="0" fontId="26" fillId="11" borderId="55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8" fillId="2" borderId="0" xfId="0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0" fontId="26" fillId="0" borderId="36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62" xfId="0" applyFont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/>
    </xf>
    <xf numFmtId="0" fontId="26" fillId="22" borderId="1" xfId="2" applyFont="1" applyFill="1" applyBorder="1" applyAlignment="1">
      <alignment horizontal="center" vertical="center" wrapText="1"/>
    </xf>
    <xf numFmtId="0" fontId="26" fillId="22" borderId="4" xfId="2" applyFont="1" applyFill="1" applyBorder="1" applyAlignment="1">
      <alignment horizontal="center" vertical="center" wrapText="1"/>
    </xf>
    <xf numFmtId="0" fontId="26" fillId="22" borderId="2" xfId="2" applyFont="1" applyFill="1" applyBorder="1" applyAlignment="1">
      <alignment horizontal="center" vertical="center" wrapText="1"/>
    </xf>
    <xf numFmtId="0" fontId="26" fillId="22" borderId="3" xfId="2" applyFont="1" applyFill="1" applyBorder="1" applyAlignment="1">
      <alignment horizontal="center" vertical="center" wrapText="1"/>
    </xf>
    <xf numFmtId="0" fontId="26" fillId="22" borderId="14" xfId="2" applyFont="1" applyFill="1" applyBorder="1" applyAlignment="1">
      <alignment horizontal="center"/>
    </xf>
    <xf numFmtId="0" fontId="26" fillId="22" borderId="7" xfId="2" applyFont="1" applyFill="1" applyBorder="1" applyAlignment="1">
      <alignment horizontal="center"/>
    </xf>
    <xf numFmtId="0" fontId="26" fillId="22" borderId="17" xfId="2" applyFont="1" applyFill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>
      <alignment horizontal="center" vertical="center"/>
    </xf>
    <xf numFmtId="0" fontId="26" fillId="12" borderId="14" xfId="2" applyFont="1" applyFill="1" applyBorder="1" applyAlignment="1">
      <alignment horizontal="center"/>
    </xf>
    <xf numFmtId="0" fontId="26" fillId="12" borderId="7" xfId="2" applyFont="1" applyFill="1" applyBorder="1" applyAlignment="1">
      <alignment horizontal="center"/>
    </xf>
    <xf numFmtId="0" fontId="26" fillId="12" borderId="17" xfId="2" applyFont="1" applyFill="1" applyBorder="1" applyAlignment="1">
      <alignment horizontal="center"/>
    </xf>
    <xf numFmtId="0" fontId="17" fillId="0" borderId="17" xfId="2" applyFont="1" applyBorder="1" applyAlignment="1">
      <alignment horizontal="center" vertical="center"/>
    </xf>
    <xf numFmtId="0" fontId="26" fillId="0" borderId="0" xfId="2" applyFont="1" applyFill="1" applyBorder="1" applyAlignment="1">
      <alignment horizontal="center"/>
    </xf>
    <xf numFmtId="0" fontId="17" fillId="0" borderId="4" xfId="2" applyFont="1" applyBorder="1" applyAlignment="1">
      <alignment horizontal="center"/>
    </xf>
    <xf numFmtId="0" fontId="17" fillId="0" borderId="2" xfId="2" applyFont="1" applyBorder="1" applyAlignment="1">
      <alignment horizontal="center"/>
    </xf>
    <xf numFmtId="0" fontId="17" fillId="0" borderId="3" xfId="2" applyFont="1" applyBorder="1" applyAlignment="1">
      <alignment horizontal="center"/>
    </xf>
    <xf numFmtId="0" fontId="26" fillId="12" borderId="4" xfId="2" applyFont="1" applyFill="1" applyBorder="1" applyAlignment="1">
      <alignment horizontal="center" vertical="center"/>
    </xf>
    <xf numFmtId="0" fontId="26" fillId="12" borderId="2" xfId="2" applyFont="1" applyFill="1" applyBorder="1" applyAlignment="1">
      <alignment horizontal="center" vertical="center"/>
    </xf>
    <xf numFmtId="0" fontId="26" fillId="12" borderId="3" xfId="2" applyFont="1" applyFill="1" applyBorder="1" applyAlignment="1">
      <alignment horizontal="center" vertical="center"/>
    </xf>
    <xf numFmtId="0" fontId="26" fillId="0" borderId="4" xfId="2" applyFont="1" applyBorder="1" applyAlignment="1">
      <alignment horizontal="center"/>
    </xf>
    <xf numFmtId="0" fontId="26" fillId="22" borderId="1" xfId="2" applyFont="1" applyFill="1" applyBorder="1" applyAlignment="1">
      <alignment horizontal="center"/>
    </xf>
    <xf numFmtId="0" fontId="26" fillId="12" borderId="1" xfId="2" applyFont="1" applyFill="1" applyBorder="1" applyAlignment="1">
      <alignment horizontal="center" vertical="center"/>
    </xf>
    <xf numFmtId="0" fontId="26" fillId="10" borderId="16" xfId="2" applyFont="1" applyFill="1" applyBorder="1" applyAlignment="1">
      <alignment horizontal="center" vertical="center" wrapText="1"/>
    </xf>
    <xf numFmtId="0" fontId="26" fillId="10" borderId="9" xfId="2" applyFont="1" applyFill="1" applyBorder="1" applyAlignment="1">
      <alignment horizontal="center" vertical="center" wrapText="1"/>
    </xf>
    <xf numFmtId="0" fontId="26" fillId="10" borderId="11" xfId="2" applyFont="1" applyFill="1" applyBorder="1" applyAlignment="1">
      <alignment horizontal="center" vertical="center" wrapText="1"/>
    </xf>
    <xf numFmtId="0" fontId="19" fillId="12" borderId="1" xfId="2" applyFont="1" applyFill="1" applyBorder="1" applyAlignment="1">
      <alignment horizontal="center"/>
    </xf>
    <xf numFmtId="0" fontId="26" fillId="22" borderId="16" xfId="2" applyFont="1" applyFill="1" applyBorder="1" applyAlignment="1">
      <alignment horizontal="center" vertical="center" wrapText="1"/>
    </xf>
    <xf numFmtId="0" fontId="26" fillId="22" borderId="9" xfId="2" applyFont="1" applyFill="1" applyBorder="1" applyAlignment="1">
      <alignment horizontal="center" vertical="center" wrapText="1"/>
    </xf>
    <xf numFmtId="0" fontId="26" fillId="22" borderId="11" xfId="2" applyFont="1" applyFill="1" applyBorder="1" applyAlignment="1">
      <alignment horizontal="center" vertical="center" wrapText="1"/>
    </xf>
    <xf numFmtId="0" fontId="17" fillId="0" borderId="4" xfId="2" applyBorder="1" applyAlignment="1">
      <alignment horizontal="center"/>
    </xf>
    <xf numFmtId="0" fontId="17" fillId="0" borderId="2" xfId="2" applyBorder="1" applyAlignment="1">
      <alignment horizontal="center"/>
    </xf>
    <xf numFmtId="0" fontId="26" fillId="10" borderId="1" xfId="2" applyFont="1" applyFill="1" applyBorder="1" applyAlignment="1">
      <alignment horizontal="center"/>
    </xf>
    <xf numFmtId="0" fontId="18" fillId="2" borderId="6" xfId="2" applyFont="1" applyFill="1" applyBorder="1" applyAlignment="1">
      <alignment horizontal="center"/>
    </xf>
    <xf numFmtId="0" fontId="18" fillId="2" borderId="11" xfId="2" applyFont="1" applyFill="1" applyBorder="1" applyAlignment="1">
      <alignment horizontal="center"/>
    </xf>
    <xf numFmtId="0" fontId="26" fillId="8" borderId="5" xfId="2" applyFont="1" applyFill="1" applyBorder="1" applyAlignment="1">
      <alignment horizontal="center"/>
    </xf>
    <xf numFmtId="0" fontId="26" fillId="8" borderId="15" xfId="2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0" fontId="26" fillId="8" borderId="14" xfId="0" applyFont="1" applyFill="1" applyBorder="1" applyAlignment="1">
      <alignment horizontal="center"/>
    </xf>
    <xf numFmtId="0" fontId="26" fillId="8" borderId="7" xfId="0" applyFont="1" applyFill="1" applyBorder="1" applyAlignment="1">
      <alignment horizontal="center"/>
    </xf>
    <xf numFmtId="0" fontId="26" fillId="8" borderId="1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0" fontId="19" fillId="2" borderId="6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6" fillId="17" borderId="35" xfId="0" applyFont="1" applyFill="1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26" fillId="17" borderId="37" xfId="0" applyFont="1" applyFill="1" applyBorder="1" applyAlignment="1">
      <alignment horizontal="center" vertical="center" wrapText="1"/>
    </xf>
    <xf numFmtId="0" fontId="26" fillId="17" borderId="68" xfId="0" applyFont="1" applyFill="1" applyBorder="1" applyAlignment="1">
      <alignment horizontal="center" vertical="center" wrapText="1"/>
    </xf>
    <xf numFmtId="0" fontId="26" fillId="17" borderId="64" xfId="0" applyFont="1" applyFill="1" applyBorder="1" applyAlignment="1">
      <alignment horizontal="center" vertical="center" wrapText="1"/>
    </xf>
    <xf numFmtId="0" fontId="26" fillId="17" borderId="29" xfId="0" applyFont="1" applyFill="1" applyBorder="1" applyAlignment="1">
      <alignment horizontal="left" vertical="center" wrapText="1"/>
    </xf>
    <xf numFmtId="0" fontId="26" fillId="17" borderId="30" xfId="0" applyFont="1" applyFill="1" applyBorder="1" applyAlignment="1">
      <alignment horizontal="left" vertical="center" wrapText="1"/>
    </xf>
    <xf numFmtId="0" fontId="26" fillId="17" borderId="21" xfId="0" applyFont="1" applyFill="1" applyBorder="1" applyAlignment="1">
      <alignment horizontal="left" vertical="center" wrapText="1"/>
    </xf>
    <xf numFmtId="0" fontId="26" fillId="17" borderId="1" xfId="0" applyFont="1" applyFill="1" applyBorder="1" applyAlignment="1">
      <alignment horizontal="left" vertical="center" wrapText="1"/>
    </xf>
    <xf numFmtId="0" fontId="26" fillId="17" borderId="32" xfId="0" applyFont="1" applyFill="1" applyBorder="1" applyAlignment="1">
      <alignment horizontal="left" vertical="center" wrapText="1"/>
    </xf>
    <xf numFmtId="0" fontId="26" fillId="17" borderId="19" xfId="0" applyFont="1" applyFill="1" applyBorder="1" applyAlignment="1">
      <alignment horizontal="left" vertical="center" wrapText="1"/>
    </xf>
    <xf numFmtId="0" fontId="19" fillId="5" borderId="1" xfId="2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20" borderId="14" xfId="0" applyFont="1" applyFill="1" applyBorder="1" applyAlignment="1">
      <alignment horizontal="center" vertical="center"/>
    </xf>
    <xf numFmtId="0" fontId="19" fillId="20" borderId="7" xfId="0" applyFont="1" applyFill="1" applyBorder="1" applyAlignment="1">
      <alignment horizontal="center" vertical="center"/>
    </xf>
    <xf numFmtId="0" fontId="19" fillId="20" borderId="17" xfId="0" applyFont="1" applyFill="1" applyBorder="1" applyAlignment="1">
      <alignment horizontal="center" vertical="center"/>
    </xf>
    <xf numFmtId="0" fontId="23" fillId="0" borderId="16" xfId="2" applyFont="1" applyFill="1" applyBorder="1" applyAlignment="1">
      <alignment horizontal="center" vertical="center" textRotation="90"/>
    </xf>
    <xf numFmtId="0" fontId="23" fillId="0" borderId="9" xfId="2" applyFont="1" applyFill="1" applyBorder="1" applyAlignment="1">
      <alignment horizontal="center" vertical="center" textRotation="90"/>
    </xf>
    <xf numFmtId="168" fontId="19" fillId="0" borderId="4" xfId="2" applyNumberFormat="1" applyFont="1" applyFill="1" applyBorder="1" applyAlignment="1">
      <alignment horizontal="center" vertical="center"/>
    </xf>
    <xf numFmtId="168" fontId="19" fillId="0" borderId="2" xfId="2" applyNumberFormat="1" applyFont="1" applyFill="1" applyBorder="1" applyAlignment="1">
      <alignment horizontal="center" vertical="center"/>
    </xf>
    <xf numFmtId="168" fontId="19" fillId="0" borderId="3" xfId="2" applyNumberFormat="1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center" vertical="center"/>
    </xf>
    <xf numFmtId="0" fontId="19" fillId="12" borderId="10" xfId="0" applyFont="1" applyFill="1" applyBorder="1" applyAlignment="1">
      <alignment horizontal="center"/>
    </xf>
    <xf numFmtId="0" fontId="19" fillId="12" borderId="6" xfId="0" applyFont="1" applyFill="1" applyBorder="1" applyAlignment="1">
      <alignment horizontal="center"/>
    </xf>
    <xf numFmtId="0" fontId="19" fillId="12" borderId="11" xfId="0" applyFont="1" applyFill="1" applyBorder="1" applyAlignment="1">
      <alignment horizontal="center"/>
    </xf>
    <xf numFmtId="0" fontId="23" fillId="0" borderId="1" xfId="2" applyFont="1" applyFill="1" applyBorder="1" applyAlignment="1">
      <alignment horizontal="center" vertical="center" textRotation="90"/>
    </xf>
    <xf numFmtId="168" fontId="19" fillId="0" borderId="1" xfId="2" applyNumberFormat="1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</cellXfs>
  <cellStyles count="17">
    <cellStyle name="20% - Énfasis5" xfId="6" builtinId="46"/>
    <cellStyle name="40% - Énfasis5" xfId="7" builtinId="47"/>
    <cellStyle name="60% - Énfasis5" xfId="8" builtinId="48"/>
    <cellStyle name="Énfasis5" xfId="5" builtinId="45"/>
    <cellStyle name="Euro" xfId="1"/>
    <cellStyle name="Millares" xfId="4" builtinId="3"/>
    <cellStyle name="Moneda" xfId="11" builtinId="4"/>
    <cellStyle name="Moneda 2" xfId="9"/>
    <cellStyle name="Normal" xfId="0" builtinId="0"/>
    <cellStyle name="Normal 2" xfId="2"/>
    <cellStyle name="Normal 2 2" xfId="13"/>
    <cellStyle name="Normal 3" xfId="10"/>
    <cellStyle name="Normal 4" xfId="15"/>
    <cellStyle name="Normal 5" xfId="16"/>
    <cellStyle name="Normal 8" xfId="12"/>
    <cellStyle name="Porcentaje" xfId="3" builtinId="5"/>
    <cellStyle name="Porcentaje 2" xfId="14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</a:t>
            </a:r>
            <a:r>
              <a:rPr lang="es-CO" baseline="0"/>
              <a:t> DIRECTOS</a:t>
            </a:r>
            <a:endParaRPr lang="es-CO"/>
          </a:p>
        </c:rich>
      </c:tx>
      <c:layout>
        <c:manualLayout>
          <c:xMode val="edge"/>
          <c:yMode val="edge"/>
          <c:x val="0.72999015748031504"/>
          <c:y val="0.316866678458968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A-4D65-8A89-BE8D29ADC05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A-4D65-8A89-BE8D29ADC05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EA-4D65-8A89-BE8D29ADC05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AEA-4D65-8A89-BE8D29ADC05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AEA-4D65-8A89-BE8D29ADC05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AEA-4D65-8A89-BE8D29ADC05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AEA-4D65-8A89-BE8D29ADC05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AEA-4D65-8A89-BE8D29ADC05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AEA-4D65-8A89-BE8D29ADC05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AEA-4D65-8A89-BE8D29ADC05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AEA-4D65-8A89-BE8D29ADC05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AEA-4D65-8A89-BE8D29ADC05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AEA-4D65-8A89-BE8D29ADC05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AEA-4D65-8A89-BE8D29ADC05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AEA-4D65-8A89-BE8D29ADC05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AEA-4D65-8A89-BE8D29ADC05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AEA-4D65-8A89-BE8D29ADC050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AEA-4D65-8A89-BE8D29ADC050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AEA-4D65-8A89-BE8D29ADC050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AEA-4D65-8A89-BE8D29ADC050}"/>
              </c:ext>
            </c:extLst>
          </c:dPt>
          <c:dLbls>
            <c:dLbl>
              <c:idx val="1"/>
              <c:layout>
                <c:manualLayout>
                  <c:x val="0.29859009215776267"/>
                  <c:y val="4.89836540765934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EA-4D65-8A89-BE8D29ADC050}"/>
                </c:ext>
              </c:extLst>
            </c:dLbl>
            <c:dLbl>
              <c:idx val="2"/>
              <c:layout>
                <c:manualLayout>
                  <c:x val="8.671468756988325E-2"/>
                  <c:y val="7.92799460628878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AEA-4D65-8A89-BE8D29ADC050}"/>
                </c:ext>
              </c:extLst>
            </c:dLbl>
            <c:dLbl>
              <c:idx val="5"/>
              <c:layout>
                <c:manualLayout>
                  <c:x val="1.5435307133693491E-2"/>
                  <c:y val="7.255835490180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AEA-4D65-8A89-BE8D29ADC050}"/>
                </c:ext>
              </c:extLst>
            </c:dLbl>
            <c:dLbl>
              <c:idx val="6"/>
              <c:layout>
                <c:manualLayout>
                  <c:x val="-8.4615361981097648E-2"/>
                  <c:y val="0.101797551102117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AEA-4D65-8A89-BE8D29ADC050}"/>
                </c:ext>
              </c:extLst>
            </c:dLbl>
            <c:dLbl>
              <c:idx val="7"/>
              <c:layout>
                <c:manualLayout>
                  <c:x val="-0.10255181195822333"/>
                  <c:y val="0.110737913388797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EA-4D65-8A89-BE8D29ADC050}"/>
                </c:ext>
              </c:extLst>
            </c:dLbl>
            <c:dLbl>
              <c:idx val="8"/>
              <c:layout>
                <c:manualLayout>
                  <c:x val="-5.831970373139559E-2"/>
                  <c:y val="8.52106925477080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AEA-4D65-8A89-BE8D29ADC050}"/>
                </c:ext>
              </c:extLst>
            </c:dLbl>
            <c:dLbl>
              <c:idx val="12"/>
              <c:layout>
                <c:manualLayout>
                  <c:x val="-0.15782892123647749"/>
                  <c:y val="4.15996607602142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AEA-4D65-8A89-BE8D29ADC050}"/>
                </c:ext>
              </c:extLst>
            </c:dLbl>
            <c:dLbl>
              <c:idx val="14"/>
              <c:layout>
                <c:manualLayout>
                  <c:x val="-0.25114485128820779"/>
                  <c:y val="-5.81880776033628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AEA-4D65-8A89-BE8D29ADC050}"/>
                </c:ext>
              </c:extLst>
            </c:dLbl>
            <c:numFmt formatCode="0.0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'Resumen CD'!$B$6:$D$24</c:f>
              <c:strCache>
                <c:ptCount val="19"/>
                <c:pt idx="0">
                  <c:v>PRELIMINARES</c:v>
                </c:pt>
                <c:pt idx="1">
                  <c:v>MOVIMIENTO DE TIERRA</c:v>
                </c:pt>
                <c:pt idx="2">
                  <c:v>SUBESTRUCTURA</c:v>
                </c:pt>
                <c:pt idx="3">
                  <c:v>ESTRUCTURA</c:v>
                </c:pt>
                <c:pt idx="4">
                  <c:v>REFUERZO</c:v>
                </c:pt>
                <c:pt idx="5">
                  <c:v>MAMPOSTERÍA</c:v>
                </c:pt>
                <c:pt idx="6">
                  <c:v>REVOQUE</c:v>
                </c:pt>
                <c:pt idx="7">
                  <c:v>ESTUCO Y PINTURA</c:v>
                </c:pt>
                <c:pt idx="8">
                  <c:v>PISOS, ENCHAPES Y ZOCALOS</c:v>
                </c:pt>
                <c:pt idx="9">
                  <c:v>CIELOS</c:v>
                </c:pt>
                <c:pt idx="10">
                  <c:v>CARPINTERÍA EN MADERA</c:v>
                </c:pt>
                <c:pt idx="11">
                  <c:v>CARPINTERÍA METÁLICA</c:v>
                </c:pt>
                <c:pt idx="12">
                  <c:v>EQUIPOS Y MUEBLES DE BAÑOS Y DE COCINAS</c:v>
                </c:pt>
                <c:pt idx="13">
                  <c:v>CUBIERTA</c:v>
                </c:pt>
                <c:pt idx="14">
                  <c:v>INSTALACIONES ELÉCTRICAS</c:v>
                </c:pt>
                <c:pt idx="15">
                  <c:v>INSTALACIONES HIDRO-SANITARIAS DESAGÜES </c:v>
                </c:pt>
                <c:pt idx="16">
                  <c:v>INSTALACIONES HIDRO-SANITARIAS ABASTOS</c:v>
                </c:pt>
                <c:pt idx="17">
                  <c:v>INSTALACIONES ESPECIALES</c:v>
                </c:pt>
                <c:pt idx="18">
                  <c:v>ASEO Y REVISIÓN</c:v>
                </c:pt>
              </c:strCache>
            </c:strRef>
          </c:cat>
          <c:val>
            <c:numRef>
              <c:f>'Resumen CD'!$E$6:$E$24</c:f>
              <c:numCache>
                <c:formatCode>_("$"\ * #,##0.00_);_("$"\ * \(#,##0.00\);_("$"\ * "-"??_);_(@_)</c:formatCode>
                <c:ptCount val="19"/>
                <c:pt idx="0">
                  <c:v>63765141.291229598</c:v>
                </c:pt>
                <c:pt idx="1">
                  <c:v>215773025.39103997</c:v>
                </c:pt>
                <c:pt idx="2">
                  <c:v>182642302.36338317</c:v>
                </c:pt>
                <c:pt idx="3">
                  <c:v>1580013864.4402962</c:v>
                </c:pt>
                <c:pt idx="4">
                  <c:v>1430224129.3341966</c:v>
                </c:pt>
                <c:pt idx="5">
                  <c:v>413334822.89580446</c:v>
                </c:pt>
                <c:pt idx="6">
                  <c:v>63396032.572342038</c:v>
                </c:pt>
                <c:pt idx="7">
                  <c:v>92592049.737649709</c:v>
                </c:pt>
                <c:pt idx="8">
                  <c:v>333614313.11958283</c:v>
                </c:pt>
                <c:pt idx="9">
                  <c:v>100581856.98258379</c:v>
                </c:pt>
                <c:pt idx="10">
                  <c:v>20600078.270000003</c:v>
                </c:pt>
                <c:pt idx="11">
                  <c:v>366362905.42719918</c:v>
                </c:pt>
                <c:pt idx="12">
                  <c:v>202648186.01892099</c:v>
                </c:pt>
                <c:pt idx="13">
                  <c:v>206646831.91221997</c:v>
                </c:pt>
                <c:pt idx="14">
                  <c:v>185075786</c:v>
                </c:pt>
                <c:pt idx="15">
                  <c:v>33687026.68084754</c:v>
                </c:pt>
                <c:pt idx="16">
                  <c:v>31164755.514962941</c:v>
                </c:pt>
                <c:pt idx="17">
                  <c:v>1216508280.0837648</c:v>
                </c:pt>
                <c:pt idx="18">
                  <c:v>33199606.805614799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AEA-4D65-8A89-BE8D29ADC05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539399503313201E-2"/>
          <c:y val="0.68833414643177282"/>
          <c:w val="0.8607955227569648"/>
          <c:h val="0.296163409593693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COSTOS</a:t>
            </a:r>
            <a:r>
              <a:rPr lang="es-ES" baseline="0"/>
              <a:t> INDIRECTOS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EE-4E55-9CCE-C697E8A2D7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EE-4E55-9CCE-C697E8A2D7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EE-4E55-9CCE-C697E8A2D7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EE-4E55-9CCE-C697E8A2D7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EE-4E55-9CCE-C697E8A2D75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EE-4E55-9CCE-C697E8A2D75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EE-4E55-9CCE-C697E8A2D7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EE-4E55-9CCE-C697E8A2D7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EE-4E55-9CCE-C697E8A2D7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EE-4E55-9CCE-C697E8A2D7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('Costos indirectos'!$B$6:$B$13,'Costos indirectos'!$B$15:$B$16)</c:f>
              <c:strCache>
                <c:ptCount val="10"/>
                <c:pt idx="0">
                  <c:v>Diseño arquitectónico</c:v>
                </c:pt>
                <c:pt idx="1">
                  <c:v>Diseño estructural</c:v>
                </c:pt>
                <c:pt idx="2">
                  <c:v>Estudio de suelos</c:v>
                </c:pt>
                <c:pt idx="3">
                  <c:v>Construcción</c:v>
                </c:pt>
                <c:pt idx="4">
                  <c:v>Interventoría</c:v>
                </c:pt>
                <c:pt idx="5">
                  <c:v>Programación y control</c:v>
                </c:pt>
                <c:pt idx="6">
                  <c:v>Presupuesto y control</c:v>
                </c:pt>
                <c:pt idx="7">
                  <c:v>Gerencia de proyecto</c:v>
                </c:pt>
                <c:pt idx="8">
                  <c:v>Licencia construcción</c:v>
                </c:pt>
                <c:pt idx="9">
                  <c:v>Pólizas</c:v>
                </c:pt>
              </c:strCache>
            </c:strRef>
          </c:cat>
          <c:val>
            <c:numRef>
              <c:f>('Costos indirectos'!$G$6:$G$13,'Costos indirectos'!$G$15:$G$16)</c:f>
              <c:numCache>
                <c:formatCode>0.00%</c:formatCode>
                <c:ptCount val="10"/>
                <c:pt idx="0">
                  <c:v>0.14132217973522601</c:v>
                </c:pt>
                <c:pt idx="1">
                  <c:v>5.6358833871494547E-2</c:v>
                </c:pt>
                <c:pt idx="2">
                  <c:v>3.3242472139618159E-2</c:v>
                </c:pt>
                <c:pt idx="3">
                  <c:v>0.32838558808980156</c:v>
                </c:pt>
                <c:pt idx="4">
                  <c:v>8.209639702245039E-2</c:v>
                </c:pt>
                <c:pt idx="5">
                  <c:v>3.7486110809426425E-2</c:v>
                </c:pt>
                <c:pt idx="6">
                  <c:v>2.9797167328286408E-2</c:v>
                </c:pt>
                <c:pt idx="7">
                  <c:v>0.23950078693630775</c:v>
                </c:pt>
                <c:pt idx="8">
                  <c:v>1.4046121437061562E-2</c:v>
                </c:pt>
                <c:pt idx="9">
                  <c:v>3.7764342630327165E-2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EE-4E55-9CCE-C697E8A2D7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 TOTALES</a:t>
            </a:r>
          </a:p>
        </c:rich>
      </c:tx>
      <c:layout>
        <c:manualLayout>
          <c:xMode val="edge"/>
          <c:yMode val="edge"/>
          <c:x val="4.3722222222222197E-2"/>
          <c:y val="5.0925925925925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7-40FC-96E3-7D38A2FEDA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A7-40FC-96E3-7D38A2FEDA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A7-40FC-96E3-7D38A2FEDA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'Costos totales'!$B$5:$B$7</c:f>
              <c:strCache>
                <c:ptCount val="3"/>
                <c:pt idx="0">
                  <c:v>Costos directos</c:v>
                </c:pt>
                <c:pt idx="1">
                  <c:v>Costos Indirectos</c:v>
                </c:pt>
                <c:pt idx="2">
                  <c:v>Gastos generales</c:v>
                </c:pt>
              </c:strCache>
            </c:strRef>
          </c:cat>
          <c:val>
            <c:numRef>
              <c:f>'Costos totales'!$D$5:$D$7</c:f>
              <c:numCache>
                <c:formatCode>0%</c:formatCode>
                <c:ptCount val="3"/>
                <c:pt idx="0">
                  <c:v>0.68698926314595743</c:v>
                </c:pt>
                <c:pt idx="1">
                  <c:v>0.24267433594905069</c:v>
                </c:pt>
                <c:pt idx="2">
                  <c:v>7.0336400904991742E-2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A7-40FC-96E3-7D38A2FEDAB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pivotSource>
    <c:name>[Trabajo final- SAR-NGC-JCM.xlsx]Flujo de caja!PivotTable6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Informe del flujo de caja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square"/>
          <c:size val="5"/>
        </c:marker>
      </c:pivotFmt>
      <c:pivotFmt>
        <c:idx val="2"/>
        <c:marker>
          <c:symbol val="none"/>
        </c:marker>
      </c:pivotFmt>
      <c:pivotFmt>
        <c:idx val="3"/>
        <c:marker>
          <c:symbol val="square"/>
          <c:size val="5"/>
        </c:marker>
      </c:pivotFmt>
      <c:pivotFmt>
        <c:idx val="4"/>
        <c:marker>
          <c:symbol val="none"/>
        </c:marker>
      </c:pivotFmt>
      <c:pivotFmt>
        <c:idx val="5"/>
        <c:marker>
          <c:symbol val="square"/>
          <c:size val="5"/>
        </c:marker>
      </c:pivotFmt>
      <c:pivotFmt>
        <c:idx val="6"/>
        <c:marker>
          <c:symbol val="none"/>
        </c:marker>
      </c:pivotFmt>
      <c:pivotFmt>
        <c:idx val="7"/>
        <c:marker>
          <c:symbol val="square"/>
          <c:size val="5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'Flujo de caja'!$C$3:$C$4</c:f>
              <c:strCache>
                <c:ptCount val="1"/>
                <c:pt idx="0">
                  <c:v>Costo</c:v>
                </c:pt>
              </c:strCache>
            </c:strRef>
          </c:tx>
          <c:invertIfNegative val="0"/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caja'!$C$5:$C$13</c:f>
              <c:numCache>
                <c:formatCode>General</c:formatCode>
                <c:ptCount val="6"/>
                <c:pt idx="0">
                  <c:v>1511189463.8699999</c:v>
                </c:pt>
                <c:pt idx="1">
                  <c:v>326004287.93000007</c:v>
                </c:pt>
                <c:pt idx="2">
                  <c:v>644454437.96999991</c:v>
                </c:pt>
                <c:pt idx="3">
                  <c:v>1462945175.3700001</c:v>
                </c:pt>
                <c:pt idx="4">
                  <c:v>1504003547.3599999</c:v>
                </c:pt>
                <c:pt idx="5">
                  <c:v>1323234077.5699999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171984"/>
        <c:axId val="1"/>
      </c:barChart>
      <c:lineChart>
        <c:grouping val="standard"/>
        <c:varyColors val="0"/>
        <c:ser>
          <c:idx val="1"/>
          <c:order val="1"/>
          <c:tx>
            <c:strRef>
              <c:f>'Flujo de caja'!$D$3:$D$4</c:f>
              <c:strCache>
                <c:ptCount val="1"/>
                <c:pt idx="0">
                  <c:v>Costo acumulado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caja'!$D$5:$D$13</c:f>
              <c:numCache>
                <c:formatCode>General</c:formatCode>
                <c:ptCount val="6"/>
                <c:pt idx="0">
                  <c:v>1511189463.859107</c:v>
                </c:pt>
                <c:pt idx="1">
                  <c:v>1837193751.7995138</c:v>
                </c:pt>
                <c:pt idx="2">
                  <c:v>2481648189.7757592</c:v>
                </c:pt>
                <c:pt idx="3">
                  <c:v>3944593365.0757303</c:v>
                </c:pt>
                <c:pt idx="4">
                  <c:v>5448596912.3708382</c:v>
                </c:pt>
                <c:pt idx="5">
                  <c:v>6771830989.9200077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917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CO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CO"/>
          </a:p>
        </c:txPr>
        <c:crossAx val="164917198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 acumulado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CO"/>
          </a:p>
        </c:txPr>
        <c:crossAx val="3"/>
        <c:crosses val="max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BCCC277-7881-4AE9-B767-F749B96574EF}" type="doc">
      <dgm:prSet loTypeId="urn:microsoft.com/office/officeart/2009/3/layout/SnapshotPictureList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0B219C89-3548-47CB-863A-E43FA855705C}">
      <dgm:prSet phldrT="[Texto]"/>
      <dgm:spPr/>
      <dgm:t>
        <a:bodyPr/>
        <a:lstStyle/>
        <a:p>
          <a:pPr algn="ctr"/>
          <a:r>
            <a:rPr lang="es-ES" b="1"/>
            <a:t>ZONA DE CONSTRUCCIÓN</a:t>
          </a:r>
        </a:p>
      </dgm:t>
    </dgm:pt>
    <dgm:pt modelId="{05593B9F-3B82-4E32-8F44-B76E384C4B98}" type="parTrans" cxnId="{8D0F7FD5-BC6D-43C6-ACC4-8879C02F0703}">
      <dgm:prSet/>
      <dgm:spPr/>
      <dgm:t>
        <a:bodyPr/>
        <a:lstStyle/>
        <a:p>
          <a:endParaRPr lang="es-ES"/>
        </a:p>
      </dgm:t>
    </dgm:pt>
    <dgm:pt modelId="{8F482EE3-D590-4CB4-8D12-52EBC71046E8}" type="sibTrans" cxnId="{8D0F7FD5-BC6D-43C6-ACC4-8879C02F0703}">
      <dgm:prSet/>
      <dgm:spPr/>
      <dgm:t>
        <a:bodyPr/>
        <a:lstStyle/>
        <a:p>
          <a:endParaRPr lang="es-ES"/>
        </a:p>
      </dgm:t>
    </dgm:pt>
    <dgm:pt modelId="{4586CC93-268E-4F27-A393-422F60AB09CA}" type="pres">
      <dgm:prSet presAssocID="{FBCCC277-7881-4AE9-B767-F749B96574EF}" presName="Name0" presStyleCnt="0">
        <dgm:presLayoutVars>
          <dgm:chMax/>
          <dgm:chPref/>
          <dgm:dir/>
          <dgm:animLvl val="lvl"/>
        </dgm:presLayoutVars>
      </dgm:prSet>
      <dgm:spPr/>
    </dgm:pt>
    <dgm:pt modelId="{BFA448FD-1150-482C-BD9E-D31912094D09}" type="pres">
      <dgm:prSet presAssocID="{0B219C89-3548-47CB-863A-E43FA855705C}" presName="composite" presStyleCnt="0"/>
      <dgm:spPr/>
    </dgm:pt>
    <dgm:pt modelId="{4DB40A16-6D00-4467-88F5-B5193D464765}" type="pres">
      <dgm:prSet presAssocID="{0B219C89-3548-47CB-863A-E43FA855705C}" presName="ParentAccentShape" presStyleLbl="trBgShp" presStyleIdx="0" presStyleCnt="1" custScaleX="30134" custScaleY="73623"/>
      <dgm:spPr/>
    </dgm:pt>
    <dgm:pt modelId="{963D0F5E-B668-4628-9697-2A16B334C7C9}" type="pres">
      <dgm:prSet presAssocID="{0B219C89-3548-47CB-863A-E43FA855705C}" presName="ParentText" presStyleLbl="revTx" presStyleIdx="0" presStyleCnt="2" custScaleX="76709" custScaleY="437279" custLinFactY="-500000" custLinFactNeighborX="80520" custLinFactNeighborY="-599193">
        <dgm:presLayoutVars>
          <dgm:chMax val="1"/>
          <dgm:chPref val="1"/>
          <dgm:bulletEnabled val="1"/>
        </dgm:presLayoutVars>
      </dgm:prSet>
      <dgm:spPr/>
    </dgm:pt>
    <dgm:pt modelId="{91023AA6-978C-4EC5-BB65-ED041CEEBCF7}" type="pres">
      <dgm:prSet presAssocID="{0B219C89-3548-47CB-863A-E43FA855705C}" presName="ChildText" presStyleLbl="revTx" presStyleIdx="1" presStyleCnt="2">
        <dgm:presLayoutVars>
          <dgm:chMax val="0"/>
          <dgm:chPref val="0"/>
        </dgm:presLayoutVars>
      </dgm:prSet>
      <dgm:spPr/>
    </dgm:pt>
    <dgm:pt modelId="{B6E911D9-33F7-4AF4-BBB3-D64B9B535734}" type="pres">
      <dgm:prSet presAssocID="{0B219C89-3548-47CB-863A-E43FA855705C}" presName="ChildAccentShape" presStyleLbl="trBgShp" presStyleIdx="0" presStyleCnt="1"/>
      <dgm:spPr/>
    </dgm:pt>
    <dgm:pt modelId="{0B3CE649-97CC-48BB-9B22-648CCC28A2A5}" type="pres">
      <dgm:prSet presAssocID="{0B219C89-3548-47CB-863A-E43FA855705C}" presName="Image" presStyleLbl="alignImgPlace1" presStyleIdx="0" presStyleCnt="1" custScaleX="93212" custScaleY="242618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</dgm:pt>
  </dgm:ptLst>
  <dgm:cxnLst>
    <dgm:cxn modelId="{8D0F7FD5-BC6D-43C6-ACC4-8879C02F0703}" srcId="{FBCCC277-7881-4AE9-B767-F749B96574EF}" destId="{0B219C89-3548-47CB-863A-E43FA855705C}" srcOrd="0" destOrd="0" parTransId="{05593B9F-3B82-4E32-8F44-B76E384C4B98}" sibTransId="{8F482EE3-D590-4CB4-8D12-52EBC71046E8}"/>
    <dgm:cxn modelId="{25A9863A-FFE2-474E-8342-4D569B37B866}" type="presOf" srcId="{0B219C89-3548-47CB-863A-E43FA855705C}" destId="{963D0F5E-B668-4628-9697-2A16B334C7C9}" srcOrd="0" destOrd="0" presId="urn:microsoft.com/office/officeart/2009/3/layout/SnapshotPictureList"/>
    <dgm:cxn modelId="{905A0390-B4C2-44AE-B5A2-EFBB5F4A5559}" type="presOf" srcId="{FBCCC277-7881-4AE9-B767-F749B96574EF}" destId="{4586CC93-268E-4F27-A393-422F60AB09CA}" srcOrd="0" destOrd="0" presId="urn:microsoft.com/office/officeart/2009/3/layout/SnapshotPictureList"/>
    <dgm:cxn modelId="{46225EBB-2275-48E5-9F54-8964F071BEB7}" type="presParOf" srcId="{4586CC93-268E-4F27-A393-422F60AB09CA}" destId="{BFA448FD-1150-482C-BD9E-D31912094D09}" srcOrd="0" destOrd="0" presId="urn:microsoft.com/office/officeart/2009/3/layout/SnapshotPictureList"/>
    <dgm:cxn modelId="{7FA7447A-E928-43B0-B6F7-2FFF4C12DF4F}" type="presParOf" srcId="{BFA448FD-1150-482C-BD9E-D31912094D09}" destId="{4DB40A16-6D00-4467-88F5-B5193D464765}" srcOrd="0" destOrd="0" presId="urn:microsoft.com/office/officeart/2009/3/layout/SnapshotPictureList"/>
    <dgm:cxn modelId="{5A8E4ABC-6230-469F-A9C1-29C7EE08AEF6}" type="presParOf" srcId="{BFA448FD-1150-482C-BD9E-D31912094D09}" destId="{963D0F5E-B668-4628-9697-2A16B334C7C9}" srcOrd="1" destOrd="0" presId="urn:microsoft.com/office/officeart/2009/3/layout/SnapshotPictureList"/>
    <dgm:cxn modelId="{8836C3AC-983A-4D9D-9484-CFFE83AFD872}" type="presParOf" srcId="{BFA448FD-1150-482C-BD9E-D31912094D09}" destId="{91023AA6-978C-4EC5-BB65-ED041CEEBCF7}" srcOrd="2" destOrd="0" presId="urn:microsoft.com/office/officeart/2009/3/layout/SnapshotPictureList"/>
    <dgm:cxn modelId="{235BEE0B-AE6A-435E-A736-13DCDEECBC6A}" type="presParOf" srcId="{BFA448FD-1150-482C-BD9E-D31912094D09}" destId="{B6E911D9-33F7-4AF4-BBB3-D64B9B535734}" srcOrd="3" destOrd="0" presId="urn:microsoft.com/office/officeart/2009/3/layout/SnapshotPictureList"/>
    <dgm:cxn modelId="{F532F458-CE21-4061-B9BE-AC012A80DC9E}" type="presParOf" srcId="{BFA448FD-1150-482C-BD9E-D31912094D09}" destId="{0B3CE649-97CC-48BB-9B22-648CCC28A2A5}" srcOrd="4" destOrd="0" presId="urn:microsoft.com/office/officeart/2009/3/layout/SnapshotPictureLis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B40A16-6D00-4467-88F5-B5193D464765}">
      <dsp:nvSpPr>
        <dsp:cNvPr id="0" name=""/>
        <dsp:cNvSpPr/>
      </dsp:nvSpPr>
      <dsp:spPr>
        <a:xfrm>
          <a:off x="904522" y="1881186"/>
          <a:ext cx="733774" cy="1275739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B3CE649-97CC-48BB-9B22-648CCC28A2A5}">
      <dsp:nvSpPr>
        <dsp:cNvPr id="0" name=""/>
        <dsp:cNvSpPr/>
      </dsp:nvSpPr>
      <dsp:spPr>
        <a:xfrm>
          <a:off x="39733" y="276220"/>
          <a:ext cx="2182477" cy="3976697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63D0F5E-B668-4628-9697-2A16B334C7C9}">
      <dsp:nvSpPr>
        <dsp:cNvPr id="0" name=""/>
        <dsp:cNvSpPr/>
      </dsp:nvSpPr>
      <dsp:spPr>
        <a:xfrm>
          <a:off x="2210776" y="476947"/>
          <a:ext cx="1723048" cy="89941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62560" tIns="60960" rIns="1625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600" b="1" kern="1200"/>
            <a:t>ZONA DE CONSTRUCCIÓN</a:t>
          </a:r>
        </a:p>
      </dsp:txBody>
      <dsp:txXfrm>
        <a:off x="2210776" y="476947"/>
        <a:ext cx="1723048" cy="899417"/>
      </dsp:txXfrm>
    </dsp:sp>
    <dsp:sp modelId="{91023AA6-978C-4EC5-BB65-ED041CEEBCF7}">
      <dsp:nvSpPr>
        <dsp:cNvPr id="0" name=""/>
        <dsp:cNvSpPr/>
      </dsp:nvSpPr>
      <dsp:spPr>
        <a:xfrm>
          <a:off x="2588061" y="1652655"/>
          <a:ext cx="1113272" cy="173280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SnapshotPictureList">
  <dgm:title val=""/>
  <dgm:desc val=""/>
  <dgm:catLst>
    <dgm:cat type="picture" pri="3000"/>
    <dgm:cat type="pictureconvert" pri="30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snake">
      <dgm:param type="grDir" val="tL"/>
      <dgm:param type="flowDir" val="col"/>
    </dgm:alg>
    <dgm:shape xmlns:r="http://schemas.openxmlformats.org/officeDocument/2006/relationships" r:blip="">
      <dgm:adjLst/>
    </dgm:shape>
    <dgm:constrLst>
      <dgm:constr type="primFontSz" for="des" forName="ChildText" refType="primFontSz" refFor="des" refForName="ParentText" op="lte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2.0273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onstrLst>
              <dgm:constr type="l" for="ch" forName="ParentAccentShape" refType="w" fact="0.0238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048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668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.9762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if>
          <dgm:else name="Name3">
            <dgm:constrLst>
              <dgm:constr type="l" for="ch" forName="ParentAccentShape" refType="w" fact="0.3572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381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049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.4048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else>
        </dgm:choose>
        <dgm:layoutNode name="ParentAccentShape" styleLbl="trBgShp">
          <dgm:alg type="sp"/>
          <dgm:shape xmlns:r="http://schemas.openxmlformats.org/officeDocument/2006/relationships" type="frame" r:blip="" zOrderOff="-10">
            <dgm:adjLst>
              <dgm:adj idx="1" val="0.0545"/>
            </dgm:adjLst>
          </dgm:shape>
          <dgm:presOf/>
        </dgm:layoutNode>
        <dgm:layoutNode name="ParentText" styleLbl="revTx">
          <dgm:varLst>
            <dgm:chMax val="1"/>
            <dgm:chPref val="1"/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 zOrderOff="10">
            <dgm:adjLst/>
          </dgm:shape>
          <dgm:presOf axis="self" ptType="node"/>
          <dgm:constrLst>
            <dgm:constr type="lMarg" refType="primFontSz" fact="0.8"/>
            <dgm:constr type="rMarg" refType="primFontSz" fact="0.8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" styleLbl="revTx">
          <dgm:varLst>
            <dgm:chMax val="0"/>
            <dgm:chPref val="0"/>
          </dgm:varLst>
          <dgm:alg type="tx">
            <dgm:param type="parTxLTRAlign" val="l"/>
            <dgm:param type="txAnchorVert" val="t"/>
          </dgm:alg>
          <dgm:shape xmlns:r="http://schemas.openxmlformats.org/officeDocument/2006/relationships" type="rect" r:blip="" zOrderOff="10">
            <dgm:adjLst/>
          </dgm:shape>
          <dgm:choose name="Name4">
            <dgm:if name="Name5" axis="ch" ptType="node" func="cnt" op="gte" val="1">
              <dgm:presOf axis="des" ptType="node"/>
            </dgm:if>
            <dgm:else name="Name6">
              <dgm:presOf/>
            </dgm:else>
          </dgm:choose>
          <dgm:constrLst>
            <dgm:constr type="lMarg" refType="primFontSz" fact="0"/>
            <dgm:constr type="rMarg" refType="primFontSz" fact="0"/>
            <dgm:constr type="tMarg" refType="primFontSz" fact="0"/>
            <dgm:constr type="bMarg" refType="primFontSz" fact="0"/>
          </dgm:constrLst>
          <dgm:ruleLst>
            <dgm:rule type="primFontSz" val="5" fact="NaN" max="NaN"/>
          </dgm:ruleLst>
        </dgm:layoutNode>
        <dgm:layoutNode name="ChildAccentShape" styleLbl="trBgShp">
          <dgm:alg type="sp"/>
          <dgm:choose name="Name7">
            <dgm:if name="Name8" axis="ch" ptType="node" func="cnt" op="gte" val="1">
              <dgm:shape xmlns:r="http://schemas.openxmlformats.org/officeDocument/2006/relationships" type="rect" r:blip="" zOrderOff="-10">
                <dgm:adjLst/>
              </dgm:shape>
            </dgm:if>
            <dgm:else name="Name9">
              <dgm:shape xmlns:r="http://schemas.openxmlformats.org/officeDocument/2006/relationships" type="rect" r:blip="" hideGeom="1">
                <dgm:adjLst/>
              </dgm:shape>
            </dgm:else>
          </dgm:choose>
          <dgm:presOf/>
        </dgm:layoutNode>
        <dgm:layoutNode name="Image" styleLbl="align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Gastos Generales'!A1"/><Relationship Id="rId13" Type="http://schemas.openxmlformats.org/officeDocument/2006/relationships/hyperlink" Target="#'Cuadro de programaci&#243;n'!A1"/><Relationship Id="rId3" Type="http://schemas.openxmlformats.org/officeDocument/2006/relationships/image" Target="../media/image3.jpeg"/><Relationship Id="rId7" Type="http://schemas.openxmlformats.org/officeDocument/2006/relationships/hyperlink" Target="#'Estructura de Presupuesto'!A1"/><Relationship Id="rId12" Type="http://schemas.openxmlformats.org/officeDocument/2006/relationships/hyperlink" Target="#'Costos totales'!A1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hyperlink" Target="#'Identificaci&#243;n de planos'!A1"/><Relationship Id="rId11" Type="http://schemas.openxmlformats.org/officeDocument/2006/relationships/hyperlink" Target="#APU!A1"/><Relationship Id="rId5" Type="http://schemas.openxmlformats.org/officeDocument/2006/relationships/hyperlink" Target="#'InformacI&#243;n proyecto'!A1"/><Relationship Id="rId10" Type="http://schemas.openxmlformats.org/officeDocument/2006/relationships/hyperlink" Target="#'Resumen CD'!A1"/><Relationship Id="rId4" Type="http://schemas.openxmlformats.org/officeDocument/2006/relationships/hyperlink" Target="#Portada!A1"/><Relationship Id="rId9" Type="http://schemas.openxmlformats.org/officeDocument/2006/relationships/hyperlink" Target="#'Costos indirectos'!A1"/><Relationship Id="rId14" Type="http://schemas.openxmlformats.org/officeDocument/2006/relationships/hyperlink" Target="#'Flujo de caja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hyperlink" Target="#Portada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Portada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hyperlink" Target="#Portada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hyperlink" Target="#Portada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image" Target="../media/image3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</xdr:row>
      <xdr:rowOff>114300</xdr:rowOff>
    </xdr:from>
    <xdr:to>
      <xdr:col>14</xdr:col>
      <xdr:colOff>371476</xdr:colOff>
      <xdr:row>36</xdr:row>
      <xdr:rowOff>133971</xdr:rowOff>
    </xdr:to>
    <xdr:grpSp>
      <xdr:nvGrpSpPr>
        <xdr:cNvPr id="2" name="Grupo 1"/>
        <xdr:cNvGrpSpPr/>
      </xdr:nvGrpSpPr>
      <xdr:grpSpPr>
        <a:xfrm>
          <a:off x="200025" y="280988"/>
          <a:ext cx="10839451" cy="5853733"/>
          <a:chOff x="200025" y="276225"/>
          <a:chExt cx="10839451" cy="5687046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/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/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609600</xdr:colOff>
      <xdr:row>2</xdr:row>
      <xdr:rowOff>66674</xdr:rowOff>
    </xdr:from>
    <xdr:to>
      <xdr:col>21</xdr:col>
      <xdr:colOff>466725</xdr:colOff>
      <xdr:row>5</xdr:row>
      <xdr:rowOff>114300</xdr:rowOff>
    </xdr:to>
    <xdr:sp macro="" textlink="">
      <xdr:nvSpPr>
        <xdr:cNvPr id="8" name="CuadroTexto 7">
          <a:hlinkClick xmlns:r="http://schemas.openxmlformats.org/officeDocument/2006/relationships" r:id="rId4"/>
        </xdr:cNvPr>
        <xdr:cNvSpPr txBox="1"/>
      </xdr:nvSpPr>
      <xdr:spPr>
        <a:xfrm>
          <a:off x="13563600" y="390524"/>
          <a:ext cx="2905125" cy="533401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INDICE DE TEMAS</a:t>
          </a:r>
        </a:p>
      </xdr:txBody>
    </xdr:sp>
    <xdr:clientData/>
  </xdr:twoCellAnchor>
  <xdr:twoCellAnchor>
    <xdr:from>
      <xdr:col>16</xdr:col>
      <xdr:colOff>38099</xdr:colOff>
      <xdr:row>8</xdr:row>
      <xdr:rowOff>71437</xdr:rowOff>
    </xdr:from>
    <xdr:to>
      <xdr:col>19</xdr:col>
      <xdr:colOff>452436</xdr:colOff>
      <xdr:row>10</xdr:row>
      <xdr:rowOff>142875</xdr:rowOff>
    </xdr:to>
    <xdr:sp macro="" textlink="">
      <xdr:nvSpPr>
        <xdr:cNvPr id="9" name="CuadroTexto 8">
          <a:hlinkClick xmlns:r="http://schemas.openxmlformats.org/officeDocument/2006/relationships" r:id="rId5"/>
        </xdr:cNvPr>
        <xdr:cNvSpPr txBox="1"/>
      </xdr:nvSpPr>
      <xdr:spPr>
        <a:xfrm>
          <a:off x="12230099" y="1404937"/>
          <a:ext cx="2700337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INFORMACIÓN</a:t>
          </a:r>
          <a:r>
            <a:rPr lang="es-ES" sz="1400" baseline="0"/>
            <a:t> DEL PROYECTO</a:t>
          </a:r>
          <a:endParaRPr lang="es-ES" sz="1400"/>
        </a:p>
      </xdr:txBody>
    </xdr:sp>
    <xdr:clientData/>
  </xdr:twoCellAnchor>
  <xdr:twoCellAnchor>
    <xdr:from>
      <xdr:col>20</xdr:col>
      <xdr:colOff>100011</xdr:colOff>
      <xdr:row>8</xdr:row>
      <xdr:rowOff>73819</xdr:rowOff>
    </xdr:from>
    <xdr:to>
      <xdr:col>23</xdr:col>
      <xdr:colOff>273843</xdr:colOff>
      <xdr:row>10</xdr:row>
      <xdr:rowOff>140494</xdr:rowOff>
    </xdr:to>
    <xdr:sp macro="" textlink="">
      <xdr:nvSpPr>
        <xdr:cNvPr id="10" name="CuadroTexto 9">
          <a:hlinkClick xmlns:r="http://schemas.openxmlformats.org/officeDocument/2006/relationships" r:id="rId6"/>
        </xdr:cNvPr>
        <xdr:cNvSpPr txBox="1"/>
      </xdr:nvSpPr>
      <xdr:spPr>
        <a:xfrm>
          <a:off x="15340011" y="1407319"/>
          <a:ext cx="2459832" cy="40005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IDENTIFICACIÓN DE PLANOS</a:t>
          </a:r>
        </a:p>
      </xdr:txBody>
    </xdr:sp>
    <xdr:clientData/>
  </xdr:twoCellAnchor>
  <xdr:twoCellAnchor>
    <xdr:from>
      <xdr:col>16</xdr:col>
      <xdr:colOff>47625</xdr:colOff>
      <xdr:row>12</xdr:row>
      <xdr:rowOff>95250</xdr:rowOff>
    </xdr:from>
    <xdr:to>
      <xdr:col>19</xdr:col>
      <xdr:colOff>428625</xdr:colOff>
      <xdr:row>15</xdr:row>
      <xdr:rowOff>0</xdr:rowOff>
    </xdr:to>
    <xdr:sp macro="" textlink="">
      <xdr:nvSpPr>
        <xdr:cNvPr id="12" name="CuadroTexto 11">
          <a:hlinkClick xmlns:r="http://schemas.openxmlformats.org/officeDocument/2006/relationships" r:id="rId7"/>
        </xdr:cNvPr>
        <xdr:cNvSpPr txBox="1"/>
      </xdr:nvSpPr>
      <xdr:spPr>
        <a:xfrm>
          <a:off x="12239625" y="2095500"/>
          <a:ext cx="2667000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ESTRUCTURA DE PRESUPUESTO</a:t>
          </a:r>
          <a:endParaRPr lang="es-ES" sz="1400"/>
        </a:p>
      </xdr:txBody>
    </xdr:sp>
    <xdr:clientData/>
  </xdr:twoCellAnchor>
  <xdr:twoCellAnchor>
    <xdr:from>
      <xdr:col>20</xdr:col>
      <xdr:colOff>116681</xdr:colOff>
      <xdr:row>12</xdr:row>
      <xdr:rowOff>69056</xdr:rowOff>
    </xdr:from>
    <xdr:to>
      <xdr:col>23</xdr:col>
      <xdr:colOff>309562</xdr:colOff>
      <xdr:row>14</xdr:row>
      <xdr:rowOff>140494</xdr:rowOff>
    </xdr:to>
    <xdr:sp macro="" textlink="">
      <xdr:nvSpPr>
        <xdr:cNvPr id="13" name="CuadroTexto 12">
          <a:hlinkClick xmlns:r="http://schemas.openxmlformats.org/officeDocument/2006/relationships" r:id="rId8"/>
        </xdr:cNvPr>
        <xdr:cNvSpPr txBox="1"/>
      </xdr:nvSpPr>
      <xdr:spPr>
        <a:xfrm>
          <a:off x="15356681" y="2069306"/>
          <a:ext cx="2478881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GASTOS GENERALES</a:t>
          </a:r>
          <a:endParaRPr lang="es-ES" sz="1400"/>
        </a:p>
      </xdr:txBody>
    </xdr:sp>
    <xdr:clientData/>
  </xdr:twoCellAnchor>
  <xdr:twoCellAnchor>
    <xdr:from>
      <xdr:col>16</xdr:col>
      <xdr:colOff>9524</xdr:colOff>
      <xdr:row>17</xdr:row>
      <xdr:rowOff>38101</xdr:rowOff>
    </xdr:from>
    <xdr:to>
      <xdr:col>19</xdr:col>
      <xdr:colOff>440531</xdr:colOff>
      <xdr:row>19</xdr:row>
      <xdr:rowOff>83344</xdr:rowOff>
    </xdr:to>
    <xdr:sp macro="" textlink="">
      <xdr:nvSpPr>
        <xdr:cNvPr id="16" name="CuadroTexto 15">
          <a:hlinkClick xmlns:r="http://schemas.openxmlformats.org/officeDocument/2006/relationships" r:id="rId9"/>
        </xdr:cNvPr>
        <xdr:cNvSpPr txBox="1"/>
      </xdr:nvSpPr>
      <xdr:spPr>
        <a:xfrm>
          <a:off x="12201524" y="2871789"/>
          <a:ext cx="2717007" cy="37861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INDIRECTOS</a:t>
          </a:r>
        </a:p>
      </xdr:txBody>
    </xdr:sp>
    <xdr:clientData/>
  </xdr:twoCellAnchor>
  <xdr:twoCellAnchor>
    <xdr:from>
      <xdr:col>20</xdr:col>
      <xdr:colOff>157162</xdr:colOff>
      <xdr:row>17</xdr:row>
      <xdr:rowOff>9525</xdr:rowOff>
    </xdr:from>
    <xdr:to>
      <xdr:col>23</xdr:col>
      <xdr:colOff>297656</xdr:colOff>
      <xdr:row>19</xdr:row>
      <xdr:rowOff>59530</xdr:rowOff>
    </xdr:to>
    <xdr:sp macro="" textlink="">
      <xdr:nvSpPr>
        <xdr:cNvPr id="17" name="CuadroTexto 16">
          <a:hlinkClick xmlns:r="http://schemas.openxmlformats.org/officeDocument/2006/relationships" r:id="rId10"/>
        </xdr:cNvPr>
        <xdr:cNvSpPr txBox="1"/>
      </xdr:nvSpPr>
      <xdr:spPr>
        <a:xfrm>
          <a:off x="15397162" y="2843213"/>
          <a:ext cx="2426494" cy="38338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RESUMEN CD</a:t>
          </a:r>
        </a:p>
      </xdr:txBody>
    </xdr:sp>
    <xdr:clientData/>
  </xdr:twoCellAnchor>
  <xdr:twoCellAnchor>
    <xdr:from>
      <xdr:col>20</xdr:col>
      <xdr:colOff>154782</xdr:colOff>
      <xdr:row>21</xdr:row>
      <xdr:rowOff>45243</xdr:rowOff>
    </xdr:from>
    <xdr:to>
      <xdr:col>23</xdr:col>
      <xdr:colOff>261938</xdr:colOff>
      <xdr:row>23</xdr:row>
      <xdr:rowOff>95249</xdr:rowOff>
    </xdr:to>
    <xdr:sp macro="" textlink="">
      <xdr:nvSpPr>
        <xdr:cNvPr id="21" name="CuadroTexto 20">
          <a:hlinkClick xmlns:r="http://schemas.openxmlformats.org/officeDocument/2006/relationships" r:id="rId11"/>
        </xdr:cNvPr>
        <xdr:cNvSpPr txBox="1"/>
      </xdr:nvSpPr>
      <xdr:spPr>
        <a:xfrm>
          <a:off x="15394782" y="3545681"/>
          <a:ext cx="2393156" cy="383381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APU</a:t>
          </a:r>
        </a:p>
      </xdr:txBody>
    </xdr:sp>
    <xdr:clientData/>
  </xdr:twoCellAnchor>
  <xdr:twoCellAnchor>
    <xdr:from>
      <xdr:col>16</xdr:col>
      <xdr:colOff>11907</xdr:colOff>
      <xdr:row>21</xdr:row>
      <xdr:rowOff>59533</xdr:rowOff>
    </xdr:from>
    <xdr:to>
      <xdr:col>19</xdr:col>
      <xdr:colOff>464345</xdr:colOff>
      <xdr:row>23</xdr:row>
      <xdr:rowOff>107156</xdr:rowOff>
    </xdr:to>
    <xdr:sp macro="" textlink="">
      <xdr:nvSpPr>
        <xdr:cNvPr id="22" name="CuadroTexto 21">
          <a:hlinkClick xmlns:r="http://schemas.openxmlformats.org/officeDocument/2006/relationships" r:id="rId12"/>
        </xdr:cNvPr>
        <xdr:cNvSpPr txBox="1"/>
      </xdr:nvSpPr>
      <xdr:spPr>
        <a:xfrm>
          <a:off x="12203907" y="3559971"/>
          <a:ext cx="2738438" cy="38099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TOTALES</a:t>
          </a:r>
        </a:p>
      </xdr:txBody>
    </xdr:sp>
    <xdr:clientData/>
  </xdr:twoCellAnchor>
  <xdr:twoCellAnchor>
    <xdr:from>
      <xdr:col>16</xdr:col>
      <xdr:colOff>11905</xdr:colOff>
      <xdr:row>25</xdr:row>
      <xdr:rowOff>95250</xdr:rowOff>
    </xdr:from>
    <xdr:to>
      <xdr:col>19</xdr:col>
      <xdr:colOff>464343</xdr:colOff>
      <xdr:row>27</xdr:row>
      <xdr:rowOff>154781</xdr:rowOff>
    </xdr:to>
    <xdr:sp macro="" textlink="">
      <xdr:nvSpPr>
        <xdr:cNvPr id="23" name="CuadroTexto 22">
          <a:hlinkClick xmlns:r="http://schemas.openxmlformats.org/officeDocument/2006/relationships" r:id="rId13"/>
        </xdr:cNvPr>
        <xdr:cNvSpPr txBox="1"/>
      </xdr:nvSpPr>
      <xdr:spPr>
        <a:xfrm>
          <a:off x="12203905" y="4262438"/>
          <a:ext cx="2738438" cy="392906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CUADRO</a:t>
          </a:r>
          <a:r>
            <a:rPr lang="es-ES" sz="1400" baseline="0"/>
            <a:t> DE PROGRAMACIÓN</a:t>
          </a:r>
          <a:endParaRPr lang="es-ES" sz="1400"/>
        </a:p>
      </xdr:txBody>
    </xdr:sp>
    <xdr:clientData/>
  </xdr:twoCellAnchor>
  <xdr:twoCellAnchor>
    <xdr:from>
      <xdr:col>20</xdr:col>
      <xdr:colOff>138112</xdr:colOff>
      <xdr:row>25</xdr:row>
      <xdr:rowOff>95250</xdr:rowOff>
    </xdr:from>
    <xdr:to>
      <xdr:col>23</xdr:col>
      <xdr:colOff>261937</xdr:colOff>
      <xdr:row>27</xdr:row>
      <xdr:rowOff>142875</xdr:rowOff>
    </xdr:to>
    <xdr:sp macro="" textlink="">
      <xdr:nvSpPr>
        <xdr:cNvPr id="24" name="CuadroTexto 23">
          <a:hlinkClick xmlns:r="http://schemas.openxmlformats.org/officeDocument/2006/relationships" r:id="rId14"/>
        </xdr:cNvPr>
        <xdr:cNvSpPr txBox="1"/>
      </xdr:nvSpPr>
      <xdr:spPr>
        <a:xfrm>
          <a:off x="15378112" y="4262438"/>
          <a:ext cx="2409825" cy="3810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FLUJO DE CAJA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171451</xdr:colOff>
      <xdr:row>36</xdr:row>
      <xdr:rowOff>24433</xdr:rowOff>
    </xdr:to>
    <xdr:grpSp>
      <xdr:nvGrpSpPr>
        <xdr:cNvPr id="2" name="Grupo 1"/>
        <xdr:cNvGrpSpPr/>
      </xdr:nvGrpSpPr>
      <xdr:grpSpPr>
        <a:xfrm>
          <a:off x="0" y="0"/>
          <a:ext cx="10839451" cy="6247433"/>
          <a:chOff x="200025" y="276225"/>
          <a:chExt cx="10839451" cy="5687046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/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/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0</xdr:colOff>
      <xdr:row>7</xdr:row>
      <xdr:rowOff>31750</xdr:rowOff>
    </xdr:from>
    <xdr:to>
      <xdr:col>20</xdr:col>
      <xdr:colOff>214691</xdr:colOff>
      <xdr:row>21</xdr:row>
      <xdr:rowOff>127870</xdr:rowOff>
    </xdr:to>
    <xdr:sp macro="" textlink="">
      <xdr:nvSpPr>
        <xdr:cNvPr id="14" name="1 Rectángulo"/>
        <xdr:cNvSpPr/>
      </xdr:nvSpPr>
      <xdr:spPr bwMode="auto">
        <a:xfrm>
          <a:off x="11430000" y="1143000"/>
          <a:ext cx="4024691" cy="2318620"/>
        </a:xfrm>
        <a:prstGeom prst="rect">
          <a:avLst/>
        </a:prstGeom>
        <a:ln>
          <a:headEnd type="none" w="med" len="med"/>
          <a:tailEnd type="none" w="med" len="med"/>
        </a:ln>
        <a:extLst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CO" sz="1600" u="sng">
              <a:solidFill>
                <a:sysClr val="windowText" lastClr="000000"/>
              </a:solidFill>
              <a:latin typeface="+mn-lt"/>
              <a:cs typeface="Arial" pitchFamily="34" charset="0"/>
            </a:rPr>
            <a:t>Ubicación: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  <a:r>
            <a:rPr lang="es-CO" sz="1600" u="none">
              <a:solidFill>
                <a:sysClr val="windowText" lastClr="000000"/>
              </a:solidFill>
              <a:latin typeface="+mn-lt"/>
              <a:cs typeface="Arial" pitchFamily="34" charset="0"/>
            </a:rPr>
            <a:t>Medellín</a:t>
          </a:r>
          <a:r>
            <a:rPr lang="es-CO" sz="1600">
              <a:solidFill>
                <a:sysClr val="windowText" lastClr="000000"/>
              </a:solidFill>
              <a:latin typeface="+mn-lt"/>
              <a:cs typeface="Arial" pitchFamily="34" charset="0"/>
            </a:rPr>
            <a:t>,</a:t>
          </a: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Antioquia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	  </a:t>
          </a: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Calle 5 sur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	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  Barrio El Poblado</a:t>
          </a:r>
          <a:endParaRPr lang="es-CO" sz="1600" u="none">
            <a:solidFill>
              <a:sysClr val="windowText" lastClr="000000"/>
            </a:solidFill>
            <a:latin typeface="+mn-lt"/>
            <a:ea typeface="+mn-ea"/>
            <a:cs typeface="Arial" pitchFamily="34" charset="0"/>
          </a:endParaRP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Sistema estructural: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Edificio aporticado</a:t>
          </a: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Especificaciones básicas: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-Estrato 6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-Edificio institucional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-9 niveles</a:t>
          </a:r>
        </a:p>
        <a:p>
          <a:pPr algn="l"/>
          <a:r>
            <a:rPr lang="es-CO" sz="1600" u="none" baseline="0">
              <a:solidFill>
                <a:srgbClr val="FF0000"/>
              </a:solidFill>
              <a:latin typeface="+mn-lt"/>
              <a:cs typeface="Arial" pitchFamily="34" charset="0"/>
            </a:rPr>
            <a:t>  </a:t>
          </a:r>
          <a:endParaRPr lang="es-CO" sz="1200" u="sng">
            <a:solidFill>
              <a:srgbClr val="FF0000"/>
            </a:solidFill>
            <a:latin typeface="+mn-lt"/>
            <a:cs typeface="Arial" pitchFamily="34" charset="0"/>
          </a:endParaRPr>
        </a:p>
      </xdr:txBody>
    </xdr:sp>
    <xdr:clientData/>
  </xdr:twoCellAnchor>
  <xdr:twoCellAnchor>
    <xdr:from>
      <xdr:col>25</xdr:col>
      <xdr:colOff>15875</xdr:colOff>
      <xdr:row>1</xdr:row>
      <xdr:rowOff>47625</xdr:rowOff>
    </xdr:from>
    <xdr:to>
      <xdr:col>27</xdr:col>
      <xdr:colOff>222250</xdr:colOff>
      <xdr:row>3</xdr:row>
      <xdr:rowOff>63500</xdr:rowOff>
    </xdr:to>
    <xdr:sp macro="" textlink="">
      <xdr:nvSpPr>
        <xdr:cNvPr id="8" name="CuadroTexto 7">
          <a:hlinkClick xmlns:r="http://schemas.openxmlformats.org/officeDocument/2006/relationships" r:id="rId4"/>
        </xdr:cNvPr>
        <xdr:cNvSpPr txBox="1"/>
      </xdr:nvSpPr>
      <xdr:spPr>
        <a:xfrm>
          <a:off x="19065875" y="206375"/>
          <a:ext cx="1730375" cy="3968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/>
            <a:t>INDICE</a:t>
          </a:r>
          <a:r>
            <a:rPr lang="es-ES" sz="1600" baseline="0"/>
            <a:t> DE TEMAS</a:t>
          </a:r>
          <a:endParaRPr lang="es-E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</xdr:rowOff>
    </xdr:from>
    <xdr:to>
      <xdr:col>5</xdr:col>
      <xdr:colOff>619125</xdr:colOff>
      <xdr:row>1</xdr:row>
      <xdr:rowOff>76201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0744200" y="1"/>
          <a:ext cx="1343025" cy="285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971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3</xdr:row>
      <xdr:rowOff>0</xdr:rowOff>
    </xdr:from>
    <xdr:to>
      <xdr:col>11</xdr:col>
      <xdr:colOff>271096</xdr:colOff>
      <xdr:row>4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0048875" y="581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19</xdr:col>
      <xdr:colOff>177800</xdr:colOff>
      <xdr:row>26</xdr:row>
      <xdr:rowOff>66071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114299</xdr:colOff>
      <xdr:row>0</xdr:row>
      <xdr:rowOff>76200</xdr:rowOff>
    </xdr:from>
    <xdr:to>
      <xdr:col>7</xdr:col>
      <xdr:colOff>676274</xdr:colOff>
      <xdr:row>2</xdr:row>
      <xdr:rowOff>4762</xdr:rowOff>
    </xdr:to>
    <xdr:sp macro="" textlink="">
      <xdr:nvSpPr>
        <xdr:cNvPr id="3" name="CuadroTexto 2">
          <a:hlinkClick xmlns:r="http://schemas.openxmlformats.org/officeDocument/2006/relationships" r:id="rId2"/>
        </xdr:cNvPr>
        <xdr:cNvSpPr txBox="1"/>
      </xdr:nvSpPr>
      <xdr:spPr>
        <a:xfrm>
          <a:off x="5286374" y="76200"/>
          <a:ext cx="1323975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70688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11905</xdr:colOff>
      <xdr:row>2</xdr:row>
      <xdr:rowOff>158351</xdr:rowOff>
    </xdr:from>
    <xdr:to>
      <xdr:col>18</xdr:col>
      <xdr:colOff>0</xdr:colOff>
      <xdr:row>114</xdr:row>
      <xdr:rowOff>71436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3</xdr:row>
      <xdr:rowOff>23813</xdr:rowOff>
    </xdr:from>
    <xdr:to>
      <xdr:col>8</xdr:col>
      <xdr:colOff>59532</xdr:colOff>
      <xdr:row>4</xdr:row>
      <xdr:rowOff>166687</xdr:rowOff>
    </xdr:to>
    <xdr:sp macro="" textlink="">
      <xdr:nvSpPr>
        <xdr:cNvPr id="4" name="CuadroTexto 3">
          <a:hlinkClick xmlns:r="http://schemas.openxmlformats.org/officeDocument/2006/relationships" r:id="rId2"/>
        </xdr:cNvPr>
        <xdr:cNvSpPr txBox="1"/>
      </xdr:nvSpPr>
      <xdr:spPr>
        <a:xfrm>
          <a:off x="11739563" y="607219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392907</xdr:colOff>
      <xdr:row>2</xdr:row>
      <xdr:rowOff>47626</xdr:rowOff>
    </xdr:from>
    <xdr:to>
      <xdr:col>11</xdr:col>
      <xdr:colOff>392907</xdr:colOff>
      <xdr:row>11</xdr:row>
      <xdr:rowOff>23813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6025813" y="381001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752475</xdr:colOff>
      <xdr:row>0</xdr:row>
      <xdr:rowOff>152400</xdr:rowOff>
    </xdr:from>
    <xdr:to>
      <xdr:col>11</xdr:col>
      <xdr:colOff>539751</xdr:colOff>
      <xdr:row>20</xdr:row>
      <xdr:rowOff>92077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2</xdr:col>
      <xdr:colOff>152400</xdr:colOff>
      <xdr:row>17</xdr:row>
      <xdr:rowOff>95250</xdr:rowOff>
    </xdr:to>
    <xdr:sp macro="" textlink="">
      <xdr:nvSpPr>
        <xdr:cNvPr id="3" name="CuadroTexto 2">
          <a:hlinkClick xmlns:r="http://schemas.openxmlformats.org/officeDocument/2006/relationships" r:id="rId2"/>
        </xdr:cNvPr>
        <xdr:cNvSpPr txBox="1"/>
      </xdr:nvSpPr>
      <xdr:spPr>
        <a:xfrm>
          <a:off x="762000" y="2676525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3</xdr:row>
      <xdr:rowOff>0</xdr:rowOff>
    </xdr:from>
    <xdr:to>
      <xdr:col>12</xdr:col>
      <xdr:colOff>142875</xdr:colOff>
      <xdr:row>4</xdr:row>
      <xdr:rowOff>90487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1632406" y="583406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-1</xdr:colOff>
      <xdr:row>1</xdr:row>
      <xdr:rowOff>0</xdr:rowOff>
    </xdr:from>
    <xdr:to>
      <xdr:col>12</xdr:col>
      <xdr:colOff>258534</xdr:colOff>
      <xdr:row>1</xdr:row>
      <xdr:rowOff>353786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15675428" y="204107"/>
          <a:ext cx="1496785" cy="35378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5400675" y="323850"/>
    <xdr:ext cx="8536692" cy="582958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2</xdr:col>
      <xdr:colOff>0</xdr:colOff>
      <xdr:row>16</xdr:row>
      <xdr:rowOff>0</xdr:rowOff>
    </xdr:from>
    <xdr:to>
      <xdr:col>3</xdr:col>
      <xdr:colOff>561975</xdr:colOff>
      <xdr:row>17</xdr:row>
      <xdr:rowOff>133351</xdr:rowOff>
    </xdr:to>
    <xdr:sp macro="" textlink="">
      <xdr:nvSpPr>
        <xdr:cNvPr id="4" name="CuadroTexto 3">
          <a:hlinkClick xmlns:r="http://schemas.openxmlformats.org/officeDocument/2006/relationships" r:id="rId2"/>
        </xdr:cNvPr>
        <xdr:cNvSpPr txBox="1"/>
      </xdr:nvSpPr>
      <xdr:spPr>
        <a:xfrm>
          <a:off x="1504950" y="2590800"/>
          <a:ext cx="1362075" cy="29527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87925</xdr:colOff>
      <xdr:row>0</xdr:row>
      <xdr:rowOff>43962</xdr:rowOff>
    </xdr:from>
    <xdr:to>
      <xdr:col>9</xdr:col>
      <xdr:colOff>359021</xdr:colOff>
      <xdr:row>1</xdr:row>
      <xdr:rowOff>109905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6997213" y="43962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561975</xdr:colOff>
      <xdr:row>11</xdr:row>
      <xdr:rowOff>109537</xdr:rowOff>
    </xdr:from>
    <xdr:to>
      <xdr:col>4</xdr:col>
      <xdr:colOff>104775</xdr:colOff>
      <xdr:row>39</xdr:row>
      <xdr:rowOff>104775</xdr:rowOff>
    </xdr:to>
    <xdr:graphicFrame macro="">
      <xdr:nvGraphicFramePr>
        <xdr:cNvPr id="3" name="Diagrama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9</xdr:col>
      <xdr:colOff>533400</xdr:colOff>
      <xdr:row>8</xdr:row>
      <xdr:rowOff>66675</xdr:rowOff>
    </xdr:from>
    <xdr:to>
      <xdr:col>11</xdr:col>
      <xdr:colOff>42496</xdr:colOff>
      <xdr:row>9</xdr:row>
      <xdr:rowOff>131885</xdr:rowOff>
    </xdr:to>
    <xdr:sp macro="" textlink="">
      <xdr:nvSpPr>
        <xdr:cNvPr id="4" name="CuadroTexto 3">
          <a:hlinkClick xmlns:r="http://schemas.openxmlformats.org/officeDocument/2006/relationships" r:id="rId6"/>
        </xdr:cNvPr>
        <xdr:cNvSpPr txBox="1"/>
      </xdr:nvSpPr>
      <xdr:spPr>
        <a:xfrm>
          <a:off x="10125075" y="14478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9</xdr:col>
      <xdr:colOff>0</xdr:colOff>
      <xdr:row>3</xdr:row>
      <xdr:rowOff>0</xdr:rowOff>
    </xdr:to>
    <xdr:sp macro="" textlink="">
      <xdr:nvSpPr>
        <xdr:cNvPr id="13336" name="Line 3"/>
        <xdr:cNvSpPr>
          <a:spLocks noChangeShapeType="1"/>
        </xdr:cNvSpPr>
      </xdr:nvSpPr>
      <xdr:spPr bwMode="auto">
        <a:xfrm>
          <a:off x="6286500" y="70485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752475</xdr:colOff>
      <xdr:row>1</xdr:row>
      <xdr:rowOff>9525</xdr:rowOff>
    </xdr:from>
    <xdr:to>
      <xdr:col>10</xdr:col>
      <xdr:colOff>19050</xdr:colOff>
      <xdr:row>1</xdr:row>
      <xdr:rowOff>9525</xdr:rowOff>
    </xdr:to>
    <xdr:sp macro="" textlink="">
      <xdr:nvSpPr>
        <xdr:cNvPr id="13337" name="Line 1"/>
        <xdr:cNvSpPr>
          <a:spLocks noChangeShapeType="1"/>
        </xdr:cNvSpPr>
      </xdr:nvSpPr>
      <xdr:spPr bwMode="auto">
        <a:xfrm>
          <a:off x="6276975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742950</xdr:colOff>
      <xdr:row>2</xdr:row>
      <xdr:rowOff>0</xdr:rowOff>
    </xdr:from>
    <xdr:to>
      <xdr:col>10</xdr:col>
      <xdr:colOff>28575</xdr:colOff>
      <xdr:row>2</xdr:row>
      <xdr:rowOff>0</xdr:rowOff>
    </xdr:to>
    <xdr:sp macro="" textlink="">
      <xdr:nvSpPr>
        <xdr:cNvPr id="13338" name="Line 3"/>
        <xdr:cNvSpPr>
          <a:spLocks noChangeShapeType="1"/>
        </xdr:cNvSpPr>
      </xdr:nvSpPr>
      <xdr:spPr bwMode="auto">
        <a:xfrm>
          <a:off x="6267450" y="533400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50242</xdr:rowOff>
    </xdr:to>
    <xdr:sp macro="" textlink="">
      <xdr:nvSpPr>
        <xdr:cNvPr id="5" name="CuadroTexto 4">
          <a:hlinkClick xmlns:r="http://schemas.openxmlformats.org/officeDocument/2006/relationships" r:id="rId1"/>
        </xdr:cNvPr>
        <xdr:cNvSpPr txBox="1"/>
      </xdr:nvSpPr>
      <xdr:spPr>
        <a:xfrm>
          <a:off x="8572500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127000</xdr:rowOff>
    </xdr:from>
    <xdr:to>
      <xdr:col>10</xdr:col>
      <xdr:colOff>485775</xdr:colOff>
      <xdr:row>0</xdr:row>
      <xdr:rowOff>127000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048500" y="127000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8677275" y="323850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 editAs="oneCell">
    <xdr:from>
      <xdr:col>17</xdr:col>
      <xdr:colOff>114300</xdr:colOff>
      <xdr:row>13</xdr:row>
      <xdr:rowOff>50718</xdr:rowOff>
    </xdr:from>
    <xdr:to>
      <xdr:col>20</xdr:col>
      <xdr:colOff>666750</xdr:colOff>
      <xdr:row>22</xdr:row>
      <xdr:rowOff>19683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300" y="1212768"/>
          <a:ext cx="2838450" cy="1435815"/>
        </a:xfrm>
        <a:prstGeom prst="rect">
          <a:avLst/>
        </a:prstGeom>
      </xdr:spPr>
    </xdr:pic>
    <xdr:clientData/>
  </xdr:twoCellAnchor>
  <xdr:twoCellAnchor editAs="oneCell">
    <xdr:from>
      <xdr:col>12</xdr:col>
      <xdr:colOff>140476</xdr:colOff>
      <xdr:row>13</xdr:row>
      <xdr:rowOff>1858</xdr:rowOff>
    </xdr:from>
    <xdr:to>
      <xdr:col>15</xdr:col>
      <xdr:colOff>619126</xdr:colOff>
      <xdr:row>21</xdr:row>
      <xdr:rowOff>136638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226" y="2107941"/>
          <a:ext cx="2764650" cy="1404780"/>
        </a:xfrm>
        <a:prstGeom prst="rect">
          <a:avLst/>
        </a:prstGeom>
      </xdr:spPr>
    </xdr:pic>
    <xdr:clientData/>
  </xdr:twoCellAnchor>
  <xdr:twoCellAnchor editAs="oneCell">
    <xdr:from>
      <xdr:col>12</xdr:col>
      <xdr:colOff>195224</xdr:colOff>
      <xdr:row>46</xdr:row>
      <xdr:rowOff>55094</xdr:rowOff>
    </xdr:from>
    <xdr:to>
      <xdr:col>15</xdr:col>
      <xdr:colOff>609599</xdr:colOff>
      <xdr:row>54</xdr:row>
      <xdr:rowOff>71570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3224" y="6646394"/>
          <a:ext cx="2700375" cy="1311876"/>
        </a:xfrm>
        <a:prstGeom prst="rect">
          <a:avLst/>
        </a:prstGeom>
      </xdr:spPr>
    </xdr:pic>
    <xdr:clientData/>
  </xdr:twoCellAnchor>
  <xdr:twoCellAnchor editAs="oneCell">
    <xdr:from>
      <xdr:col>17</xdr:col>
      <xdr:colOff>154725</xdr:colOff>
      <xdr:row>46</xdr:row>
      <xdr:rowOff>25884</xdr:rowOff>
    </xdr:from>
    <xdr:to>
      <xdr:col>20</xdr:col>
      <xdr:colOff>704850</xdr:colOff>
      <xdr:row>54</xdr:row>
      <xdr:rowOff>134899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725" y="6617184"/>
          <a:ext cx="2836125" cy="14044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28500</xdr:colOff>
      <xdr:row>35</xdr:row>
      <xdr:rowOff>129265</xdr:rowOff>
    </xdr:from>
    <xdr:to>
      <xdr:col>15</xdr:col>
      <xdr:colOff>724250</xdr:colOff>
      <xdr:row>43</xdr:row>
      <xdr:rowOff>41275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00" y="4910815"/>
          <a:ext cx="2981750" cy="1270910"/>
        </a:xfrm>
        <a:prstGeom prst="rect">
          <a:avLst/>
        </a:prstGeom>
      </xdr:spPr>
    </xdr:pic>
    <xdr:clientData/>
  </xdr:twoCellAnchor>
  <xdr:twoCellAnchor editAs="oneCell">
    <xdr:from>
      <xdr:col>17</xdr:col>
      <xdr:colOff>73725</xdr:colOff>
      <xdr:row>35</xdr:row>
      <xdr:rowOff>67262</xdr:rowOff>
    </xdr:from>
    <xdr:to>
      <xdr:col>20</xdr:col>
      <xdr:colOff>704850</xdr:colOff>
      <xdr:row>43</xdr:row>
      <xdr:rowOff>39618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1725" y="4848812"/>
          <a:ext cx="2917125" cy="1331256"/>
        </a:xfrm>
        <a:prstGeom prst="rect">
          <a:avLst/>
        </a:prstGeom>
      </xdr:spPr>
    </xdr:pic>
    <xdr:clientData/>
  </xdr:twoCellAnchor>
  <xdr:twoCellAnchor editAs="oneCell">
    <xdr:from>
      <xdr:col>12</xdr:col>
      <xdr:colOff>118950</xdr:colOff>
      <xdr:row>24</xdr:row>
      <xdr:rowOff>56249</xdr:rowOff>
    </xdr:from>
    <xdr:to>
      <xdr:col>15</xdr:col>
      <xdr:colOff>685800</xdr:colOff>
      <xdr:row>32</xdr:row>
      <xdr:rowOff>18018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950" y="3028049"/>
          <a:ext cx="2852850" cy="134183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24</xdr:row>
      <xdr:rowOff>76200</xdr:rowOff>
    </xdr:from>
    <xdr:to>
      <xdr:col>20</xdr:col>
      <xdr:colOff>733425</xdr:colOff>
      <xdr:row>32</xdr:row>
      <xdr:rowOff>91383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050" y="3048000"/>
          <a:ext cx="3000375" cy="1397367"/>
        </a:xfrm>
        <a:prstGeom prst="rect">
          <a:avLst/>
        </a:prstGeom>
      </xdr:spPr>
    </xdr:pic>
    <xdr:clientData/>
  </xdr:twoCellAnchor>
  <xdr:twoCellAnchor>
    <xdr:from>
      <xdr:col>10</xdr:col>
      <xdr:colOff>52917</xdr:colOff>
      <xdr:row>4</xdr:row>
      <xdr:rowOff>31750</xdr:rowOff>
    </xdr:from>
    <xdr:to>
      <xdr:col>11</xdr:col>
      <xdr:colOff>324013</xdr:colOff>
      <xdr:row>5</xdr:row>
      <xdr:rowOff>89552</xdr:rowOff>
    </xdr:to>
    <xdr:sp macro="" textlink="">
      <xdr:nvSpPr>
        <xdr:cNvPr id="12" name="CuadroTexto 11">
          <a:hlinkClick xmlns:r="http://schemas.openxmlformats.org/officeDocument/2006/relationships" r:id="rId9"/>
        </xdr:cNvPr>
        <xdr:cNvSpPr txBox="1"/>
      </xdr:nvSpPr>
      <xdr:spPr>
        <a:xfrm>
          <a:off x="7831667" y="687917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18760" name="Line 1"/>
        <xdr:cNvSpPr>
          <a:spLocks noChangeShapeType="1"/>
        </xdr:cNvSpPr>
      </xdr:nvSpPr>
      <xdr:spPr bwMode="auto">
        <a:xfrm>
          <a:off x="10496550" y="457200"/>
          <a:ext cx="1076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485775</xdr:colOff>
      <xdr:row>4</xdr:row>
      <xdr:rowOff>0</xdr:rowOff>
    </xdr:to>
    <xdr:sp macro="" textlink="">
      <xdr:nvSpPr>
        <xdr:cNvPr id="18761" name="Line 3"/>
        <xdr:cNvSpPr>
          <a:spLocks noChangeShapeType="1"/>
        </xdr:cNvSpPr>
      </xdr:nvSpPr>
      <xdr:spPr bwMode="auto">
        <a:xfrm>
          <a:off x="10506075" y="685800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142875</xdr:colOff>
      <xdr:row>226</xdr:row>
      <xdr:rowOff>76200</xdr:rowOff>
    </xdr:from>
    <xdr:to>
      <xdr:col>1</xdr:col>
      <xdr:colOff>1228725</xdr:colOff>
      <xdr:row>226</xdr:row>
      <xdr:rowOff>152400</xdr:rowOff>
    </xdr:to>
    <xdr:grpSp>
      <xdr:nvGrpSpPr>
        <xdr:cNvPr id="2" name="Grupo 1"/>
        <xdr:cNvGrpSpPr/>
      </xdr:nvGrpSpPr>
      <xdr:grpSpPr>
        <a:xfrm>
          <a:off x="1254125" y="64306450"/>
          <a:ext cx="1085850" cy="76200"/>
          <a:chOff x="1085850" y="1314450"/>
          <a:chExt cx="1085850" cy="76200"/>
        </a:xfrm>
      </xdr:grpSpPr>
      <xdr:cxnSp macro="">
        <xdr:nvCxnSpPr>
          <xdr:cNvPr id="18762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763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231</xdr:row>
      <xdr:rowOff>161925</xdr:rowOff>
    </xdr:from>
    <xdr:to>
      <xdr:col>1</xdr:col>
      <xdr:colOff>1190625</xdr:colOff>
      <xdr:row>231</xdr:row>
      <xdr:rowOff>161925</xdr:rowOff>
    </xdr:to>
    <xdr:cxnSp macro="">
      <xdr:nvCxnSpPr>
        <xdr:cNvPr id="18769" name="Conector recto 17"/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240</xdr:row>
      <xdr:rowOff>161925</xdr:rowOff>
    </xdr:from>
    <xdr:to>
      <xdr:col>1</xdr:col>
      <xdr:colOff>1228725</xdr:colOff>
      <xdr:row>240</xdr:row>
      <xdr:rowOff>161925</xdr:rowOff>
    </xdr:to>
    <xdr:cxnSp macro="">
      <xdr:nvCxnSpPr>
        <xdr:cNvPr id="18781" name="Conector recto 39"/>
        <xdr:cNvCxnSpPr>
          <a:cxnSpLocks noChangeShapeType="1"/>
        </xdr:cNvCxnSpPr>
      </xdr:nvCxnSpPr>
      <xdr:spPr bwMode="auto">
        <a:xfrm>
          <a:off x="1085850" y="4600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242</xdr:row>
      <xdr:rowOff>104775</xdr:rowOff>
    </xdr:from>
    <xdr:to>
      <xdr:col>1</xdr:col>
      <xdr:colOff>1238250</xdr:colOff>
      <xdr:row>242</xdr:row>
      <xdr:rowOff>104775</xdr:rowOff>
    </xdr:to>
    <xdr:cxnSp macro="">
      <xdr:nvCxnSpPr>
        <xdr:cNvPr id="18785" name="Conector recto 43"/>
        <xdr:cNvCxnSpPr>
          <a:cxnSpLocks noChangeShapeType="1"/>
        </xdr:cNvCxnSpPr>
      </xdr:nvCxnSpPr>
      <xdr:spPr bwMode="auto">
        <a:xfrm>
          <a:off x="1095375" y="5000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66675</xdr:colOff>
      <xdr:row>271</xdr:row>
      <xdr:rowOff>95250</xdr:rowOff>
    </xdr:from>
    <xdr:to>
      <xdr:col>1</xdr:col>
      <xdr:colOff>1152525</xdr:colOff>
      <xdr:row>271</xdr:row>
      <xdr:rowOff>95250</xdr:rowOff>
    </xdr:to>
    <xdr:cxnSp macro="">
      <xdr:nvCxnSpPr>
        <xdr:cNvPr id="18808" name="Conector recto 39"/>
        <xdr:cNvCxnSpPr>
          <a:cxnSpLocks noChangeShapeType="1"/>
        </xdr:cNvCxnSpPr>
      </xdr:nvCxnSpPr>
      <xdr:spPr bwMode="auto">
        <a:xfrm>
          <a:off x="1009650" y="1069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272</xdr:row>
      <xdr:rowOff>66675</xdr:rowOff>
    </xdr:from>
    <xdr:to>
      <xdr:col>1</xdr:col>
      <xdr:colOff>1190625</xdr:colOff>
      <xdr:row>272</xdr:row>
      <xdr:rowOff>66675</xdr:rowOff>
    </xdr:to>
    <xdr:cxnSp macro="">
      <xdr:nvCxnSpPr>
        <xdr:cNvPr id="18809" name="Conector recto 39"/>
        <xdr:cNvCxnSpPr>
          <a:cxnSpLocks noChangeShapeType="1"/>
        </xdr:cNvCxnSpPr>
      </xdr:nvCxnSpPr>
      <xdr:spPr bwMode="auto">
        <a:xfrm>
          <a:off x="1047750" y="10839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273</xdr:row>
      <xdr:rowOff>66675</xdr:rowOff>
    </xdr:from>
    <xdr:to>
      <xdr:col>1</xdr:col>
      <xdr:colOff>1181100</xdr:colOff>
      <xdr:row>273</xdr:row>
      <xdr:rowOff>66675</xdr:rowOff>
    </xdr:to>
    <xdr:cxnSp macro="">
      <xdr:nvCxnSpPr>
        <xdr:cNvPr id="18810" name="Conector recto 39"/>
        <xdr:cNvCxnSpPr>
          <a:cxnSpLocks noChangeShapeType="1"/>
        </xdr:cNvCxnSpPr>
      </xdr:nvCxnSpPr>
      <xdr:spPr bwMode="auto">
        <a:xfrm>
          <a:off x="1038225" y="1101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274</xdr:row>
      <xdr:rowOff>95250</xdr:rowOff>
    </xdr:from>
    <xdr:to>
      <xdr:col>1</xdr:col>
      <xdr:colOff>1219200</xdr:colOff>
      <xdr:row>274</xdr:row>
      <xdr:rowOff>95250</xdr:rowOff>
    </xdr:to>
    <xdr:cxnSp macro="">
      <xdr:nvCxnSpPr>
        <xdr:cNvPr id="18811" name="Conector recto 39"/>
        <xdr:cNvCxnSpPr>
          <a:cxnSpLocks noChangeShapeType="1"/>
        </xdr:cNvCxnSpPr>
      </xdr:nvCxnSpPr>
      <xdr:spPr bwMode="auto">
        <a:xfrm>
          <a:off x="1076325" y="11210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277</xdr:row>
      <xdr:rowOff>104775</xdr:rowOff>
    </xdr:from>
    <xdr:to>
      <xdr:col>1</xdr:col>
      <xdr:colOff>1228725</xdr:colOff>
      <xdr:row>277</xdr:row>
      <xdr:rowOff>104775</xdr:rowOff>
    </xdr:to>
    <xdr:cxnSp macro="">
      <xdr:nvCxnSpPr>
        <xdr:cNvPr id="18812" name="Conector recto 39"/>
        <xdr:cNvCxnSpPr>
          <a:cxnSpLocks noChangeShapeType="1"/>
        </xdr:cNvCxnSpPr>
      </xdr:nvCxnSpPr>
      <xdr:spPr bwMode="auto">
        <a:xfrm>
          <a:off x="1085850" y="1177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278</xdr:row>
      <xdr:rowOff>104775</xdr:rowOff>
    </xdr:from>
    <xdr:to>
      <xdr:col>1</xdr:col>
      <xdr:colOff>1266825</xdr:colOff>
      <xdr:row>278</xdr:row>
      <xdr:rowOff>104775</xdr:rowOff>
    </xdr:to>
    <xdr:cxnSp macro="">
      <xdr:nvCxnSpPr>
        <xdr:cNvPr id="18815" name="Conector recto 39"/>
        <xdr:cNvCxnSpPr>
          <a:cxnSpLocks noChangeShapeType="1"/>
        </xdr:cNvCxnSpPr>
      </xdr:nvCxnSpPr>
      <xdr:spPr bwMode="auto">
        <a:xfrm>
          <a:off x="1123950" y="1194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279</xdr:row>
      <xdr:rowOff>76200</xdr:rowOff>
    </xdr:from>
    <xdr:to>
      <xdr:col>1</xdr:col>
      <xdr:colOff>1247775</xdr:colOff>
      <xdr:row>279</xdr:row>
      <xdr:rowOff>76200</xdr:rowOff>
    </xdr:to>
    <xdr:cxnSp macro="">
      <xdr:nvCxnSpPr>
        <xdr:cNvPr id="18816" name="Conector recto 39"/>
        <xdr:cNvCxnSpPr>
          <a:cxnSpLocks noChangeShapeType="1"/>
        </xdr:cNvCxnSpPr>
      </xdr:nvCxnSpPr>
      <xdr:spPr bwMode="auto">
        <a:xfrm>
          <a:off x="1104900" y="12087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299</xdr:row>
      <xdr:rowOff>0</xdr:rowOff>
    </xdr:from>
    <xdr:to>
      <xdr:col>1</xdr:col>
      <xdr:colOff>1085850</xdr:colOff>
      <xdr:row>299</xdr:row>
      <xdr:rowOff>0</xdr:rowOff>
    </xdr:to>
    <xdr:cxnSp macro="">
      <xdr:nvCxnSpPr>
        <xdr:cNvPr id="18832" name="Conector recto 39"/>
        <xdr:cNvCxnSpPr>
          <a:cxnSpLocks noChangeShapeType="1"/>
        </xdr:cNvCxnSpPr>
      </xdr:nvCxnSpPr>
      <xdr:spPr bwMode="auto">
        <a:xfrm>
          <a:off x="942975" y="15097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303</xdr:row>
      <xdr:rowOff>123825</xdr:rowOff>
    </xdr:from>
    <xdr:to>
      <xdr:col>1</xdr:col>
      <xdr:colOff>1238250</xdr:colOff>
      <xdr:row>303</xdr:row>
      <xdr:rowOff>123825</xdr:rowOff>
    </xdr:to>
    <xdr:cxnSp macro="">
      <xdr:nvCxnSpPr>
        <xdr:cNvPr id="18837" name="Conector recto 39"/>
        <xdr:cNvCxnSpPr>
          <a:cxnSpLocks noChangeShapeType="1"/>
        </xdr:cNvCxnSpPr>
      </xdr:nvCxnSpPr>
      <xdr:spPr bwMode="auto">
        <a:xfrm>
          <a:off x="1095375" y="1590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304</xdr:row>
      <xdr:rowOff>104775</xdr:rowOff>
    </xdr:from>
    <xdr:to>
      <xdr:col>1</xdr:col>
      <xdr:colOff>1238250</xdr:colOff>
      <xdr:row>304</xdr:row>
      <xdr:rowOff>104775</xdr:rowOff>
    </xdr:to>
    <xdr:cxnSp macro="">
      <xdr:nvCxnSpPr>
        <xdr:cNvPr id="18838" name="Conector recto 39"/>
        <xdr:cNvCxnSpPr>
          <a:cxnSpLocks noChangeShapeType="1"/>
        </xdr:cNvCxnSpPr>
      </xdr:nvCxnSpPr>
      <xdr:spPr bwMode="auto">
        <a:xfrm>
          <a:off x="1095375" y="1605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307</xdr:row>
      <xdr:rowOff>0</xdr:rowOff>
    </xdr:from>
    <xdr:to>
      <xdr:col>1</xdr:col>
      <xdr:colOff>1085850</xdr:colOff>
      <xdr:row>307</xdr:row>
      <xdr:rowOff>0</xdr:rowOff>
    </xdr:to>
    <xdr:cxnSp macro="">
      <xdr:nvCxnSpPr>
        <xdr:cNvPr id="18841" name="Conector recto 39"/>
        <xdr:cNvCxnSpPr>
          <a:cxnSpLocks noChangeShapeType="1"/>
        </xdr:cNvCxnSpPr>
      </xdr:nvCxnSpPr>
      <xdr:spPr bwMode="auto">
        <a:xfrm>
          <a:off x="942975" y="1646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307</xdr:row>
      <xdr:rowOff>85725</xdr:rowOff>
    </xdr:from>
    <xdr:to>
      <xdr:col>1</xdr:col>
      <xdr:colOff>1247775</xdr:colOff>
      <xdr:row>307</xdr:row>
      <xdr:rowOff>85725</xdr:rowOff>
    </xdr:to>
    <xdr:cxnSp macro="">
      <xdr:nvCxnSpPr>
        <xdr:cNvPr id="18842" name="Conector recto 39"/>
        <xdr:cNvCxnSpPr>
          <a:cxnSpLocks noChangeShapeType="1"/>
        </xdr:cNvCxnSpPr>
      </xdr:nvCxnSpPr>
      <xdr:spPr bwMode="auto">
        <a:xfrm>
          <a:off x="1104900" y="16554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369</xdr:row>
      <xdr:rowOff>104775</xdr:rowOff>
    </xdr:from>
    <xdr:to>
      <xdr:col>1</xdr:col>
      <xdr:colOff>1228725</xdr:colOff>
      <xdr:row>369</xdr:row>
      <xdr:rowOff>104775</xdr:rowOff>
    </xdr:to>
    <xdr:cxnSp macro="">
      <xdr:nvCxnSpPr>
        <xdr:cNvPr id="18875" name="Conector recto 39"/>
        <xdr:cNvCxnSpPr>
          <a:cxnSpLocks noChangeShapeType="1"/>
        </xdr:cNvCxnSpPr>
      </xdr:nvCxnSpPr>
      <xdr:spPr bwMode="auto">
        <a:xfrm>
          <a:off x="1085850" y="2381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370</xdr:row>
      <xdr:rowOff>95250</xdr:rowOff>
    </xdr:from>
    <xdr:to>
      <xdr:col>1</xdr:col>
      <xdr:colOff>1200150</xdr:colOff>
      <xdr:row>370</xdr:row>
      <xdr:rowOff>95250</xdr:rowOff>
    </xdr:to>
    <xdr:cxnSp macro="">
      <xdr:nvCxnSpPr>
        <xdr:cNvPr id="18876" name="Conector recto 39"/>
        <xdr:cNvCxnSpPr>
          <a:cxnSpLocks noChangeShapeType="1"/>
        </xdr:cNvCxnSpPr>
      </xdr:nvCxnSpPr>
      <xdr:spPr bwMode="auto">
        <a:xfrm>
          <a:off x="1057275" y="23974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372</xdr:row>
      <xdr:rowOff>85725</xdr:rowOff>
    </xdr:from>
    <xdr:to>
      <xdr:col>1</xdr:col>
      <xdr:colOff>1209675</xdr:colOff>
      <xdr:row>372</xdr:row>
      <xdr:rowOff>85725</xdr:rowOff>
    </xdr:to>
    <xdr:cxnSp macro="">
      <xdr:nvCxnSpPr>
        <xdr:cNvPr id="18878" name="Conector recto 39"/>
        <xdr:cNvCxnSpPr>
          <a:cxnSpLocks noChangeShapeType="1"/>
        </xdr:cNvCxnSpPr>
      </xdr:nvCxnSpPr>
      <xdr:spPr bwMode="auto">
        <a:xfrm>
          <a:off x="1066800" y="24326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373</xdr:row>
      <xdr:rowOff>76200</xdr:rowOff>
    </xdr:from>
    <xdr:to>
      <xdr:col>1</xdr:col>
      <xdr:colOff>1219200</xdr:colOff>
      <xdr:row>373</xdr:row>
      <xdr:rowOff>76200</xdr:rowOff>
    </xdr:to>
    <xdr:cxnSp macro="">
      <xdr:nvCxnSpPr>
        <xdr:cNvPr id="18879" name="Conector recto 39"/>
        <xdr:cNvCxnSpPr>
          <a:cxnSpLocks noChangeShapeType="1"/>
        </xdr:cNvCxnSpPr>
      </xdr:nvCxnSpPr>
      <xdr:spPr bwMode="auto">
        <a:xfrm>
          <a:off x="1076325" y="24488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377</xdr:row>
      <xdr:rowOff>85725</xdr:rowOff>
    </xdr:from>
    <xdr:to>
      <xdr:col>1</xdr:col>
      <xdr:colOff>1209675</xdr:colOff>
      <xdr:row>377</xdr:row>
      <xdr:rowOff>85725</xdr:rowOff>
    </xdr:to>
    <xdr:cxnSp macro="">
      <xdr:nvCxnSpPr>
        <xdr:cNvPr id="18882" name="Conector recto 39"/>
        <xdr:cNvCxnSpPr>
          <a:cxnSpLocks noChangeShapeType="1"/>
        </xdr:cNvCxnSpPr>
      </xdr:nvCxnSpPr>
      <xdr:spPr bwMode="auto">
        <a:xfrm>
          <a:off x="1066800" y="25184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378</xdr:row>
      <xdr:rowOff>85725</xdr:rowOff>
    </xdr:from>
    <xdr:to>
      <xdr:col>1</xdr:col>
      <xdr:colOff>1228725</xdr:colOff>
      <xdr:row>378</xdr:row>
      <xdr:rowOff>85725</xdr:rowOff>
    </xdr:to>
    <xdr:cxnSp macro="">
      <xdr:nvCxnSpPr>
        <xdr:cNvPr id="18883" name="Conector recto 39"/>
        <xdr:cNvCxnSpPr>
          <a:cxnSpLocks noChangeShapeType="1"/>
        </xdr:cNvCxnSpPr>
      </xdr:nvCxnSpPr>
      <xdr:spPr bwMode="auto">
        <a:xfrm>
          <a:off x="1085850" y="2535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661</xdr:row>
      <xdr:rowOff>85725</xdr:rowOff>
    </xdr:from>
    <xdr:to>
      <xdr:col>1</xdr:col>
      <xdr:colOff>1209675</xdr:colOff>
      <xdr:row>661</xdr:row>
      <xdr:rowOff>85725</xdr:rowOff>
    </xdr:to>
    <xdr:cxnSp macro="">
      <xdr:nvCxnSpPr>
        <xdr:cNvPr id="18935" name="Conector recto 39"/>
        <xdr:cNvCxnSpPr>
          <a:cxnSpLocks noChangeShapeType="1"/>
        </xdr:cNvCxnSpPr>
      </xdr:nvCxnSpPr>
      <xdr:spPr bwMode="auto">
        <a:xfrm>
          <a:off x="1066800" y="35347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664</xdr:row>
      <xdr:rowOff>95250</xdr:rowOff>
    </xdr:from>
    <xdr:to>
      <xdr:col>1</xdr:col>
      <xdr:colOff>1219200</xdr:colOff>
      <xdr:row>664</xdr:row>
      <xdr:rowOff>95250</xdr:rowOff>
    </xdr:to>
    <xdr:cxnSp macro="">
      <xdr:nvCxnSpPr>
        <xdr:cNvPr id="18939" name="Conector recto 39"/>
        <xdr:cNvCxnSpPr>
          <a:cxnSpLocks noChangeShapeType="1"/>
        </xdr:cNvCxnSpPr>
      </xdr:nvCxnSpPr>
      <xdr:spPr bwMode="auto">
        <a:xfrm>
          <a:off x="1076325" y="3589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665</xdr:row>
      <xdr:rowOff>104775</xdr:rowOff>
    </xdr:from>
    <xdr:to>
      <xdr:col>1</xdr:col>
      <xdr:colOff>1219200</xdr:colOff>
      <xdr:row>665</xdr:row>
      <xdr:rowOff>104775</xdr:rowOff>
    </xdr:to>
    <xdr:cxnSp macro="">
      <xdr:nvCxnSpPr>
        <xdr:cNvPr id="18940" name="Conector recto 39"/>
        <xdr:cNvCxnSpPr>
          <a:cxnSpLocks noChangeShapeType="1"/>
        </xdr:cNvCxnSpPr>
      </xdr:nvCxnSpPr>
      <xdr:spPr bwMode="auto">
        <a:xfrm>
          <a:off x="1076325" y="3607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683</xdr:row>
      <xdr:rowOff>76200</xdr:rowOff>
    </xdr:from>
    <xdr:to>
      <xdr:col>1</xdr:col>
      <xdr:colOff>1171575</xdr:colOff>
      <xdr:row>683</xdr:row>
      <xdr:rowOff>76200</xdr:rowOff>
    </xdr:to>
    <xdr:cxnSp macro="">
      <xdr:nvCxnSpPr>
        <xdr:cNvPr id="18953" name="Conector recto 39"/>
        <xdr:cNvCxnSpPr>
          <a:cxnSpLocks noChangeShapeType="1"/>
        </xdr:cNvCxnSpPr>
      </xdr:nvCxnSpPr>
      <xdr:spPr bwMode="auto">
        <a:xfrm>
          <a:off x="1028700" y="3876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684</xdr:row>
      <xdr:rowOff>104775</xdr:rowOff>
    </xdr:from>
    <xdr:to>
      <xdr:col>1</xdr:col>
      <xdr:colOff>1219200</xdr:colOff>
      <xdr:row>684</xdr:row>
      <xdr:rowOff>104775</xdr:rowOff>
    </xdr:to>
    <xdr:cxnSp macro="">
      <xdr:nvCxnSpPr>
        <xdr:cNvPr id="18954" name="Conector recto 39"/>
        <xdr:cNvCxnSpPr>
          <a:cxnSpLocks noChangeShapeType="1"/>
        </xdr:cNvCxnSpPr>
      </xdr:nvCxnSpPr>
      <xdr:spPr bwMode="auto">
        <a:xfrm>
          <a:off x="1076325" y="38966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765</xdr:row>
      <xdr:rowOff>104775</xdr:rowOff>
    </xdr:from>
    <xdr:to>
      <xdr:col>1</xdr:col>
      <xdr:colOff>1238250</xdr:colOff>
      <xdr:row>765</xdr:row>
      <xdr:rowOff>104775</xdr:rowOff>
    </xdr:to>
    <xdr:cxnSp macro="">
      <xdr:nvCxnSpPr>
        <xdr:cNvPr id="18962" name="Conector recto 39"/>
        <xdr:cNvCxnSpPr>
          <a:cxnSpLocks noChangeShapeType="1"/>
        </xdr:cNvCxnSpPr>
      </xdr:nvCxnSpPr>
      <xdr:spPr bwMode="auto">
        <a:xfrm>
          <a:off x="1095375" y="40547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770</xdr:row>
      <xdr:rowOff>76200</xdr:rowOff>
    </xdr:from>
    <xdr:to>
      <xdr:col>1</xdr:col>
      <xdr:colOff>1257300</xdr:colOff>
      <xdr:row>770</xdr:row>
      <xdr:rowOff>76200</xdr:rowOff>
    </xdr:to>
    <xdr:cxnSp macro="">
      <xdr:nvCxnSpPr>
        <xdr:cNvPr id="18965" name="Conector recto 39"/>
        <xdr:cNvCxnSpPr>
          <a:cxnSpLocks noChangeShapeType="1"/>
        </xdr:cNvCxnSpPr>
      </xdr:nvCxnSpPr>
      <xdr:spPr bwMode="auto">
        <a:xfrm>
          <a:off x="1114425" y="41405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771</xdr:row>
      <xdr:rowOff>66675</xdr:rowOff>
    </xdr:from>
    <xdr:to>
      <xdr:col>1</xdr:col>
      <xdr:colOff>1219200</xdr:colOff>
      <xdr:row>771</xdr:row>
      <xdr:rowOff>66675</xdr:rowOff>
    </xdr:to>
    <xdr:cxnSp macro="">
      <xdr:nvCxnSpPr>
        <xdr:cNvPr id="18966" name="Conector recto 39"/>
        <xdr:cNvCxnSpPr>
          <a:cxnSpLocks noChangeShapeType="1"/>
        </xdr:cNvCxnSpPr>
      </xdr:nvCxnSpPr>
      <xdr:spPr bwMode="auto">
        <a:xfrm>
          <a:off x="1076325" y="41567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772</xdr:row>
      <xdr:rowOff>76200</xdr:rowOff>
    </xdr:from>
    <xdr:to>
      <xdr:col>1</xdr:col>
      <xdr:colOff>1257300</xdr:colOff>
      <xdr:row>772</xdr:row>
      <xdr:rowOff>76200</xdr:rowOff>
    </xdr:to>
    <xdr:cxnSp macro="">
      <xdr:nvCxnSpPr>
        <xdr:cNvPr id="18967" name="Conector recto 39"/>
        <xdr:cNvCxnSpPr>
          <a:cxnSpLocks noChangeShapeType="1"/>
        </xdr:cNvCxnSpPr>
      </xdr:nvCxnSpPr>
      <xdr:spPr bwMode="auto">
        <a:xfrm>
          <a:off x="1114425" y="417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773</xdr:row>
      <xdr:rowOff>66675</xdr:rowOff>
    </xdr:from>
    <xdr:to>
      <xdr:col>1</xdr:col>
      <xdr:colOff>1276350</xdr:colOff>
      <xdr:row>773</xdr:row>
      <xdr:rowOff>66675</xdr:rowOff>
    </xdr:to>
    <xdr:cxnSp macro="">
      <xdr:nvCxnSpPr>
        <xdr:cNvPr id="18968" name="Conector recto 39"/>
        <xdr:cNvCxnSpPr>
          <a:cxnSpLocks noChangeShapeType="1"/>
        </xdr:cNvCxnSpPr>
      </xdr:nvCxnSpPr>
      <xdr:spPr bwMode="auto">
        <a:xfrm>
          <a:off x="1133475" y="4191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227</xdr:row>
      <xdr:rowOff>76200</xdr:rowOff>
    </xdr:from>
    <xdr:to>
      <xdr:col>1</xdr:col>
      <xdr:colOff>1219200</xdr:colOff>
      <xdr:row>227</xdr:row>
      <xdr:rowOff>152400</xdr:rowOff>
    </xdr:to>
    <xdr:grpSp>
      <xdr:nvGrpSpPr>
        <xdr:cNvPr id="259" name="Grupo 258"/>
        <xdr:cNvGrpSpPr/>
      </xdr:nvGrpSpPr>
      <xdr:grpSpPr>
        <a:xfrm>
          <a:off x="1244600" y="64560450"/>
          <a:ext cx="1085850" cy="76200"/>
          <a:chOff x="1085850" y="1314450"/>
          <a:chExt cx="1085850" cy="76200"/>
        </a:xfrm>
      </xdr:grpSpPr>
      <xdr:cxnSp macro="">
        <xdr:nvCxnSpPr>
          <xdr:cNvPr id="260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85725</xdr:colOff>
      <xdr:row>232</xdr:row>
      <xdr:rowOff>161925</xdr:rowOff>
    </xdr:from>
    <xdr:to>
      <xdr:col>1</xdr:col>
      <xdr:colOff>1171575</xdr:colOff>
      <xdr:row>232</xdr:row>
      <xdr:rowOff>161925</xdr:rowOff>
    </xdr:to>
    <xdr:cxnSp macro="">
      <xdr:nvCxnSpPr>
        <xdr:cNvPr id="268" name="Conector recto 17"/>
        <xdr:cNvCxnSpPr>
          <a:cxnSpLocks noChangeShapeType="1"/>
        </xdr:cNvCxnSpPr>
      </xdr:nvCxnSpPr>
      <xdr:spPr bwMode="auto">
        <a:xfrm>
          <a:off x="1028700" y="277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233</xdr:row>
      <xdr:rowOff>142875</xdr:rowOff>
    </xdr:from>
    <xdr:to>
      <xdr:col>1</xdr:col>
      <xdr:colOff>1181100</xdr:colOff>
      <xdr:row>233</xdr:row>
      <xdr:rowOff>142875</xdr:rowOff>
    </xdr:to>
    <xdr:cxnSp macro="">
      <xdr:nvCxnSpPr>
        <xdr:cNvPr id="277" name="Conector recto 17"/>
        <xdr:cNvCxnSpPr>
          <a:cxnSpLocks noChangeShapeType="1"/>
        </xdr:cNvCxnSpPr>
      </xdr:nvCxnSpPr>
      <xdr:spPr bwMode="auto">
        <a:xfrm>
          <a:off x="1038225" y="298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234</xdr:row>
      <xdr:rowOff>142875</xdr:rowOff>
    </xdr:from>
    <xdr:to>
      <xdr:col>1</xdr:col>
      <xdr:colOff>1181100</xdr:colOff>
      <xdr:row>234</xdr:row>
      <xdr:rowOff>142875</xdr:rowOff>
    </xdr:to>
    <xdr:cxnSp macro="">
      <xdr:nvCxnSpPr>
        <xdr:cNvPr id="278" name="Conector recto 39"/>
        <xdr:cNvCxnSpPr>
          <a:cxnSpLocks noChangeShapeType="1"/>
        </xdr:cNvCxnSpPr>
      </xdr:nvCxnSpPr>
      <xdr:spPr bwMode="auto">
        <a:xfrm>
          <a:off x="1038225" y="320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235</xdr:row>
      <xdr:rowOff>142875</xdr:rowOff>
    </xdr:from>
    <xdr:to>
      <xdr:col>1</xdr:col>
      <xdr:colOff>1181100</xdr:colOff>
      <xdr:row>235</xdr:row>
      <xdr:rowOff>142875</xdr:rowOff>
    </xdr:to>
    <xdr:cxnSp macro="">
      <xdr:nvCxnSpPr>
        <xdr:cNvPr id="279" name="Conector recto 39"/>
        <xdr:cNvCxnSpPr>
          <a:cxnSpLocks noChangeShapeType="1"/>
        </xdr:cNvCxnSpPr>
      </xdr:nvCxnSpPr>
      <xdr:spPr bwMode="auto">
        <a:xfrm>
          <a:off x="103822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236</xdr:row>
      <xdr:rowOff>133350</xdr:rowOff>
    </xdr:from>
    <xdr:to>
      <xdr:col>1</xdr:col>
      <xdr:colOff>1181100</xdr:colOff>
      <xdr:row>236</xdr:row>
      <xdr:rowOff>133350</xdr:rowOff>
    </xdr:to>
    <xdr:cxnSp macro="">
      <xdr:nvCxnSpPr>
        <xdr:cNvPr id="280" name="Conector recto 39"/>
        <xdr:cNvCxnSpPr>
          <a:cxnSpLocks noChangeShapeType="1"/>
        </xdr:cNvCxnSpPr>
      </xdr:nvCxnSpPr>
      <xdr:spPr bwMode="auto">
        <a:xfrm>
          <a:off x="1038225" y="3657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237</xdr:row>
      <xdr:rowOff>123825</xdr:rowOff>
    </xdr:from>
    <xdr:to>
      <xdr:col>1</xdr:col>
      <xdr:colOff>1200150</xdr:colOff>
      <xdr:row>237</xdr:row>
      <xdr:rowOff>123825</xdr:rowOff>
    </xdr:to>
    <xdr:cxnSp macro="">
      <xdr:nvCxnSpPr>
        <xdr:cNvPr id="281" name="Conector recto 39"/>
        <xdr:cNvCxnSpPr>
          <a:cxnSpLocks noChangeShapeType="1"/>
        </xdr:cNvCxnSpPr>
      </xdr:nvCxnSpPr>
      <xdr:spPr bwMode="auto">
        <a:xfrm>
          <a:off x="1057275" y="38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238</xdr:row>
      <xdr:rowOff>123825</xdr:rowOff>
    </xdr:from>
    <xdr:to>
      <xdr:col>1</xdr:col>
      <xdr:colOff>1200150</xdr:colOff>
      <xdr:row>238</xdr:row>
      <xdr:rowOff>123825</xdr:rowOff>
    </xdr:to>
    <xdr:cxnSp macro="">
      <xdr:nvCxnSpPr>
        <xdr:cNvPr id="282" name="Conector recto 39"/>
        <xdr:cNvCxnSpPr>
          <a:cxnSpLocks noChangeShapeType="1"/>
        </xdr:cNvCxnSpPr>
      </xdr:nvCxnSpPr>
      <xdr:spPr bwMode="auto">
        <a:xfrm>
          <a:off x="1057275" y="41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239</xdr:row>
      <xdr:rowOff>133350</xdr:rowOff>
    </xdr:from>
    <xdr:to>
      <xdr:col>1</xdr:col>
      <xdr:colOff>1219200</xdr:colOff>
      <xdr:row>239</xdr:row>
      <xdr:rowOff>133350</xdr:rowOff>
    </xdr:to>
    <xdr:cxnSp macro="">
      <xdr:nvCxnSpPr>
        <xdr:cNvPr id="283" name="Conector recto 39"/>
        <xdr:cNvCxnSpPr>
          <a:cxnSpLocks noChangeShapeType="1"/>
        </xdr:cNvCxnSpPr>
      </xdr:nvCxnSpPr>
      <xdr:spPr bwMode="auto">
        <a:xfrm>
          <a:off x="1076325" y="43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241</xdr:row>
      <xdr:rowOff>123825</xdr:rowOff>
    </xdr:from>
    <xdr:to>
      <xdr:col>1</xdr:col>
      <xdr:colOff>1238250</xdr:colOff>
      <xdr:row>241</xdr:row>
      <xdr:rowOff>123825</xdr:rowOff>
    </xdr:to>
    <xdr:cxnSp macro="">
      <xdr:nvCxnSpPr>
        <xdr:cNvPr id="284" name="Conector recto 43"/>
        <xdr:cNvCxnSpPr>
          <a:cxnSpLocks noChangeShapeType="1"/>
        </xdr:cNvCxnSpPr>
      </xdr:nvCxnSpPr>
      <xdr:spPr bwMode="auto">
        <a:xfrm>
          <a:off x="1095375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243</xdr:row>
      <xdr:rowOff>114300</xdr:rowOff>
    </xdr:from>
    <xdr:to>
      <xdr:col>1</xdr:col>
      <xdr:colOff>1238250</xdr:colOff>
      <xdr:row>243</xdr:row>
      <xdr:rowOff>114300</xdr:rowOff>
    </xdr:to>
    <xdr:cxnSp macro="">
      <xdr:nvCxnSpPr>
        <xdr:cNvPr id="285" name="Conector recto 43"/>
        <xdr:cNvCxnSpPr>
          <a:cxnSpLocks noChangeShapeType="1"/>
        </xdr:cNvCxnSpPr>
      </xdr:nvCxnSpPr>
      <xdr:spPr bwMode="auto">
        <a:xfrm>
          <a:off x="1095375" y="523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244</xdr:row>
      <xdr:rowOff>136071</xdr:rowOff>
    </xdr:from>
    <xdr:to>
      <xdr:col>1</xdr:col>
      <xdr:colOff>1235529</xdr:colOff>
      <xdr:row>244</xdr:row>
      <xdr:rowOff>136071</xdr:rowOff>
    </xdr:to>
    <xdr:cxnSp macro="">
      <xdr:nvCxnSpPr>
        <xdr:cNvPr id="262" name="Conector recto 43"/>
        <xdr:cNvCxnSpPr>
          <a:cxnSpLocks noChangeShapeType="1"/>
        </xdr:cNvCxnSpPr>
      </xdr:nvCxnSpPr>
      <xdr:spPr bwMode="auto">
        <a:xfrm>
          <a:off x="1088572" y="555171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245</xdr:row>
      <xdr:rowOff>133350</xdr:rowOff>
    </xdr:from>
    <xdr:to>
      <xdr:col>1</xdr:col>
      <xdr:colOff>1257300</xdr:colOff>
      <xdr:row>245</xdr:row>
      <xdr:rowOff>209550</xdr:rowOff>
    </xdr:to>
    <xdr:grpSp>
      <xdr:nvGrpSpPr>
        <xdr:cNvPr id="316" name="Grupo 315"/>
        <xdr:cNvGrpSpPr/>
      </xdr:nvGrpSpPr>
      <xdr:grpSpPr>
        <a:xfrm>
          <a:off x="1282700" y="69189600"/>
          <a:ext cx="1085850" cy="76200"/>
          <a:chOff x="1076325" y="3629025"/>
          <a:chExt cx="1085850" cy="76200"/>
        </a:xfrm>
      </xdr:grpSpPr>
      <xdr:cxnSp macro="">
        <xdr:nvCxnSpPr>
          <xdr:cNvPr id="317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8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246</xdr:row>
      <xdr:rowOff>57150</xdr:rowOff>
    </xdr:from>
    <xdr:to>
      <xdr:col>1</xdr:col>
      <xdr:colOff>1247775</xdr:colOff>
      <xdr:row>246</xdr:row>
      <xdr:rowOff>133350</xdr:rowOff>
    </xdr:to>
    <xdr:grpSp>
      <xdr:nvGrpSpPr>
        <xdr:cNvPr id="319" name="Grupo 318"/>
        <xdr:cNvGrpSpPr/>
      </xdr:nvGrpSpPr>
      <xdr:grpSpPr>
        <a:xfrm>
          <a:off x="1273175" y="69367400"/>
          <a:ext cx="1085850" cy="76200"/>
          <a:chOff x="1076325" y="3629025"/>
          <a:chExt cx="1085850" cy="76200"/>
        </a:xfrm>
      </xdr:grpSpPr>
      <xdr:cxnSp macro="">
        <xdr:nvCxnSpPr>
          <xdr:cNvPr id="320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1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252</xdr:row>
      <xdr:rowOff>28575</xdr:rowOff>
    </xdr:from>
    <xdr:to>
      <xdr:col>1</xdr:col>
      <xdr:colOff>1228725</xdr:colOff>
      <xdr:row>252</xdr:row>
      <xdr:rowOff>114300</xdr:rowOff>
    </xdr:to>
    <xdr:grpSp>
      <xdr:nvGrpSpPr>
        <xdr:cNvPr id="322" name="Grupo 321"/>
        <xdr:cNvGrpSpPr/>
      </xdr:nvGrpSpPr>
      <xdr:grpSpPr>
        <a:xfrm>
          <a:off x="1254125" y="70862825"/>
          <a:ext cx="1085850" cy="85725"/>
          <a:chOff x="1066800" y="2924175"/>
          <a:chExt cx="1085850" cy="85725"/>
        </a:xfrm>
      </xdr:grpSpPr>
      <xdr:cxnSp macro="">
        <xdr:nvCxnSpPr>
          <xdr:cNvPr id="323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247</xdr:row>
      <xdr:rowOff>76200</xdr:rowOff>
    </xdr:from>
    <xdr:to>
      <xdr:col>1</xdr:col>
      <xdr:colOff>1238250</xdr:colOff>
      <xdr:row>247</xdr:row>
      <xdr:rowOff>161925</xdr:rowOff>
    </xdr:to>
    <xdr:grpSp>
      <xdr:nvGrpSpPr>
        <xdr:cNvPr id="325" name="Grupo 324"/>
        <xdr:cNvGrpSpPr/>
      </xdr:nvGrpSpPr>
      <xdr:grpSpPr>
        <a:xfrm>
          <a:off x="1263650" y="69640450"/>
          <a:ext cx="1085850" cy="85725"/>
          <a:chOff x="1066800" y="2924175"/>
          <a:chExt cx="1085850" cy="85725"/>
        </a:xfrm>
      </xdr:grpSpPr>
      <xdr:cxnSp macro="">
        <xdr:nvCxnSpPr>
          <xdr:cNvPr id="326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7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248</xdr:row>
      <xdr:rowOff>76200</xdr:rowOff>
    </xdr:from>
    <xdr:to>
      <xdr:col>1</xdr:col>
      <xdr:colOff>1238250</xdr:colOff>
      <xdr:row>248</xdr:row>
      <xdr:rowOff>152400</xdr:rowOff>
    </xdr:to>
    <xdr:grpSp>
      <xdr:nvGrpSpPr>
        <xdr:cNvPr id="328" name="Grupo 327"/>
        <xdr:cNvGrpSpPr/>
      </xdr:nvGrpSpPr>
      <xdr:grpSpPr>
        <a:xfrm>
          <a:off x="1263650" y="69894450"/>
          <a:ext cx="1085850" cy="76200"/>
          <a:chOff x="1066800" y="2924175"/>
          <a:chExt cx="1085850" cy="85725"/>
        </a:xfrm>
      </xdr:grpSpPr>
      <xdr:cxnSp macro="">
        <xdr:nvCxnSpPr>
          <xdr:cNvPr id="32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249</xdr:row>
      <xdr:rowOff>66675</xdr:rowOff>
    </xdr:from>
    <xdr:to>
      <xdr:col>1</xdr:col>
      <xdr:colOff>1238250</xdr:colOff>
      <xdr:row>249</xdr:row>
      <xdr:rowOff>152400</xdr:rowOff>
    </xdr:to>
    <xdr:grpSp>
      <xdr:nvGrpSpPr>
        <xdr:cNvPr id="331" name="Grupo 330"/>
        <xdr:cNvGrpSpPr/>
      </xdr:nvGrpSpPr>
      <xdr:grpSpPr>
        <a:xfrm>
          <a:off x="1263650" y="70138925"/>
          <a:ext cx="1085850" cy="85725"/>
          <a:chOff x="1066800" y="2924175"/>
          <a:chExt cx="1085850" cy="85725"/>
        </a:xfrm>
      </xdr:grpSpPr>
      <xdr:cxnSp macro="">
        <xdr:nvCxnSpPr>
          <xdr:cNvPr id="33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250</xdr:row>
      <xdr:rowOff>57150</xdr:rowOff>
    </xdr:from>
    <xdr:to>
      <xdr:col>1</xdr:col>
      <xdr:colOff>1228725</xdr:colOff>
      <xdr:row>250</xdr:row>
      <xdr:rowOff>142875</xdr:rowOff>
    </xdr:to>
    <xdr:grpSp>
      <xdr:nvGrpSpPr>
        <xdr:cNvPr id="334" name="Grupo 333"/>
        <xdr:cNvGrpSpPr/>
      </xdr:nvGrpSpPr>
      <xdr:grpSpPr>
        <a:xfrm>
          <a:off x="1254125" y="70383400"/>
          <a:ext cx="1085850" cy="85725"/>
          <a:chOff x="1066800" y="2924175"/>
          <a:chExt cx="1085850" cy="85725"/>
        </a:xfrm>
      </xdr:grpSpPr>
      <xdr:cxnSp macro="">
        <xdr:nvCxnSpPr>
          <xdr:cNvPr id="33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251</xdr:row>
      <xdr:rowOff>19050</xdr:rowOff>
    </xdr:from>
    <xdr:to>
      <xdr:col>1</xdr:col>
      <xdr:colOff>1228725</xdr:colOff>
      <xdr:row>251</xdr:row>
      <xdr:rowOff>104775</xdr:rowOff>
    </xdr:to>
    <xdr:grpSp>
      <xdr:nvGrpSpPr>
        <xdr:cNvPr id="337" name="Grupo 336"/>
        <xdr:cNvGrpSpPr/>
      </xdr:nvGrpSpPr>
      <xdr:grpSpPr>
        <a:xfrm>
          <a:off x="1254125" y="70599300"/>
          <a:ext cx="1085850" cy="85725"/>
          <a:chOff x="1066800" y="2924175"/>
          <a:chExt cx="1085850" cy="85725"/>
        </a:xfrm>
      </xdr:grpSpPr>
      <xdr:cxnSp macro="">
        <xdr:nvCxnSpPr>
          <xdr:cNvPr id="338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9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258</xdr:row>
      <xdr:rowOff>57150</xdr:rowOff>
    </xdr:from>
    <xdr:to>
      <xdr:col>1</xdr:col>
      <xdr:colOff>1190625</xdr:colOff>
      <xdr:row>258</xdr:row>
      <xdr:rowOff>133350</xdr:rowOff>
    </xdr:to>
    <xdr:grpSp>
      <xdr:nvGrpSpPr>
        <xdr:cNvPr id="340" name="Grupo 339"/>
        <xdr:cNvGrpSpPr/>
      </xdr:nvGrpSpPr>
      <xdr:grpSpPr>
        <a:xfrm>
          <a:off x="1216025" y="73050400"/>
          <a:ext cx="1085850" cy="76200"/>
          <a:chOff x="1085850" y="1314450"/>
          <a:chExt cx="1085850" cy="76200"/>
        </a:xfrm>
      </xdr:grpSpPr>
      <xdr:cxnSp macro="">
        <xdr:nvCxnSpPr>
          <xdr:cNvPr id="341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2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259</xdr:row>
      <xdr:rowOff>66675</xdr:rowOff>
    </xdr:from>
    <xdr:to>
      <xdr:col>1</xdr:col>
      <xdr:colOff>1181100</xdr:colOff>
      <xdr:row>259</xdr:row>
      <xdr:rowOff>142875</xdr:rowOff>
    </xdr:to>
    <xdr:grpSp>
      <xdr:nvGrpSpPr>
        <xdr:cNvPr id="344" name="Grupo 343"/>
        <xdr:cNvGrpSpPr/>
      </xdr:nvGrpSpPr>
      <xdr:grpSpPr>
        <a:xfrm>
          <a:off x="1206500" y="73313925"/>
          <a:ext cx="1085850" cy="76200"/>
          <a:chOff x="1085850" y="1314450"/>
          <a:chExt cx="1085850" cy="76200"/>
        </a:xfrm>
      </xdr:grpSpPr>
      <xdr:cxnSp macro="">
        <xdr:nvCxnSpPr>
          <xdr:cNvPr id="345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6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76200</xdr:colOff>
      <xdr:row>265</xdr:row>
      <xdr:rowOff>104775</xdr:rowOff>
    </xdr:from>
    <xdr:to>
      <xdr:col>1</xdr:col>
      <xdr:colOff>1162050</xdr:colOff>
      <xdr:row>265</xdr:row>
      <xdr:rowOff>104775</xdr:rowOff>
    </xdr:to>
    <xdr:cxnSp macro="">
      <xdr:nvCxnSpPr>
        <xdr:cNvPr id="352" name="Conector recto 39"/>
        <xdr:cNvCxnSpPr>
          <a:cxnSpLocks noChangeShapeType="1"/>
        </xdr:cNvCxnSpPr>
      </xdr:nvCxnSpPr>
      <xdr:spPr bwMode="auto">
        <a:xfrm>
          <a:off x="1019175" y="9353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266</xdr:row>
      <xdr:rowOff>76200</xdr:rowOff>
    </xdr:from>
    <xdr:to>
      <xdr:col>1</xdr:col>
      <xdr:colOff>1200150</xdr:colOff>
      <xdr:row>266</xdr:row>
      <xdr:rowOff>76200</xdr:rowOff>
    </xdr:to>
    <xdr:cxnSp macro="">
      <xdr:nvCxnSpPr>
        <xdr:cNvPr id="353" name="Conector recto 39"/>
        <xdr:cNvCxnSpPr>
          <a:cxnSpLocks noChangeShapeType="1"/>
        </xdr:cNvCxnSpPr>
      </xdr:nvCxnSpPr>
      <xdr:spPr bwMode="auto">
        <a:xfrm>
          <a:off x="1057275" y="9496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267</xdr:row>
      <xdr:rowOff>76200</xdr:rowOff>
    </xdr:from>
    <xdr:to>
      <xdr:col>1</xdr:col>
      <xdr:colOff>1200150</xdr:colOff>
      <xdr:row>267</xdr:row>
      <xdr:rowOff>76200</xdr:rowOff>
    </xdr:to>
    <xdr:cxnSp macro="">
      <xdr:nvCxnSpPr>
        <xdr:cNvPr id="354" name="Conector recto 39"/>
        <xdr:cNvCxnSpPr>
          <a:cxnSpLocks noChangeShapeType="1"/>
        </xdr:cNvCxnSpPr>
      </xdr:nvCxnSpPr>
      <xdr:spPr bwMode="auto">
        <a:xfrm>
          <a:off x="1057275" y="9667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268</xdr:row>
      <xdr:rowOff>57150</xdr:rowOff>
    </xdr:from>
    <xdr:to>
      <xdr:col>1</xdr:col>
      <xdr:colOff>1219200</xdr:colOff>
      <xdr:row>268</xdr:row>
      <xdr:rowOff>57150</xdr:rowOff>
    </xdr:to>
    <xdr:cxnSp macro="">
      <xdr:nvCxnSpPr>
        <xdr:cNvPr id="355" name="Conector recto 39"/>
        <xdr:cNvCxnSpPr>
          <a:cxnSpLocks noChangeShapeType="1"/>
        </xdr:cNvCxnSpPr>
      </xdr:nvCxnSpPr>
      <xdr:spPr bwMode="auto">
        <a:xfrm>
          <a:off x="1076325" y="9820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269</xdr:row>
      <xdr:rowOff>114300</xdr:rowOff>
    </xdr:from>
    <xdr:to>
      <xdr:col>1</xdr:col>
      <xdr:colOff>1200150</xdr:colOff>
      <xdr:row>269</xdr:row>
      <xdr:rowOff>114300</xdr:rowOff>
    </xdr:to>
    <xdr:cxnSp macro="">
      <xdr:nvCxnSpPr>
        <xdr:cNvPr id="356" name="Conector recto 39"/>
        <xdr:cNvCxnSpPr>
          <a:cxnSpLocks noChangeShapeType="1"/>
        </xdr:cNvCxnSpPr>
      </xdr:nvCxnSpPr>
      <xdr:spPr bwMode="auto">
        <a:xfrm>
          <a:off x="1057275" y="10048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270</xdr:row>
      <xdr:rowOff>85725</xdr:rowOff>
    </xdr:from>
    <xdr:to>
      <xdr:col>1</xdr:col>
      <xdr:colOff>1238250</xdr:colOff>
      <xdr:row>270</xdr:row>
      <xdr:rowOff>85725</xdr:rowOff>
    </xdr:to>
    <xdr:cxnSp macro="">
      <xdr:nvCxnSpPr>
        <xdr:cNvPr id="357" name="Conector recto 39"/>
        <xdr:cNvCxnSpPr>
          <a:cxnSpLocks noChangeShapeType="1"/>
        </xdr:cNvCxnSpPr>
      </xdr:nvCxnSpPr>
      <xdr:spPr bwMode="auto">
        <a:xfrm>
          <a:off x="1095375" y="10191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275</xdr:row>
      <xdr:rowOff>133350</xdr:rowOff>
    </xdr:from>
    <xdr:to>
      <xdr:col>1</xdr:col>
      <xdr:colOff>1200150</xdr:colOff>
      <xdr:row>275</xdr:row>
      <xdr:rowOff>133350</xdr:rowOff>
    </xdr:to>
    <xdr:cxnSp macro="">
      <xdr:nvCxnSpPr>
        <xdr:cNvPr id="358" name="Conector recto 39"/>
        <xdr:cNvCxnSpPr>
          <a:cxnSpLocks noChangeShapeType="1"/>
        </xdr:cNvCxnSpPr>
      </xdr:nvCxnSpPr>
      <xdr:spPr bwMode="auto">
        <a:xfrm>
          <a:off x="1057275" y="1109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276</xdr:row>
      <xdr:rowOff>66675</xdr:rowOff>
    </xdr:from>
    <xdr:to>
      <xdr:col>1</xdr:col>
      <xdr:colOff>1238250</xdr:colOff>
      <xdr:row>276</xdr:row>
      <xdr:rowOff>66675</xdr:rowOff>
    </xdr:to>
    <xdr:cxnSp macro="">
      <xdr:nvCxnSpPr>
        <xdr:cNvPr id="359" name="Conector recto 39"/>
        <xdr:cNvCxnSpPr>
          <a:cxnSpLocks noChangeShapeType="1"/>
        </xdr:cNvCxnSpPr>
      </xdr:nvCxnSpPr>
      <xdr:spPr bwMode="auto">
        <a:xfrm>
          <a:off x="1095375" y="1123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285</xdr:row>
      <xdr:rowOff>66675</xdr:rowOff>
    </xdr:from>
    <xdr:to>
      <xdr:col>1</xdr:col>
      <xdr:colOff>1209675</xdr:colOff>
      <xdr:row>285</xdr:row>
      <xdr:rowOff>123825</xdr:rowOff>
    </xdr:to>
    <xdr:grpSp>
      <xdr:nvGrpSpPr>
        <xdr:cNvPr id="360" name="Grupo 359"/>
        <xdr:cNvGrpSpPr/>
      </xdr:nvGrpSpPr>
      <xdr:grpSpPr>
        <a:xfrm>
          <a:off x="1235075" y="79917925"/>
          <a:ext cx="1085850" cy="57150"/>
          <a:chOff x="1066800" y="2924175"/>
          <a:chExt cx="1085850" cy="85725"/>
        </a:xfrm>
      </xdr:grpSpPr>
      <xdr:cxnSp macro="">
        <xdr:nvCxnSpPr>
          <xdr:cNvPr id="361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281</xdr:row>
      <xdr:rowOff>38100</xdr:rowOff>
    </xdr:from>
    <xdr:to>
      <xdr:col>1</xdr:col>
      <xdr:colOff>1219200</xdr:colOff>
      <xdr:row>281</xdr:row>
      <xdr:rowOff>114300</xdr:rowOff>
    </xdr:to>
    <xdr:grpSp>
      <xdr:nvGrpSpPr>
        <xdr:cNvPr id="363" name="Grupo 362"/>
        <xdr:cNvGrpSpPr/>
      </xdr:nvGrpSpPr>
      <xdr:grpSpPr>
        <a:xfrm>
          <a:off x="1244600" y="78873350"/>
          <a:ext cx="1085850" cy="76200"/>
          <a:chOff x="1066800" y="2924175"/>
          <a:chExt cx="1085850" cy="85725"/>
        </a:xfrm>
      </xdr:grpSpPr>
      <xdr:cxnSp macro="">
        <xdr:nvCxnSpPr>
          <xdr:cNvPr id="364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5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282</xdr:row>
      <xdr:rowOff>38100</xdr:rowOff>
    </xdr:from>
    <xdr:to>
      <xdr:col>1</xdr:col>
      <xdr:colOff>1219200</xdr:colOff>
      <xdr:row>282</xdr:row>
      <xdr:rowOff>123825</xdr:rowOff>
    </xdr:to>
    <xdr:grpSp>
      <xdr:nvGrpSpPr>
        <xdr:cNvPr id="366" name="Grupo 365"/>
        <xdr:cNvGrpSpPr/>
      </xdr:nvGrpSpPr>
      <xdr:grpSpPr>
        <a:xfrm>
          <a:off x="1244600" y="79127350"/>
          <a:ext cx="1085850" cy="85725"/>
          <a:chOff x="1066800" y="2924175"/>
          <a:chExt cx="1085850" cy="85725"/>
        </a:xfrm>
      </xdr:grpSpPr>
      <xdr:cxnSp macro="">
        <xdr:nvCxnSpPr>
          <xdr:cNvPr id="36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283</xdr:row>
      <xdr:rowOff>47625</xdr:rowOff>
    </xdr:from>
    <xdr:to>
      <xdr:col>1</xdr:col>
      <xdr:colOff>1219200</xdr:colOff>
      <xdr:row>283</xdr:row>
      <xdr:rowOff>133350</xdr:rowOff>
    </xdr:to>
    <xdr:grpSp>
      <xdr:nvGrpSpPr>
        <xdr:cNvPr id="369" name="Grupo 368"/>
        <xdr:cNvGrpSpPr/>
      </xdr:nvGrpSpPr>
      <xdr:grpSpPr>
        <a:xfrm>
          <a:off x="1244600" y="79390875"/>
          <a:ext cx="1085850" cy="85725"/>
          <a:chOff x="1066800" y="2924175"/>
          <a:chExt cx="1085850" cy="85725"/>
        </a:xfrm>
      </xdr:grpSpPr>
      <xdr:cxnSp macro="">
        <xdr:nvCxnSpPr>
          <xdr:cNvPr id="370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1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284</xdr:row>
      <xdr:rowOff>47625</xdr:rowOff>
    </xdr:from>
    <xdr:to>
      <xdr:col>1</xdr:col>
      <xdr:colOff>1209675</xdr:colOff>
      <xdr:row>284</xdr:row>
      <xdr:rowOff>133350</xdr:rowOff>
    </xdr:to>
    <xdr:grpSp>
      <xdr:nvGrpSpPr>
        <xdr:cNvPr id="372" name="Grupo 371"/>
        <xdr:cNvGrpSpPr/>
      </xdr:nvGrpSpPr>
      <xdr:grpSpPr>
        <a:xfrm>
          <a:off x="1235075" y="79644875"/>
          <a:ext cx="1085850" cy="85725"/>
          <a:chOff x="1066800" y="2924175"/>
          <a:chExt cx="1085850" cy="85725"/>
        </a:xfrm>
      </xdr:grpSpPr>
      <xdr:cxnSp macro="">
        <xdr:nvCxnSpPr>
          <xdr:cNvPr id="373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4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280</xdr:row>
      <xdr:rowOff>66675</xdr:rowOff>
    </xdr:from>
    <xdr:to>
      <xdr:col>1</xdr:col>
      <xdr:colOff>1190625</xdr:colOff>
      <xdr:row>280</xdr:row>
      <xdr:rowOff>142875</xdr:rowOff>
    </xdr:to>
    <xdr:grpSp>
      <xdr:nvGrpSpPr>
        <xdr:cNvPr id="375" name="Grupo 374"/>
        <xdr:cNvGrpSpPr/>
      </xdr:nvGrpSpPr>
      <xdr:grpSpPr>
        <a:xfrm>
          <a:off x="1216025" y="78647925"/>
          <a:ext cx="1085850" cy="76200"/>
          <a:chOff x="1076325" y="3629025"/>
          <a:chExt cx="1085850" cy="76200"/>
        </a:xfrm>
      </xdr:grpSpPr>
      <xdr:cxnSp macro="">
        <xdr:nvCxnSpPr>
          <xdr:cNvPr id="376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78291</xdr:colOff>
      <xdr:row>292</xdr:row>
      <xdr:rowOff>86655</xdr:rowOff>
    </xdr:from>
    <xdr:to>
      <xdr:col>1</xdr:col>
      <xdr:colOff>1164141</xdr:colOff>
      <xdr:row>292</xdr:row>
      <xdr:rowOff>162855</xdr:rowOff>
    </xdr:to>
    <xdr:grpSp>
      <xdr:nvGrpSpPr>
        <xdr:cNvPr id="302" name="Grupo 339"/>
        <xdr:cNvGrpSpPr/>
      </xdr:nvGrpSpPr>
      <xdr:grpSpPr>
        <a:xfrm>
          <a:off x="1189541" y="82525530"/>
          <a:ext cx="1085850" cy="76200"/>
          <a:chOff x="1085850" y="1314450"/>
          <a:chExt cx="1085850" cy="76200"/>
        </a:xfrm>
      </xdr:grpSpPr>
      <xdr:cxnSp macro="">
        <xdr:nvCxnSpPr>
          <xdr:cNvPr id="303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4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91997</xdr:colOff>
      <xdr:row>293</xdr:row>
      <xdr:rowOff>107795</xdr:rowOff>
    </xdr:from>
    <xdr:to>
      <xdr:col>1</xdr:col>
      <xdr:colOff>1177847</xdr:colOff>
      <xdr:row>293</xdr:row>
      <xdr:rowOff>183995</xdr:rowOff>
    </xdr:to>
    <xdr:grpSp>
      <xdr:nvGrpSpPr>
        <xdr:cNvPr id="306" name="Grupo 343"/>
        <xdr:cNvGrpSpPr/>
      </xdr:nvGrpSpPr>
      <xdr:grpSpPr>
        <a:xfrm>
          <a:off x="1203247" y="82800670"/>
          <a:ext cx="1085850" cy="76200"/>
          <a:chOff x="1085850" y="1314450"/>
          <a:chExt cx="1085850" cy="76200"/>
        </a:xfrm>
      </xdr:grpSpPr>
      <xdr:cxnSp macro="">
        <xdr:nvCxnSpPr>
          <xdr:cNvPr id="307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8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300</xdr:row>
      <xdr:rowOff>114300</xdr:rowOff>
    </xdr:from>
    <xdr:to>
      <xdr:col>1</xdr:col>
      <xdr:colOff>1247775</xdr:colOff>
      <xdr:row>300</xdr:row>
      <xdr:rowOff>114300</xdr:rowOff>
    </xdr:to>
    <xdr:cxnSp macro="">
      <xdr:nvCxnSpPr>
        <xdr:cNvPr id="378" name="Conector recto 39"/>
        <xdr:cNvCxnSpPr>
          <a:cxnSpLocks noChangeShapeType="1"/>
        </xdr:cNvCxnSpPr>
      </xdr:nvCxnSpPr>
      <xdr:spPr bwMode="auto">
        <a:xfrm>
          <a:off x="1104900" y="15001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301</xdr:row>
      <xdr:rowOff>95250</xdr:rowOff>
    </xdr:from>
    <xdr:to>
      <xdr:col>1</xdr:col>
      <xdr:colOff>1247775</xdr:colOff>
      <xdr:row>301</xdr:row>
      <xdr:rowOff>95250</xdr:rowOff>
    </xdr:to>
    <xdr:cxnSp macro="">
      <xdr:nvCxnSpPr>
        <xdr:cNvPr id="379" name="Conector recto 39"/>
        <xdr:cNvCxnSpPr>
          <a:cxnSpLocks noChangeShapeType="1"/>
        </xdr:cNvCxnSpPr>
      </xdr:nvCxnSpPr>
      <xdr:spPr bwMode="auto">
        <a:xfrm>
          <a:off x="1104900" y="151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302</xdr:row>
      <xdr:rowOff>95250</xdr:rowOff>
    </xdr:from>
    <xdr:to>
      <xdr:col>1</xdr:col>
      <xdr:colOff>1238250</xdr:colOff>
      <xdr:row>302</xdr:row>
      <xdr:rowOff>95250</xdr:rowOff>
    </xdr:to>
    <xdr:cxnSp macro="">
      <xdr:nvCxnSpPr>
        <xdr:cNvPr id="380" name="Conector recto 39"/>
        <xdr:cNvCxnSpPr>
          <a:cxnSpLocks noChangeShapeType="1"/>
        </xdr:cNvCxnSpPr>
      </xdr:nvCxnSpPr>
      <xdr:spPr bwMode="auto">
        <a:xfrm>
          <a:off x="1095375" y="1532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305</xdr:row>
      <xdr:rowOff>104775</xdr:rowOff>
    </xdr:from>
    <xdr:to>
      <xdr:col>1</xdr:col>
      <xdr:colOff>1247775</xdr:colOff>
      <xdr:row>305</xdr:row>
      <xdr:rowOff>104775</xdr:rowOff>
    </xdr:to>
    <xdr:cxnSp macro="">
      <xdr:nvCxnSpPr>
        <xdr:cNvPr id="383" name="Conector recto 39"/>
        <xdr:cNvCxnSpPr>
          <a:cxnSpLocks noChangeShapeType="1"/>
        </xdr:cNvCxnSpPr>
      </xdr:nvCxnSpPr>
      <xdr:spPr bwMode="auto">
        <a:xfrm>
          <a:off x="1104900" y="1584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306</xdr:row>
      <xdr:rowOff>85725</xdr:rowOff>
    </xdr:from>
    <xdr:to>
      <xdr:col>1</xdr:col>
      <xdr:colOff>1247775</xdr:colOff>
      <xdr:row>306</xdr:row>
      <xdr:rowOff>85725</xdr:rowOff>
    </xdr:to>
    <xdr:cxnSp macro="">
      <xdr:nvCxnSpPr>
        <xdr:cNvPr id="384" name="Conector recto 39"/>
        <xdr:cNvCxnSpPr>
          <a:cxnSpLocks noChangeShapeType="1"/>
        </xdr:cNvCxnSpPr>
      </xdr:nvCxnSpPr>
      <xdr:spPr bwMode="auto">
        <a:xfrm>
          <a:off x="1104900" y="16002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308</xdr:row>
      <xdr:rowOff>104775</xdr:rowOff>
    </xdr:from>
    <xdr:to>
      <xdr:col>1</xdr:col>
      <xdr:colOff>1228725</xdr:colOff>
      <xdr:row>308</xdr:row>
      <xdr:rowOff>104775</xdr:rowOff>
    </xdr:to>
    <xdr:cxnSp macro="">
      <xdr:nvCxnSpPr>
        <xdr:cNvPr id="385" name="Conector recto 39"/>
        <xdr:cNvCxnSpPr>
          <a:cxnSpLocks noChangeShapeType="1"/>
        </xdr:cNvCxnSpPr>
      </xdr:nvCxnSpPr>
      <xdr:spPr bwMode="auto">
        <a:xfrm>
          <a:off x="1085850" y="16363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313</xdr:row>
      <xdr:rowOff>66675</xdr:rowOff>
    </xdr:from>
    <xdr:to>
      <xdr:col>1</xdr:col>
      <xdr:colOff>1247775</xdr:colOff>
      <xdr:row>313</xdr:row>
      <xdr:rowOff>123825</xdr:rowOff>
    </xdr:to>
    <xdr:grpSp>
      <xdr:nvGrpSpPr>
        <xdr:cNvPr id="390" name="Grupo 359"/>
        <xdr:cNvGrpSpPr/>
      </xdr:nvGrpSpPr>
      <xdr:grpSpPr>
        <a:xfrm>
          <a:off x="1273175" y="87839550"/>
          <a:ext cx="1085850" cy="57150"/>
          <a:chOff x="1066800" y="2924175"/>
          <a:chExt cx="1085850" cy="85725"/>
        </a:xfrm>
      </xdr:grpSpPr>
      <xdr:cxnSp macro="">
        <xdr:nvCxnSpPr>
          <xdr:cNvPr id="391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2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311</xdr:row>
      <xdr:rowOff>47625</xdr:rowOff>
    </xdr:from>
    <xdr:to>
      <xdr:col>1</xdr:col>
      <xdr:colOff>1257300</xdr:colOff>
      <xdr:row>311</xdr:row>
      <xdr:rowOff>133350</xdr:rowOff>
    </xdr:to>
    <xdr:grpSp>
      <xdr:nvGrpSpPr>
        <xdr:cNvPr id="396" name="Grupo 368"/>
        <xdr:cNvGrpSpPr/>
      </xdr:nvGrpSpPr>
      <xdr:grpSpPr>
        <a:xfrm>
          <a:off x="1282700" y="87312500"/>
          <a:ext cx="1085850" cy="85725"/>
          <a:chOff x="1066800" y="2924175"/>
          <a:chExt cx="1085850" cy="85725"/>
        </a:xfrm>
      </xdr:grpSpPr>
      <xdr:cxnSp macro="">
        <xdr:nvCxnSpPr>
          <xdr:cNvPr id="39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312</xdr:row>
      <xdr:rowOff>47625</xdr:rowOff>
    </xdr:from>
    <xdr:to>
      <xdr:col>1</xdr:col>
      <xdr:colOff>1247775</xdr:colOff>
      <xdr:row>312</xdr:row>
      <xdr:rowOff>133350</xdr:rowOff>
    </xdr:to>
    <xdr:grpSp>
      <xdr:nvGrpSpPr>
        <xdr:cNvPr id="399" name="Grupo 371"/>
        <xdr:cNvGrpSpPr/>
      </xdr:nvGrpSpPr>
      <xdr:grpSpPr>
        <a:xfrm>
          <a:off x="1273175" y="87566500"/>
          <a:ext cx="1085850" cy="85725"/>
          <a:chOff x="1066800" y="2924175"/>
          <a:chExt cx="1085850" cy="85725"/>
        </a:xfrm>
      </xdr:grpSpPr>
      <xdr:cxnSp macro="">
        <xdr:nvCxnSpPr>
          <xdr:cNvPr id="400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1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315</xdr:row>
      <xdr:rowOff>47625</xdr:rowOff>
    </xdr:from>
    <xdr:to>
      <xdr:col>1</xdr:col>
      <xdr:colOff>1247775</xdr:colOff>
      <xdr:row>315</xdr:row>
      <xdr:rowOff>104775</xdr:rowOff>
    </xdr:to>
    <xdr:grpSp>
      <xdr:nvGrpSpPr>
        <xdr:cNvPr id="403" name="Grupo 359"/>
        <xdr:cNvGrpSpPr/>
      </xdr:nvGrpSpPr>
      <xdr:grpSpPr>
        <a:xfrm>
          <a:off x="1273175" y="88328500"/>
          <a:ext cx="1085850" cy="57150"/>
          <a:chOff x="1066800" y="2924175"/>
          <a:chExt cx="1085850" cy="85725"/>
        </a:xfrm>
      </xdr:grpSpPr>
      <xdr:cxnSp macro="">
        <xdr:nvCxnSpPr>
          <xdr:cNvPr id="404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5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314</xdr:row>
      <xdr:rowOff>57150</xdr:rowOff>
    </xdr:from>
    <xdr:to>
      <xdr:col>1</xdr:col>
      <xdr:colOff>1247775</xdr:colOff>
      <xdr:row>314</xdr:row>
      <xdr:rowOff>142875</xdr:rowOff>
    </xdr:to>
    <xdr:grpSp>
      <xdr:nvGrpSpPr>
        <xdr:cNvPr id="406" name="Grupo 371"/>
        <xdr:cNvGrpSpPr/>
      </xdr:nvGrpSpPr>
      <xdr:grpSpPr>
        <a:xfrm>
          <a:off x="1273175" y="88084025"/>
          <a:ext cx="1085850" cy="85725"/>
          <a:chOff x="1066800" y="2924175"/>
          <a:chExt cx="1085850" cy="85725"/>
        </a:xfrm>
      </xdr:grpSpPr>
      <xdr:cxnSp macro="">
        <xdr:nvCxnSpPr>
          <xdr:cNvPr id="40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323</xdr:row>
      <xdr:rowOff>57150</xdr:rowOff>
    </xdr:from>
    <xdr:to>
      <xdr:col>1</xdr:col>
      <xdr:colOff>1200150</xdr:colOff>
      <xdr:row>323</xdr:row>
      <xdr:rowOff>133350</xdr:rowOff>
    </xdr:to>
    <xdr:grpSp>
      <xdr:nvGrpSpPr>
        <xdr:cNvPr id="387" name="Grupo 339"/>
        <xdr:cNvGrpSpPr/>
      </xdr:nvGrpSpPr>
      <xdr:grpSpPr>
        <a:xfrm>
          <a:off x="1225550" y="91560650"/>
          <a:ext cx="1085850" cy="76200"/>
          <a:chOff x="1085850" y="1314450"/>
          <a:chExt cx="1085850" cy="76200"/>
        </a:xfrm>
      </xdr:grpSpPr>
      <xdr:cxnSp macro="">
        <xdr:nvCxnSpPr>
          <xdr:cNvPr id="388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3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324</xdr:row>
      <xdr:rowOff>66675</xdr:rowOff>
    </xdr:from>
    <xdr:to>
      <xdr:col>1</xdr:col>
      <xdr:colOff>1190625</xdr:colOff>
      <xdr:row>324</xdr:row>
      <xdr:rowOff>142875</xdr:rowOff>
    </xdr:to>
    <xdr:grpSp>
      <xdr:nvGrpSpPr>
        <xdr:cNvPr id="394" name="Grupo 343"/>
        <xdr:cNvGrpSpPr/>
      </xdr:nvGrpSpPr>
      <xdr:grpSpPr>
        <a:xfrm>
          <a:off x="1216025" y="91824175"/>
          <a:ext cx="1085850" cy="76200"/>
          <a:chOff x="1085850" y="1314450"/>
          <a:chExt cx="1085850" cy="76200"/>
        </a:xfrm>
      </xdr:grpSpPr>
      <xdr:cxnSp macro="">
        <xdr:nvCxnSpPr>
          <xdr:cNvPr id="395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9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330</xdr:row>
      <xdr:rowOff>104775</xdr:rowOff>
    </xdr:from>
    <xdr:to>
      <xdr:col>1</xdr:col>
      <xdr:colOff>1228725</xdr:colOff>
      <xdr:row>330</xdr:row>
      <xdr:rowOff>104775</xdr:rowOff>
    </xdr:to>
    <xdr:cxnSp macro="">
      <xdr:nvCxnSpPr>
        <xdr:cNvPr id="412" name="Conector recto 39"/>
        <xdr:cNvCxnSpPr>
          <a:cxnSpLocks noChangeShapeType="1"/>
        </xdr:cNvCxnSpPr>
      </xdr:nvCxnSpPr>
      <xdr:spPr bwMode="auto">
        <a:xfrm>
          <a:off x="1085850" y="19831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331</xdr:row>
      <xdr:rowOff>104775</xdr:rowOff>
    </xdr:from>
    <xdr:to>
      <xdr:col>1</xdr:col>
      <xdr:colOff>1209675</xdr:colOff>
      <xdr:row>331</xdr:row>
      <xdr:rowOff>104775</xdr:rowOff>
    </xdr:to>
    <xdr:cxnSp macro="">
      <xdr:nvCxnSpPr>
        <xdr:cNvPr id="413" name="Conector recto 39"/>
        <xdr:cNvCxnSpPr>
          <a:cxnSpLocks noChangeShapeType="1"/>
        </xdr:cNvCxnSpPr>
      </xdr:nvCxnSpPr>
      <xdr:spPr bwMode="auto">
        <a:xfrm>
          <a:off x="1066800" y="20021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332</xdr:row>
      <xdr:rowOff>104775</xdr:rowOff>
    </xdr:from>
    <xdr:to>
      <xdr:col>1</xdr:col>
      <xdr:colOff>1247775</xdr:colOff>
      <xdr:row>332</xdr:row>
      <xdr:rowOff>104775</xdr:rowOff>
    </xdr:to>
    <xdr:cxnSp macro="">
      <xdr:nvCxnSpPr>
        <xdr:cNvPr id="414" name="Conector recto 39"/>
        <xdr:cNvCxnSpPr>
          <a:cxnSpLocks noChangeShapeType="1"/>
        </xdr:cNvCxnSpPr>
      </xdr:nvCxnSpPr>
      <xdr:spPr bwMode="auto">
        <a:xfrm>
          <a:off x="1104900" y="2019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338</xdr:row>
      <xdr:rowOff>47625</xdr:rowOff>
    </xdr:from>
    <xdr:to>
      <xdr:col>1</xdr:col>
      <xdr:colOff>1266825</xdr:colOff>
      <xdr:row>338</xdr:row>
      <xdr:rowOff>104775</xdr:rowOff>
    </xdr:to>
    <xdr:grpSp>
      <xdr:nvGrpSpPr>
        <xdr:cNvPr id="418" name="Grupo 359"/>
        <xdr:cNvGrpSpPr/>
      </xdr:nvGrpSpPr>
      <xdr:grpSpPr>
        <a:xfrm>
          <a:off x="1292225" y="95361125"/>
          <a:ext cx="1085850" cy="57150"/>
          <a:chOff x="1066800" y="2924175"/>
          <a:chExt cx="1085850" cy="85725"/>
        </a:xfrm>
      </xdr:grpSpPr>
      <xdr:cxnSp macro="">
        <xdr:nvCxnSpPr>
          <xdr:cNvPr id="41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336</xdr:row>
      <xdr:rowOff>38100</xdr:rowOff>
    </xdr:from>
    <xdr:to>
      <xdr:col>1</xdr:col>
      <xdr:colOff>1276350</xdr:colOff>
      <xdr:row>336</xdr:row>
      <xdr:rowOff>123825</xdr:rowOff>
    </xdr:to>
    <xdr:grpSp>
      <xdr:nvGrpSpPr>
        <xdr:cNvPr id="421" name="Grupo 368"/>
        <xdr:cNvGrpSpPr/>
      </xdr:nvGrpSpPr>
      <xdr:grpSpPr>
        <a:xfrm>
          <a:off x="1301750" y="94843600"/>
          <a:ext cx="1085850" cy="85725"/>
          <a:chOff x="1066800" y="2924175"/>
          <a:chExt cx="1085850" cy="85725"/>
        </a:xfrm>
      </xdr:grpSpPr>
      <xdr:cxnSp macro="">
        <xdr:nvCxnSpPr>
          <xdr:cNvPr id="42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337</xdr:row>
      <xdr:rowOff>38100</xdr:rowOff>
    </xdr:from>
    <xdr:to>
      <xdr:col>1</xdr:col>
      <xdr:colOff>1266825</xdr:colOff>
      <xdr:row>337</xdr:row>
      <xdr:rowOff>123825</xdr:rowOff>
    </xdr:to>
    <xdr:grpSp>
      <xdr:nvGrpSpPr>
        <xdr:cNvPr id="424" name="Grupo 371"/>
        <xdr:cNvGrpSpPr/>
      </xdr:nvGrpSpPr>
      <xdr:grpSpPr>
        <a:xfrm>
          <a:off x="1292225" y="95097600"/>
          <a:ext cx="1085850" cy="85725"/>
          <a:chOff x="1066800" y="2924175"/>
          <a:chExt cx="1085850" cy="85725"/>
        </a:xfrm>
      </xdr:grpSpPr>
      <xdr:cxnSp macro="">
        <xdr:nvCxnSpPr>
          <xdr:cNvPr id="42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339</xdr:row>
      <xdr:rowOff>28575</xdr:rowOff>
    </xdr:from>
    <xdr:to>
      <xdr:col>1</xdr:col>
      <xdr:colOff>1266825</xdr:colOff>
      <xdr:row>339</xdr:row>
      <xdr:rowOff>114300</xdr:rowOff>
    </xdr:to>
    <xdr:grpSp>
      <xdr:nvGrpSpPr>
        <xdr:cNvPr id="430" name="Grupo 371"/>
        <xdr:cNvGrpSpPr/>
      </xdr:nvGrpSpPr>
      <xdr:grpSpPr>
        <a:xfrm>
          <a:off x="1292225" y="95596075"/>
          <a:ext cx="1085850" cy="85725"/>
          <a:chOff x="1066800" y="2924175"/>
          <a:chExt cx="1085850" cy="85725"/>
        </a:xfrm>
      </xdr:grpSpPr>
      <xdr:cxnSp macro="">
        <xdr:nvCxnSpPr>
          <xdr:cNvPr id="431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2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335</xdr:row>
      <xdr:rowOff>0</xdr:rowOff>
    </xdr:from>
    <xdr:to>
      <xdr:col>1</xdr:col>
      <xdr:colOff>1266825</xdr:colOff>
      <xdr:row>335</xdr:row>
      <xdr:rowOff>85725</xdr:rowOff>
    </xdr:to>
    <xdr:grpSp>
      <xdr:nvGrpSpPr>
        <xdr:cNvPr id="434" name="Grupo 368"/>
        <xdr:cNvGrpSpPr/>
      </xdr:nvGrpSpPr>
      <xdr:grpSpPr>
        <a:xfrm>
          <a:off x="1292225" y="94551500"/>
          <a:ext cx="1085850" cy="85725"/>
          <a:chOff x="1066800" y="2924175"/>
          <a:chExt cx="1085850" cy="85725"/>
        </a:xfrm>
      </xdr:grpSpPr>
      <xdr:cxnSp macro="">
        <xdr:nvCxnSpPr>
          <xdr:cNvPr id="43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111918</xdr:colOff>
      <xdr:row>363</xdr:row>
      <xdr:rowOff>59531</xdr:rowOff>
    </xdr:from>
    <xdr:to>
      <xdr:col>1</xdr:col>
      <xdr:colOff>1197768</xdr:colOff>
      <xdr:row>363</xdr:row>
      <xdr:rowOff>135731</xdr:rowOff>
    </xdr:to>
    <xdr:grpSp>
      <xdr:nvGrpSpPr>
        <xdr:cNvPr id="439" name="Grupo 339"/>
        <xdr:cNvGrpSpPr/>
      </xdr:nvGrpSpPr>
      <xdr:grpSpPr>
        <a:xfrm>
          <a:off x="1223168" y="102627906"/>
          <a:ext cx="1085850" cy="76200"/>
          <a:chOff x="1085850" y="1314450"/>
          <a:chExt cx="1085850" cy="76200"/>
        </a:xfrm>
      </xdr:grpSpPr>
      <xdr:cxnSp macro="">
        <xdr:nvCxnSpPr>
          <xdr:cNvPr id="440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1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126206</xdr:colOff>
      <xdr:row>364</xdr:row>
      <xdr:rowOff>104775</xdr:rowOff>
    </xdr:from>
    <xdr:to>
      <xdr:col>1</xdr:col>
      <xdr:colOff>1212056</xdr:colOff>
      <xdr:row>364</xdr:row>
      <xdr:rowOff>180975</xdr:rowOff>
    </xdr:to>
    <xdr:grpSp>
      <xdr:nvGrpSpPr>
        <xdr:cNvPr id="442" name="Grupo 343"/>
        <xdr:cNvGrpSpPr/>
      </xdr:nvGrpSpPr>
      <xdr:grpSpPr>
        <a:xfrm>
          <a:off x="1237456" y="102927150"/>
          <a:ext cx="1085850" cy="76200"/>
          <a:chOff x="1085850" y="1314450"/>
          <a:chExt cx="1085850" cy="76200"/>
        </a:xfrm>
      </xdr:grpSpPr>
      <xdr:cxnSp macro="">
        <xdr:nvCxnSpPr>
          <xdr:cNvPr id="443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4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367</xdr:row>
      <xdr:rowOff>130968</xdr:rowOff>
    </xdr:from>
    <xdr:to>
      <xdr:col>1</xdr:col>
      <xdr:colOff>1228725</xdr:colOff>
      <xdr:row>367</xdr:row>
      <xdr:rowOff>130968</xdr:rowOff>
    </xdr:to>
    <xdr:cxnSp macro="">
      <xdr:nvCxnSpPr>
        <xdr:cNvPr id="445" name="Conector recto 39"/>
        <xdr:cNvCxnSpPr>
          <a:cxnSpLocks noChangeShapeType="1"/>
        </xdr:cNvCxnSpPr>
      </xdr:nvCxnSpPr>
      <xdr:spPr bwMode="auto">
        <a:xfrm>
          <a:off x="1083469" y="228242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368</xdr:row>
      <xdr:rowOff>107155</xdr:rowOff>
    </xdr:from>
    <xdr:to>
      <xdr:col>1</xdr:col>
      <xdr:colOff>1247775</xdr:colOff>
      <xdr:row>368</xdr:row>
      <xdr:rowOff>107155</xdr:rowOff>
    </xdr:to>
    <xdr:cxnSp macro="">
      <xdr:nvCxnSpPr>
        <xdr:cNvPr id="446" name="Conector recto 39"/>
        <xdr:cNvCxnSpPr>
          <a:cxnSpLocks noChangeShapeType="1"/>
        </xdr:cNvCxnSpPr>
      </xdr:nvCxnSpPr>
      <xdr:spPr bwMode="auto">
        <a:xfrm>
          <a:off x="1102519" y="2299096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374</xdr:row>
      <xdr:rowOff>95250</xdr:rowOff>
    </xdr:from>
    <xdr:to>
      <xdr:col>1</xdr:col>
      <xdr:colOff>1169194</xdr:colOff>
      <xdr:row>374</xdr:row>
      <xdr:rowOff>95250</xdr:rowOff>
    </xdr:to>
    <xdr:cxnSp macro="">
      <xdr:nvCxnSpPr>
        <xdr:cNvPr id="447" name="Conector recto 39"/>
        <xdr:cNvCxnSpPr>
          <a:cxnSpLocks noChangeShapeType="1"/>
        </xdr:cNvCxnSpPr>
      </xdr:nvCxnSpPr>
      <xdr:spPr bwMode="auto">
        <a:xfrm>
          <a:off x="1023938" y="2400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375</xdr:row>
      <xdr:rowOff>95249</xdr:rowOff>
    </xdr:from>
    <xdr:to>
      <xdr:col>1</xdr:col>
      <xdr:colOff>1188244</xdr:colOff>
      <xdr:row>375</xdr:row>
      <xdr:rowOff>95249</xdr:rowOff>
    </xdr:to>
    <xdr:cxnSp macro="">
      <xdr:nvCxnSpPr>
        <xdr:cNvPr id="448" name="Conector recto 39"/>
        <xdr:cNvCxnSpPr>
          <a:cxnSpLocks noChangeShapeType="1"/>
        </xdr:cNvCxnSpPr>
      </xdr:nvCxnSpPr>
      <xdr:spPr bwMode="auto">
        <a:xfrm>
          <a:off x="1042988" y="241696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371</xdr:row>
      <xdr:rowOff>95250</xdr:rowOff>
    </xdr:from>
    <xdr:to>
      <xdr:col>1</xdr:col>
      <xdr:colOff>1228725</xdr:colOff>
      <xdr:row>371</xdr:row>
      <xdr:rowOff>95250</xdr:rowOff>
    </xdr:to>
    <xdr:cxnSp macro="">
      <xdr:nvCxnSpPr>
        <xdr:cNvPr id="449" name="Conector recto 39"/>
        <xdr:cNvCxnSpPr>
          <a:cxnSpLocks noChangeShapeType="1"/>
        </xdr:cNvCxnSpPr>
      </xdr:nvCxnSpPr>
      <xdr:spPr bwMode="auto">
        <a:xfrm>
          <a:off x="1083469" y="2347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379</xdr:row>
      <xdr:rowOff>130969</xdr:rowOff>
    </xdr:from>
    <xdr:to>
      <xdr:col>1</xdr:col>
      <xdr:colOff>1228725</xdr:colOff>
      <xdr:row>379</xdr:row>
      <xdr:rowOff>130969</xdr:rowOff>
    </xdr:to>
    <xdr:cxnSp macro="">
      <xdr:nvCxnSpPr>
        <xdr:cNvPr id="450" name="Conector recto 39"/>
        <xdr:cNvCxnSpPr>
          <a:cxnSpLocks noChangeShapeType="1"/>
        </xdr:cNvCxnSpPr>
      </xdr:nvCxnSpPr>
      <xdr:spPr bwMode="auto">
        <a:xfrm>
          <a:off x="1083469" y="248721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386</xdr:row>
      <xdr:rowOff>59530</xdr:rowOff>
    </xdr:from>
    <xdr:to>
      <xdr:col>1</xdr:col>
      <xdr:colOff>1228725</xdr:colOff>
      <xdr:row>386</xdr:row>
      <xdr:rowOff>116680</xdr:rowOff>
    </xdr:to>
    <xdr:grpSp>
      <xdr:nvGrpSpPr>
        <xdr:cNvPr id="454" name="Grupo 359"/>
        <xdr:cNvGrpSpPr/>
      </xdr:nvGrpSpPr>
      <xdr:grpSpPr>
        <a:xfrm>
          <a:off x="1254125" y="108469905"/>
          <a:ext cx="1085850" cy="57150"/>
          <a:chOff x="1066800" y="2924175"/>
          <a:chExt cx="1085850" cy="85725"/>
        </a:xfrm>
      </xdr:grpSpPr>
      <xdr:cxnSp macro="">
        <xdr:nvCxnSpPr>
          <xdr:cNvPr id="45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384</xdr:row>
      <xdr:rowOff>38099</xdr:rowOff>
    </xdr:from>
    <xdr:to>
      <xdr:col>1</xdr:col>
      <xdr:colOff>1238250</xdr:colOff>
      <xdr:row>384</xdr:row>
      <xdr:rowOff>123824</xdr:rowOff>
    </xdr:to>
    <xdr:grpSp>
      <xdr:nvGrpSpPr>
        <xdr:cNvPr id="457" name="Grupo 368"/>
        <xdr:cNvGrpSpPr/>
      </xdr:nvGrpSpPr>
      <xdr:grpSpPr>
        <a:xfrm>
          <a:off x="1263650" y="107940474"/>
          <a:ext cx="1085850" cy="85725"/>
          <a:chOff x="1066800" y="2924175"/>
          <a:chExt cx="1085850" cy="85725"/>
        </a:xfrm>
      </xdr:grpSpPr>
      <xdr:cxnSp macro="">
        <xdr:nvCxnSpPr>
          <xdr:cNvPr id="458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9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385</xdr:row>
      <xdr:rowOff>38100</xdr:rowOff>
    </xdr:from>
    <xdr:to>
      <xdr:col>1</xdr:col>
      <xdr:colOff>1228725</xdr:colOff>
      <xdr:row>385</xdr:row>
      <xdr:rowOff>123825</xdr:rowOff>
    </xdr:to>
    <xdr:grpSp>
      <xdr:nvGrpSpPr>
        <xdr:cNvPr id="460" name="Grupo 371"/>
        <xdr:cNvGrpSpPr/>
      </xdr:nvGrpSpPr>
      <xdr:grpSpPr>
        <a:xfrm>
          <a:off x="1254125" y="108194475"/>
          <a:ext cx="1085850" cy="85725"/>
          <a:chOff x="1066800" y="2924175"/>
          <a:chExt cx="1085850" cy="85725"/>
        </a:xfrm>
      </xdr:grpSpPr>
      <xdr:cxnSp macro="">
        <xdr:nvCxnSpPr>
          <xdr:cNvPr id="461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2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387</xdr:row>
      <xdr:rowOff>76200</xdr:rowOff>
    </xdr:from>
    <xdr:to>
      <xdr:col>1</xdr:col>
      <xdr:colOff>1228725</xdr:colOff>
      <xdr:row>387</xdr:row>
      <xdr:rowOff>161925</xdr:rowOff>
    </xdr:to>
    <xdr:grpSp>
      <xdr:nvGrpSpPr>
        <xdr:cNvPr id="463" name="Grupo 371"/>
        <xdr:cNvGrpSpPr/>
      </xdr:nvGrpSpPr>
      <xdr:grpSpPr>
        <a:xfrm>
          <a:off x="1254125" y="108740575"/>
          <a:ext cx="1085850" cy="85725"/>
          <a:chOff x="1066800" y="2924175"/>
          <a:chExt cx="1085850" cy="85725"/>
        </a:xfrm>
      </xdr:grpSpPr>
      <xdr:cxnSp macro="">
        <xdr:nvCxnSpPr>
          <xdr:cNvPr id="464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5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383</xdr:row>
      <xdr:rowOff>47625</xdr:rowOff>
    </xdr:from>
    <xdr:to>
      <xdr:col>1</xdr:col>
      <xdr:colOff>1228725</xdr:colOff>
      <xdr:row>383</xdr:row>
      <xdr:rowOff>133350</xdr:rowOff>
    </xdr:to>
    <xdr:grpSp>
      <xdr:nvGrpSpPr>
        <xdr:cNvPr id="466" name="Grupo 368"/>
        <xdr:cNvGrpSpPr/>
      </xdr:nvGrpSpPr>
      <xdr:grpSpPr>
        <a:xfrm>
          <a:off x="1254125" y="107696000"/>
          <a:ext cx="1085850" cy="85725"/>
          <a:chOff x="1066800" y="2924175"/>
          <a:chExt cx="1085850" cy="85725"/>
        </a:xfrm>
      </xdr:grpSpPr>
      <xdr:cxnSp macro="">
        <xdr:nvCxnSpPr>
          <xdr:cNvPr id="46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178593</xdr:colOff>
      <xdr:row>614</xdr:row>
      <xdr:rowOff>119063</xdr:rowOff>
    </xdr:from>
    <xdr:to>
      <xdr:col>1</xdr:col>
      <xdr:colOff>1264443</xdr:colOff>
      <xdr:row>614</xdr:row>
      <xdr:rowOff>119063</xdr:rowOff>
    </xdr:to>
    <xdr:cxnSp macro="">
      <xdr:nvCxnSpPr>
        <xdr:cNvPr id="297" name="Conector recto 39"/>
        <xdr:cNvCxnSpPr>
          <a:cxnSpLocks noChangeShapeType="1"/>
        </xdr:cNvCxnSpPr>
      </xdr:nvCxnSpPr>
      <xdr:spPr bwMode="auto">
        <a:xfrm>
          <a:off x="1119187" y="2731293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615</xdr:row>
      <xdr:rowOff>109538</xdr:rowOff>
    </xdr:from>
    <xdr:to>
      <xdr:col>1</xdr:col>
      <xdr:colOff>1235868</xdr:colOff>
      <xdr:row>615</xdr:row>
      <xdr:rowOff>109538</xdr:rowOff>
    </xdr:to>
    <xdr:cxnSp macro="">
      <xdr:nvCxnSpPr>
        <xdr:cNvPr id="298" name="Conector recto 39"/>
        <xdr:cNvCxnSpPr>
          <a:cxnSpLocks noChangeShapeType="1"/>
        </xdr:cNvCxnSpPr>
      </xdr:nvCxnSpPr>
      <xdr:spPr bwMode="auto">
        <a:xfrm>
          <a:off x="1090612" y="274701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617</xdr:row>
      <xdr:rowOff>88107</xdr:rowOff>
    </xdr:from>
    <xdr:to>
      <xdr:col>1</xdr:col>
      <xdr:colOff>1245393</xdr:colOff>
      <xdr:row>617</xdr:row>
      <xdr:rowOff>88107</xdr:rowOff>
    </xdr:to>
    <xdr:cxnSp macro="">
      <xdr:nvCxnSpPr>
        <xdr:cNvPr id="299" name="Conector recto 39"/>
        <xdr:cNvCxnSpPr>
          <a:cxnSpLocks noChangeShapeType="1"/>
        </xdr:cNvCxnSpPr>
      </xdr:nvCxnSpPr>
      <xdr:spPr bwMode="auto">
        <a:xfrm>
          <a:off x="1100137" y="278177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618</xdr:row>
      <xdr:rowOff>54770</xdr:rowOff>
    </xdr:from>
    <xdr:to>
      <xdr:col>1</xdr:col>
      <xdr:colOff>1254918</xdr:colOff>
      <xdr:row>618</xdr:row>
      <xdr:rowOff>54770</xdr:rowOff>
    </xdr:to>
    <xdr:cxnSp macro="">
      <xdr:nvCxnSpPr>
        <xdr:cNvPr id="300" name="Conector recto 39"/>
        <xdr:cNvCxnSpPr>
          <a:cxnSpLocks noChangeShapeType="1"/>
        </xdr:cNvCxnSpPr>
      </xdr:nvCxnSpPr>
      <xdr:spPr bwMode="auto">
        <a:xfrm>
          <a:off x="1109662" y="279749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622</xdr:row>
      <xdr:rowOff>64295</xdr:rowOff>
    </xdr:from>
    <xdr:to>
      <xdr:col>1</xdr:col>
      <xdr:colOff>1245393</xdr:colOff>
      <xdr:row>622</xdr:row>
      <xdr:rowOff>64295</xdr:rowOff>
    </xdr:to>
    <xdr:cxnSp macro="">
      <xdr:nvCxnSpPr>
        <xdr:cNvPr id="301" name="Conector recto 39"/>
        <xdr:cNvCxnSpPr>
          <a:cxnSpLocks noChangeShapeType="1"/>
        </xdr:cNvCxnSpPr>
      </xdr:nvCxnSpPr>
      <xdr:spPr bwMode="auto">
        <a:xfrm>
          <a:off x="1100137" y="286512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623</xdr:row>
      <xdr:rowOff>64294</xdr:rowOff>
    </xdr:from>
    <xdr:to>
      <xdr:col>1</xdr:col>
      <xdr:colOff>1264443</xdr:colOff>
      <xdr:row>623</xdr:row>
      <xdr:rowOff>64294</xdr:rowOff>
    </xdr:to>
    <xdr:cxnSp macro="">
      <xdr:nvCxnSpPr>
        <xdr:cNvPr id="381" name="Conector recto 39"/>
        <xdr:cNvCxnSpPr>
          <a:cxnSpLocks noChangeShapeType="1"/>
        </xdr:cNvCxnSpPr>
      </xdr:nvCxnSpPr>
      <xdr:spPr bwMode="auto">
        <a:xfrm>
          <a:off x="1119187" y="288178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619</xdr:row>
      <xdr:rowOff>73819</xdr:rowOff>
    </xdr:from>
    <xdr:to>
      <xdr:col>1</xdr:col>
      <xdr:colOff>1204912</xdr:colOff>
      <xdr:row>619</xdr:row>
      <xdr:rowOff>73819</xdr:rowOff>
    </xdr:to>
    <xdr:cxnSp macro="">
      <xdr:nvCxnSpPr>
        <xdr:cNvPr id="410" name="Conector recto 39"/>
        <xdr:cNvCxnSpPr>
          <a:cxnSpLocks noChangeShapeType="1"/>
        </xdr:cNvCxnSpPr>
      </xdr:nvCxnSpPr>
      <xdr:spPr bwMode="auto">
        <a:xfrm>
          <a:off x="1059656" y="281606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620</xdr:row>
      <xdr:rowOff>73819</xdr:rowOff>
    </xdr:from>
    <xdr:to>
      <xdr:col>1</xdr:col>
      <xdr:colOff>1223962</xdr:colOff>
      <xdr:row>620</xdr:row>
      <xdr:rowOff>73819</xdr:rowOff>
    </xdr:to>
    <xdr:cxnSp macro="">
      <xdr:nvCxnSpPr>
        <xdr:cNvPr id="411" name="Conector recto 39"/>
        <xdr:cNvCxnSpPr>
          <a:cxnSpLocks noChangeShapeType="1"/>
        </xdr:cNvCxnSpPr>
      </xdr:nvCxnSpPr>
      <xdr:spPr bwMode="auto">
        <a:xfrm>
          <a:off x="1078706" y="2832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616</xdr:row>
      <xdr:rowOff>109538</xdr:rowOff>
    </xdr:from>
    <xdr:to>
      <xdr:col>1</xdr:col>
      <xdr:colOff>1264443</xdr:colOff>
      <xdr:row>616</xdr:row>
      <xdr:rowOff>109538</xdr:rowOff>
    </xdr:to>
    <xdr:cxnSp macro="">
      <xdr:nvCxnSpPr>
        <xdr:cNvPr id="416" name="Conector recto 39"/>
        <xdr:cNvCxnSpPr>
          <a:cxnSpLocks noChangeShapeType="1"/>
        </xdr:cNvCxnSpPr>
      </xdr:nvCxnSpPr>
      <xdr:spPr bwMode="auto">
        <a:xfrm>
          <a:off x="1119187" y="276367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624</xdr:row>
      <xdr:rowOff>109539</xdr:rowOff>
    </xdr:from>
    <xdr:to>
      <xdr:col>1</xdr:col>
      <xdr:colOff>1264443</xdr:colOff>
      <xdr:row>624</xdr:row>
      <xdr:rowOff>109539</xdr:rowOff>
    </xdr:to>
    <xdr:cxnSp macro="">
      <xdr:nvCxnSpPr>
        <xdr:cNvPr id="417" name="Conector recto 39"/>
        <xdr:cNvCxnSpPr>
          <a:cxnSpLocks noChangeShapeType="1"/>
        </xdr:cNvCxnSpPr>
      </xdr:nvCxnSpPr>
      <xdr:spPr bwMode="auto">
        <a:xfrm>
          <a:off x="1119187" y="29029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376</xdr:row>
      <xdr:rowOff>83344</xdr:rowOff>
    </xdr:from>
    <xdr:to>
      <xdr:col>1</xdr:col>
      <xdr:colOff>1193006</xdr:colOff>
      <xdr:row>376</xdr:row>
      <xdr:rowOff>83344</xdr:rowOff>
    </xdr:to>
    <xdr:cxnSp macro="">
      <xdr:nvCxnSpPr>
        <xdr:cNvPr id="427" name="Conector recto 39"/>
        <xdr:cNvCxnSpPr>
          <a:cxnSpLocks noChangeShapeType="1"/>
        </xdr:cNvCxnSpPr>
      </xdr:nvCxnSpPr>
      <xdr:spPr bwMode="auto">
        <a:xfrm>
          <a:off x="1047750" y="24324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621</xdr:row>
      <xdr:rowOff>83344</xdr:rowOff>
    </xdr:from>
    <xdr:to>
      <xdr:col>1</xdr:col>
      <xdr:colOff>1245393</xdr:colOff>
      <xdr:row>621</xdr:row>
      <xdr:rowOff>83344</xdr:rowOff>
    </xdr:to>
    <xdr:cxnSp macro="">
      <xdr:nvCxnSpPr>
        <xdr:cNvPr id="428" name="Conector recto 39"/>
        <xdr:cNvCxnSpPr>
          <a:cxnSpLocks noChangeShapeType="1"/>
        </xdr:cNvCxnSpPr>
      </xdr:nvCxnSpPr>
      <xdr:spPr bwMode="auto">
        <a:xfrm>
          <a:off x="1100137" y="285035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625</xdr:row>
      <xdr:rowOff>83343</xdr:rowOff>
    </xdr:from>
    <xdr:to>
      <xdr:col>1</xdr:col>
      <xdr:colOff>1264443</xdr:colOff>
      <xdr:row>625</xdr:row>
      <xdr:rowOff>83343</xdr:rowOff>
    </xdr:to>
    <xdr:cxnSp macro="">
      <xdr:nvCxnSpPr>
        <xdr:cNvPr id="429" name="Conector recto 39"/>
        <xdr:cNvCxnSpPr>
          <a:cxnSpLocks noChangeShapeType="1"/>
        </xdr:cNvCxnSpPr>
      </xdr:nvCxnSpPr>
      <xdr:spPr bwMode="auto">
        <a:xfrm>
          <a:off x="1119187" y="2917031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626</xdr:row>
      <xdr:rowOff>73819</xdr:rowOff>
    </xdr:from>
    <xdr:to>
      <xdr:col>1</xdr:col>
      <xdr:colOff>1235868</xdr:colOff>
      <xdr:row>626</xdr:row>
      <xdr:rowOff>73819</xdr:rowOff>
    </xdr:to>
    <xdr:cxnSp macro="">
      <xdr:nvCxnSpPr>
        <xdr:cNvPr id="469" name="Conector recto 39"/>
        <xdr:cNvCxnSpPr>
          <a:cxnSpLocks noChangeShapeType="1"/>
        </xdr:cNvCxnSpPr>
      </xdr:nvCxnSpPr>
      <xdr:spPr bwMode="auto">
        <a:xfrm>
          <a:off x="1090612" y="29327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628</xdr:row>
      <xdr:rowOff>88106</xdr:rowOff>
    </xdr:from>
    <xdr:to>
      <xdr:col>1</xdr:col>
      <xdr:colOff>1245393</xdr:colOff>
      <xdr:row>628</xdr:row>
      <xdr:rowOff>88106</xdr:rowOff>
    </xdr:to>
    <xdr:cxnSp macro="">
      <xdr:nvCxnSpPr>
        <xdr:cNvPr id="470" name="Conector recto 39"/>
        <xdr:cNvCxnSpPr>
          <a:cxnSpLocks noChangeShapeType="1"/>
        </xdr:cNvCxnSpPr>
      </xdr:nvCxnSpPr>
      <xdr:spPr bwMode="auto">
        <a:xfrm>
          <a:off x="1100137" y="296751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629</xdr:row>
      <xdr:rowOff>78581</xdr:rowOff>
    </xdr:from>
    <xdr:to>
      <xdr:col>1</xdr:col>
      <xdr:colOff>1254918</xdr:colOff>
      <xdr:row>629</xdr:row>
      <xdr:rowOff>78581</xdr:rowOff>
    </xdr:to>
    <xdr:cxnSp macro="">
      <xdr:nvCxnSpPr>
        <xdr:cNvPr id="471" name="Conector recto 39"/>
        <xdr:cNvCxnSpPr>
          <a:cxnSpLocks noChangeShapeType="1"/>
        </xdr:cNvCxnSpPr>
      </xdr:nvCxnSpPr>
      <xdr:spPr bwMode="auto">
        <a:xfrm>
          <a:off x="1109662" y="29832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630</xdr:row>
      <xdr:rowOff>97631</xdr:rowOff>
    </xdr:from>
    <xdr:to>
      <xdr:col>1</xdr:col>
      <xdr:colOff>1204912</xdr:colOff>
      <xdr:row>630</xdr:row>
      <xdr:rowOff>97631</xdr:rowOff>
    </xdr:to>
    <xdr:cxnSp macro="">
      <xdr:nvCxnSpPr>
        <xdr:cNvPr id="474" name="Conector recto 39"/>
        <xdr:cNvCxnSpPr>
          <a:cxnSpLocks noChangeShapeType="1"/>
        </xdr:cNvCxnSpPr>
      </xdr:nvCxnSpPr>
      <xdr:spPr bwMode="auto">
        <a:xfrm>
          <a:off x="1059656" y="300180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631</xdr:row>
      <xdr:rowOff>73818</xdr:rowOff>
    </xdr:from>
    <xdr:to>
      <xdr:col>1</xdr:col>
      <xdr:colOff>1223962</xdr:colOff>
      <xdr:row>631</xdr:row>
      <xdr:rowOff>73818</xdr:rowOff>
    </xdr:to>
    <xdr:cxnSp macro="">
      <xdr:nvCxnSpPr>
        <xdr:cNvPr id="475" name="Conector recto 39"/>
        <xdr:cNvCxnSpPr>
          <a:cxnSpLocks noChangeShapeType="1"/>
        </xdr:cNvCxnSpPr>
      </xdr:nvCxnSpPr>
      <xdr:spPr bwMode="auto">
        <a:xfrm>
          <a:off x="1078706" y="301847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627</xdr:row>
      <xdr:rowOff>73818</xdr:rowOff>
    </xdr:from>
    <xdr:to>
      <xdr:col>1</xdr:col>
      <xdr:colOff>1264443</xdr:colOff>
      <xdr:row>627</xdr:row>
      <xdr:rowOff>73818</xdr:rowOff>
    </xdr:to>
    <xdr:cxnSp macro="">
      <xdr:nvCxnSpPr>
        <xdr:cNvPr id="476" name="Conector recto 39"/>
        <xdr:cNvCxnSpPr>
          <a:cxnSpLocks noChangeShapeType="1"/>
        </xdr:cNvCxnSpPr>
      </xdr:nvCxnSpPr>
      <xdr:spPr bwMode="auto">
        <a:xfrm>
          <a:off x="1119187" y="2949416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632</xdr:row>
      <xdr:rowOff>59532</xdr:rowOff>
    </xdr:from>
    <xdr:to>
      <xdr:col>1</xdr:col>
      <xdr:colOff>1216819</xdr:colOff>
      <xdr:row>632</xdr:row>
      <xdr:rowOff>116682</xdr:rowOff>
    </xdr:to>
    <xdr:grpSp>
      <xdr:nvGrpSpPr>
        <xdr:cNvPr id="478" name="Grupo 359"/>
        <xdr:cNvGrpSpPr/>
      </xdr:nvGrpSpPr>
      <xdr:grpSpPr>
        <a:xfrm>
          <a:off x="1242219" y="1270000"/>
          <a:ext cx="1085850" cy="0"/>
          <a:chOff x="1066800" y="2924175"/>
          <a:chExt cx="1085850" cy="85725"/>
        </a:xfrm>
      </xdr:grpSpPr>
      <xdr:cxnSp macro="">
        <xdr:nvCxnSpPr>
          <xdr:cNvPr id="47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633</xdr:row>
      <xdr:rowOff>23812</xdr:rowOff>
    </xdr:from>
    <xdr:to>
      <xdr:col>1</xdr:col>
      <xdr:colOff>1240631</xdr:colOff>
      <xdr:row>633</xdr:row>
      <xdr:rowOff>119062</xdr:rowOff>
    </xdr:to>
    <xdr:grpSp>
      <xdr:nvGrpSpPr>
        <xdr:cNvPr id="481" name="Grupo 371"/>
        <xdr:cNvGrpSpPr/>
      </xdr:nvGrpSpPr>
      <xdr:grpSpPr>
        <a:xfrm>
          <a:off x="1266031" y="1270000"/>
          <a:ext cx="1085850" cy="0"/>
          <a:chOff x="1066800" y="2924175"/>
          <a:chExt cx="1085850" cy="85725"/>
        </a:xfrm>
      </xdr:grpSpPr>
      <xdr:cxnSp macro="">
        <xdr:nvCxnSpPr>
          <xdr:cNvPr id="48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35719</xdr:colOff>
      <xdr:row>640</xdr:row>
      <xdr:rowOff>47625</xdr:rowOff>
    </xdr:from>
    <xdr:to>
      <xdr:col>1</xdr:col>
      <xdr:colOff>1121569</xdr:colOff>
      <xdr:row>640</xdr:row>
      <xdr:rowOff>123825</xdr:rowOff>
    </xdr:to>
    <xdr:grpSp>
      <xdr:nvGrpSpPr>
        <xdr:cNvPr id="472" name="Grupo 343"/>
        <xdr:cNvGrpSpPr/>
      </xdr:nvGrpSpPr>
      <xdr:grpSpPr>
        <a:xfrm>
          <a:off x="1146969" y="1270000"/>
          <a:ext cx="1085850" cy="0"/>
          <a:chOff x="1085850" y="1314450"/>
          <a:chExt cx="1085850" cy="76200"/>
        </a:xfrm>
      </xdr:grpSpPr>
      <xdr:cxnSp macro="">
        <xdr:nvCxnSpPr>
          <xdr:cNvPr id="473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7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135732</xdr:colOff>
      <xdr:row>644</xdr:row>
      <xdr:rowOff>109538</xdr:rowOff>
    </xdr:from>
    <xdr:to>
      <xdr:col>1</xdr:col>
      <xdr:colOff>1221582</xdr:colOff>
      <xdr:row>644</xdr:row>
      <xdr:rowOff>109538</xdr:rowOff>
    </xdr:to>
    <xdr:cxnSp macro="">
      <xdr:nvCxnSpPr>
        <xdr:cNvPr id="501" name="Conector recto 39"/>
        <xdr:cNvCxnSpPr>
          <a:cxnSpLocks noChangeShapeType="1"/>
        </xdr:cNvCxnSpPr>
      </xdr:nvCxnSpPr>
      <xdr:spPr bwMode="auto">
        <a:xfrm>
          <a:off x="1076326" y="3188731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145257</xdr:colOff>
      <xdr:row>645</xdr:row>
      <xdr:rowOff>100013</xdr:rowOff>
    </xdr:from>
    <xdr:to>
      <xdr:col>1</xdr:col>
      <xdr:colOff>1231107</xdr:colOff>
      <xdr:row>645</xdr:row>
      <xdr:rowOff>100013</xdr:rowOff>
    </xdr:to>
    <xdr:cxnSp macro="">
      <xdr:nvCxnSpPr>
        <xdr:cNvPr id="502" name="Conector recto 39"/>
        <xdr:cNvCxnSpPr>
          <a:cxnSpLocks noChangeShapeType="1"/>
        </xdr:cNvCxnSpPr>
      </xdr:nvCxnSpPr>
      <xdr:spPr bwMode="auto">
        <a:xfrm>
          <a:off x="1085851" y="320444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643</xdr:row>
      <xdr:rowOff>95250</xdr:rowOff>
    </xdr:from>
    <xdr:to>
      <xdr:col>1</xdr:col>
      <xdr:colOff>1240632</xdr:colOff>
      <xdr:row>643</xdr:row>
      <xdr:rowOff>95250</xdr:rowOff>
    </xdr:to>
    <xdr:cxnSp macro="">
      <xdr:nvCxnSpPr>
        <xdr:cNvPr id="505" name="Conector recto 39"/>
        <xdr:cNvCxnSpPr>
          <a:cxnSpLocks noChangeShapeType="1"/>
        </xdr:cNvCxnSpPr>
      </xdr:nvCxnSpPr>
      <xdr:spPr bwMode="auto">
        <a:xfrm>
          <a:off x="1095376" y="317063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646</xdr:row>
      <xdr:rowOff>35718</xdr:rowOff>
    </xdr:from>
    <xdr:to>
      <xdr:col>1</xdr:col>
      <xdr:colOff>1169193</xdr:colOff>
      <xdr:row>646</xdr:row>
      <xdr:rowOff>92868</xdr:rowOff>
    </xdr:to>
    <xdr:grpSp>
      <xdr:nvGrpSpPr>
        <xdr:cNvPr id="506" name="Grupo 359"/>
        <xdr:cNvGrpSpPr/>
      </xdr:nvGrpSpPr>
      <xdr:grpSpPr>
        <a:xfrm>
          <a:off x="1194593" y="1270000"/>
          <a:ext cx="1085850" cy="0"/>
          <a:chOff x="1066800" y="2924175"/>
          <a:chExt cx="1085850" cy="85725"/>
        </a:xfrm>
      </xdr:grpSpPr>
      <xdr:cxnSp macro="">
        <xdr:nvCxnSpPr>
          <xdr:cNvPr id="50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509" name="Conector recto 39"/>
        <xdr:cNvCxnSpPr>
          <a:cxnSpLocks noChangeShapeType="1"/>
        </xdr:cNvCxnSpPr>
      </xdr:nvCxnSpPr>
      <xdr:spPr bwMode="auto">
        <a:xfrm>
          <a:off x="1071562" y="329207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510" name="Conector recto 39"/>
        <xdr:cNvCxnSpPr>
          <a:cxnSpLocks noChangeShapeType="1"/>
        </xdr:cNvCxnSpPr>
      </xdr:nvCxnSpPr>
      <xdr:spPr bwMode="auto">
        <a:xfrm>
          <a:off x="1071563" y="33111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659</xdr:row>
      <xdr:rowOff>107157</xdr:rowOff>
    </xdr:from>
    <xdr:to>
      <xdr:col>1</xdr:col>
      <xdr:colOff>1276350</xdr:colOff>
      <xdr:row>659</xdr:row>
      <xdr:rowOff>107157</xdr:rowOff>
    </xdr:to>
    <xdr:cxnSp macro="">
      <xdr:nvCxnSpPr>
        <xdr:cNvPr id="513" name="Conector recto 39"/>
        <xdr:cNvCxnSpPr>
          <a:cxnSpLocks noChangeShapeType="1"/>
        </xdr:cNvCxnSpPr>
      </xdr:nvCxnSpPr>
      <xdr:spPr bwMode="auto">
        <a:xfrm>
          <a:off x="1131094" y="341352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660</xdr:row>
      <xdr:rowOff>104776</xdr:rowOff>
    </xdr:from>
    <xdr:to>
      <xdr:col>1</xdr:col>
      <xdr:colOff>1276350</xdr:colOff>
      <xdr:row>660</xdr:row>
      <xdr:rowOff>104776</xdr:rowOff>
    </xdr:to>
    <xdr:cxnSp macro="">
      <xdr:nvCxnSpPr>
        <xdr:cNvPr id="514" name="Conector recto 39"/>
        <xdr:cNvCxnSpPr>
          <a:cxnSpLocks noChangeShapeType="1"/>
        </xdr:cNvCxnSpPr>
      </xdr:nvCxnSpPr>
      <xdr:spPr bwMode="auto">
        <a:xfrm>
          <a:off x="1131094" y="343114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662</xdr:row>
      <xdr:rowOff>107156</xdr:rowOff>
    </xdr:from>
    <xdr:to>
      <xdr:col>1</xdr:col>
      <xdr:colOff>1264444</xdr:colOff>
      <xdr:row>662</xdr:row>
      <xdr:rowOff>107156</xdr:rowOff>
    </xdr:to>
    <xdr:cxnSp macro="">
      <xdr:nvCxnSpPr>
        <xdr:cNvPr id="515" name="Conector recto 39"/>
        <xdr:cNvCxnSpPr>
          <a:cxnSpLocks noChangeShapeType="1"/>
        </xdr:cNvCxnSpPr>
      </xdr:nvCxnSpPr>
      <xdr:spPr bwMode="auto">
        <a:xfrm>
          <a:off x="1119188" y="346471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663</xdr:row>
      <xdr:rowOff>92868</xdr:rowOff>
    </xdr:from>
    <xdr:to>
      <xdr:col>1</xdr:col>
      <xdr:colOff>1264444</xdr:colOff>
      <xdr:row>663</xdr:row>
      <xdr:rowOff>92868</xdr:rowOff>
    </xdr:to>
    <xdr:cxnSp macro="">
      <xdr:nvCxnSpPr>
        <xdr:cNvPr id="516" name="Conector recto 39"/>
        <xdr:cNvCxnSpPr>
          <a:cxnSpLocks noChangeShapeType="1"/>
        </xdr:cNvCxnSpPr>
      </xdr:nvCxnSpPr>
      <xdr:spPr bwMode="auto">
        <a:xfrm>
          <a:off x="1119188" y="348233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668</xdr:row>
      <xdr:rowOff>61912</xdr:rowOff>
    </xdr:from>
    <xdr:to>
      <xdr:col>1</xdr:col>
      <xdr:colOff>1157288</xdr:colOff>
      <xdr:row>668</xdr:row>
      <xdr:rowOff>61912</xdr:rowOff>
    </xdr:to>
    <xdr:cxnSp macro="">
      <xdr:nvCxnSpPr>
        <xdr:cNvPr id="517" name="Conector recto 39"/>
        <xdr:cNvCxnSpPr>
          <a:cxnSpLocks noChangeShapeType="1"/>
        </xdr:cNvCxnSpPr>
      </xdr:nvCxnSpPr>
      <xdr:spPr bwMode="auto">
        <a:xfrm>
          <a:off x="1012032" y="356258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671</xdr:row>
      <xdr:rowOff>107156</xdr:rowOff>
    </xdr:from>
    <xdr:to>
      <xdr:col>1</xdr:col>
      <xdr:colOff>1190625</xdr:colOff>
      <xdr:row>671</xdr:row>
      <xdr:rowOff>107156</xdr:rowOff>
    </xdr:to>
    <xdr:cxnSp macro="">
      <xdr:nvCxnSpPr>
        <xdr:cNvPr id="518" name="Conector recto 39"/>
        <xdr:cNvCxnSpPr>
          <a:cxnSpLocks noChangeShapeType="1"/>
        </xdr:cNvCxnSpPr>
      </xdr:nvCxnSpPr>
      <xdr:spPr bwMode="auto">
        <a:xfrm>
          <a:off x="1045369" y="361830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69057</xdr:colOff>
      <xdr:row>672</xdr:row>
      <xdr:rowOff>104774</xdr:rowOff>
    </xdr:from>
    <xdr:to>
      <xdr:col>1</xdr:col>
      <xdr:colOff>1154907</xdr:colOff>
      <xdr:row>672</xdr:row>
      <xdr:rowOff>104774</xdr:rowOff>
    </xdr:to>
    <xdr:cxnSp macro="">
      <xdr:nvCxnSpPr>
        <xdr:cNvPr id="519" name="Conector recto 39"/>
        <xdr:cNvCxnSpPr>
          <a:cxnSpLocks noChangeShapeType="1"/>
        </xdr:cNvCxnSpPr>
      </xdr:nvCxnSpPr>
      <xdr:spPr bwMode="auto">
        <a:xfrm>
          <a:off x="1009651" y="363950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666</xdr:row>
      <xdr:rowOff>71438</xdr:rowOff>
    </xdr:from>
    <xdr:to>
      <xdr:col>1</xdr:col>
      <xdr:colOff>1223963</xdr:colOff>
      <xdr:row>666</xdr:row>
      <xdr:rowOff>71438</xdr:rowOff>
    </xdr:to>
    <xdr:cxnSp macro="">
      <xdr:nvCxnSpPr>
        <xdr:cNvPr id="520" name="Conector recto 39"/>
        <xdr:cNvCxnSpPr>
          <a:cxnSpLocks noChangeShapeType="1"/>
        </xdr:cNvCxnSpPr>
      </xdr:nvCxnSpPr>
      <xdr:spPr bwMode="auto">
        <a:xfrm>
          <a:off x="1078707" y="353020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667</xdr:row>
      <xdr:rowOff>80963</xdr:rowOff>
    </xdr:from>
    <xdr:to>
      <xdr:col>1</xdr:col>
      <xdr:colOff>1223963</xdr:colOff>
      <xdr:row>667</xdr:row>
      <xdr:rowOff>80963</xdr:rowOff>
    </xdr:to>
    <xdr:cxnSp macro="">
      <xdr:nvCxnSpPr>
        <xdr:cNvPr id="521" name="Conector recto 39"/>
        <xdr:cNvCxnSpPr>
          <a:cxnSpLocks noChangeShapeType="1"/>
        </xdr:cNvCxnSpPr>
      </xdr:nvCxnSpPr>
      <xdr:spPr bwMode="auto">
        <a:xfrm>
          <a:off x="1078707" y="354782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669</xdr:row>
      <xdr:rowOff>83343</xdr:rowOff>
    </xdr:from>
    <xdr:to>
      <xdr:col>1</xdr:col>
      <xdr:colOff>1212057</xdr:colOff>
      <xdr:row>669</xdr:row>
      <xdr:rowOff>83343</xdr:rowOff>
    </xdr:to>
    <xdr:cxnSp macro="">
      <xdr:nvCxnSpPr>
        <xdr:cNvPr id="522" name="Conector recto 39"/>
        <xdr:cNvCxnSpPr>
          <a:cxnSpLocks noChangeShapeType="1"/>
        </xdr:cNvCxnSpPr>
      </xdr:nvCxnSpPr>
      <xdr:spPr bwMode="auto">
        <a:xfrm>
          <a:off x="1066801" y="358139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670</xdr:row>
      <xdr:rowOff>92867</xdr:rowOff>
    </xdr:from>
    <xdr:to>
      <xdr:col>1</xdr:col>
      <xdr:colOff>1212057</xdr:colOff>
      <xdr:row>670</xdr:row>
      <xdr:rowOff>92867</xdr:rowOff>
    </xdr:to>
    <xdr:cxnSp macro="">
      <xdr:nvCxnSpPr>
        <xdr:cNvPr id="523" name="Conector recto 39"/>
        <xdr:cNvCxnSpPr>
          <a:cxnSpLocks noChangeShapeType="1"/>
        </xdr:cNvCxnSpPr>
      </xdr:nvCxnSpPr>
      <xdr:spPr bwMode="auto">
        <a:xfrm>
          <a:off x="1066801" y="3599021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673</xdr:row>
      <xdr:rowOff>95250</xdr:rowOff>
    </xdr:from>
    <xdr:to>
      <xdr:col>1</xdr:col>
      <xdr:colOff>1169194</xdr:colOff>
      <xdr:row>673</xdr:row>
      <xdr:rowOff>95250</xdr:rowOff>
    </xdr:to>
    <xdr:cxnSp macro="">
      <xdr:nvCxnSpPr>
        <xdr:cNvPr id="524" name="Conector recto 39"/>
        <xdr:cNvCxnSpPr>
          <a:cxnSpLocks noChangeShapeType="1"/>
        </xdr:cNvCxnSpPr>
      </xdr:nvCxnSpPr>
      <xdr:spPr bwMode="auto">
        <a:xfrm>
          <a:off x="1023938" y="365521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674</xdr:row>
      <xdr:rowOff>104775</xdr:rowOff>
    </xdr:from>
    <xdr:to>
      <xdr:col>1</xdr:col>
      <xdr:colOff>1169194</xdr:colOff>
      <xdr:row>674</xdr:row>
      <xdr:rowOff>104775</xdr:rowOff>
    </xdr:to>
    <xdr:cxnSp macro="">
      <xdr:nvCxnSpPr>
        <xdr:cNvPr id="525" name="Conector recto 39"/>
        <xdr:cNvCxnSpPr>
          <a:cxnSpLocks noChangeShapeType="1"/>
        </xdr:cNvCxnSpPr>
      </xdr:nvCxnSpPr>
      <xdr:spPr bwMode="auto">
        <a:xfrm>
          <a:off x="1023938" y="36728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675</xdr:row>
      <xdr:rowOff>35719</xdr:rowOff>
    </xdr:from>
    <xdr:to>
      <xdr:col>1</xdr:col>
      <xdr:colOff>1181100</xdr:colOff>
      <xdr:row>675</xdr:row>
      <xdr:rowOff>92869</xdr:rowOff>
    </xdr:to>
    <xdr:grpSp>
      <xdr:nvGrpSpPr>
        <xdr:cNvPr id="529" name="Grupo 359"/>
        <xdr:cNvGrpSpPr/>
      </xdr:nvGrpSpPr>
      <xdr:grpSpPr>
        <a:xfrm>
          <a:off x="1206500" y="1270000"/>
          <a:ext cx="1085850" cy="0"/>
          <a:chOff x="1066800" y="2924175"/>
          <a:chExt cx="1085850" cy="85725"/>
        </a:xfrm>
      </xdr:grpSpPr>
      <xdr:cxnSp macro="">
        <xdr:nvCxnSpPr>
          <xdr:cNvPr id="530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1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685</xdr:row>
      <xdr:rowOff>83344</xdr:rowOff>
    </xdr:from>
    <xdr:to>
      <xdr:col>1</xdr:col>
      <xdr:colOff>1216819</xdr:colOff>
      <xdr:row>685</xdr:row>
      <xdr:rowOff>83344</xdr:rowOff>
    </xdr:to>
    <xdr:cxnSp macro="">
      <xdr:nvCxnSpPr>
        <xdr:cNvPr id="533" name="Conector recto 39"/>
        <xdr:cNvCxnSpPr>
          <a:cxnSpLocks noChangeShapeType="1"/>
        </xdr:cNvCxnSpPr>
      </xdr:nvCxnSpPr>
      <xdr:spPr bwMode="auto">
        <a:xfrm>
          <a:off x="1071563" y="38040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761</xdr:row>
      <xdr:rowOff>59531</xdr:rowOff>
    </xdr:from>
    <xdr:to>
      <xdr:col>1</xdr:col>
      <xdr:colOff>1193006</xdr:colOff>
      <xdr:row>761</xdr:row>
      <xdr:rowOff>135731</xdr:rowOff>
    </xdr:to>
    <xdr:grpSp>
      <xdr:nvGrpSpPr>
        <xdr:cNvPr id="486" name="Grupo 343"/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487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8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763</xdr:row>
      <xdr:rowOff>95250</xdr:rowOff>
    </xdr:from>
    <xdr:to>
      <xdr:col>1</xdr:col>
      <xdr:colOff>1240631</xdr:colOff>
      <xdr:row>763</xdr:row>
      <xdr:rowOff>95250</xdr:rowOff>
    </xdr:to>
    <xdr:cxnSp macro="">
      <xdr:nvCxnSpPr>
        <xdr:cNvPr id="490" name="Conector recto 39"/>
        <xdr:cNvCxnSpPr>
          <a:cxnSpLocks noChangeShapeType="1"/>
        </xdr:cNvCxnSpPr>
      </xdr:nvCxnSpPr>
      <xdr:spPr bwMode="auto">
        <a:xfrm>
          <a:off x="1095375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166688</xdr:colOff>
      <xdr:row>764</xdr:row>
      <xdr:rowOff>71437</xdr:rowOff>
    </xdr:from>
    <xdr:to>
      <xdr:col>1</xdr:col>
      <xdr:colOff>1252538</xdr:colOff>
      <xdr:row>764</xdr:row>
      <xdr:rowOff>71437</xdr:rowOff>
    </xdr:to>
    <xdr:cxnSp macro="">
      <xdr:nvCxnSpPr>
        <xdr:cNvPr id="491" name="Conector recto 39"/>
        <xdr:cNvCxnSpPr>
          <a:cxnSpLocks noChangeShapeType="1"/>
        </xdr:cNvCxnSpPr>
      </xdr:nvCxnSpPr>
      <xdr:spPr bwMode="auto">
        <a:xfrm>
          <a:off x="1107282" y="39195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766</xdr:row>
      <xdr:rowOff>130969</xdr:rowOff>
    </xdr:from>
    <xdr:to>
      <xdr:col>1</xdr:col>
      <xdr:colOff>1219200</xdr:colOff>
      <xdr:row>766</xdr:row>
      <xdr:rowOff>130969</xdr:rowOff>
    </xdr:to>
    <xdr:cxnSp macro="">
      <xdr:nvCxnSpPr>
        <xdr:cNvPr id="492" name="Conector recto 39"/>
        <xdr:cNvCxnSpPr>
          <a:cxnSpLocks noChangeShapeType="1"/>
        </xdr:cNvCxnSpPr>
      </xdr:nvCxnSpPr>
      <xdr:spPr bwMode="auto">
        <a:xfrm>
          <a:off x="1073944" y="39588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767</xdr:row>
      <xdr:rowOff>85726</xdr:rowOff>
    </xdr:from>
    <xdr:to>
      <xdr:col>1</xdr:col>
      <xdr:colOff>1181100</xdr:colOff>
      <xdr:row>767</xdr:row>
      <xdr:rowOff>85726</xdr:rowOff>
    </xdr:to>
    <xdr:cxnSp macro="">
      <xdr:nvCxnSpPr>
        <xdr:cNvPr id="493" name="Conector recto 39"/>
        <xdr:cNvCxnSpPr>
          <a:cxnSpLocks noChangeShapeType="1"/>
        </xdr:cNvCxnSpPr>
      </xdr:nvCxnSpPr>
      <xdr:spPr bwMode="auto">
        <a:xfrm>
          <a:off x="1035844" y="397454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768</xdr:row>
      <xdr:rowOff>95251</xdr:rowOff>
    </xdr:from>
    <xdr:to>
      <xdr:col>1</xdr:col>
      <xdr:colOff>1219200</xdr:colOff>
      <xdr:row>768</xdr:row>
      <xdr:rowOff>95251</xdr:rowOff>
    </xdr:to>
    <xdr:cxnSp macro="">
      <xdr:nvCxnSpPr>
        <xdr:cNvPr id="494" name="Conector recto 39"/>
        <xdr:cNvCxnSpPr>
          <a:cxnSpLocks noChangeShapeType="1"/>
        </xdr:cNvCxnSpPr>
      </xdr:nvCxnSpPr>
      <xdr:spPr bwMode="auto">
        <a:xfrm>
          <a:off x="1073944" y="399216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769</xdr:row>
      <xdr:rowOff>85726</xdr:rowOff>
    </xdr:from>
    <xdr:to>
      <xdr:col>1</xdr:col>
      <xdr:colOff>1238250</xdr:colOff>
      <xdr:row>769</xdr:row>
      <xdr:rowOff>85726</xdr:rowOff>
    </xdr:to>
    <xdr:cxnSp macro="">
      <xdr:nvCxnSpPr>
        <xdr:cNvPr id="495" name="Conector recto 39"/>
        <xdr:cNvCxnSpPr>
          <a:cxnSpLocks noChangeShapeType="1"/>
        </xdr:cNvCxnSpPr>
      </xdr:nvCxnSpPr>
      <xdr:spPr bwMode="auto">
        <a:xfrm>
          <a:off x="1092994" y="40078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775</xdr:row>
      <xdr:rowOff>42862</xdr:rowOff>
    </xdr:from>
    <xdr:to>
      <xdr:col>1</xdr:col>
      <xdr:colOff>1209675</xdr:colOff>
      <xdr:row>775</xdr:row>
      <xdr:rowOff>119062</xdr:rowOff>
    </xdr:to>
    <xdr:grpSp>
      <xdr:nvGrpSpPr>
        <xdr:cNvPr id="497" name="Grupo 362"/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498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99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774</xdr:row>
      <xdr:rowOff>71437</xdr:rowOff>
    </xdr:from>
    <xdr:to>
      <xdr:col>1</xdr:col>
      <xdr:colOff>1181100</xdr:colOff>
      <xdr:row>774</xdr:row>
      <xdr:rowOff>147637</xdr:rowOff>
    </xdr:to>
    <xdr:grpSp>
      <xdr:nvGrpSpPr>
        <xdr:cNvPr id="500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503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4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138</xdr:row>
      <xdr:rowOff>57150</xdr:rowOff>
    </xdr:from>
    <xdr:to>
      <xdr:col>1</xdr:col>
      <xdr:colOff>1219200</xdr:colOff>
      <xdr:row>138</xdr:row>
      <xdr:rowOff>133350</xdr:rowOff>
    </xdr:to>
    <xdr:grpSp>
      <xdr:nvGrpSpPr>
        <xdr:cNvPr id="549" name="Grupo 258"/>
        <xdr:cNvGrpSpPr>
          <a:grpSpLocks/>
        </xdr:cNvGrpSpPr>
      </xdr:nvGrpSpPr>
      <xdr:grpSpPr bwMode="auto">
        <a:xfrm>
          <a:off x="1244600" y="39554150"/>
          <a:ext cx="1085850" cy="76200"/>
          <a:chOff x="1085850" y="1314450"/>
          <a:chExt cx="1085850" cy="76200"/>
        </a:xfrm>
      </xdr:grpSpPr>
      <xdr:cxnSp macro="">
        <xdr:nvCxnSpPr>
          <xdr:cNvPr id="550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51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143</xdr:row>
      <xdr:rowOff>95250</xdr:rowOff>
    </xdr:from>
    <xdr:to>
      <xdr:col>1</xdr:col>
      <xdr:colOff>1238250</xdr:colOff>
      <xdr:row>143</xdr:row>
      <xdr:rowOff>180975</xdr:rowOff>
    </xdr:to>
    <xdr:grpSp>
      <xdr:nvGrpSpPr>
        <xdr:cNvPr id="558" name="Grupo 2"/>
        <xdr:cNvGrpSpPr>
          <a:grpSpLocks/>
        </xdr:cNvGrpSpPr>
      </xdr:nvGrpSpPr>
      <xdr:grpSpPr bwMode="auto">
        <a:xfrm>
          <a:off x="1263650" y="40862250"/>
          <a:ext cx="1085850" cy="85725"/>
          <a:chOff x="1066800" y="2924175"/>
          <a:chExt cx="1085850" cy="85725"/>
        </a:xfrm>
      </xdr:grpSpPr>
      <xdr:cxnSp macro="">
        <xdr:nvCxnSpPr>
          <xdr:cNvPr id="55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145</xdr:row>
      <xdr:rowOff>95250</xdr:rowOff>
    </xdr:from>
    <xdr:to>
      <xdr:col>1</xdr:col>
      <xdr:colOff>1238250</xdr:colOff>
      <xdr:row>145</xdr:row>
      <xdr:rowOff>180975</xdr:rowOff>
    </xdr:to>
    <xdr:grpSp>
      <xdr:nvGrpSpPr>
        <xdr:cNvPr id="561" name="Grupo 2"/>
        <xdr:cNvGrpSpPr>
          <a:grpSpLocks/>
        </xdr:cNvGrpSpPr>
      </xdr:nvGrpSpPr>
      <xdr:grpSpPr bwMode="auto">
        <a:xfrm>
          <a:off x="1263650" y="41370250"/>
          <a:ext cx="1085850" cy="85725"/>
          <a:chOff x="1066800" y="2924175"/>
          <a:chExt cx="1085850" cy="85725"/>
        </a:xfrm>
      </xdr:grpSpPr>
      <xdr:cxnSp macro="">
        <xdr:nvCxnSpPr>
          <xdr:cNvPr id="56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147</xdr:row>
      <xdr:rowOff>95250</xdr:rowOff>
    </xdr:from>
    <xdr:to>
      <xdr:col>1</xdr:col>
      <xdr:colOff>1238250</xdr:colOff>
      <xdr:row>147</xdr:row>
      <xdr:rowOff>180975</xdr:rowOff>
    </xdr:to>
    <xdr:grpSp>
      <xdr:nvGrpSpPr>
        <xdr:cNvPr id="564" name="Grupo 2"/>
        <xdr:cNvGrpSpPr>
          <a:grpSpLocks/>
        </xdr:cNvGrpSpPr>
      </xdr:nvGrpSpPr>
      <xdr:grpSpPr bwMode="auto">
        <a:xfrm>
          <a:off x="1263650" y="41878250"/>
          <a:ext cx="1085850" cy="85725"/>
          <a:chOff x="1066800" y="2924175"/>
          <a:chExt cx="1085850" cy="85725"/>
        </a:xfrm>
      </xdr:grpSpPr>
      <xdr:cxnSp macro="">
        <xdr:nvCxnSpPr>
          <xdr:cNvPr id="56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75271</xdr:colOff>
      <xdr:row>344</xdr:row>
      <xdr:rowOff>87816</xdr:rowOff>
    </xdr:from>
    <xdr:to>
      <xdr:col>1</xdr:col>
      <xdr:colOff>1161121</xdr:colOff>
      <xdr:row>344</xdr:row>
      <xdr:rowOff>164016</xdr:rowOff>
    </xdr:to>
    <xdr:grpSp>
      <xdr:nvGrpSpPr>
        <xdr:cNvPr id="567" name="Grupo 258"/>
        <xdr:cNvGrpSpPr>
          <a:grpSpLocks/>
        </xdr:cNvGrpSpPr>
      </xdr:nvGrpSpPr>
      <xdr:grpSpPr bwMode="auto">
        <a:xfrm>
          <a:off x="1186521" y="97226941"/>
          <a:ext cx="1085850" cy="76200"/>
          <a:chOff x="1085850" y="1314450"/>
          <a:chExt cx="1085850" cy="76200"/>
        </a:xfrm>
      </xdr:grpSpPr>
      <xdr:cxnSp macro="">
        <xdr:nvCxnSpPr>
          <xdr:cNvPr id="568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9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345</xdr:row>
      <xdr:rowOff>76200</xdr:rowOff>
    </xdr:from>
    <xdr:to>
      <xdr:col>1</xdr:col>
      <xdr:colOff>1219200</xdr:colOff>
      <xdr:row>345</xdr:row>
      <xdr:rowOff>152400</xdr:rowOff>
    </xdr:to>
    <xdr:grpSp>
      <xdr:nvGrpSpPr>
        <xdr:cNvPr id="570" name="Grupo 258"/>
        <xdr:cNvGrpSpPr>
          <a:grpSpLocks/>
        </xdr:cNvGrpSpPr>
      </xdr:nvGrpSpPr>
      <xdr:grpSpPr bwMode="auto">
        <a:xfrm>
          <a:off x="1244600" y="97469325"/>
          <a:ext cx="1085850" cy="76200"/>
          <a:chOff x="1085850" y="1314450"/>
          <a:chExt cx="1085850" cy="76200"/>
        </a:xfrm>
      </xdr:grpSpPr>
      <xdr:cxnSp macro="">
        <xdr:nvCxnSpPr>
          <xdr:cNvPr id="571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2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346</xdr:row>
      <xdr:rowOff>76200</xdr:rowOff>
    </xdr:from>
    <xdr:to>
      <xdr:col>1</xdr:col>
      <xdr:colOff>1219200</xdr:colOff>
      <xdr:row>346</xdr:row>
      <xdr:rowOff>152400</xdr:rowOff>
    </xdr:to>
    <xdr:grpSp>
      <xdr:nvGrpSpPr>
        <xdr:cNvPr id="573" name="Grupo 258"/>
        <xdr:cNvGrpSpPr>
          <a:grpSpLocks/>
        </xdr:cNvGrpSpPr>
      </xdr:nvGrpSpPr>
      <xdr:grpSpPr bwMode="auto">
        <a:xfrm>
          <a:off x="1244600" y="97723325"/>
          <a:ext cx="1085850" cy="76200"/>
          <a:chOff x="1085850" y="1314450"/>
          <a:chExt cx="1085850" cy="76200"/>
        </a:xfrm>
      </xdr:grpSpPr>
      <xdr:cxnSp macro="">
        <xdr:nvCxnSpPr>
          <xdr:cNvPr id="574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5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347</xdr:row>
      <xdr:rowOff>66675</xdr:rowOff>
    </xdr:from>
    <xdr:to>
      <xdr:col>1</xdr:col>
      <xdr:colOff>1238250</xdr:colOff>
      <xdr:row>347</xdr:row>
      <xdr:rowOff>66675</xdr:rowOff>
    </xdr:to>
    <xdr:cxnSp macro="">
      <xdr:nvCxnSpPr>
        <xdr:cNvPr id="576" name="Conector recto 39"/>
        <xdr:cNvCxnSpPr>
          <a:cxnSpLocks noChangeShapeType="1"/>
        </xdr:cNvCxnSpPr>
      </xdr:nvCxnSpPr>
      <xdr:spPr bwMode="auto">
        <a:xfrm>
          <a:off x="1095375" y="862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133350</xdr:colOff>
      <xdr:row>348</xdr:row>
      <xdr:rowOff>66675</xdr:rowOff>
    </xdr:from>
    <xdr:to>
      <xdr:col>1</xdr:col>
      <xdr:colOff>1219200</xdr:colOff>
      <xdr:row>348</xdr:row>
      <xdr:rowOff>142875</xdr:rowOff>
    </xdr:to>
    <xdr:grpSp>
      <xdr:nvGrpSpPr>
        <xdr:cNvPr id="577" name="Grupo 3"/>
        <xdr:cNvGrpSpPr>
          <a:grpSpLocks/>
        </xdr:cNvGrpSpPr>
      </xdr:nvGrpSpPr>
      <xdr:grpSpPr bwMode="auto">
        <a:xfrm>
          <a:off x="1244600" y="98221800"/>
          <a:ext cx="1085850" cy="76200"/>
          <a:chOff x="1076325" y="3629025"/>
          <a:chExt cx="1085850" cy="76200"/>
        </a:xfrm>
      </xdr:grpSpPr>
      <xdr:cxnSp macro="">
        <xdr:nvCxnSpPr>
          <xdr:cNvPr id="578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9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349</xdr:row>
      <xdr:rowOff>66675</xdr:rowOff>
    </xdr:from>
    <xdr:to>
      <xdr:col>1</xdr:col>
      <xdr:colOff>1219200</xdr:colOff>
      <xdr:row>349</xdr:row>
      <xdr:rowOff>142875</xdr:rowOff>
    </xdr:to>
    <xdr:grpSp>
      <xdr:nvGrpSpPr>
        <xdr:cNvPr id="580" name="Grupo 3"/>
        <xdr:cNvGrpSpPr>
          <a:grpSpLocks/>
        </xdr:cNvGrpSpPr>
      </xdr:nvGrpSpPr>
      <xdr:grpSpPr bwMode="auto">
        <a:xfrm>
          <a:off x="1244600" y="98475800"/>
          <a:ext cx="1085850" cy="76200"/>
          <a:chOff x="1076325" y="3629025"/>
          <a:chExt cx="1085850" cy="76200"/>
        </a:xfrm>
      </xdr:grpSpPr>
      <xdr:cxnSp macro="">
        <xdr:nvCxnSpPr>
          <xdr:cNvPr id="581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2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352</xdr:row>
      <xdr:rowOff>85725</xdr:rowOff>
    </xdr:from>
    <xdr:to>
      <xdr:col>1</xdr:col>
      <xdr:colOff>1247775</xdr:colOff>
      <xdr:row>352</xdr:row>
      <xdr:rowOff>171450</xdr:rowOff>
    </xdr:to>
    <xdr:grpSp>
      <xdr:nvGrpSpPr>
        <xdr:cNvPr id="585" name="Grupo 2"/>
        <xdr:cNvGrpSpPr>
          <a:grpSpLocks/>
        </xdr:cNvGrpSpPr>
      </xdr:nvGrpSpPr>
      <xdr:grpSpPr bwMode="auto">
        <a:xfrm>
          <a:off x="1273175" y="99256850"/>
          <a:ext cx="1085850" cy="85725"/>
          <a:chOff x="1066800" y="2924175"/>
          <a:chExt cx="1085850" cy="85725"/>
        </a:xfrm>
      </xdr:grpSpPr>
      <xdr:cxnSp macro="">
        <xdr:nvCxnSpPr>
          <xdr:cNvPr id="586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7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353</xdr:row>
      <xdr:rowOff>85725</xdr:rowOff>
    </xdr:from>
    <xdr:to>
      <xdr:col>1</xdr:col>
      <xdr:colOff>1247775</xdr:colOff>
      <xdr:row>353</xdr:row>
      <xdr:rowOff>171450</xdr:rowOff>
    </xdr:to>
    <xdr:grpSp>
      <xdr:nvGrpSpPr>
        <xdr:cNvPr id="588" name="Grupo 2"/>
        <xdr:cNvGrpSpPr>
          <a:grpSpLocks/>
        </xdr:cNvGrpSpPr>
      </xdr:nvGrpSpPr>
      <xdr:grpSpPr bwMode="auto">
        <a:xfrm>
          <a:off x="1273175" y="99510850"/>
          <a:ext cx="1085850" cy="85725"/>
          <a:chOff x="1066800" y="2924175"/>
          <a:chExt cx="1085850" cy="85725"/>
        </a:xfrm>
      </xdr:grpSpPr>
      <xdr:cxnSp macro="">
        <xdr:nvCxnSpPr>
          <xdr:cNvPr id="58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357</xdr:row>
      <xdr:rowOff>85725</xdr:rowOff>
    </xdr:from>
    <xdr:to>
      <xdr:col>1</xdr:col>
      <xdr:colOff>1247775</xdr:colOff>
      <xdr:row>357</xdr:row>
      <xdr:rowOff>171450</xdr:rowOff>
    </xdr:to>
    <xdr:grpSp>
      <xdr:nvGrpSpPr>
        <xdr:cNvPr id="591" name="Grupo 2"/>
        <xdr:cNvGrpSpPr>
          <a:grpSpLocks/>
        </xdr:cNvGrpSpPr>
      </xdr:nvGrpSpPr>
      <xdr:grpSpPr bwMode="auto">
        <a:xfrm>
          <a:off x="1273175" y="100526850"/>
          <a:ext cx="1085850" cy="85725"/>
          <a:chOff x="1066800" y="2924175"/>
          <a:chExt cx="1085850" cy="85725"/>
        </a:xfrm>
      </xdr:grpSpPr>
      <xdr:cxnSp macro="">
        <xdr:nvCxnSpPr>
          <xdr:cNvPr id="59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356</xdr:row>
      <xdr:rowOff>85725</xdr:rowOff>
    </xdr:from>
    <xdr:to>
      <xdr:col>1</xdr:col>
      <xdr:colOff>1247775</xdr:colOff>
      <xdr:row>356</xdr:row>
      <xdr:rowOff>171450</xdr:rowOff>
    </xdr:to>
    <xdr:grpSp>
      <xdr:nvGrpSpPr>
        <xdr:cNvPr id="596" name="Grupo 2"/>
        <xdr:cNvGrpSpPr>
          <a:grpSpLocks/>
        </xdr:cNvGrpSpPr>
      </xdr:nvGrpSpPr>
      <xdr:grpSpPr bwMode="auto">
        <a:xfrm>
          <a:off x="1273175" y="100272850"/>
          <a:ext cx="1085850" cy="85725"/>
          <a:chOff x="1066800" y="2924175"/>
          <a:chExt cx="1085850" cy="85725"/>
        </a:xfrm>
      </xdr:grpSpPr>
      <xdr:cxnSp macro="">
        <xdr:nvCxnSpPr>
          <xdr:cNvPr id="59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393</xdr:row>
      <xdr:rowOff>76200</xdr:rowOff>
    </xdr:from>
    <xdr:to>
      <xdr:col>1</xdr:col>
      <xdr:colOff>1219200</xdr:colOff>
      <xdr:row>393</xdr:row>
      <xdr:rowOff>152400</xdr:rowOff>
    </xdr:to>
    <xdr:grpSp>
      <xdr:nvGrpSpPr>
        <xdr:cNvPr id="779" name="Grupo 258"/>
        <xdr:cNvGrpSpPr>
          <a:grpSpLocks/>
        </xdr:cNvGrpSpPr>
      </xdr:nvGrpSpPr>
      <xdr:grpSpPr bwMode="auto">
        <a:xfrm>
          <a:off x="1244600" y="110915450"/>
          <a:ext cx="1085850" cy="76200"/>
          <a:chOff x="1085850" y="1314450"/>
          <a:chExt cx="1085850" cy="76200"/>
        </a:xfrm>
      </xdr:grpSpPr>
      <xdr:cxnSp macro="">
        <xdr:nvCxnSpPr>
          <xdr:cNvPr id="780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1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394</xdr:row>
      <xdr:rowOff>76200</xdr:rowOff>
    </xdr:from>
    <xdr:to>
      <xdr:col>1</xdr:col>
      <xdr:colOff>1219200</xdr:colOff>
      <xdr:row>394</xdr:row>
      <xdr:rowOff>152400</xdr:rowOff>
    </xdr:to>
    <xdr:grpSp>
      <xdr:nvGrpSpPr>
        <xdr:cNvPr id="782" name="Grupo 258"/>
        <xdr:cNvGrpSpPr>
          <a:grpSpLocks/>
        </xdr:cNvGrpSpPr>
      </xdr:nvGrpSpPr>
      <xdr:grpSpPr bwMode="auto">
        <a:xfrm>
          <a:off x="1244600" y="111169450"/>
          <a:ext cx="1085850" cy="76200"/>
          <a:chOff x="1085850" y="1314450"/>
          <a:chExt cx="1085850" cy="76200"/>
        </a:xfrm>
      </xdr:grpSpPr>
      <xdr:cxnSp macro="">
        <xdr:nvCxnSpPr>
          <xdr:cNvPr id="783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4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395</xdr:row>
      <xdr:rowOff>85725</xdr:rowOff>
    </xdr:from>
    <xdr:to>
      <xdr:col>1</xdr:col>
      <xdr:colOff>1247775</xdr:colOff>
      <xdr:row>395</xdr:row>
      <xdr:rowOff>85725</xdr:rowOff>
    </xdr:to>
    <xdr:cxnSp macro="">
      <xdr:nvCxnSpPr>
        <xdr:cNvPr id="785" name="Conector recto 17"/>
        <xdr:cNvCxnSpPr>
          <a:cxnSpLocks noChangeShapeType="1"/>
        </xdr:cNvCxnSpPr>
      </xdr:nvCxnSpPr>
      <xdr:spPr bwMode="auto">
        <a:xfrm>
          <a:off x="1104900" y="11610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396</xdr:row>
      <xdr:rowOff>85725</xdr:rowOff>
    </xdr:from>
    <xdr:to>
      <xdr:col>1</xdr:col>
      <xdr:colOff>1247775</xdr:colOff>
      <xdr:row>396</xdr:row>
      <xdr:rowOff>85725</xdr:rowOff>
    </xdr:to>
    <xdr:cxnSp macro="">
      <xdr:nvCxnSpPr>
        <xdr:cNvPr id="786" name="Conector recto 17"/>
        <xdr:cNvCxnSpPr>
          <a:cxnSpLocks noChangeShapeType="1"/>
        </xdr:cNvCxnSpPr>
      </xdr:nvCxnSpPr>
      <xdr:spPr bwMode="auto">
        <a:xfrm>
          <a:off x="1104900" y="1183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397</xdr:row>
      <xdr:rowOff>57150</xdr:rowOff>
    </xdr:from>
    <xdr:to>
      <xdr:col>1</xdr:col>
      <xdr:colOff>1247775</xdr:colOff>
      <xdr:row>397</xdr:row>
      <xdr:rowOff>57150</xdr:rowOff>
    </xdr:to>
    <xdr:cxnSp macro="">
      <xdr:nvCxnSpPr>
        <xdr:cNvPr id="787" name="Conector recto 17"/>
        <xdr:cNvCxnSpPr>
          <a:cxnSpLocks noChangeShapeType="1"/>
        </xdr:cNvCxnSpPr>
      </xdr:nvCxnSpPr>
      <xdr:spPr bwMode="auto">
        <a:xfrm>
          <a:off x="1104900" y="1203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398</xdr:row>
      <xdr:rowOff>57150</xdr:rowOff>
    </xdr:from>
    <xdr:to>
      <xdr:col>1</xdr:col>
      <xdr:colOff>1247775</xdr:colOff>
      <xdr:row>398</xdr:row>
      <xdr:rowOff>57150</xdr:rowOff>
    </xdr:to>
    <xdr:cxnSp macro="">
      <xdr:nvCxnSpPr>
        <xdr:cNvPr id="788" name="Conector recto 17"/>
        <xdr:cNvCxnSpPr>
          <a:cxnSpLocks noChangeShapeType="1"/>
        </xdr:cNvCxnSpPr>
      </xdr:nvCxnSpPr>
      <xdr:spPr bwMode="auto">
        <a:xfrm>
          <a:off x="1104900" y="12268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399</xdr:row>
      <xdr:rowOff>57150</xdr:rowOff>
    </xdr:from>
    <xdr:to>
      <xdr:col>1</xdr:col>
      <xdr:colOff>1247775</xdr:colOff>
      <xdr:row>399</xdr:row>
      <xdr:rowOff>57150</xdr:rowOff>
    </xdr:to>
    <xdr:cxnSp macro="">
      <xdr:nvCxnSpPr>
        <xdr:cNvPr id="789" name="Conector recto 17"/>
        <xdr:cNvCxnSpPr>
          <a:cxnSpLocks noChangeShapeType="1"/>
        </xdr:cNvCxnSpPr>
      </xdr:nvCxnSpPr>
      <xdr:spPr bwMode="auto">
        <a:xfrm>
          <a:off x="1104900" y="12496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400</xdr:row>
      <xdr:rowOff>57150</xdr:rowOff>
    </xdr:from>
    <xdr:to>
      <xdr:col>1</xdr:col>
      <xdr:colOff>1247775</xdr:colOff>
      <xdr:row>400</xdr:row>
      <xdr:rowOff>57150</xdr:rowOff>
    </xdr:to>
    <xdr:cxnSp macro="">
      <xdr:nvCxnSpPr>
        <xdr:cNvPr id="791" name="Conector recto 17"/>
        <xdr:cNvCxnSpPr>
          <a:cxnSpLocks noChangeShapeType="1"/>
        </xdr:cNvCxnSpPr>
      </xdr:nvCxnSpPr>
      <xdr:spPr bwMode="auto">
        <a:xfrm>
          <a:off x="1104900" y="1295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401</xdr:row>
      <xdr:rowOff>57150</xdr:rowOff>
    </xdr:from>
    <xdr:to>
      <xdr:col>1</xdr:col>
      <xdr:colOff>1247775</xdr:colOff>
      <xdr:row>401</xdr:row>
      <xdr:rowOff>57150</xdr:rowOff>
    </xdr:to>
    <xdr:cxnSp macro="">
      <xdr:nvCxnSpPr>
        <xdr:cNvPr id="792" name="Conector recto 17"/>
        <xdr:cNvCxnSpPr>
          <a:cxnSpLocks noChangeShapeType="1"/>
        </xdr:cNvCxnSpPr>
      </xdr:nvCxnSpPr>
      <xdr:spPr bwMode="auto">
        <a:xfrm>
          <a:off x="1104900" y="13182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402</xdr:row>
      <xdr:rowOff>57150</xdr:rowOff>
    </xdr:from>
    <xdr:to>
      <xdr:col>1</xdr:col>
      <xdr:colOff>1247775</xdr:colOff>
      <xdr:row>402</xdr:row>
      <xdr:rowOff>57150</xdr:rowOff>
    </xdr:to>
    <xdr:cxnSp macro="">
      <xdr:nvCxnSpPr>
        <xdr:cNvPr id="793" name="Conector recto 17"/>
        <xdr:cNvCxnSpPr>
          <a:cxnSpLocks noChangeShapeType="1"/>
        </xdr:cNvCxnSpPr>
      </xdr:nvCxnSpPr>
      <xdr:spPr bwMode="auto">
        <a:xfrm>
          <a:off x="1104900" y="134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403</xdr:row>
      <xdr:rowOff>57150</xdr:rowOff>
    </xdr:from>
    <xdr:to>
      <xdr:col>1</xdr:col>
      <xdr:colOff>1247775</xdr:colOff>
      <xdr:row>403</xdr:row>
      <xdr:rowOff>57150</xdr:rowOff>
    </xdr:to>
    <xdr:cxnSp macro="">
      <xdr:nvCxnSpPr>
        <xdr:cNvPr id="797" name="Conector recto 17"/>
        <xdr:cNvCxnSpPr>
          <a:cxnSpLocks noChangeShapeType="1"/>
        </xdr:cNvCxnSpPr>
      </xdr:nvCxnSpPr>
      <xdr:spPr bwMode="auto">
        <a:xfrm>
          <a:off x="1104900" y="14325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404</xdr:row>
      <xdr:rowOff>57150</xdr:rowOff>
    </xdr:from>
    <xdr:to>
      <xdr:col>1</xdr:col>
      <xdr:colOff>1247775</xdr:colOff>
      <xdr:row>404</xdr:row>
      <xdr:rowOff>57150</xdr:rowOff>
    </xdr:to>
    <xdr:cxnSp macro="">
      <xdr:nvCxnSpPr>
        <xdr:cNvPr id="798" name="Conector recto 17"/>
        <xdr:cNvCxnSpPr>
          <a:cxnSpLocks noChangeShapeType="1"/>
        </xdr:cNvCxnSpPr>
      </xdr:nvCxnSpPr>
      <xdr:spPr bwMode="auto">
        <a:xfrm>
          <a:off x="1104900" y="1455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409</xdr:row>
      <xdr:rowOff>161925</xdr:rowOff>
    </xdr:from>
    <xdr:to>
      <xdr:col>1</xdr:col>
      <xdr:colOff>1247775</xdr:colOff>
      <xdr:row>409</xdr:row>
      <xdr:rowOff>161925</xdr:rowOff>
    </xdr:to>
    <xdr:cxnSp macro="">
      <xdr:nvCxnSpPr>
        <xdr:cNvPr id="807" name="Conector recto 17"/>
        <xdr:cNvCxnSpPr>
          <a:cxnSpLocks noChangeShapeType="1"/>
        </xdr:cNvCxnSpPr>
      </xdr:nvCxnSpPr>
      <xdr:spPr bwMode="auto">
        <a:xfrm>
          <a:off x="1104900" y="1671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410</xdr:row>
      <xdr:rowOff>161925</xdr:rowOff>
    </xdr:from>
    <xdr:to>
      <xdr:col>1</xdr:col>
      <xdr:colOff>1247775</xdr:colOff>
      <xdr:row>410</xdr:row>
      <xdr:rowOff>161925</xdr:rowOff>
    </xdr:to>
    <xdr:cxnSp macro="">
      <xdr:nvCxnSpPr>
        <xdr:cNvPr id="808" name="Conector recto 17"/>
        <xdr:cNvCxnSpPr>
          <a:cxnSpLocks noChangeShapeType="1"/>
        </xdr:cNvCxnSpPr>
      </xdr:nvCxnSpPr>
      <xdr:spPr bwMode="auto">
        <a:xfrm>
          <a:off x="1104900" y="16944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411</xdr:row>
      <xdr:rowOff>161925</xdr:rowOff>
    </xdr:from>
    <xdr:to>
      <xdr:col>1</xdr:col>
      <xdr:colOff>1247775</xdr:colOff>
      <xdr:row>411</xdr:row>
      <xdr:rowOff>161925</xdr:rowOff>
    </xdr:to>
    <xdr:cxnSp macro="">
      <xdr:nvCxnSpPr>
        <xdr:cNvPr id="809" name="Conector recto 17"/>
        <xdr:cNvCxnSpPr>
          <a:cxnSpLocks noChangeShapeType="1"/>
        </xdr:cNvCxnSpPr>
      </xdr:nvCxnSpPr>
      <xdr:spPr bwMode="auto">
        <a:xfrm>
          <a:off x="1104900" y="17173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412</xdr:row>
      <xdr:rowOff>161925</xdr:rowOff>
    </xdr:from>
    <xdr:to>
      <xdr:col>1</xdr:col>
      <xdr:colOff>1247775</xdr:colOff>
      <xdr:row>412</xdr:row>
      <xdr:rowOff>161925</xdr:rowOff>
    </xdr:to>
    <xdr:cxnSp macro="">
      <xdr:nvCxnSpPr>
        <xdr:cNvPr id="810" name="Conector recto 17"/>
        <xdr:cNvCxnSpPr>
          <a:cxnSpLocks noChangeShapeType="1"/>
        </xdr:cNvCxnSpPr>
      </xdr:nvCxnSpPr>
      <xdr:spPr bwMode="auto">
        <a:xfrm>
          <a:off x="1104900" y="1740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413</xdr:row>
      <xdr:rowOff>161925</xdr:rowOff>
    </xdr:from>
    <xdr:to>
      <xdr:col>1</xdr:col>
      <xdr:colOff>1247775</xdr:colOff>
      <xdr:row>413</xdr:row>
      <xdr:rowOff>161925</xdr:rowOff>
    </xdr:to>
    <xdr:cxnSp macro="">
      <xdr:nvCxnSpPr>
        <xdr:cNvPr id="811" name="Conector recto 17"/>
        <xdr:cNvCxnSpPr>
          <a:cxnSpLocks noChangeShapeType="1"/>
        </xdr:cNvCxnSpPr>
      </xdr:nvCxnSpPr>
      <xdr:spPr bwMode="auto">
        <a:xfrm>
          <a:off x="1104900" y="17630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414</xdr:row>
      <xdr:rowOff>161925</xdr:rowOff>
    </xdr:from>
    <xdr:to>
      <xdr:col>1</xdr:col>
      <xdr:colOff>1247775</xdr:colOff>
      <xdr:row>414</xdr:row>
      <xdr:rowOff>161925</xdr:rowOff>
    </xdr:to>
    <xdr:cxnSp macro="">
      <xdr:nvCxnSpPr>
        <xdr:cNvPr id="812" name="Conector recto 17"/>
        <xdr:cNvCxnSpPr>
          <a:cxnSpLocks noChangeShapeType="1"/>
        </xdr:cNvCxnSpPr>
      </xdr:nvCxnSpPr>
      <xdr:spPr bwMode="auto">
        <a:xfrm>
          <a:off x="1104900" y="17859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416</xdr:row>
      <xdr:rowOff>161925</xdr:rowOff>
    </xdr:from>
    <xdr:to>
      <xdr:col>1</xdr:col>
      <xdr:colOff>1247775</xdr:colOff>
      <xdr:row>416</xdr:row>
      <xdr:rowOff>161925</xdr:rowOff>
    </xdr:to>
    <xdr:cxnSp macro="">
      <xdr:nvCxnSpPr>
        <xdr:cNvPr id="814" name="Conector recto 17"/>
        <xdr:cNvCxnSpPr>
          <a:cxnSpLocks noChangeShapeType="1"/>
        </xdr:cNvCxnSpPr>
      </xdr:nvCxnSpPr>
      <xdr:spPr bwMode="auto">
        <a:xfrm>
          <a:off x="1104900" y="1831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417</xdr:row>
      <xdr:rowOff>161925</xdr:rowOff>
    </xdr:from>
    <xdr:to>
      <xdr:col>1</xdr:col>
      <xdr:colOff>1247775</xdr:colOff>
      <xdr:row>417</xdr:row>
      <xdr:rowOff>161925</xdr:rowOff>
    </xdr:to>
    <xdr:cxnSp macro="">
      <xdr:nvCxnSpPr>
        <xdr:cNvPr id="819" name="Conector recto 17"/>
        <xdr:cNvCxnSpPr>
          <a:cxnSpLocks noChangeShapeType="1"/>
        </xdr:cNvCxnSpPr>
      </xdr:nvCxnSpPr>
      <xdr:spPr bwMode="auto">
        <a:xfrm>
          <a:off x="1104900" y="1945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419</xdr:row>
      <xdr:rowOff>95250</xdr:rowOff>
    </xdr:from>
    <xdr:to>
      <xdr:col>1</xdr:col>
      <xdr:colOff>1238250</xdr:colOff>
      <xdr:row>419</xdr:row>
      <xdr:rowOff>180975</xdr:rowOff>
    </xdr:to>
    <xdr:grpSp>
      <xdr:nvGrpSpPr>
        <xdr:cNvPr id="821" name="Grupo 2"/>
        <xdr:cNvGrpSpPr>
          <a:grpSpLocks/>
        </xdr:cNvGrpSpPr>
      </xdr:nvGrpSpPr>
      <xdr:grpSpPr bwMode="auto">
        <a:xfrm>
          <a:off x="1263650" y="117538500"/>
          <a:ext cx="1085850" cy="85725"/>
          <a:chOff x="1066800" y="2924175"/>
          <a:chExt cx="1085850" cy="85725"/>
        </a:xfrm>
      </xdr:grpSpPr>
      <xdr:cxnSp macro="">
        <xdr:nvCxnSpPr>
          <xdr:cNvPr id="82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420</xdr:row>
      <xdr:rowOff>95250</xdr:rowOff>
    </xdr:from>
    <xdr:to>
      <xdr:col>1</xdr:col>
      <xdr:colOff>1238250</xdr:colOff>
      <xdr:row>420</xdr:row>
      <xdr:rowOff>180975</xdr:rowOff>
    </xdr:to>
    <xdr:grpSp>
      <xdr:nvGrpSpPr>
        <xdr:cNvPr id="824" name="Grupo 2"/>
        <xdr:cNvGrpSpPr>
          <a:grpSpLocks/>
        </xdr:cNvGrpSpPr>
      </xdr:nvGrpSpPr>
      <xdr:grpSpPr bwMode="auto">
        <a:xfrm>
          <a:off x="1263650" y="117792500"/>
          <a:ext cx="1085850" cy="85725"/>
          <a:chOff x="1066800" y="2924175"/>
          <a:chExt cx="1085850" cy="85725"/>
        </a:xfrm>
      </xdr:grpSpPr>
      <xdr:cxnSp macro="">
        <xdr:nvCxnSpPr>
          <xdr:cNvPr id="82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426</xdr:row>
      <xdr:rowOff>76200</xdr:rowOff>
    </xdr:from>
    <xdr:to>
      <xdr:col>1</xdr:col>
      <xdr:colOff>1228725</xdr:colOff>
      <xdr:row>426</xdr:row>
      <xdr:rowOff>152400</xdr:rowOff>
    </xdr:to>
    <xdr:grpSp>
      <xdr:nvGrpSpPr>
        <xdr:cNvPr id="827" name="Grupo 1"/>
        <xdr:cNvGrpSpPr>
          <a:grpSpLocks/>
        </xdr:cNvGrpSpPr>
      </xdr:nvGrpSpPr>
      <xdr:grpSpPr bwMode="auto">
        <a:xfrm>
          <a:off x="1254125" y="119900700"/>
          <a:ext cx="1085850" cy="76200"/>
          <a:chOff x="1085850" y="1314450"/>
          <a:chExt cx="1085850" cy="76200"/>
        </a:xfrm>
      </xdr:grpSpPr>
      <xdr:cxnSp macro="">
        <xdr:nvCxnSpPr>
          <xdr:cNvPr id="828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9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427</xdr:row>
      <xdr:rowOff>76200</xdr:rowOff>
    </xdr:from>
    <xdr:to>
      <xdr:col>1</xdr:col>
      <xdr:colOff>1228725</xdr:colOff>
      <xdr:row>427</xdr:row>
      <xdr:rowOff>152400</xdr:rowOff>
    </xdr:to>
    <xdr:grpSp>
      <xdr:nvGrpSpPr>
        <xdr:cNvPr id="830" name="Grupo 1"/>
        <xdr:cNvGrpSpPr>
          <a:grpSpLocks/>
        </xdr:cNvGrpSpPr>
      </xdr:nvGrpSpPr>
      <xdr:grpSpPr bwMode="auto">
        <a:xfrm>
          <a:off x="1254125" y="120154700"/>
          <a:ext cx="1085850" cy="76200"/>
          <a:chOff x="1085850" y="1314450"/>
          <a:chExt cx="1085850" cy="76200"/>
        </a:xfrm>
      </xdr:grpSpPr>
      <xdr:cxnSp macro="">
        <xdr:nvCxnSpPr>
          <xdr:cNvPr id="831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2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429</xdr:row>
      <xdr:rowOff>76200</xdr:rowOff>
    </xdr:from>
    <xdr:to>
      <xdr:col>1</xdr:col>
      <xdr:colOff>1228725</xdr:colOff>
      <xdr:row>429</xdr:row>
      <xdr:rowOff>152400</xdr:rowOff>
    </xdr:to>
    <xdr:grpSp>
      <xdr:nvGrpSpPr>
        <xdr:cNvPr id="833" name="Grupo 1"/>
        <xdr:cNvGrpSpPr>
          <a:grpSpLocks/>
        </xdr:cNvGrpSpPr>
      </xdr:nvGrpSpPr>
      <xdr:grpSpPr bwMode="auto">
        <a:xfrm>
          <a:off x="1254125" y="120662700"/>
          <a:ext cx="1085850" cy="76200"/>
          <a:chOff x="1085850" y="1314450"/>
          <a:chExt cx="1085850" cy="76200"/>
        </a:xfrm>
      </xdr:grpSpPr>
      <xdr:cxnSp macro="">
        <xdr:nvCxnSpPr>
          <xdr:cNvPr id="834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5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428</xdr:row>
      <xdr:rowOff>76200</xdr:rowOff>
    </xdr:from>
    <xdr:to>
      <xdr:col>1</xdr:col>
      <xdr:colOff>1238250</xdr:colOff>
      <xdr:row>428</xdr:row>
      <xdr:rowOff>76200</xdr:rowOff>
    </xdr:to>
    <xdr:cxnSp macro="">
      <xdr:nvCxnSpPr>
        <xdr:cNvPr id="836" name="Conector recto 17"/>
        <xdr:cNvCxnSpPr>
          <a:cxnSpLocks noChangeShapeType="1"/>
        </xdr:cNvCxnSpPr>
      </xdr:nvCxnSpPr>
      <xdr:spPr bwMode="auto">
        <a:xfrm>
          <a:off x="1095375" y="2074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430</xdr:row>
      <xdr:rowOff>76200</xdr:rowOff>
    </xdr:from>
    <xdr:to>
      <xdr:col>1</xdr:col>
      <xdr:colOff>1238250</xdr:colOff>
      <xdr:row>430</xdr:row>
      <xdr:rowOff>76200</xdr:rowOff>
    </xdr:to>
    <xdr:cxnSp macro="">
      <xdr:nvCxnSpPr>
        <xdr:cNvPr id="837" name="Conector recto 17"/>
        <xdr:cNvCxnSpPr>
          <a:cxnSpLocks noChangeShapeType="1"/>
        </xdr:cNvCxnSpPr>
      </xdr:nvCxnSpPr>
      <xdr:spPr bwMode="auto">
        <a:xfrm>
          <a:off x="1095375" y="212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431</xdr:row>
      <xdr:rowOff>76200</xdr:rowOff>
    </xdr:from>
    <xdr:to>
      <xdr:col>1</xdr:col>
      <xdr:colOff>1238250</xdr:colOff>
      <xdr:row>431</xdr:row>
      <xdr:rowOff>76200</xdr:rowOff>
    </xdr:to>
    <xdr:cxnSp macro="">
      <xdr:nvCxnSpPr>
        <xdr:cNvPr id="838" name="Conector recto 17"/>
        <xdr:cNvCxnSpPr>
          <a:cxnSpLocks noChangeShapeType="1"/>
        </xdr:cNvCxnSpPr>
      </xdr:nvCxnSpPr>
      <xdr:spPr bwMode="auto">
        <a:xfrm>
          <a:off x="1095375" y="2143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432</xdr:row>
      <xdr:rowOff>76200</xdr:rowOff>
    </xdr:from>
    <xdr:to>
      <xdr:col>1</xdr:col>
      <xdr:colOff>1238250</xdr:colOff>
      <xdr:row>432</xdr:row>
      <xdr:rowOff>76200</xdr:rowOff>
    </xdr:to>
    <xdr:cxnSp macro="">
      <xdr:nvCxnSpPr>
        <xdr:cNvPr id="839" name="Conector recto 17"/>
        <xdr:cNvCxnSpPr>
          <a:cxnSpLocks noChangeShapeType="1"/>
        </xdr:cNvCxnSpPr>
      </xdr:nvCxnSpPr>
      <xdr:spPr bwMode="auto">
        <a:xfrm>
          <a:off x="1095375" y="2165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433</xdr:row>
      <xdr:rowOff>76200</xdr:rowOff>
    </xdr:from>
    <xdr:to>
      <xdr:col>1</xdr:col>
      <xdr:colOff>1238250</xdr:colOff>
      <xdr:row>433</xdr:row>
      <xdr:rowOff>76200</xdr:rowOff>
    </xdr:to>
    <xdr:cxnSp macro="">
      <xdr:nvCxnSpPr>
        <xdr:cNvPr id="840" name="Conector recto 17"/>
        <xdr:cNvCxnSpPr>
          <a:cxnSpLocks noChangeShapeType="1"/>
        </xdr:cNvCxnSpPr>
      </xdr:nvCxnSpPr>
      <xdr:spPr bwMode="auto">
        <a:xfrm>
          <a:off x="1095375" y="2188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434</xdr:row>
      <xdr:rowOff>76200</xdr:rowOff>
    </xdr:from>
    <xdr:to>
      <xdr:col>1</xdr:col>
      <xdr:colOff>1238250</xdr:colOff>
      <xdr:row>434</xdr:row>
      <xdr:rowOff>76200</xdr:rowOff>
    </xdr:to>
    <xdr:cxnSp macro="">
      <xdr:nvCxnSpPr>
        <xdr:cNvPr id="842" name="Conector recto 17"/>
        <xdr:cNvCxnSpPr>
          <a:cxnSpLocks noChangeShapeType="1"/>
        </xdr:cNvCxnSpPr>
      </xdr:nvCxnSpPr>
      <xdr:spPr bwMode="auto">
        <a:xfrm>
          <a:off x="1095375" y="22345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435</xdr:row>
      <xdr:rowOff>76200</xdr:rowOff>
    </xdr:from>
    <xdr:to>
      <xdr:col>1</xdr:col>
      <xdr:colOff>1238250</xdr:colOff>
      <xdr:row>435</xdr:row>
      <xdr:rowOff>76200</xdr:rowOff>
    </xdr:to>
    <xdr:cxnSp macro="">
      <xdr:nvCxnSpPr>
        <xdr:cNvPr id="843" name="Conector recto 17"/>
        <xdr:cNvCxnSpPr>
          <a:cxnSpLocks noChangeShapeType="1"/>
        </xdr:cNvCxnSpPr>
      </xdr:nvCxnSpPr>
      <xdr:spPr bwMode="auto">
        <a:xfrm>
          <a:off x="1095375" y="2257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436</xdr:row>
      <xdr:rowOff>76200</xdr:rowOff>
    </xdr:from>
    <xdr:to>
      <xdr:col>1</xdr:col>
      <xdr:colOff>1238250</xdr:colOff>
      <xdr:row>436</xdr:row>
      <xdr:rowOff>76200</xdr:rowOff>
    </xdr:to>
    <xdr:cxnSp macro="">
      <xdr:nvCxnSpPr>
        <xdr:cNvPr id="844" name="Conector recto 17"/>
        <xdr:cNvCxnSpPr>
          <a:cxnSpLocks noChangeShapeType="1"/>
        </xdr:cNvCxnSpPr>
      </xdr:nvCxnSpPr>
      <xdr:spPr bwMode="auto">
        <a:xfrm>
          <a:off x="1095375" y="2280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437</xdr:row>
      <xdr:rowOff>76200</xdr:rowOff>
    </xdr:from>
    <xdr:to>
      <xdr:col>1</xdr:col>
      <xdr:colOff>1238250</xdr:colOff>
      <xdr:row>437</xdr:row>
      <xdr:rowOff>76200</xdr:rowOff>
    </xdr:to>
    <xdr:cxnSp macro="">
      <xdr:nvCxnSpPr>
        <xdr:cNvPr id="845" name="Conector recto 17"/>
        <xdr:cNvCxnSpPr>
          <a:cxnSpLocks noChangeShapeType="1"/>
        </xdr:cNvCxnSpPr>
      </xdr:nvCxnSpPr>
      <xdr:spPr bwMode="auto">
        <a:xfrm>
          <a:off x="1095375" y="2303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438</xdr:row>
      <xdr:rowOff>76200</xdr:rowOff>
    </xdr:from>
    <xdr:to>
      <xdr:col>1</xdr:col>
      <xdr:colOff>1238250</xdr:colOff>
      <xdr:row>438</xdr:row>
      <xdr:rowOff>76200</xdr:rowOff>
    </xdr:to>
    <xdr:cxnSp macro="">
      <xdr:nvCxnSpPr>
        <xdr:cNvPr id="847" name="Conector recto 17"/>
        <xdr:cNvCxnSpPr>
          <a:cxnSpLocks noChangeShapeType="1"/>
        </xdr:cNvCxnSpPr>
      </xdr:nvCxnSpPr>
      <xdr:spPr bwMode="auto">
        <a:xfrm>
          <a:off x="1095375" y="2348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8" name="Conector recto 17"/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9" name="Conector recto 17"/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440</xdr:row>
      <xdr:rowOff>76200</xdr:rowOff>
    </xdr:from>
    <xdr:to>
      <xdr:col>1</xdr:col>
      <xdr:colOff>1238250</xdr:colOff>
      <xdr:row>440</xdr:row>
      <xdr:rowOff>76200</xdr:rowOff>
    </xdr:to>
    <xdr:cxnSp macro="">
      <xdr:nvCxnSpPr>
        <xdr:cNvPr id="857" name="Conector recto 17"/>
        <xdr:cNvCxnSpPr>
          <a:cxnSpLocks noChangeShapeType="1"/>
        </xdr:cNvCxnSpPr>
      </xdr:nvCxnSpPr>
      <xdr:spPr bwMode="auto">
        <a:xfrm>
          <a:off x="1095375" y="2554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441</xdr:row>
      <xdr:rowOff>76200</xdr:rowOff>
    </xdr:from>
    <xdr:to>
      <xdr:col>1</xdr:col>
      <xdr:colOff>1238250</xdr:colOff>
      <xdr:row>441</xdr:row>
      <xdr:rowOff>76200</xdr:rowOff>
    </xdr:to>
    <xdr:cxnSp macro="">
      <xdr:nvCxnSpPr>
        <xdr:cNvPr id="858" name="Conector recto 17"/>
        <xdr:cNvCxnSpPr>
          <a:cxnSpLocks noChangeShapeType="1"/>
        </xdr:cNvCxnSpPr>
      </xdr:nvCxnSpPr>
      <xdr:spPr bwMode="auto">
        <a:xfrm>
          <a:off x="1095375" y="25774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449</xdr:row>
      <xdr:rowOff>171450</xdr:rowOff>
    </xdr:from>
    <xdr:to>
      <xdr:col>1</xdr:col>
      <xdr:colOff>1247775</xdr:colOff>
      <xdr:row>449</xdr:row>
      <xdr:rowOff>171450</xdr:rowOff>
    </xdr:to>
    <xdr:cxnSp macro="">
      <xdr:nvCxnSpPr>
        <xdr:cNvPr id="866" name="Conector recto 17"/>
        <xdr:cNvCxnSpPr>
          <a:cxnSpLocks noChangeShapeType="1"/>
        </xdr:cNvCxnSpPr>
      </xdr:nvCxnSpPr>
      <xdr:spPr bwMode="auto">
        <a:xfrm>
          <a:off x="1104900" y="2769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450</xdr:row>
      <xdr:rowOff>171450</xdr:rowOff>
    </xdr:from>
    <xdr:to>
      <xdr:col>1</xdr:col>
      <xdr:colOff>1247775</xdr:colOff>
      <xdr:row>450</xdr:row>
      <xdr:rowOff>171450</xdr:rowOff>
    </xdr:to>
    <xdr:cxnSp macro="">
      <xdr:nvCxnSpPr>
        <xdr:cNvPr id="867" name="Conector recto 17"/>
        <xdr:cNvCxnSpPr>
          <a:cxnSpLocks noChangeShapeType="1"/>
        </xdr:cNvCxnSpPr>
      </xdr:nvCxnSpPr>
      <xdr:spPr bwMode="auto">
        <a:xfrm>
          <a:off x="1104900" y="27927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451</xdr:row>
      <xdr:rowOff>171450</xdr:rowOff>
    </xdr:from>
    <xdr:to>
      <xdr:col>1</xdr:col>
      <xdr:colOff>1247775</xdr:colOff>
      <xdr:row>451</xdr:row>
      <xdr:rowOff>171450</xdr:rowOff>
    </xdr:to>
    <xdr:cxnSp macro="">
      <xdr:nvCxnSpPr>
        <xdr:cNvPr id="868" name="Conector recto 17"/>
        <xdr:cNvCxnSpPr>
          <a:cxnSpLocks noChangeShapeType="1"/>
        </xdr:cNvCxnSpPr>
      </xdr:nvCxnSpPr>
      <xdr:spPr bwMode="auto">
        <a:xfrm>
          <a:off x="1104900" y="28155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452</xdr:row>
      <xdr:rowOff>171450</xdr:rowOff>
    </xdr:from>
    <xdr:to>
      <xdr:col>1</xdr:col>
      <xdr:colOff>1247775</xdr:colOff>
      <xdr:row>452</xdr:row>
      <xdr:rowOff>171450</xdr:rowOff>
    </xdr:to>
    <xdr:cxnSp macro="">
      <xdr:nvCxnSpPr>
        <xdr:cNvPr id="869" name="Conector recto 17"/>
        <xdr:cNvCxnSpPr>
          <a:cxnSpLocks noChangeShapeType="1"/>
        </xdr:cNvCxnSpPr>
      </xdr:nvCxnSpPr>
      <xdr:spPr bwMode="auto">
        <a:xfrm>
          <a:off x="1104900" y="28384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454</xdr:row>
      <xdr:rowOff>171450</xdr:rowOff>
    </xdr:from>
    <xdr:to>
      <xdr:col>1</xdr:col>
      <xdr:colOff>1247775</xdr:colOff>
      <xdr:row>454</xdr:row>
      <xdr:rowOff>171450</xdr:rowOff>
    </xdr:to>
    <xdr:cxnSp macro="">
      <xdr:nvCxnSpPr>
        <xdr:cNvPr id="879" name="Conector recto 17"/>
        <xdr:cNvCxnSpPr>
          <a:cxnSpLocks noChangeShapeType="1"/>
        </xdr:cNvCxnSpPr>
      </xdr:nvCxnSpPr>
      <xdr:spPr bwMode="auto">
        <a:xfrm>
          <a:off x="1104900" y="30670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455</xdr:row>
      <xdr:rowOff>171450</xdr:rowOff>
    </xdr:from>
    <xdr:to>
      <xdr:col>1</xdr:col>
      <xdr:colOff>1247775</xdr:colOff>
      <xdr:row>455</xdr:row>
      <xdr:rowOff>171450</xdr:rowOff>
    </xdr:to>
    <xdr:cxnSp macro="">
      <xdr:nvCxnSpPr>
        <xdr:cNvPr id="880" name="Conector recto 17"/>
        <xdr:cNvCxnSpPr>
          <a:cxnSpLocks noChangeShapeType="1"/>
        </xdr:cNvCxnSpPr>
      </xdr:nvCxnSpPr>
      <xdr:spPr bwMode="auto">
        <a:xfrm>
          <a:off x="1104900" y="30899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456</xdr:row>
      <xdr:rowOff>171450</xdr:rowOff>
    </xdr:from>
    <xdr:to>
      <xdr:col>1</xdr:col>
      <xdr:colOff>1247775</xdr:colOff>
      <xdr:row>456</xdr:row>
      <xdr:rowOff>171450</xdr:rowOff>
    </xdr:to>
    <xdr:cxnSp macro="">
      <xdr:nvCxnSpPr>
        <xdr:cNvPr id="881" name="Conector recto 17"/>
        <xdr:cNvCxnSpPr>
          <a:cxnSpLocks noChangeShapeType="1"/>
        </xdr:cNvCxnSpPr>
      </xdr:nvCxnSpPr>
      <xdr:spPr bwMode="auto">
        <a:xfrm>
          <a:off x="1104900" y="31127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457</xdr:row>
      <xdr:rowOff>95250</xdr:rowOff>
    </xdr:from>
    <xdr:to>
      <xdr:col>1</xdr:col>
      <xdr:colOff>1238250</xdr:colOff>
      <xdr:row>457</xdr:row>
      <xdr:rowOff>180975</xdr:rowOff>
    </xdr:to>
    <xdr:grpSp>
      <xdr:nvGrpSpPr>
        <xdr:cNvPr id="882" name="Grupo 2"/>
        <xdr:cNvGrpSpPr>
          <a:grpSpLocks/>
        </xdr:cNvGrpSpPr>
      </xdr:nvGrpSpPr>
      <xdr:grpSpPr bwMode="auto">
        <a:xfrm>
          <a:off x="1263650" y="127793750"/>
          <a:ext cx="1085850" cy="85725"/>
          <a:chOff x="1066800" y="2924175"/>
          <a:chExt cx="1085850" cy="85725"/>
        </a:xfrm>
      </xdr:grpSpPr>
      <xdr:cxnSp macro="">
        <xdr:nvCxnSpPr>
          <xdr:cNvPr id="883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4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458</xdr:row>
      <xdr:rowOff>95250</xdr:rowOff>
    </xdr:from>
    <xdr:to>
      <xdr:col>1</xdr:col>
      <xdr:colOff>1238250</xdr:colOff>
      <xdr:row>458</xdr:row>
      <xdr:rowOff>180975</xdr:rowOff>
    </xdr:to>
    <xdr:grpSp>
      <xdr:nvGrpSpPr>
        <xdr:cNvPr id="885" name="Grupo 2"/>
        <xdr:cNvGrpSpPr>
          <a:grpSpLocks/>
        </xdr:cNvGrpSpPr>
      </xdr:nvGrpSpPr>
      <xdr:grpSpPr bwMode="auto">
        <a:xfrm>
          <a:off x="1263650" y="128047750"/>
          <a:ext cx="1085850" cy="85725"/>
          <a:chOff x="1066800" y="2924175"/>
          <a:chExt cx="1085850" cy="85725"/>
        </a:xfrm>
      </xdr:grpSpPr>
      <xdr:cxnSp macro="">
        <xdr:nvCxnSpPr>
          <xdr:cNvPr id="886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7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459</xdr:row>
      <xdr:rowOff>95250</xdr:rowOff>
    </xdr:from>
    <xdr:to>
      <xdr:col>1</xdr:col>
      <xdr:colOff>1238250</xdr:colOff>
      <xdr:row>459</xdr:row>
      <xdr:rowOff>180975</xdr:rowOff>
    </xdr:to>
    <xdr:grpSp>
      <xdr:nvGrpSpPr>
        <xdr:cNvPr id="888" name="Grupo 2"/>
        <xdr:cNvGrpSpPr>
          <a:grpSpLocks/>
        </xdr:cNvGrpSpPr>
      </xdr:nvGrpSpPr>
      <xdr:grpSpPr bwMode="auto">
        <a:xfrm>
          <a:off x="1263650" y="128301750"/>
          <a:ext cx="1085850" cy="85725"/>
          <a:chOff x="1066800" y="2924175"/>
          <a:chExt cx="1085850" cy="85725"/>
        </a:xfrm>
      </xdr:grpSpPr>
      <xdr:cxnSp macro="">
        <xdr:nvCxnSpPr>
          <xdr:cNvPr id="88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460</xdr:row>
      <xdr:rowOff>95250</xdr:rowOff>
    </xdr:from>
    <xdr:to>
      <xdr:col>1</xdr:col>
      <xdr:colOff>1238250</xdr:colOff>
      <xdr:row>460</xdr:row>
      <xdr:rowOff>180975</xdr:rowOff>
    </xdr:to>
    <xdr:grpSp>
      <xdr:nvGrpSpPr>
        <xdr:cNvPr id="891" name="Grupo 2"/>
        <xdr:cNvGrpSpPr>
          <a:grpSpLocks/>
        </xdr:cNvGrpSpPr>
      </xdr:nvGrpSpPr>
      <xdr:grpSpPr bwMode="auto">
        <a:xfrm>
          <a:off x="1263650" y="128555750"/>
          <a:ext cx="1085850" cy="85725"/>
          <a:chOff x="1066800" y="2924175"/>
          <a:chExt cx="1085850" cy="85725"/>
        </a:xfrm>
      </xdr:grpSpPr>
      <xdr:cxnSp macro="">
        <xdr:nvCxnSpPr>
          <xdr:cNvPr id="89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470</xdr:row>
      <xdr:rowOff>76200</xdr:rowOff>
    </xdr:from>
    <xdr:to>
      <xdr:col>1</xdr:col>
      <xdr:colOff>1228725</xdr:colOff>
      <xdr:row>470</xdr:row>
      <xdr:rowOff>152400</xdr:rowOff>
    </xdr:to>
    <xdr:grpSp>
      <xdr:nvGrpSpPr>
        <xdr:cNvPr id="894" name="Grupo 1"/>
        <xdr:cNvGrpSpPr>
          <a:grpSpLocks/>
        </xdr:cNvGrpSpPr>
      </xdr:nvGrpSpPr>
      <xdr:grpSpPr bwMode="auto">
        <a:xfrm>
          <a:off x="1254125" y="132981700"/>
          <a:ext cx="1085850" cy="76200"/>
          <a:chOff x="1085850" y="1314450"/>
          <a:chExt cx="1085850" cy="76200"/>
        </a:xfrm>
      </xdr:grpSpPr>
      <xdr:cxnSp macro="">
        <xdr:nvCxnSpPr>
          <xdr:cNvPr id="895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6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474</xdr:row>
      <xdr:rowOff>76200</xdr:rowOff>
    </xdr:from>
    <xdr:to>
      <xdr:col>1</xdr:col>
      <xdr:colOff>1238250</xdr:colOff>
      <xdr:row>474</xdr:row>
      <xdr:rowOff>76200</xdr:rowOff>
    </xdr:to>
    <xdr:cxnSp macro="">
      <xdr:nvCxnSpPr>
        <xdr:cNvPr id="897" name="Conector recto 17"/>
        <xdr:cNvCxnSpPr>
          <a:cxnSpLocks noChangeShapeType="1"/>
        </xdr:cNvCxnSpPr>
      </xdr:nvCxnSpPr>
      <xdr:spPr bwMode="auto">
        <a:xfrm>
          <a:off x="1095375" y="3308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475</xdr:row>
      <xdr:rowOff>76200</xdr:rowOff>
    </xdr:from>
    <xdr:to>
      <xdr:col>1</xdr:col>
      <xdr:colOff>1238250</xdr:colOff>
      <xdr:row>475</xdr:row>
      <xdr:rowOff>76200</xdr:rowOff>
    </xdr:to>
    <xdr:cxnSp macro="">
      <xdr:nvCxnSpPr>
        <xdr:cNvPr id="898" name="Conector recto 17"/>
        <xdr:cNvCxnSpPr>
          <a:cxnSpLocks noChangeShapeType="1"/>
        </xdr:cNvCxnSpPr>
      </xdr:nvCxnSpPr>
      <xdr:spPr bwMode="auto">
        <a:xfrm>
          <a:off x="1095375" y="3331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476</xdr:row>
      <xdr:rowOff>76200</xdr:rowOff>
    </xdr:from>
    <xdr:to>
      <xdr:col>1</xdr:col>
      <xdr:colOff>1238250</xdr:colOff>
      <xdr:row>476</xdr:row>
      <xdr:rowOff>76200</xdr:rowOff>
    </xdr:to>
    <xdr:cxnSp macro="">
      <xdr:nvCxnSpPr>
        <xdr:cNvPr id="899" name="Conector recto 17"/>
        <xdr:cNvCxnSpPr>
          <a:cxnSpLocks noChangeShapeType="1"/>
        </xdr:cNvCxnSpPr>
      </xdr:nvCxnSpPr>
      <xdr:spPr bwMode="auto">
        <a:xfrm>
          <a:off x="1095375" y="33547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477</xdr:row>
      <xdr:rowOff>76200</xdr:rowOff>
    </xdr:from>
    <xdr:to>
      <xdr:col>1</xdr:col>
      <xdr:colOff>1238250</xdr:colOff>
      <xdr:row>477</xdr:row>
      <xdr:rowOff>76200</xdr:rowOff>
    </xdr:to>
    <xdr:cxnSp macro="">
      <xdr:nvCxnSpPr>
        <xdr:cNvPr id="901" name="Conector recto 17"/>
        <xdr:cNvCxnSpPr>
          <a:cxnSpLocks noChangeShapeType="1"/>
        </xdr:cNvCxnSpPr>
      </xdr:nvCxnSpPr>
      <xdr:spPr bwMode="auto">
        <a:xfrm>
          <a:off x="1095375" y="3400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478</xdr:row>
      <xdr:rowOff>76200</xdr:rowOff>
    </xdr:from>
    <xdr:to>
      <xdr:col>1</xdr:col>
      <xdr:colOff>1238250</xdr:colOff>
      <xdr:row>478</xdr:row>
      <xdr:rowOff>76200</xdr:rowOff>
    </xdr:to>
    <xdr:cxnSp macro="">
      <xdr:nvCxnSpPr>
        <xdr:cNvPr id="902" name="Conector recto 17"/>
        <xdr:cNvCxnSpPr>
          <a:cxnSpLocks noChangeShapeType="1"/>
        </xdr:cNvCxnSpPr>
      </xdr:nvCxnSpPr>
      <xdr:spPr bwMode="auto">
        <a:xfrm>
          <a:off x="1095375" y="3423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479</xdr:row>
      <xdr:rowOff>76200</xdr:rowOff>
    </xdr:from>
    <xdr:to>
      <xdr:col>1</xdr:col>
      <xdr:colOff>1238250</xdr:colOff>
      <xdr:row>479</xdr:row>
      <xdr:rowOff>76200</xdr:rowOff>
    </xdr:to>
    <xdr:cxnSp macro="">
      <xdr:nvCxnSpPr>
        <xdr:cNvPr id="903" name="Conector recto 17"/>
        <xdr:cNvCxnSpPr>
          <a:cxnSpLocks noChangeShapeType="1"/>
        </xdr:cNvCxnSpPr>
      </xdr:nvCxnSpPr>
      <xdr:spPr bwMode="auto">
        <a:xfrm>
          <a:off x="1095375" y="3446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480</xdr:row>
      <xdr:rowOff>76200</xdr:rowOff>
    </xdr:from>
    <xdr:to>
      <xdr:col>1</xdr:col>
      <xdr:colOff>1238250</xdr:colOff>
      <xdr:row>480</xdr:row>
      <xdr:rowOff>76200</xdr:rowOff>
    </xdr:to>
    <xdr:cxnSp macro="">
      <xdr:nvCxnSpPr>
        <xdr:cNvPr id="904" name="Conector recto 17"/>
        <xdr:cNvCxnSpPr>
          <a:cxnSpLocks noChangeShapeType="1"/>
        </xdr:cNvCxnSpPr>
      </xdr:nvCxnSpPr>
      <xdr:spPr bwMode="auto">
        <a:xfrm>
          <a:off x="1095375" y="34690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481</xdr:row>
      <xdr:rowOff>76200</xdr:rowOff>
    </xdr:from>
    <xdr:to>
      <xdr:col>1</xdr:col>
      <xdr:colOff>1238250</xdr:colOff>
      <xdr:row>481</xdr:row>
      <xdr:rowOff>76200</xdr:rowOff>
    </xdr:to>
    <xdr:cxnSp macro="">
      <xdr:nvCxnSpPr>
        <xdr:cNvPr id="905" name="Conector recto 17"/>
        <xdr:cNvCxnSpPr>
          <a:cxnSpLocks noChangeShapeType="1"/>
        </xdr:cNvCxnSpPr>
      </xdr:nvCxnSpPr>
      <xdr:spPr bwMode="auto">
        <a:xfrm>
          <a:off x="1095375" y="3491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482</xdr:row>
      <xdr:rowOff>76200</xdr:rowOff>
    </xdr:from>
    <xdr:to>
      <xdr:col>1</xdr:col>
      <xdr:colOff>1238250</xdr:colOff>
      <xdr:row>482</xdr:row>
      <xdr:rowOff>76200</xdr:rowOff>
    </xdr:to>
    <xdr:cxnSp macro="">
      <xdr:nvCxnSpPr>
        <xdr:cNvPr id="906" name="Conector recto 17"/>
        <xdr:cNvCxnSpPr>
          <a:cxnSpLocks noChangeShapeType="1"/>
        </xdr:cNvCxnSpPr>
      </xdr:nvCxnSpPr>
      <xdr:spPr bwMode="auto">
        <a:xfrm>
          <a:off x="1095375" y="351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483</xdr:row>
      <xdr:rowOff>76200</xdr:rowOff>
    </xdr:from>
    <xdr:to>
      <xdr:col>1</xdr:col>
      <xdr:colOff>1238250</xdr:colOff>
      <xdr:row>483</xdr:row>
      <xdr:rowOff>76200</xdr:rowOff>
    </xdr:to>
    <xdr:cxnSp macro="">
      <xdr:nvCxnSpPr>
        <xdr:cNvPr id="907" name="Conector recto 17"/>
        <xdr:cNvCxnSpPr>
          <a:cxnSpLocks noChangeShapeType="1"/>
        </xdr:cNvCxnSpPr>
      </xdr:nvCxnSpPr>
      <xdr:spPr bwMode="auto">
        <a:xfrm>
          <a:off x="1095375" y="35375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496</xdr:row>
      <xdr:rowOff>171450</xdr:rowOff>
    </xdr:from>
    <xdr:to>
      <xdr:col>1</xdr:col>
      <xdr:colOff>1247775</xdr:colOff>
      <xdr:row>496</xdr:row>
      <xdr:rowOff>171450</xdr:rowOff>
    </xdr:to>
    <xdr:cxnSp macro="">
      <xdr:nvCxnSpPr>
        <xdr:cNvPr id="916" name="Conector recto 17"/>
        <xdr:cNvCxnSpPr>
          <a:cxnSpLocks noChangeShapeType="1"/>
        </xdr:cNvCxnSpPr>
      </xdr:nvCxnSpPr>
      <xdr:spPr bwMode="auto">
        <a:xfrm>
          <a:off x="1104900" y="40500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497</xdr:row>
      <xdr:rowOff>171450</xdr:rowOff>
    </xdr:from>
    <xdr:to>
      <xdr:col>1</xdr:col>
      <xdr:colOff>1247775</xdr:colOff>
      <xdr:row>497</xdr:row>
      <xdr:rowOff>171450</xdr:rowOff>
    </xdr:to>
    <xdr:cxnSp macro="">
      <xdr:nvCxnSpPr>
        <xdr:cNvPr id="921" name="Conector recto 17"/>
        <xdr:cNvCxnSpPr>
          <a:cxnSpLocks noChangeShapeType="1"/>
        </xdr:cNvCxnSpPr>
      </xdr:nvCxnSpPr>
      <xdr:spPr bwMode="auto">
        <a:xfrm>
          <a:off x="1104900" y="41643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498</xdr:row>
      <xdr:rowOff>95250</xdr:rowOff>
    </xdr:from>
    <xdr:to>
      <xdr:col>1</xdr:col>
      <xdr:colOff>1238250</xdr:colOff>
      <xdr:row>498</xdr:row>
      <xdr:rowOff>180975</xdr:rowOff>
    </xdr:to>
    <xdr:grpSp>
      <xdr:nvGrpSpPr>
        <xdr:cNvPr id="922" name="Grupo 2"/>
        <xdr:cNvGrpSpPr>
          <a:grpSpLocks/>
        </xdr:cNvGrpSpPr>
      </xdr:nvGrpSpPr>
      <xdr:grpSpPr bwMode="auto">
        <a:xfrm>
          <a:off x="1263650" y="140112750"/>
          <a:ext cx="1085850" cy="85725"/>
          <a:chOff x="1066800" y="2924175"/>
          <a:chExt cx="1085850" cy="85725"/>
        </a:xfrm>
      </xdr:grpSpPr>
      <xdr:cxnSp macro="">
        <xdr:nvCxnSpPr>
          <xdr:cNvPr id="923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4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499</xdr:row>
      <xdr:rowOff>95250</xdr:rowOff>
    </xdr:from>
    <xdr:to>
      <xdr:col>1</xdr:col>
      <xdr:colOff>1238250</xdr:colOff>
      <xdr:row>499</xdr:row>
      <xdr:rowOff>180975</xdr:rowOff>
    </xdr:to>
    <xdr:grpSp>
      <xdr:nvGrpSpPr>
        <xdr:cNvPr id="925" name="Grupo 2"/>
        <xdr:cNvGrpSpPr>
          <a:grpSpLocks/>
        </xdr:cNvGrpSpPr>
      </xdr:nvGrpSpPr>
      <xdr:grpSpPr bwMode="auto">
        <a:xfrm>
          <a:off x="1263650" y="140366750"/>
          <a:ext cx="1085850" cy="85725"/>
          <a:chOff x="1066800" y="2924175"/>
          <a:chExt cx="1085850" cy="85725"/>
        </a:xfrm>
      </xdr:grpSpPr>
      <xdr:cxnSp macro="">
        <xdr:nvCxnSpPr>
          <xdr:cNvPr id="926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7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500</xdr:row>
      <xdr:rowOff>95250</xdr:rowOff>
    </xdr:from>
    <xdr:to>
      <xdr:col>1</xdr:col>
      <xdr:colOff>1238250</xdr:colOff>
      <xdr:row>500</xdr:row>
      <xdr:rowOff>180975</xdr:rowOff>
    </xdr:to>
    <xdr:grpSp>
      <xdr:nvGrpSpPr>
        <xdr:cNvPr id="928" name="Grupo 2"/>
        <xdr:cNvGrpSpPr>
          <a:grpSpLocks/>
        </xdr:cNvGrpSpPr>
      </xdr:nvGrpSpPr>
      <xdr:grpSpPr bwMode="auto">
        <a:xfrm>
          <a:off x="1263650" y="140620750"/>
          <a:ext cx="1085850" cy="85725"/>
          <a:chOff x="1066800" y="2924175"/>
          <a:chExt cx="1085850" cy="85725"/>
        </a:xfrm>
      </xdr:grpSpPr>
      <xdr:cxnSp macro="">
        <xdr:nvCxnSpPr>
          <xdr:cNvPr id="92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501</xdr:row>
      <xdr:rowOff>95250</xdr:rowOff>
    </xdr:from>
    <xdr:to>
      <xdr:col>1</xdr:col>
      <xdr:colOff>1238250</xdr:colOff>
      <xdr:row>501</xdr:row>
      <xdr:rowOff>180975</xdr:rowOff>
    </xdr:to>
    <xdr:grpSp>
      <xdr:nvGrpSpPr>
        <xdr:cNvPr id="931" name="Grupo 2"/>
        <xdr:cNvGrpSpPr>
          <a:grpSpLocks/>
        </xdr:cNvGrpSpPr>
      </xdr:nvGrpSpPr>
      <xdr:grpSpPr bwMode="auto">
        <a:xfrm>
          <a:off x="1263650" y="140874750"/>
          <a:ext cx="1085850" cy="85725"/>
          <a:chOff x="1066800" y="2924175"/>
          <a:chExt cx="1085850" cy="85725"/>
        </a:xfrm>
      </xdr:grpSpPr>
      <xdr:cxnSp macro="">
        <xdr:nvCxnSpPr>
          <xdr:cNvPr id="932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3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471</xdr:row>
      <xdr:rowOff>76200</xdr:rowOff>
    </xdr:from>
    <xdr:to>
      <xdr:col>1</xdr:col>
      <xdr:colOff>1238250</xdr:colOff>
      <xdr:row>471</xdr:row>
      <xdr:rowOff>76200</xdr:rowOff>
    </xdr:to>
    <xdr:cxnSp macro="">
      <xdr:nvCxnSpPr>
        <xdr:cNvPr id="934" name="Conector recto 17"/>
        <xdr:cNvCxnSpPr>
          <a:cxnSpLocks noChangeShapeType="1"/>
        </xdr:cNvCxnSpPr>
      </xdr:nvCxnSpPr>
      <xdr:spPr bwMode="auto">
        <a:xfrm>
          <a:off x="1095375" y="3240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142875</xdr:colOff>
      <xdr:row>472</xdr:row>
      <xdr:rowOff>76200</xdr:rowOff>
    </xdr:from>
    <xdr:to>
      <xdr:col>1</xdr:col>
      <xdr:colOff>1228725</xdr:colOff>
      <xdr:row>472</xdr:row>
      <xdr:rowOff>152400</xdr:rowOff>
    </xdr:to>
    <xdr:grpSp>
      <xdr:nvGrpSpPr>
        <xdr:cNvPr id="935" name="Grupo 1"/>
        <xdr:cNvGrpSpPr>
          <a:grpSpLocks/>
        </xdr:cNvGrpSpPr>
      </xdr:nvGrpSpPr>
      <xdr:grpSpPr bwMode="auto">
        <a:xfrm>
          <a:off x="1254125" y="133489700"/>
          <a:ext cx="1085850" cy="76200"/>
          <a:chOff x="1085850" y="1314450"/>
          <a:chExt cx="1085850" cy="76200"/>
        </a:xfrm>
      </xdr:grpSpPr>
      <xdr:cxnSp macro="">
        <xdr:nvCxnSpPr>
          <xdr:cNvPr id="936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7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473</xdr:row>
      <xdr:rowOff>76200</xdr:rowOff>
    </xdr:from>
    <xdr:to>
      <xdr:col>1</xdr:col>
      <xdr:colOff>1238250</xdr:colOff>
      <xdr:row>473</xdr:row>
      <xdr:rowOff>76200</xdr:rowOff>
    </xdr:to>
    <xdr:cxnSp macro="">
      <xdr:nvCxnSpPr>
        <xdr:cNvPr id="938" name="Conector recto 17"/>
        <xdr:cNvCxnSpPr>
          <a:cxnSpLocks noChangeShapeType="1"/>
        </xdr:cNvCxnSpPr>
      </xdr:nvCxnSpPr>
      <xdr:spPr bwMode="auto">
        <a:xfrm>
          <a:off x="1095375" y="3286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494</xdr:row>
      <xdr:rowOff>171450</xdr:rowOff>
    </xdr:from>
    <xdr:to>
      <xdr:col>1</xdr:col>
      <xdr:colOff>1247775</xdr:colOff>
      <xdr:row>494</xdr:row>
      <xdr:rowOff>171450</xdr:rowOff>
    </xdr:to>
    <xdr:cxnSp macro="">
      <xdr:nvCxnSpPr>
        <xdr:cNvPr id="946" name="Conector recto 17"/>
        <xdr:cNvCxnSpPr>
          <a:cxnSpLocks noChangeShapeType="1"/>
        </xdr:cNvCxnSpPr>
      </xdr:nvCxnSpPr>
      <xdr:spPr bwMode="auto">
        <a:xfrm>
          <a:off x="1104900" y="38671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491</xdr:row>
      <xdr:rowOff>171450</xdr:rowOff>
    </xdr:from>
    <xdr:to>
      <xdr:col>1</xdr:col>
      <xdr:colOff>1247775</xdr:colOff>
      <xdr:row>491</xdr:row>
      <xdr:rowOff>171450</xdr:rowOff>
    </xdr:to>
    <xdr:cxnSp macro="">
      <xdr:nvCxnSpPr>
        <xdr:cNvPr id="949" name="Conector recto 17"/>
        <xdr:cNvCxnSpPr>
          <a:cxnSpLocks noChangeShapeType="1"/>
        </xdr:cNvCxnSpPr>
      </xdr:nvCxnSpPr>
      <xdr:spPr bwMode="auto">
        <a:xfrm>
          <a:off x="1104900" y="37985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492</xdr:row>
      <xdr:rowOff>171450</xdr:rowOff>
    </xdr:from>
    <xdr:to>
      <xdr:col>1</xdr:col>
      <xdr:colOff>1247775</xdr:colOff>
      <xdr:row>492</xdr:row>
      <xdr:rowOff>171450</xdr:rowOff>
    </xdr:to>
    <xdr:cxnSp macro="">
      <xdr:nvCxnSpPr>
        <xdr:cNvPr id="950" name="Conector recto 17"/>
        <xdr:cNvCxnSpPr>
          <a:cxnSpLocks noChangeShapeType="1"/>
        </xdr:cNvCxnSpPr>
      </xdr:nvCxnSpPr>
      <xdr:spPr bwMode="auto">
        <a:xfrm>
          <a:off x="1104900" y="3821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493</xdr:row>
      <xdr:rowOff>171450</xdr:rowOff>
    </xdr:from>
    <xdr:to>
      <xdr:col>1</xdr:col>
      <xdr:colOff>1247775</xdr:colOff>
      <xdr:row>493</xdr:row>
      <xdr:rowOff>171450</xdr:rowOff>
    </xdr:to>
    <xdr:cxnSp macro="">
      <xdr:nvCxnSpPr>
        <xdr:cNvPr id="951" name="Conector recto 17"/>
        <xdr:cNvCxnSpPr>
          <a:cxnSpLocks noChangeShapeType="1"/>
        </xdr:cNvCxnSpPr>
      </xdr:nvCxnSpPr>
      <xdr:spPr bwMode="auto">
        <a:xfrm>
          <a:off x="1104900" y="3844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502</xdr:row>
      <xdr:rowOff>95250</xdr:rowOff>
    </xdr:from>
    <xdr:to>
      <xdr:col>1</xdr:col>
      <xdr:colOff>1238250</xdr:colOff>
      <xdr:row>502</xdr:row>
      <xdr:rowOff>180975</xdr:rowOff>
    </xdr:to>
    <xdr:grpSp>
      <xdr:nvGrpSpPr>
        <xdr:cNvPr id="953" name="Grupo 2"/>
        <xdr:cNvGrpSpPr>
          <a:grpSpLocks/>
        </xdr:cNvGrpSpPr>
      </xdr:nvGrpSpPr>
      <xdr:grpSpPr bwMode="auto">
        <a:xfrm>
          <a:off x="1263650" y="141128750"/>
          <a:ext cx="1085850" cy="85725"/>
          <a:chOff x="1066800" y="2924175"/>
          <a:chExt cx="1085850" cy="85725"/>
        </a:xfrm>
      </xdr:grpSpPr>
      <xdr:cxnSp macro="">
        <xdr:nvCxnSpPr>
          <xdr:cNvPr id="954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5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503</xdr:row>
      <xdr:rowOff>95250</xdr:rowOff>
    </xdr:from>
    <xdr:to>
      <xdr:col>1</xdr:col>
      <xdr:colOff>1238250</xdr:colOff>
      <xdr:row>503</xdr:row>
      <xdr:rowOff>180975</xdr:rowOff>
    </xdr:to>
    <xdr:grpSp>
      <xdr:nvGrpSpPr>
        <xdr:cNvPr id="956" name="Grupo 2"/>
        <xdr:cNvGrpSpPr>
          <a:grpSpLocks/>
        </xdr:cNvGrpSpPr>
      </xdr:nvGrpSpPr>
      <xdr:grpSpPr bwMode="auto">
        <a:xfrm>
          <a:off x="1263650" y="141382750"/>
          <a:ext cx="1085850" cy="85725"/>
          <a:chOff x="1066800" y="2924175"/>
          <a:chExt cx="1085850" cy="85725"/>
        </a:xfrm>
      </xdr:grpSpPr>
      <xdr:cxnSp macro="">
        <xdr:nvCxnSpPr>
          <xdr:cNvPr id="95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171450</xdr:colOff>
      <xdr:row>690</xdr:row>
      <xdr:rowOff>74612</xdr:rowOff>
    </xdr:from>
    <xdr:to>
      <xdr:col>1</xdr:col>
      <xdr:colOff>1257300</xdr:colOff>
      <xdr:row>690</xdr:row>
      <xdr:rowOff>150812</xdr:rowOff>
    </xdr:to>
    <xdr:grpSp>
      <xdr:nvGrpSpPr>
        <xdr:cNvPr id="633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34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35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691</xdr:row>
      <xdr:rowOff>177800</xdr:rowOff>
    </xdr:from>
    <xdr:to>
      <xdr:col>1</xdr:col>
      <xdr:colOff>1244600</xdr:colOff>
      <xdr:row>691</xdr:row>
      <xdr:rowOff>177800</xdr:rowOff>
    </xdr:to>
    <xdr:cxnSp macro="">
      <xdr:nvCxnSpPr>
        <xdr:cNvPr id="636" name="Conector recto 39"/>
        <xdr:cNvCxnSpPr>
          <a:cxnSpLocks noChangeShapeType="1"/>
        </xdr:cNvCxnSpPr>
      </xdr:nvCxnSpPr>
      <xdr:spPr bwMode="auto">
        <a:xfrm>
          <a:off x="1263650" y="9676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692</xdr:row>
      <xdr:rowOff>76200</xdr:rowOff>
    </xdr:from>
    <xdr:to>
      <xdr:col>1</xdr:col>
      <xdr:colOff>1257300</xdr:colOff>
      <xdr:row>692</xdr:row>
      <xdr:rowOff>76200</xdr:rowOff>
    </xdr:to>
    <xdr:cxnSp macro="">
      <xdr:nvCxnSpPr>
        <xdr:cNvPr id="637" name="Conector recto 39"/>
        <xdr:cNvCxnSpPr>
          <a:cxnSpLocks noChangeShapeType="1"/>
        </xdr:cNvCxnSpPr>
      </xdr:nvCxnSpPr>
      <xdr:spPr bwMode="auto">
        <a:xfrm>
          <a:off x="1276350" y="9690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693</xdr:row>
      <xdr:rowOff>76200</xdr:rowOff>
    </xdr:from>
    <xdr:to>
      <xdr:col>1</xdr:col>
      <xdr:colOff>1257300</xdr:colOff>
      <xdr:row>693</xdr:row>
      <xdr:rowOff>76200</xdr:rowOff>
    </xdr:to>
    <xdr:cxnSp macro="">
      <xdr:nvCxnSpPr>
        <xdr:cNvPr id="638" name="Conector recto 39"/>
        <xdr:cNvCxnSpPr>
          <a:cxnSpLocks noChangeShapeType="1"/>
        </xdr:cNvCxnSpPr>
      </xdr:nvCxnSpPr>
      <xdr:spPr bwMode="auto">
        <a:xfrm>
          <a:off x="1276350" y="97155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695</xdr:row>
      <xdr:rowOff>177800</xdr:rowOff>
    </xdr:from>
    <xdr:to>
      <xdr:col>1</xdr:col>
      <xdr:colOff>1244600</xdr:colOff>
      <xdr:row>695</xdr:row>
      <xdr:rowOff>177800</xdr:rowOff>
    </xdr:to>
    <xdr:cxnSp macro="">
      <xdr:nvCxnSpPr>
        <xdr:cNvPr id="639" name="Conector recto 39"/>
        <xdr:cNvCxnSpPr>
          <a:cxnSpLocks noChangeShapeType="1"/>
        </xdr:cNvCxnSpPr>
      </xdr:nvCxnSpPr>
      <xdr:spPr bwMode="auto">
        <a:xfrm>
          <a:off x="1263650" y="97751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696</xdr:row>
      <xdr:rowOff>177800</xdr:rowOff>
    </xdr:from>
    <xdr:to>
      <xdr:col>1</xdr:col>
      <xdr:colOff>1244600</xdr:colOff>
      <xdr:row>696</xdr:row>
      <xdr:rowOff>177800</xdr:rowOff>
    </xdr:to>
    <xdr:cxnSp macro="">
      <xdr:nvCxnSpPr>
        <xdr:cNvPr id="640" name="Conector recto 39"/>
        <xdr:cNvCxnSpPr>
          <a:cxnSpLocks noChangeShapeType="1"/>
        </xdr:cNvCxnSpPr>
      </xdr:nvCxnSpPr>
      <xdr:spPr bwMode="auto">
        <a:xfrm>
          <a:off x="1263650" y="97999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139700</xdr:colOff>
      <xdr:row>697</xdr:row>
      <xdr:rowOff>171450</xdr:rowOff>
    </xdr:from>
    <xdr:to>
      <xdr:col>1</xdr:col>
      <xdr:colOff>1225550</xdr:colOff>
      <xdr:row>697</xdr:row>
      <xdr:rowOff>171450</xdr:rowOff>
    </xdr:to>
    <xdr:cxnSp macro="">
      <xdr:nvCxnSpPr>
        <xdr:cNvPr id="641" name="Conector recto 39"/>
        <xdr:cNvCxnSpPr>
          <a:cxnSpLocks noChangeShapeType="1"/>
        </xdr:cNvCxnSpPr>
      </xdr:nvCxnSpPr>
      <xdr:spPr bwMode="auto">
        <a:xfrm>
          <a:off x="1244600" y="98240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698</xdr:row>
      <xdr:rowOff>76200</xdr:rowOff>
    </xdr:from>
    <xdr:to>
      <xdr:col>1</xdr:col>
      <xdr:colOff>1257300</xdr:colOff>
      <xdr:row>698</xdr:row>
      <xdr:rowOff>76200</xdr:rowOff>
    </xdr:to>
    <xdr:cxnSp macro="">
      <xdr:nvCxnSpPr>
        <xdr:cNvPr id="642" name="Conector recto 39"/>
        <xdr:cNvCxnSpPr>
          <a:cxnSpLocks noChangeShapeType="1"/>
        </xdr:cNvCxnSpPr>
      </xdr:nvCxnSpPr>
      <xdr:spPr bwMode="auto">
        <a:xfrm>
          <a:off x="1276350" y="9839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174625</xdr:colOff>
      <xdr:row>699</xdr:row>
      <xdr:rowOff>82550</xdr:rowOff>
    </xdr:from>
    <xdr:to>
      <xdr:col>1</xdr:col>
      <xdr:colOff>1260475</xdr:colOff>
      <xdr:row>699</xdr:row>
      <xdr:rowOff>82550</xdr:rowOff>
    </xdr:to>
    <xdr:cxnSp macro="">
      <xdr:nvCxnSpPr>
        <xdr:cNvPr id="643" name="Conector recto 39"/>
        <xdr:cNvCxnSpPr>
          <a:cxnSpLocks noChangeShapeType="1"/>
        </xdr:cNvCxnSpPr>
      </xdr:nvCxnSpPr>
      <xdr:spPr bwMode="auto">
        <a:xfrm>
          <a:off x="1279525" y="986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700</xdr:row>
      <xdr:rowOff>177800</xdr:rowOff>
    </xdr:from>
    <xdr:to>
      <xdr:col>1</xdr:col>
      <xdr:colOff>1244600</xdr:colOff>
      <xdr:row>700</xdr:row>
      <xdr:rowOff>177800</xdr:rowOff>
    </xdr:to>
    <xdr:cxnSp macro="">
      <xdr:nvCxnSpPr>
        <xdr:cNvPr id="644" name="Conector recto 39"/>
        <xdr:cNvCxnSpPr>
          <a:cxnSpLocks noChangeShapeType="1"/>
        </xdr:cNvCxnSpPr>
      </xdr:nvCxnSpPr>
      <xdr:spPr bwMode="auto">
        <a:xfrm>
          <a:off x="1263650" y="9899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694</xdr:row>
      <xdr:rowOff>76200</xdr:rowOff>
    </xdr:from>
    <xdr:to>
      <xdr:col>1</xdr:col>
      <xdr:colOff>1257300</xdr:colOff>
      <xdr:row>694</xdr:row>
      <xdr:rowOff>76200</xdr:rowOff>
    </xdr:to>
    <xdr:cxnSp macro="">
      <xdr:nvCxnSpPr>
        <xdr:cNvPr id="645" name="Conector recto 39"/>
        <xdr:cNvCxnSpPr>
          <a:cxnSpLocks noChangeShapeType="1"/>
        </xdr:cNvCxnSpPr>
      </xdr:nvCxnSpPr>
      <xdr:spPr bwMode="auto">
        <a:xfrm>
          <a:off x="1276350" y="974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701</xdr:row>
      <xdr:rowOff>177800</xdr:rowOff>
    </xdr:from>
    <xdr:to>
      <xdr:col>1</xdr:col>
      <xdr:colOff>1244600</xdr:colOff>
      <xdr:row>701</xdr:row>
      <xdr:rowOff>177800</xdr:rowOff>
    </xdr:to>
    <xdr:cxnSp macro="">
      <xdr:nvCxnSpPr>
        <xdr:cNvPr id="646" name="Conector recto 39"/>
        <xdr:cNvCxnSpPr>
          <a:cxnSpLocks noChangeShapeType="1"/>
        </xdr:cNvCxnSpPr>
      </xdr:nvCxnSpPr>
      <xdr:spPr bwMode="auto">
        <a:xfrm>
          <a:off x="1263650" y="99237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704</xdr:row>
      <xdr:rowOff>71437</xdr:rowOff>
    </xdr:from>
    <xdr:to>
      <xdr:col>1</xdr:col>
      <xdr:colOff>1181100</xdr:colOff>
      <xdr:row>704</xdr:row>
      <xdr:rowOff>147637</xdr:rowOff>
    </xdr:to>
    <xdr:grpSp>
      <xdr:nvGrpSpPr>
        <xdr:cNvPr id="647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48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9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706</xdr:row>
      <xdr:rowOff>42862</xdr:rowOff>
    </xdr:from>
    <xdr:to>
      <xdr:col>1</xdr:col>
      <xdr:colOff>1209675</xdr:colOff>
      <xdr:row>706</xdr:row>
      <xdr:rowOff>119062</xdr:rowOff>
    </xdr:to>
    <xdr:grpSp>
      <xdr:nvGrpSpPr>
        <xdr:cNvPr id="650" name="Grupo 362"/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51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2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705</xdr:row>
      <xdr:rowOff>71437</xdr:rowOff>
    </xdr:from>
    <xdr:to>
      <xdr:col>1</xdr:col>
      <xdr:colOff>1181100</xdr:colOff>
      <xdr:row>705</xdr:row>
      <xdr:rowOff>147637</xdr:rowOff>
    </xdr:to>
    <xdr:grpSp>
      <xdr:nvGrpSpPr>
        <xdr:cNvPr id="653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54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5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702</xdr:row>
      <xdr:rowOff>177800</xdr:rowOff>
    </xdr:from>
    <xdr:to>
      <xdr:col>1</xdr:col>
      <xdr:colOff>1244600</xdr:colOff>
      <xdr:row>702</xdr:row>
      <xdr:rowOff>177800</xdr:rowOff>
    </xdr:to>
    <xdr:cxnSp macro="">
      <xdr:nvCxnSpPr>
        <xdr:cNvPr id="656" name="Conector recto 39"/>
        <xdr:cNvCxnSpPr>
          <a:cxnSpLocks noChangeShapeType="1"/>
        </xdr:cNvCxnSpPr>
      </xdr:nvCxnSpPr>
      <xdr:spPr bwMode="auto">
        <a:xfrm>
          <a:off x="1263650" y="9948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703</xdr:row>
      <xdr:rowOff>177800</xdr:rowOff>
    </xdr:from>
    <xdr:to>
      <xdr:col>1</xdr:col>
      <xdr:colOff>1244600</xdr:colOff>
      <xdr:row>703</xdr:row>
      <xdr:rowOff>177800</xdr:rowOff>
    </xdr:to>
    <xdr:cxnSp macro="">
      <xdr:nvCxnSpPr>
        <xdr:cNvPr id="657" name="Conector recto 39"/>
        <xdr:cNvCxnSpPr>
          <a:cxnSpLocks noChangeShapeType="1"/>
        </xdr:cNvCxnSpPr>
      </xdr:nvCxnSpPr>
      <xdr:spPr bwMode="auto">
        <a:xfrm>
          <a:off x="1263650" y="99733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711</xdr:row>
      <xdr:rowOff>74612</xdr:rowOff>
    </xdr:from>
    <xdr:to>
      <xdr:col>1</xdr:col>
      <xdr:colOff>1257300</xdr:colOff>
      <xdr:row>711</xdr:row>
      <xdr:rowOff>150812</xdr:rowOff>
    </xdr:to>
    <xdr:grpSp>
      <xdr:nvGrpSpPr>
        <xdr:cNvPr id="658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59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0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77439</xdr:colOff>
      <xdr:row>712</xdr:row>
      <xdr:rowOff>177800</xdr:rowOff>
    </xdr:from>
    <xdr:to>
      <xdr:col>1</xdr:col>
      <xdr:colOff>1163289</xdr:colOff>
      <xdr:row>712</xdr:row>
      <xdr:rowOff>177800</xdr:rowOff>
    </xdr:to>
    <xdr:cxnSp macro="">
      <xdr:nvCxnSpPr>
        <xdr:cNvPr id="661" name="Conector recto 39"/>
        <xdr:cNvCxnSpPr>
          <a:cxnSpLocks noChangeShapeType="1"/>
        </xdr:cNvCxnSpPr>
      </xdr:nvCxnSpPr>
      <xdr:spPr bwMode="auto">
        <a:xfrm>
          <a:off x="1180945" y="1896439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714</xdr:row>
      <xdr:rowOff>177800</xdr:rowOff>
    </xdr:from>
    <xdr:to>
      <xdr:col>1</xdr:col>
      <xdr:colOff>1244600</xdr:colOff>
      <xdr:row>714</xdr:row>
      <xdr:rowOff>177800</xdr:rowOff>
    </xdr:to>
    <xdr:cxnSp macro="">
      <xdr:nvCxnSpPr>
        <xdr:cNvPr id="662" name="Conector recto 39"/>
        <xdr:cNvCxnSpPr>
          <a:cxnSpLocks noChangeShapeType="1"/>
        </xdr:cNvCxnSpPr>
      </xdr:nvCxnSpPr>
      <xdr:spPr bwMode="auto">
        <a:xfrm>
          <a:off x="1263650" y="10220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713</xdr:row>
      <xdr:rowOff>177800</xdr:rowOff>
    </xdr:from>
    <xdr:to>
      <xdr:col>1</xdr:col>
      <xdr:colOff>1244600</xdr:colOff>
      <xdr:row>713</xdr:row>
      <xdr:rowOff>177800</xdr:rowOff>
    </xdr:to>
    <xdr:cxnSp macro="">
      <xdr:nvCxnSpPr>
        <xdr:cNvPr id="663" name="Conector recto 39"/>
        <xdr:cNvCxnSpPr>
          <a:cxnSpLocks noChangeShapeType="1"/>
        </xdr:cNvCxnSpPr>
      </xdr:nvCxnSpPr>
      <xdr:spPr bwMode="auto">
        <a:xfrm>
          <a:off x="1263650" y="101961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719</xdr:row>
      <xdr:rowOff>74612</xdr:rowOff>
    </xdr:from>
    <xdr:to>
      <xdr:col>1</xdr:col>
      <xdr:colOff>1257300</xdr:colOff>
      <xdr:row>719</xdr:row>
      <xdr:rowOff>150812</xdr:rowOff>
    </xdr:to>
    <xdr:grpSp>
      <xdr:nvGrpSpPr>
        <xdr:cNvPr id="666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6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720</xdr:row>
      <xdr:rowOff>177800</xdr:rowOff>
    </xdr:from>
    <xdr:to>
      <xdr:col>1</xdr:col>
      <xdr:colOff>1244600</xdr:colOff>
      <xdr:row>720</xdr:row>
      <xdr:rowOff>177800</xdr:rowOff>
    </xdr:to>
    <xdr:cxnSp macro="">
      <xdr:nvCxnSpPr>
        <xdr:cNvPr id="669" name="Conector recto 39"/>
        <xdr:cNvCxnSpPr>
          <a:cxnSpLocks noChangeShapeType="1"/>
        </xdr:cNvCxnSpPr>
      </xdr:nvCxnSpPr>
      <xdr:spPr bwMode="auto">
        <a:xfrm>
          <a:off x="1263650" y="104686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725</xdr:row>
      <xdr:rowOff>42862</xdr:rowOff>
    </xdr:from>
    <xdr:to>
      <xdr:col>1</xdr:col>
      <xdr:colOff>1209675</xdr:colOff>
      <xdr:row>725</xdr:row>
      <xdr:rowOff>119062</xdr:rowOff>
    </xdr:to>
    <xdr:grpSp>
      <xdr:nvGrpSpPr>
        <xdr:cNvPr id="670" name="Grupo 362"/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71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2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726</xdr:row>
      <xdr:rowOff>177800</xdr:rowOff>
    </xdr:from>
    <xdr:to>
      <xdr:col>1</xdr:col>
      <xdr:colOff>1244600</xdr:colOff>
      <xdr:row>726</xdr:row>
      <xdr:rowOff>177800</xdr:rowOff>
    </xdr:to>
    <xdr:cxnSp macro="">
      <xdr:nvCxnSpPr>
        <xdr:cNvPr id="673" name="Conector recto 39"/>
        <xdr:cNvCxnSpPr>
          <a:cxnSpLocks noChangeShapeType="1"/>
        </xdr:cNvCxnSpPr>
      </xdr:nvCxnSpPr>
      <xdr:spPr bwMode="auto">
        <a:xfrm>
          <a:off x="1263650" y="1059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815</xdr:row>
      <xdr:rowOff>79375</xdr:rowOff>
    </xdr:from>
    <xdr:to>
      <xdr:col>1</xdr:col>
      <xdr:colOff>1323975</xdr:colOff>
      <xdr:row>815</xdr:row>
      <xdr:rowOff>155575</xdr:rowOff>
    </xdr:to>
    <xdr:grpSp>
      <xdr:nvGrpSpPr>
        <xdr:cNvPr id="674" name="Grupo 673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75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6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7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816</xdr:row>
      <xdr:rowOff>177800</xdr:rowOff>
    </xdr:from>
    <xdr:to>
      <xdr:col>1</xdr:col>
      <xdr:colOff>1244600</xdr:colOff>
      <xdr:row>816</xdr:row>
      <xdr:rowOff>177800</xdr:rowOff>
    </xdr:to>
    <xdr:cxnSp macro="">
      <xdr:nvCxnSpPr>
        <xdr:cNvPr id="678" name="Conector recto 39"/>
        <xdr:cNvCxnSpPr>
          <a:cxnSpLocks noChangeShapeType="1"/>
        </xdr:cNvCxnSpPr>
      </xdr:nvCxnSpPr>
      <xdr:spPr bwMode="auto">
        <a:xfrm>
          <a:off x="1263650" y="11979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821</xdr:row>
      <xdr:rowOff>79375</xdr:rowOff>
    </xdr:from>
    <xdr:to>
      <xdr:col>1</xdr:col>
      <xdr:colOff>1323975</xdr:colOff>
      <xdr:row>821</xdr:row>
      <xdr:rowOff>155575</xdr:rowOff>
    </xdr:to>
    <xdr:grpSp>
      <xdr:nvGrpSpPr>
        <xdr:cNvPr id="679" name="Grupo 678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0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1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2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822</xdr:row>
      <xdr:rowOff>177800</xdr:rowOff>
    </xdr:from>
    <xdr:to>
      <xdr:col>1</xdr:col>
      <xdr:colOff>1244600</xdr:colOff>
      <xdr:row>822</xdr:row>
      <xdr:rowOff>177800</xdr:rowOff>
    </xdr:to>
    <xdr:cxnSp macro="">
      <xdr:nvCxnSpPr>
        <xdr:cNvPr id="683" name="Conector recto 39"/>
        <xdr:cNvCxnSpPr>
          <a:cxnSpLocks noChangeShapeType="1"/>
        </xdr:cNvCxnSpPr>
      </xdr:nvCxnSpPr>
      <xdr:spPr bwMode="auto">
        <a:xfrm>
          <a:off x="1263650" y="121031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827</xdr:row>
      <xdr:rowOff>79375</xdr:rowOff>
    </xdr:from>
    <xdr:to>
      <xdr:col>1</xdr:col>
      <xdr:colOff>1323975</xdr:colOff>
      <xdr:row>827</xdr:row>
      <xdr:rowOff>155575</xdr:rowOff>
    </xdr:to>
    <xdr:grpSp>
      <xdr:nvGrpSpPr>
        <xdr:cNvPr id="684" name="Grupo 683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5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6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7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828</xdr:row>
      <xdr:rowOff>177800</xdr:rowOff>
    </xdr:from>
    <xdr:to>
      <xdr:col>1</xdr:col>
      <xdr:colOff>1244600</xdr:colOff>
      <xdr:row>828</xdr:row>
      <xdr:rowOff>177800</xdr:rowOff>
    </xdr:to>
    <xdr:cxnSp macro="">
      <xdr:nvCxnSpPr>
        <xdr:cNvPr id="688" name="Conector recto 39"/>
        <xdr:cNvCxnSpPr>
          <a:cxnSpLocks noChangeShapeType="1"/>
        </xdr:cNvCxnSpPr>
      </xdr:nvCxnSpPr>
      <xdr:spPr bwMode="auto">
        <a:xfrm>
          <a:off x="1263650" y="122269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829</xdr:row>
      <xdr:rowOff>177800</xdr:rowOff>
    </xdr:from>
    <xdr:to>
      <xdr:col>1</xdr:col>
      <xdr:colOff>1244600</xdr:colOff>
      <xdr:row>829</xdr:row>
      <xdr:rowOff>177800</xdr:rowOff>
    </xdr:to>
    <xdr:cxnSp macro="">
      <xdr:nvCxnSpPr>
        <xdr:cNvPr id="689" name="Conector recto 39"/>
        <xdr:cNvCxnSpPr>
          <a:cxnSpLocks noChangeShapeType="1"/>
        </xdr:cNvCxnSpPr>
      </xdr:nvCxnSpPr>
      <xdr:spPr bwMode="auto">
        <a:xfrm>
          <a:off x="1263650" y="122516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690" name="Grupo 343"/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691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2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835</xdr:row>
      <xdr:rowOff>177800</xdr:rowOff>
    </xdr:from>
    <xdr:to>
      <xdr:col>1</xdr:col>
      <xdr:colOff>1244600</xdr:colOff>
      <xdr:row>835</xdr:row>
      <xdr:rowOff>177800</xdr:rowOff>
    </xdr:to>
    <xdr:cxnSp macro="">
      <xdr:nvCxnSpPr>
        <xdr:cNvPr id="693" name="Conector recto 39"/>
        <xdr:cNvCxnSpPr>
          <a:cxnSpLocks noChangeShapeType="1"/>
        </xdr:cNvCxnSpPr>
      </xdr:nvCxnSpPr>
      <xdr:spPr bwMode="auto">
        <a:xfrm>
          <a:off x="1263650" y="12375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836</xdr:row>
      <xdr:rowOff>74612</xdr:rowOff>
    </xdr:from>
    <xdr:to>
      <xdr:col>1</xdr:col>
      <xdr:colOff>1257300</xdr:colOff>
      <xdr:row>836</xdr:row>
      <xdr:rowOff>150812</xdr:rowOff>
    </xdr:to>
    <xdr:grpSp>
      <xdr:nvGrpSpPr>
        <xdr:cNvPr id="694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95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6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837</xdr:row>
      <xdr:rowOff>79375</xdr:rowOff>
    </xdr:from>
    <xdr:to>
      <xdr:col>1</xdr:col>
      <xdr:colOff>1323975</xdr:colOff>
      <xdr:row>837</xdr:row>
      <xdr:rowOff>155575</xdr:rowOff>
    </xdr:to>
    <xdr:grpSp>
      <xdr:nvGrpSpPr>
        <xdr:cNvPr id="697" name="Grupo 696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98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9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0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838</xdr:row>
      <xdr:rowOff>79375</xdr:rowOff>
    </xdr:from>
    <xdr:to>
      <xdr:col>1</xdr:col>
      <xdr:colOff>1323975</xdr:colOff>
      <xdr:row>838</xdr:row>
      <xdr:rowOff>155575</xdr:rowOff>
    </xdr:to>
    <xdr:grpSp>
      <xdr:nvGrpSpPr>
        <xdr:cNvPr id="701" name="Grupo 700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2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3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4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839</xdr:row>
      <xdr:rowOff>177800</xdr:rowOff>
    </xdr:from>
    <xdr:to>
      <xdr:col>1</xdr:col>
      <xdr:colOff>1244600</xdr:colOff>
      <xdr:row>839</xdr:row>
      <xdr:rowOff>177800</xdr:rowOff>
    </xdr:to>
    <xdr:cxnSp macro="">
      <xdr:nvCxnSpPr>
        <xdr:cNvPr id="705" name="Conector recto 39"/>
        <xdr:cNvCxnSpPr>
          <a:cxnSpLocks noChangeShapeType="1"/>
        </xdr:cNvCxnSpPr>
      </xdr:nvCxnSpPr>
      <xdr:spPr bwMode="auto">
        <a:xfrm>
          <a:off x="1263650" y="12474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844</xdr:row>
      <xdr:rowOff>79375</xdr:rowOff>
    </xdr:from>
    <xdr:to>
      <xdr:col>1</xdr:col>
      <xdr:colOff>1323975</xdr:colOff>
      <xdr:row>844</xdr:row>
      <xdr:rowOff>155575</xdr:rowOff>
    </xdr:to>
    <xdr:grpSp>
      <xdr:nvGrpSpPr>
        <xdr:cNvPr id="706" name="Grupo 705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7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8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9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845</xdr:row>
      <xdr:rowOff>177800</xdr:rowOff>
    </xdr:from>
    <xdr:to>
      <xdr:col>1</xdr:col>
      <xdr:colOff>1244600</xdr:colOff>
      <xdr:row>845</xdr:row>
      <xdr:rowOff>177800</xdr:rowOff>
    </xdr:to>
    <xdr:cxnSp macro="">
      <xdr:nvCxnSpPr>
        <xdr:cNvPr id="710" name="Conector recto 39"/>
        <xdr:cNvCxnSpPr>
          <a:cxnSpLocks noChangeShapeType="1"/>
        </xdr:cNvCxnSpPr>
      </xdr:nvCxnSpPr>
      <xdr:spPr bwMode="auto">
        <a:xfrm>
          <a:off x="1263650" y="12598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850</xdr:row>
      <xdr:rowOff>177800</xdr:rowOff>
    </xdr:from>
    <xdr:to>
      <xdr:col>1</xdr:col>
      <xdr:colOff>1244600</xdr:colOff>
      <xdr:row>850</xdr:row>
      <xdr:rowOff>177800</xdr:rowOff>
    </xdr:to>
    <xdr:cxnSp macro="">
      <xdr:nvCxnSpPr>
        <xdr:cNvPr id="711" name="Conector recto 39"/>
        <xdr:cNvCxnSpPr>
          <a:cxnSpLocks noChangeShapeType="1"/>
        </xdr:cNvCxnSpPr>
      </xdr:nvCxnSpPr>
      <xdr:spPr bwMode="auto">
        <a:xfrm>
          <a:off x="1263650" y="12722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849</xdr:row>
      <xdr:rowOff>74612</xdr:rowOff>
    </xdr:from>
    <xdr:to>
      <xdr:col>1</xdr:col>
      <xdr:colOff>1257300</xdr:colOff>
      <xdr:row>849</xdr:row>
      <xdr:rowOff>150812</xdr:rowOff>
    </xdr:to>
    <xdr:grpSp>
      <xdr:nvGrpSpPr>
        <xdr:cNvPr id="712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13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4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851</xdr:row>
      <xdr:rowOff>177800</xdr:rowOff>
    </xdr:from>
    <xdr:to>
      <xdr:col>1</xdr:col>
      <xdr:colOff>1244600</xdr:colOff>
      <xdr:row>851</xdr:row>
      <xdr:rowOff>177800</xdr:rowOff>
    </xdr:to>
    <xdr:cxnSp macro="">
      <xdr:nvCxnSpPr>
        <xdr:cNvPr id="715" name="Conector recto 39"/>
        <xdr:cNvCxnSpPr>
          <a:cxnSpLocks noChangeShapeType="1"/>
        </xdr:cNvCxnSpPr>
      </xdr:nvCxnSpPr>
      <xdr:spPr bwMode="auto">
        <a:xfrm>
          <a:off x="1263650" y="127469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852</xdr:row>
      <xdr:rowOff>177800</xdr:rowOff>
    </xdr:from>
    <xdr:to>
      <xdr:col>1</xdr:col>
      <xdr:colOff>1244600</xdr:colOff>
      <xdr:row>852</xdr:row>
      <xdr:rowOff>177800</xdr:rowOff>
    </xdr:to>
    <xdr:cxnSp macro="">
      <xdr:nvCxnSpPr>
        <xdr:cNvPr id="716" name="Conector recto 39"/>
        <xdr:cNvCxnSpPr>
          <a:cxnSpLocks noChangeShapeType="1"/>
        </xdr:cNvCxnSpPr>
      </xdr:nvCxnSpPr>
      <xdr:spPr bwMode="auto">
        <a:xfrm>
          <a:off x="1263650" y="127717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853</xdr:row>
      <xdr:rowOff>177800</xdr:rowOff>
    </xdr:from>
    <xdr:to>
      <xdr:col>1</xdr:col>
      <xdr:colOff>1244600</xdr:colOff>
      <xdr:row>853</xdr:row>
      <xdr:rowOff>177800</xdr:rowOff>
    </xdr:to>
    <xdr:cxnSp macro="">
      <xdr:nvCxnSpPr>
        <xdr:cNvPr id="717" name="Conector recto 39"/>
        <xdr:cNvCxnSpPr>
          <a:cxnSpLocks noChangeShapeType="1"/>
        </xdr:cNvCxnSpPr>
      </xdr:nvCxnSpPr>
      <xdr:spPr bwMode="auto">
        <a:xfrm>
          <a:off x="1263650" y="12796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854</xdr:row>
      <xdr:rowOff>177800</xdr:rowOff>
    </xdr:from>
    <xdr:to>
      <xdr:col>1</xdr:col>
      <xdr:colOff>1244600</xdr:colOff>
      <xdr:row>854</xdr:row>
      <xdr:rowOff>177800</xdr:rowOff>
    </xdr:to>
    <xdr:cxnSp macro="">
      <xdr:nvCxnSpPr>
        <xdr:cNvPr id="718" name="Conector recto 39"/>
        <xdr:cNvCxnSpPr>
          <a:cxnSpLocks noChangeShapeType="1"/>
        </xdr:cNvCxnSpPr>
      </xdr:nvCxnSpPr>
      <xdr:spPr bwMode="auto">
        <a:xfrm>
          <a:off x="1263650" y="12821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855</xdr:row>
      <xdr:rowOff>71437</xdr:rowOff>
    </xdr:from>
    <xdr:to>
      <xdr:col>1</xdr:col>
      <xdr:colOff>1181100</xdr:colOff>
      <xdr:row>855</xdr:row>
      <xdr:rowOff>147637</xdr:rowOff>
    </xdr:to>
    <xdr:grpSp>
      <xdr:nvGrpSpPr>
        <xdr:cNvPr id="719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20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1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859</xdr:row>
      <xdr:rowOff>79375</xdr:rowOff>
    </xdr:from>
    <xdr:to>
      <xdr:col>1</xdr:col>
      <xdr:colOff>1323975</xdr:colOff>
      <xdr:row>859</xdr:row>
      <xdr:rowOff>155575</xdr:rowOff>
    </xdr:to>
    <xdr:grpSp>
      <xdr:nvGrpSpPr>
        <xdr:cNvPr id="722" name="Grupo 721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3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4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5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860</xdr:row>
      <xdr:rowOff>177800</xdr:rowOff>
    </xdr:from>
    <xdr:to>
      <xdr:col>1</xdr:col>
      <xdr:colOff>1244600</xdr:colOff>
      <xdr:row>860</xdr:row>
      <xdr:rowOff>177800</xdr:rowOff>
    </xdr:to>
    <xdr:cxnSp macro="">
      <xdr:nvCxnSpPr>
        <xdr:cNvPr id="726" name="Conector recto 39"/>
        <xdr:cNvCxnSpPr>
          <a:cxnSpLocks noChangeShapeType="1"/>
        </xdr:cNvCxnSpPr>
      </xdr:nvCxnSpPr>
      <xdr:spPr bwMode="auto">
        <a:xfrm>
          <a:off x="1263650" y="12969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865</xdr:row>
      <xdr:rowOff>79375</xdr:rowOff>
    </xdr:from>
    <xdr:to>
      <xdr:col>1</xdr:col>
      <xdr:colOff>1323975</xdr:colOff>
      <xdr:row>865</xdr:row>
      <xdr:rowOff>155575</xdr:rowOff>
    </xdr:to>
    <xdr:grpSp>
      <xdr:nvGrpSpPr>
        <xdr:cNvPr id="727" name="Grupo 726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8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9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0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866</xdr:row>
      <xdr:rowOff>177800</xdr:rowOff>
    </xdr:from>
    <xdr:to>
      <xdr:col>1</xdr:col>
      <xdr:colOff>1244600</xdr:colOff>
      <xdr:row>866</xdr:row>
      <xdr:rowOff>177800</xdr:rowOff>
    </xdr:to>
    <xdr:cxnSp macro="">
      <xdr:nvCxnSpPr>
        <xdr:cNvPr id="731" name="Conector recto 39"/>
        <xdr:cNvCxnSpPr>
          <a:cxnSpLocks noChangeShapeType="1"/>
        </xdr:cNvCxnSpPr>
      </xdr:nvCxnSpPr>
      <xdr:spPr bwMode="auto">
        <a:xfrm>
          <a:off x="1263650" y="130937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732" name="Grupo 343"/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733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4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780</xdr:row>
      <xdr:rowOff>94167</xdr:rowOff>
    </xdr:from>
    <xdr:to>
      <xdr:col>1</xdr:col>
      <xdr:colOff>1296915</xdr:colOff>
      <xdr:row>780</xdr:row>
      <xdr:rowOff>170367</xdr:rowOff>
    </xdr:to>
    <xdr:grpSp>
      <xdr:nvGrpSpPr>
        <xdr:cNvPr id="735" name="Grupo 343"/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36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7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782</xdr:row>
      <xdr:rowOff>79375</xdr:rowOff>
    </xdr:from>
    <xdr:to>
      <xdr:col>1</xdr:col>
      <xdr:colOff>1323975</xdr:colOff>
      <xdr:row>782</xdr:row>
      <xdr:rowOff>155575</xdr:rowOff>
    </xdr:to>
    <xdr:grpSp>
      <xdr:nvGrpSpPr>
        <xdr:cNvPr id="738" name="Grupo 737"/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39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0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1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781</xdr:row>
      <xdr:rowOff>94167</xdr:rowOff>
    </xdr:from>
    <xdr:to>
      <xdr:col>1</xdr:col>
      <xdr:colOff>1296915</xdr:colOff>
      <xdr:row>781</xdr:row>
      <xdr:rowOff>170367</xdr:rowOff>
    </xdr:to>
    <xdr:grpSp>
      <xdr:nvGrpSpPr>
        <xdr:cNvPr id="742" name="Grupo 343"/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43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4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784</xdr:row>
      <xdr:rowOff>71437</xdr:rowOff>
    </xdr:from>
    <xdr:to>
      <xdr:col>1</xdr:col>
      <xdr:colOff>1181100</xdr:colOff>
      <xdr:row>784</xdr:row>
      <xdr:rowOff>147637</xdr:rowOff>
    </xdr:to>
    <xdr:grpSp>
      <xdr:nvGrpSpPr>
        <xdr:cNvPr id="745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46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7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783</xdr:row>
      <xdr:rowOff>79375</xdr:rowOff>
    </xdr:from>
    <xdr:to>
      <xdr:col>1</xdr:col>
      <xdr:colOff>1323975</xdr:colOff>
      <xdr:row>783</xdr:row>
      <xdr:rowOff>155575</xdr:rowOff>
    </xdr:to>
    <xdr:grpSp>
      <xdr:nvGrpSpPr>
        <xdr:cNvPr id="748" name="Grupo 747"/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49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0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1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785</xdr:row>
      <xdr:rowOff>71437</xdr:rowOff>
    </xdr:from>
    <xdr:to>
      <xdr:col>1</xdr:col>
      <xdr:colOff>1181100</xdr:colOff>
      <xdr:row>785</xdr:row>
      <xdr:rowOff>147637</xdr:rowOff>
    </xdr:to>
    <xdr:grpSp>
      <xdr:nvGrpSpPr>
        <xdr:cNvPr id="752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53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4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786</xdr:row>
      <xdr:rowOff>74612</xdr:rowOff>
    </xdr:from>
    <xdr:to>
      <xdr:col>1</xdr:col>
      <xdr:colOff>1257300</xdr:colOff>
      <xdr:row>786</xdr:row>
      <xdr:rowOff>150812</xdr:rowOff>
    </xdr:to>
    <xdr:grpSp>
      <xdr:nvGrpSpPr>
        <xdr:cNvPr id="755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56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7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787</xdr:row>
      <xdr:rowOff>79375</xdr:rowOff>
    </xdr:from>
    <xdr:to>
      <xdr:col>1</xdr:col>
      <xdr:colOff>1323975</xdr:colOff>
      <xdr:row>787</xdr:row>
      <xdr:rowOff>155575</xdr:rowOff>
    </xdr:to>
    <xdr:grpSp>
      <xdr:nvGrpSpPr>
        <xdr:cNvPr id="758" name="Grupo 757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59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0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1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788</xdr:row>
      <xdr:rowOff>79375</xdr:rowOff>
    </xdr:from>
    <xdr:to>
      <xdr:col>1</xdr:col>
      <xdr:colOff>1323975</xdr:colOff>
      <xdr:row>788</xdr:row>
      <xdr:rowOff>155575</xdr:rowOff>
    </xdr:to>
    <xdr:grpSp>
      <xdr:nvGrpSpPr>
        <xdr:cNvPr id="762" name="Grupo 761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63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4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5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789</xdr:row>
      <xdr:rowOff>42862</xdr:rowOff>
    </xdr:from>
    <xdr:to>
      <xdr:col>1</xdr:col>
      <xdr:colOff>1209675</xdr:colOff>
      <xdr:row>789</xdr:row>
      <xdr:rowOff>119062</xdr:rowOff>
    </xdr:to>
    <xdr:grpSp>
      <xdr:nvGrpSpPr>
        <xdr:cNvPr id="766" name="Grupo 362"/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767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8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794</xdr:row>
      <xdr:rowOff>94167</xdr:rowOff>
    </xdr:from>
    <xdr:to>
      <xdr:col>1</xdr:col>
      <xdr:colOff>1296915</xdr:colOff>
      <xdr:row>794</xdr:row>
      <xdr:rowOff>170367</xdr:rowOff>
    </xdr:to>
    <xdr:grpSp>
      <xdr:nvGrpSpPr>
        <xdr:cNvPr id="769" name="Grupo 343"/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70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1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795</xdr:row>
      <xdr:rowOff>125845</xdr:rowOff>
    </xdr:from>
    <xdr:to>
      <xdr:col>1</xdr:col>
      <xdr:colOff>1261918</xdr:colOff>
      <xdr:row>795</xdr:row>
      <xdr:rowOff>125845</xdr:rowOff>
    </xdr:to>
    <xdr:cxnSp macro="">
      <xdr:nvCxnSpPr>
        <xdr:cNvPr id="772" name="Conector recto 39"/>
        <xdr:cNvCxnSpPr>
          <a:cxnSpLocks noChangeShapeType="1"/>
        </xdr:cNvCxnSpPr>
      </xdr:nvCxnSpPr>
      <xdr:spPr bwMode="auto">
        <a:xfrm>
          <a:off x="1280968" y="1147877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796</xdr:row>
      <xdr:rowOff>74612</xdr:rowOff>
    </xdr:from>
    <xdr:to>
      <xdr:col>1</xdr:col>
      <xdr:colOff>1257300</xdr:colOff>
      <xdr:row>796</xdr:row>
      <xdr:rowOff>150812</xdr:rowOff>
    </xdr:to>
    <xdr:grpSp>
      <xdr:nvGrpSpPr>
        <xdr:cNvPr id="773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74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5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797</xdr:row>
      <xdr:rowOff>79375</xdr:rowOff>
    </xdr:from>
    <xdr:to>
      <xdr:col>1</xdr:col>
      <xdr:colOff>1323975</xdr:colOff>
      <xdr:row>797</xdr:row>
      <xdr:rowOff>155575</xdr:rowOff>
    </xdr:to>
    <xdr:grpSp>
      <xdr:nvGrpSpPr>
        <xdr:cNvPr id="776" name="Grupo 775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77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8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9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798</xdr:row>
      <xdr:rowOff>125845</xdr:rowOff>
    </xdr:from>
    <xdr:to>
      <xdr:col>1</xdr:col>
      <xdr:colOff>1261918</xdr:colOff>
      <xdr:row>798</xdr:row>
      <xdr:rowOff>125845</xdr:rowOff>
    </xdr:to>
    <xdr:cxnSp macro="">
      <xdr:nvCxnSpPr>
        <xdr:cNvPr id="960" name="Conector recto 39"/>
        <xdr:cNvCxnSpPr>
          <a:cxnSpLocks noChangeShapeType="1"/>
        </xdr:cNvCxnSpPr>
      </xdr:nvCxnSpPr>
      <xdr:spPr bwMode="auto">
        <a:xfrm>
          <a:off x="1280968" y="1155307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211065</xdr:colOff>
      <xdr:row>803</xdr:row>
      <xdr:rowOff>94167</xdr:rowOff>
    </xdr:from>
    <xdr:to>
      <xdr:col>1</xdr:col>
      <xdr:colOff>1296915</xdr:colOff>
      <xdr:row>803</xdr:row>
      <xdr:rowOff>170367</xdr:rowOff>
    </xdr:to>
    <xdr:grpSp>
      <xdr:nvGrpSpPr>
        <xdr:cNvPr id="961" name="Grupo 343"/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962" name="Conector recto 4"/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3" name="Conector recto 7"/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804</xdr:row>
      <xdr:rowOff>125845</xdr:rowOff>
    </xdr:from>
    <xdr:to>
      <xdr:col>1</xdr:col>
      <xdr:colOff>1261918</xdr:colOff>
      <xdr:row>804</xdr:row>
      <xdr:rowOff>125845</xdr:rowOff>
    </xdr:to>
    <xdr:cxnSp macro="">
      <xdr:nvCxnSpPr>
        <xdr:cNvPr id="964" name="Conector recto 39"/>
        <xdr:cNvCxnSpPr>
          <a:cxnSpLocks noChangeShapeType="1"/>
        </xdr:cNvCxnSpPr>
      </xdr:nvCxnSpPr>
      <xdr:spPr bwMode="auto">
        <a:xfrm>
          <a:off x="1280968" y="1167689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807</xdr:row>
      <xdr:rowOff>74612</xdr:rowOff>
    </xdr:from>
    <xdr:to>
      <xdr:col>1</xdr:col>
      <xdr:colOff>1257300</xdr:colOff>
      <xdr:row>807</xdr:row>
      <xdr:rowOff>150812</xdr:rowOff>
    </xdr:to>
    <xdr:grpSp>
      <xdr:nvGrpSpPr>
        <xdr:cNvPr id="965" name="Grupo 362"/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966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7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808</xdr:row>
      <xdr:rowOff>79375</xdr:rowOff>
    </xdr:from>
    <xdr:to>
      <xdr:col>1</xdr:col>
      <xdr:colOff>1323975</xdr:colOff>
      <xdr:row>808</xdr:row>
      <xdr:rowOff>155575</xdr:rowOff>
    </xdr:to>
    <xdr:grpSp>
      <xdr:nvGrpSpPr>
        <xdr:cNvPr id="968" name="Grupo 967"/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969" name="Conector recto 19"/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0" name="Conector recto 27"/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1" name="Conector recto 27"/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809</xdr:row>
      <xdr:rowOff>125845</xdr:rowOff>
    </xdr:from>
    <xdr:to>
      <xdr:col>1</xdr:col>
      <xdr:colOff>1261918</xdr:colOff>
      <xdr:row>809</xdr:row>
      <xdr:rowOff>125845</xdr:rowOff>
    </xdr:to>
    <xdr:cxnSp macro="">
      <xdr:nvCxnSpPr>
        <xdr:cNvPr id="972" name="Conector recto 39"/>
        <xdr:cNvCxnSpPr>
          <a:cxnSpLocks noChangeShapeType="1"/>
        </xdr:cNvCxnSpPr>
      </xdr:nvCxnSpPr>
      <xdr:spPr bwMode="auto">
        <a:xfrm>
          <a:off x="1280968" y="1180072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176068</xdr:colOff>
      <xdr:row>805</xdr:row>
      <xdr:rowOff>125845</xdr:rowOff>
    </xdr:from>
    <xdr:to>
      <xdr:col>1</xdr:col>
      <xdr:colOff>1261918</xdr:colOff>
      <xdr:row>805</xdr:row>
      <xdr:rowOff>125845</xdr:rowOff>
    </xdr:to>
    <xdr:cxnSp macro="">
      <xdr:nvCxnSpPr>
        <xdr:cNvPr id="973" name="Conector recto 39"/>
        <xdr:cNvCxnSpPr>
          <a:cxnSpLocks noChangeShapeType="1"/>
        </xdr:cNvCxnSpPr>
      </xdr:nvCxnSpPr>
      <xdr:spPr bwMode="auto">
        <a:xfrm>
          <a:off x="1280968" y="1170166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806</xdr:row>
      <xdr:rowOff>71437</xdr:rowOff>
    </xdr:from>
    <xdr:to>
      <xdr:col>1</xdr:col>
      <xdr:colOff>1181100</xdr:colOff>
      <xdr:row>806</xdr:row>
      <xdr:rowOff>147637</xdr:rowOff>
    </xdr:to>
    <xdr:grpSp>
      <xdr:nvGrpSpPr>
        <xdr:cNvPr id="974" name="Grupo 374"/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975" name="Conector recto 31"/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6" name="Conector recto 32"/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810</xdr:row>
      <xdr:rowOff>42862</xdr:rowOff>
    </xdr:from>
    <xdr:to>
      <xdr:col>1</xdr:col>
      <xdr:colOff>1209675</xdr:colOff>
      <xdr:row>810</xdr:row>
      <xdr:rowOff>119062</xdr:rowOff>
    </xdr:to>
    <xdr:grpSp>
      <xdr:nvGrpSpPr>
        <xdr:cNvPr id="977" name="Grupo 362"/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978" name="Conector recto 19"/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9" name="Conector recto 27"/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129269</xdr:colOff>
      <xdr:row>8</xdr:row>
      <xdr:rowOff>89808</xdr:rowOff>
    </xdr:from>
    <xdr:to>
      <xdr:col>1</xdr:col>
      <xdr:colOff>1215119</xdr:colOff>
      <xdr:row>8</xdr:row>
      <xdr:rowOff>89808</xdr:rowOff>
    </xdr:to>
    <xdr:cxnSp macro="">
      <xdr:nvCxnSpPr>
        <xdr:cNvPr id="790" name="Conector recto 4"/>
        <xdr:cNvCxnSpPr>
          <a:cxnSpLocks noChangeShapeType="1"/>
        </xdr:cNvCxnSpPr>
      </xdr:nvCxnSpPr>
      <xdr:spPr bwMode="auto">
        <a:xfrm>
          <a:off x="1231448" y="20492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8</xdr:row>
      <xdr:rowOff>76200</xdr:rowOff>
    </xdr:from>
    <xdr:to>
      <xdr:col>1</xdr:col>
      <xdr:colOff>133350</xdr:colOff>
      <xdr:row>8</xdr:row>
      <xdr:rowOff>152400</xdr:rowOff>
    </xdr:to>
    <xdr:cxnSp macro="">
      <xdr:nvCxnSpPr>
        <xdr:cNvPr id="794" name="Conector recto 7"/>
        <xdr:cNvCxnSpPr>
          <a:cxnSpLocks noChangeShapeType="1"/>
        </xdr:cNvCxnSpPr>
      </xdr:nvCxnSpPr>
      <xdr:spPr bwMode="auto">
        <a:xfrm>
          <a:off x="1076325" y="15430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1190625</xdr:colOff>
      <xdr:row>9</xdr:row>
      <xdr:rowOff>85725</xdr:rowOff>
    </xdr:to>
    <xdr:cxnSp macro="">
      <xdr:nvCxnSpPr>
        <xdr:cNvPr id="795" name="Conector recto 10"/>
        <xdr:cNvCxnSpPr>
          <a:cxnSpLocks noChangeShapeType="1"/>
        </xdr:cNvCxnSpPr>
      </xdr:nvCxnSpPr>
      <xdr:spPr bwMode="auto">
        <a:xfrm>
          <a:off x="1047750" y="178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104775</xdr:colOff>
      <xdr:row>9</xdr:row>
      <xdr:rowOff>161925</xdr:rowOff>
    </xdr:to>
    <xdr:cxnSp macro="">
      <xdr:nvCxnSpPr>
        <xdr:cNvPr id="796" name="Conector recto 11"/>
        <xdr:cNvCxnSpPr>
          <a:cxnSpLocks noChangeShapeType="1"/>
        </xdr:cNvCxnSpPr>
      </xdr:nvCxnSpPr>
      <xdr:spPr bwMode="auto">
        <a:xfrm>
          <a:off x="1047750" y="17811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47625</xdr:rowOff>
    </xdr:from>
    <xdr:to>
      <xdr:col>1</xdr:col>
      <xdr:colOff>1228725</xdr:colOff>
      <xdr:row>10</xdr:row>
      <xdr:rowOff>47625</xdr:rowOff>
    </xdr:to>
    <xdr:cxnSp macro="">
      <xdr:nvCxnSpPr>
        <xdr:cNvPr id="801" name="Conector recto 12"/>
        <xdr:cNvCxnSpPr>
          <a:cxnSpLocks noChangeShapeType="1"/>
        </xdr:cNvCxnSpPr>
      </xdr:nvCxnSpPr>
      <xdr:spPr bwMode="auto">
        <a:xfrm>
          <a:off x="1085850" y="1971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57150</xdr:rowOff>
    </xdr:from>
    <xdr:to>
      <xdr:col>1</xdr:col>
      <xdr:colOff>142875</xdr:colOff>
      <xdr:row>10</xdr:row>
      <xdr:rowOff>133350</xdr:rowOff>
    </xdr:to>
    <xdr:cxnSp macro="">
      <xdr:nvCxnSpPr>
        <xdr:cNvPr id="802" name="Conector recto 13"/>
        <xdr:cNvCxnSpPr>
          <a:cxnSpLocks noChangeShapeType="1"/>
        </xdr:cNvCxnSpPr>
      </xdr:nvCxnSpPr>
      <xdr:spPr bwMode="auto">
        <a:xfrm>
          <a:off x="1085850" y="198120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161925</xdr:rowOff>
    </xdr:from>
    <xdr:to>
      <xdr:col>1</xdr:col>
      <xdr:colOff>1190625</xdr:colOff>
      <xdr:row>12</xdr:row>
      <xdr:rowOff>161925</xdr:rowOff>
    </xdr:to>
    <xdr:cxnSp macro="">
      <xdr:nvCxnSpPr>
        <xdr:cNvPr id="803" name="Conector recto 16"/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13</xdr:row>
      <xdr:rowOff>171450</xdr:rowOff>
    </xdr:from>
    <xdr:to>
      <xdr:col>1</xdr:col>
      <xdr:colOff>1200150</xdr:colOff>
      <xdr:row>13</xdr:row>
      <xdr:rowOff>171450</xdr:rowOff>
    </xdr:to>
    <xdr:cxnSp macro="">
      <xdr:nvCxnSpPr>
        <xdr:cNvPr id="804" name="Conector recto 17"/>
        <xdr:cNvCxnSpPr>
          <a:cxnSpLocks noChangeShapeType="1"/>
        </xdr:cNvCxnSpPr>
      </xdr:nvCxnSpPr>
      <xdr:spPr bwMode="auto">
        <a:xfrm>
          <a:off x="1057275" y="278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14</xdr:row>
      <xdr:rowOff>66675</xdr:rowOff>
    </xdr:from>
    <xdr:to>
      <xdr:col>1</xdr:col>
      <xdr:colOff>1209675</xdr:colOff>
      <xdr:row>14</xdr:row>
      <xdr:rowOff>66675</xdr:rowOff>
    </xdr:to>
    <xdr:cxnSp macro="">
      <xdr:nvCxnSpPr>
        <xdr:cNvPr id="815" name="Conector recto 18"/>
        <xdr:cNvCxnSpPr>
          <a:cxnSpLocks noChangeShapeType="1"/>
        </xdr:cNvCxnSpPr>
      </xdr:nvCxnSpPr>
      <xdr:spPr bwMode="auto">
        <a:xfrm>
          <a:off x="1066800" y="29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1209675</xdr:colOff>
      <xdr:row>15</xdr:row>
      <xdr:rowOff>85725</xdr:rowOff>
    </xdr:to>
    <xdr:cxnSp macro="">
      <xdr:nvCxnSpPr>
        <xdr:cNvPr id="816" name="Conector recto 19"/>
        <xdr:cNvCxnSpPr>
          <a:cxnSpLocks noChangeShapeType="1"/>
        </xdr:cNvCxnSpPr>
      </xdr:nvCxnSpPr>
      <xdr:spPr bwMode="auto">
        <a:xfrm>
          <a:off x="1066800" y="3152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18</xdr:row>
      <xdr:rowOff>104775</xdr:rowOff>
    </xdr:from>
    <xdr:to>
      <xdr:col>1</xdr:col>
      <xdr:colOff>1219200</xdr:colOff>
      <xdr:row>18</xdr:row>
      <xdr:rowOff>104775</xdr:rowOff>
    </xdr:to>
    <xdr:cxnSp macro="">
      <xdr:nvCxnSpPr>
        <xdr:cNvPr id="817" name="Conector recto 31"/>
        <xdr:cNvCxnSpPr>
          <a:cxnSpLocks noChangeShapeType="1"/>
        </xdr:cNvCxnSpPr>
      </xdr:nvCxnSpPr>
      <xdr:spPr bwMode="auto">
        <a:xfrm>
          <a:off x="1076325" y="385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19</xdr:row>
      <xdr:rowOff>104775</xdr:rowOff>
    </xdr:from>
    <xdr:to>
      <xdr:col>1</xdr:col>
      <xdr:colOff>1171575</xdr:colOff>
      <xdr:row>19</xdr:row>
      <xdr:rowOff>104775</xdr:rowOff>
    </xdr:to>
    <xdr:cxnSp macro="">
      <xdr:nvCxnSpPr>
        <xdr:cNvPr id="818" name="Conector recto 34"/>
        <xdr:cNvCxnSpPr>
          <a:cxnSpLocks noChangeShapeType="1"/>
        </xdr:cNvCxnSpPr>
      </xdr:nvCxnSpPr>
      <xdr:spPr bwMode="auto">
        <a:xfrm>
          <a:off x="1028700" y="4086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</xdr:row>
      <xdr:rowOff>114300</xdr:rowOff>
    </xdr:from>
    <xdr:to>
      <xdr:col>1</xdr:col>
      <xdr:colOff>1200150</xdr:colOff>
      <xdr:row>20</xdr:row>
      <xdr:rowOff>114300</xdr:rowOff>
    </xdr:to>
    <xdr:cxnSp macro="">
      <xdr:nvCxnSpPr>
        <xdr:cNvPr id="841" name="Conector recto 35"/>
        <xdr:cNvCxnSpPr>
          <a:cxnSpLocks noChangeShapeType="1"/>
        </xdr:cNvCxnSpPr>
      </xdr:nvCxnSpPr>
      <xdr:spPr bwMode="auto">
        <a:xfrm>
          <a:off x="1057275" y="43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22</xdr:row>
      <xdr:rowOff>123825</xdr:rowOff>
    </xdr:from>
    <xdr:to>
      <xdr:col>1</xdr:col>
      <xdr:colOff>1209675</xdr:colOff>
      <xdr:row>22</xdr:row>
      <xdr:rowOff>123825</xdr:rowOff>
    </xdr:to>
    <xdr:cxnSp macro="">
      <xdr:nvCxnSpPr>
        <xdr:cNvPr id="846" name="Conector recto 39"/>
        <xdr:cNvCxnSpPr>
          <a:cxnSpLocks noChangeShapeType="1"/>
        </xdr:cNvCxnSpPr>
      </xdr:nvCxnSpPr>
      <xdr:spPr bwMode="auto">
        <a:xfrm>
          <a:off x="1066800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</xdr:row>
      <xdr:rowOff>123825</xdr:rowOff>
    </xdr:from>
    <xdr:to>
      <xdr:col>1</xdr:col>
      <xdr:colOff>1238250</xdr:colOff>
      <xdr:row>24</xdr:row>
      <xdr:rowOff>123825</xdr:rowOff>
    </xdr:to>
    <xdr:cxnSp macro="">
      <xdr:nvCxnSpPr>
        <xdr:cNvPr id="850" name="Conector recto 43"/>
        <xdr:cNvCxnSpPr>
          <a:cxnSpLocks noChangeShapeType="1"/>
        </xdr:cNvCxnSpPr>
      </xdr:nvCxnSpPr>
      <xdr:spPr bwMode="auto">
        <a:xfrm>
          <a:off x="1095375" y="5248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58</xdr:row>
      <xdr:rowOff>76200</xdr:rowOff>
    </xdr:from>
    <xdr:to>
      <xdr:col>1</xdr:col>
      <xdr:colOff>1181100</xdr:colOff>
      <xdr:row>58</xdr:row>
      <xdr:rowOff>76200</xdr:rowOff>
    </xdr:to>
    <xdr:cxnSp macro="">
      <xdr:nvCxnSpPr>
        <xdr:cNvPr id="852" name="Conector recto 39"/>
        <xdr:cNvCxnSpPr>
          <a:cxnSpLocks noChangeShapeType="1"/>
        </xdr:cNvCxnSpPr>
      </xdr:nvCxnSpPr>
      <xdr:spPr bwMode="auto">
        <a:xfrm>
          <a:off x="1038225" y="11582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59</xdr:row>
      <xdr:rowOff>66675</xdr:rowOff>
    </xdr:from>
    <xdr:to>
      <xdr:col>1</xdr:col>
      <xdr:colOff>1190625</xdr:colOff>
      <xdr:row>59</xdr:row>
      <xdr:rowOff>66675</xdr:rowOff>
    </xdr:to>
    <xdr:cxnSp macro="">
      <xdr:nvCxnSpPr>
        <xdr:cNvPr id="853" name="Conector recto 39"/>
        <xdr:cNvCxnSpPr>
          <a:cxnSpLocks noChangeShapeType="1"/>
        </xdr:cNvCxnSpPr>
      </xdr:nvCxnSpPr>
      <xdr:spPr bwMode="auto">
        <a:xfrm>
          <a:off x="1047750" y="1180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60</xdr:row>
      <xdr:rowOff>104775</xdr:rowOff>
    </xdr:from>
    <xdr:to>
      <xdr:col>1</xdr:col>
      <xdr:colOff>1200150</xdr:colOff>
      <xdr:row>60</xdr:row>
      <xdr:rowOff>104775</xdr:rowOff>
    </xdr:to>
    <xdr:cxnSp macro="">
      <xdr:nvCxnSpPr>
        <xdr:cNvPr id="854" name="Conector recto 39"/>
        <xdr:cNvCxnSpPr>
          <a:cxnSpLocks noChangeShapeType="1"/>
        </xdr:cNvCxnSpPr>
      </xdr:nvCxnSpPr>
      <xdr:spPr bwMode="auto">
        <a:xfrm>
          <a:off x="1057275" y="1204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61</xdr:row>
      <xdr:rowOff>95250</xdr:rowOff>
    </xdr:from>
    <xdr:to>
      <xdr:col>1</xdr:col>
      <xdr:colOff>1219200</xdr:colOff>
      <xdr:row>61</xdr:row>
      <xdr:rowOff>95250</xdr:rowOff>
    </xdr:to>
    <xdr:cxnSp macro="">
      <xdr:nvCxnSpPr>
        <xdr:cNvPr id="855" name="Conector recto 39"/>
        <xdr:cNvCxnSpPr>
          <a:cxnSpLocks noChangeShapeType="1"/>
        </xdr:cNvCxnSpPr>
      </xdr:nvCxnSpPr>
      <xdr:spPr bwMode="auto">
        <a:xfrm>
          <a:off x="1076325" y="1224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90</xdr:row>
      <xdr:rowOff>95250</xdr:rowOff>
    </xdr:from>
    <xdr:to>
      <xdr:col>1</xdr:col>
      <xdr:colOff>1276350</xdr:colOff>
      <xdr:row>90</xdr:row>
      <xdr:rowOff>95250</xdr:rowOff>
    </xdr:to>
    <xdr:cxnSp macro="">
      <xdr:nvCxnSpPr>
        <xdr:cNvPr id="873" name="Conector recto 39"/>
        <xdr:cNvCxnSpPr>
          <a:cxnSpLocks noChangeShapeType="1"/>
        </xdr:cNvCxnSpPr>
      </xdr:nvCxnSpPr>
      <xdr:spPr bwMode="auto">
        <a:xfrm>
          <a:off x="1133475" y="1702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228600</xdr:colOff>
      <xdr:row>91</xdr:row>
      <xdr:rowOff>85725</xdr:rowOff>
    </xdr:from>
    <xdr:to>
      <xdr:col>1</xdr:col>
      <xdr:colOff>1314450</xdr:colOff>
      <xdr:row>91</xdr:row>
      <xdr:rowOff>85725</xdr:rowOff>
    </xdr:to>
    <xdr:cxnSp macro="">
      <xdr:nvCxnSpPr>
        <xdr:cNvPr id="874" name="Conector recto 39"/>
        <xdr:cNvCxnSpPr>
          <a:cxnSpLocks noChangeShapeType="1"/>
        </xdr:cNvCxnSpPr>
      </xdr:nvCxnSpPr>
      <xdr:spPr bwMode="auto">
        <a:xfrm>
          <a:off x="1171575" y="17240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1085850</xdr:colOff>
      <xdr:row>92</xdr:row>
      <xdr:rowOff>0</xdr:rowOff>
    </xdr:to>
    <xdr:cxnSp macro="">
      <xdr:nvCxnSpPr>
        <xdr:cNvPr id="875" name="Conector recto 39"/>
        <xdr:cNvCxnSpPr>
          <a:cxnSpLocks noChangeShapeType="1"/>
        </xdr:cNvCxnSpPr>
      </xdr:nvCxnSpPr>
      <xdr:spPr bwMode="auto">
        <a:xfrm>
          <a:off x="942975" y="17383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92</xdr:row>
      <xdr:rowOff>66675</xdr:rowOff>
    </xdr:from>
    <xdr:to>
      <xdr:col>1</xdr:col>
      <xdr:colOff>1304925</xdr:colOff>
      <xdr:row>92</xdr:row>
      <xdr:rowOff>66675</xdr:rowOff>
    </xdr:to>
    <xdr:cxnSp macro="">
      <xdr:nvCxnSpPr>
        <xdr:cNvPr id="876" name="Conector recto 39"/>
        <xdr:cNvCxnSpPr>
          <a:cxnSpLocks noChangeShapeType="1"/>
        </xdr:cNvCxnSpPr>
      </xdr:nvCxnSpPr>
      <xdr:spPr bwMode="auto">
        <a:xfrm>
          <a:off x="1162050" y="17449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93</xdr:row>
      <xdr:rowOff>114300</xdr:rowOff>
    </xdr:from>
    <xdr:to>
      <xdr:col>1</xdr:col>
      <xdr:colOff>1276350</xdr:colOff>
      <xdr:row>93</xdr:row>
      <xdr:rowOff>114300</xdr:rowOff>
    </xdr:to>
    <xdr:cxnSp macro="">
      <xdr:nvCxnSpPr>
        <xdr:cNvPr id="877" name="Conector recto 39"/>
        <xdr:cNvCxnSpPr>
          <a:cxnSpLocks noChangeShapeType="1"/>
        </xdr:cNvCxnSpPr>
      </xdr:nvCxnSpPr>
      <xdr:spPr bwMode="auto">
        <a:xfrm>
          <a:off x="1133475" y="1772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96</xdr:row>
      <xdr:rowOff>123825</xdr:rowOff>
    </xdr:from>
    <xdr:to>
      <xdr:col>1</xdr:col>
      <xdr:colOff>1238250</xdr:colOff>
      <xdr:row>96</xdr:row>
      <xdr:rowOff>123825</xdr:rowOff>
    </xdr:to>
    <xdr:cxnSp macro="">
      <xdr:nvCxnSpPr>
        <xdr:cNvPr id="878" name="Conector recto 39"/>
        <xdr:cNvCxnSpPr>
          <a:cxnSpLocks noChangeShapeType="1"/>
        </xdr:cNvCxnSpPr>
      </xdr:nvCxnSpPr>
      <xdr:spPr bwMode="auto">
        <a:xfrm>
          <a:off x="1095375" y="18430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97</xdr:row>
      <xdr:rowOff>104775</xdr:rowOff>
    </xdr:from>
    <xdr:to>
      <xdr:col>1</xdr:col>
      <xdr:colOff>1238250</xdr:colOff>
      <xdr:row>97</xdr:row>
      <xdr:rowOff>104775</xdr:rowOff>
    </xdr:to>
    <xdr:cxnSp macro="">
      <xdr:nvCxnSpPr>
        <xdr:cNvPr id="900" name="Conector recto 39"/>
        <xdr:cNvCxnSpPr>
          <a:cxnSpLocks noChangeShapeType="1"/>
        </xdr:cNvCxnSpPr>
      </xdr:nvCxnSpPr>
      <xdr:spPr bwMode="auto">
        <a:xfrm>
          <a:off x="1095375" y="18621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1085850</xdr:colOff>
      <xdr:row>100</xdr:row>
      <xdr:rowOff>0</xdr:rowOff>
    </xdr:to>
    <xdr:cxnSp macro="">
      <xdr:nvCxnSpPr>
        <xdr:cNvPr id="908" name="Conector recto 39"/>
        <xdr:cNvCxnSpPr>
          <a:cxnSpLocks noChangeShapeType="1"/>
        </xdr:cNvCxnSpPr>
      </xdr:nvCxnSpPr>
      <xdr:spPr bwMode="auto">
        <a:xfrm>
          <a:off x="942975" y="1919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100</xdr:row>
      <xdr:rowOff>85725</xdr:rowOff>
    </xdr:from>
    <xdr:to>
      <xdr:col>1</xdr:col>
      <xdr:colOff>1247775</xdr:colOff>
      <xdr:row>100</xdr:row>
      <xdr:rowOff>85725</xdr:rowOff>
    </xdr:to>
    <xdr:cxnSp macro="">
      <xdr:nvCxnSpPr>
        <xdr:cNvPr id="909" name="Conector recto 39"/>
        <xdr:cNvCxnSpPr>
          <a:cxnSpLocks noChangeShapeType="1"/>
        </xdr:cNvCxnSpPr>
      </xdr:nvCxnSpPr>
      <xdr:spPr bwMode="auto">
        <a:xfrm>
          <a:off x="1104900" y="19278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165</xdr:row>
      <xdr:rowOff>95250</xdr:rowOff>
    </xdr:from>
    <xdr:to>
      <xdr:col>1</xdr:col>
      <xdr:colOff>1200150</xdr:colOff>
      <xdr:row>165</xdr:row>
      <xdr:rowOff>95250</xdr:rowOff>
    </xdr:to>
    <xdr:cxnSp macro="">
      <xdr:nvCxnSpPr>
        <xdr:cNvPr id="911" name="Conector recto 39"/>
        <xdr:cNvCxnSpPr>
          <a:cxnSpLocks noChangeShapeType="1"/>
        </xdr:cNvCxnSpPr>
      </xdr:nvCxnSpPr>
      <xdr:spPr bwMode="auto">
        <a:xfrm>
          <a:off x="1057275" y="28803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167</xdr:row>
      <xdr:rowOff>85725</xdr:rowOff>
    </xdr:from>
    <xdr:to>
      <xdr:col>1</xdr:col>
      <xdr:colOff>1209675</xdr:colOff>
      <xdr:row>167</xdr:row>
      <xdr:rowOff>85725</xdr:rowOff>
    </xdr:to>
    <xdr:cxnSp macro="">
      <xdr:nvCxnSpPr>
        <xdr:cNvPr id="912" name="Conector recto 39"/>
        <xdr:cNvCxnSpPr>
          <a:cxnSpLocks noChangeShapeType="1"/>
        </xdr:cNvCxnSpPr>
      </xdr:nvCxnSpPr>
      <xdr:spPr bwMode="auto">
        <a:xfrm>
          <a:off x="1066800" y="29260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178</xdr:row>
      <xdr:rowOff>114300</xdr:rowOff>
    </xdr:from>
    <xdr:to>
      <xdr:col>1</xdr:col>
      <xdr:colOff>1209675</xdr:colOff>
      <xdr:row>178</xdr:row>
      <xdr:rowOff>114300</xdr:rowOff>
    </xdr:to>
    <xdr:cxnSp macro="">
      <xdr:nvCxnSpPr>
        <xdr:cNvPr id="913" name="Conector recto 39"/>
        <xdr:cNvCxnSpPr>
          <a:cxnSpLocks noChangeShapeType="1"/>
        </xdr:cNvCxnSpPr>
      </xdr:nvCxnSpPr>
      <xdr:spPr bwMode="auto">
        <a:xfrm>
          <a:off x="1066800" y="3056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185</xdr:row>
      <xdr:rowOff>85725</xdr:rowOff>
    </xdr:from>
    <xdr:to>
      <xdr:col>1</xdr:col>
      <xdr:colOff>1276350</xdr:colOff>
      <xdr:row>185</xdr:row>
      <xdr:rowOff>85725</xdr:rowOff>
    </xdr:to>
    <xdr:cxnSp macro="">
      <xdr:nvCxnSpPr>
        <xdr:cNvPr id="918" name="Conector recto 39"/>
        <xdr:cNvCxnSpPr>
          <a:cxnSpLocks noChangeShapeType="1"/>
        </xdr:cNvCxnSpPr>
      </xdr:nvCxnSpPr>
      <xdr:spPr bwMode="auto">
        <a:xfrm>
          <a:off x="1133475" y="3208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186</xdr:row>
      <xdr:rowOff>95250</xdr:rowOff>
    </xdr:from>
    <xdr:to>
      <xdr:col>1</xdr:col>
      <xdr:colOff>1238250</xdr:colOff>
      <xdr:row>186</xdr:row>
      <xdr:rowOff>95250</xdr:rowOff>
    </xdr:to>
    <xdr:cxnSp macro="">
      <xdr:nvCxnSpPr>
        <xdr:cNvPr id="919" name="Conector recto 39"/>
        <xdr:cNvCxnSpPr>
          <a:cxnSpLocks noChangeShapeType="1"/>
        </xdr:cNvCxnSpPr>
      </xdr:nvCxnSpPr>
      <xdr:spPr bwMode="auto">
        <a:xfrm>
          <a:off x="1095375" y="32308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197</xdr:row>
      <xdr:rowOff>85725</xdr:rowOff>
    </xdr:from>
    <xdr:to>
      <xdr:col>1</xdr:col>
      <xdr:colOff>1209675</xdr:colOff>
      <xdr:row>197</xdr:row>
      <xdr:rowOff>85725</xdr:rowOff>
    </xdr:to>
    <xdr:cxnSp macro="">
      <xdr:nvCxnSpPr>
        <xdr:cNvPr id="920" name="Conector recto 39"/>
        <xdr:cNvCxnSpPr>
          <a:cxnSpLocks noChangeShapeType="1"/>
        </xdr:cNvCxnSpPr>
      </xdr:nvCxnSpPr>
      <xdr:spPr bwMode="auto">
        <a:xfrm>
          <a:off x="1066800" y="34775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198</xdr:row>
      <xdr:rowOff>95250</xdr:rowOff>
    </xdr:from>
    <xdr:to>
      <xdr:col>1</xdr:col>
      <xdr:colOff>1200150</xdr:colOff>
      <xdr:row>198</xdr:row>
      <xdr:rowOff>95250</xdr:rowOff>
    </xdr:to>
    <xdr:cxnSp macro="">
      <xdr:nvCxnSpPr>
        <xdr:cNvPr id="947" name="Conector recto 39"/>
        <xdr:cNvCxnSpPr>
          <a:cxnSpLocks noChangeShapeType="1"/>
        </xdr:cNvCxnSpPr>
      </xdr:nvCxnSpPr>
      <xdr:spPr bwMode="auto">
        <a:xfrm>
          <a:off x="1057275" y="34985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201</xdr:row>
      <xdr:rowOff>85725</xdr:rowOff>
    </xdr:from>
    <xdr:to>
      <xdr:col>1</xdr:col>
      <xdr:colOff>1200150</xdr:colOff>
      <xdr:row>201</xdr:row>
      <xdr:rowOff>85725</xdr:rowOff>
    </xdr:to>
    <xdr:cxnSp macro="">
      <xdr:nvCxnSpPr>
        <xdr:cNvPr id="948" name="Conector recto 39"/>
        <xdr:cNvCxnSpPr>
          <a:cxnSpLocks noChangeShapeType="1"/>
        </xdr:cNvCxnSpPr>
      </xdr:nvCxnSpPr>
      <xdr:spPr bwMode="auto">
        <a:xfrm>
          <a:off x="1057275" y="35661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1085850</xdr:colOff>
      <xdr:row>206</xdr:row>
      <xdr:rowOff>0</xdr:rowOff>
    </xdr:to>
    <xdr:cxnSp macro="">
      <xdr:nvCxnSpPr>
        <xdr:cNvPr id="980" name="Conector recto 39"/>
        <xdr:cNvCxnSpPr>
          <a:cxnSpLocks noChangeShapeType="1"/>
        </xdr:cNvCxnSpPr>
      </xdr:nvCxnSpPr>
      <xdr:spPr bwMode="auto">
        <a:xfrm>
          <a:off x="942975" y="36699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206</xdr:row>
      <xdr:rowOff>76200</xdr:rowOff>
    </xdr:from>
    <xdr:to>
      <xdr:col>1</xdr:col>
      <xdr:colOff>1190625</xdr:colOff>
      <xdr:row>206</xdr:row>
      <xdr:rowOff>76200</xdr:rowOff>
    </xdr:to>
    <xdr:cxnSp macro="">
      <xdr:nvCxnSpPr>
        <xdr:cNvPr id="981" name="Conector recto 39"/>
        <xdr:cNvCxnSpPr>
          <a:cxnSpLocks noChangeShapeType="1"/>
        </xdr:cNvCxnSpPr>
      </xdr:nvCxnSpPr>
      <xdr:spPr bwMode="auto">
        <a:xfrm>
          <a:off x="1047750" y="3677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207</xdr:row>
      <xdr:rowOff>114300</xdr:rowOff>
    </xdr:from>
    <xdr:to>
      <xdr:col>1</xdr:col>
      <xdr:colOff>1228725</xdr:colOff>
      <xdr:row>207</xdr:row>
      <xdr:rowOff>114300</xdr:rowOff>
    </xdr:to>
    <xdr:cxnSp macro="">
      <xdr:nvCxnSpPr>
        <xdr:cNvPr id="982" name="Conector recto 39"/>
        <xdr:cNvCxnSpPr>
          <a:cxnSpLocks noChangeShapeType="1"/>
        </xdr:cNvCxnSpPr>
      </xdr:nvCxnSpPr>
      <xdr:spPr bwMode="auto">
        <a:xfrm>
          <a:off x="1085850" y="3705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210</xdr:row>
      <xdr:rowOff>85725</xdr:rowOff>
    </xdr:from>
    <xdr:to>
      <xdr:col>1</xdr:col>
      <xdr:colOff>1209675</xdr:colOff>
      <xdr:row>210</xdr:row>
      <xdr:rowOff>85725</xdr:rowOff>
    </xdr:to>
    <xdr:cxnSp macro="">
      <xdr:nvCxnSpPr>
        <xdr:cNvPr id="983" name="Conector recto 39"/>
        <xdr:cNvCxnSpPr>
          <a:cxnSpLocks noChangeShapeType="1"/>
        </xdr:cNvCxnSpPr>
      </xdr:nvCxnSpPr>
      <xdr:spPr bwMode="auto">
        <a:xfrm>
          <a:off x="1066800" y="37709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216</xdr:row>
      <xdr:rowOff>95250</xdr:rowOff>
    </xdr:from>
    <xdr:to>
      <xdr:col>1</xdr:col>
      <xdr:colOff>1266825</xdr:colOff>
      <xdr:row>216</xdr:row>
      <xdr:rowOff>95250</xdr:rowOff>
    </xdr:to>
    <xdr:cxnSp macro="">
      <xdr:nvCxnSpPr>
        <xdr:cNvPr id="984" name="Conector recto 39"/>
        <xdr:cNvCxnSpPr>
          <a:cxnSpLocks noChangeShapeType="1"/>
        </xdr:cNvCxnSpPr>
      </xdr:nvCxnSpPr>
      <xdr:spPr bwMode="auto">
        <a:xfrm>
          <a:off x="1123950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11</xdr:row>
      <xdr:rowOff>152400</xdr:rowOff>
    </xdr:from>
    <xdr:to>
      <xdr:col>1</xdr:col>
      <xdr:colOff>1200150</xdr:colOff>
      <xdr:row>11</xdr:row>
      <xdr:rowOff>152400</xdr:rowOff>
    </xdr:to>
    <xdr:cxnSp macro="">
      <xdr:nvCxnSpPr>
        <xdr:cNvPr id="985" name="Conector recto 12"/>
        <xdr:cNvCxnSpPr>
          <a:cxnSpLocks noChangeShapeType="1"/>
        </xdr:cNvCxnSpPr>
      </xdr:nvCxnSpPr>
      <xdr:spPr bwMode="auto">
        <a:xfrm>
          <a:off x="1057275" y="2305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11</xdr:row>
      <xdr:rowOff>66675</xdr:rowOff>
    </xdr:from>
    <xdr:to>
      <xdr:col>1</xdr:col>
      <xdr:colOff>104775</xdr:colOff>
      <xdr:row>11</xdr:row>
      <xdr:rowOff>142875</xdr:rowOff>
    </xdr:to>
    <xdr:cxnSp macro="">
      <xdr:nvCxnSpPr>
        <xdr:cNvPr id="986" name="Conector recto 13"/>
        <xdr:cNvCxnSpPr>
          <a:cxnSpLocks noChangeShapeType="1"/>
        </xdr:cNvCxnSpPr>
      </xdr:nvCxnSpPr>
      <xdr:spPr bwMode="auto">
        <a:xfrm>
          <a:off x="1047750" y="22193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76200</xdr:rowOff>
    </xdr:from>
    <xdr:to>
      <xdr:col>1</xdr:col>
      <xdr:colOff>104775</xdr:colOff>
      <xdr:row>12</xdr:row>
      <xdr:rowOff>152400</xdr:rowOff>
    </xdr:to>
    <xdr:cxnSp macro="">
      <xdr:nvCxnSpPr>
        <xdr:cNvPr id="987" name="Conector recto 13"/>
        <xdr:cNvCxnSpPr>
          <a:cxnSpLocks noChangeShapeType="1"/>
        </xdr:cNvCxnSpPr>
      </xdr:nvCxnSpPr>
      <xdr:spPr bwMode="auto">
        <a:xfrm>
          <a:off x="1047750" y="24574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</xdr:row>
      <xdr:rowOff>142875</xdr:rowOff>
    </xdr:from>
    <xdr:to>
      <xdr:col>1</xdr:col>
      <xdr:colOff>1200150</xdr:colOff>
      <xdr:row>16</xdr:row>
      <xdr:rowOff>142875</xdr:rowOff>
    </xdr:to>
    <xdr:cxnSp macro="">
      <xdr:nvCxnSpPr>
        <xdr:cNvPr id="988" name="Conector recto 19"/>
        <xdr:cNvCxnSpPr>
          <a:cxnSpLocks noChangeShapeType="1"/>
        </xdr:cNvCxnSpPr>
      </xdr:nvCxnSpPr>
      <xdr:spPr bwMode="auto">
        <a:xfrm>
          <a:off x="105727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</xdr:row>
      <xdr:rowOff>123825</xdr:rowOff>
    </xdr:from>
    <xdr:to>
      <xdr:col>1</xdr:col>
      <xdr:colOff>1209675</xdr:colOff>
      <xdr:row>17</xdr:row>
      <xdr:rowOff>123825</xdr:rowOff>
    </xdr:to>
    <xdr:cxnSp macro="">
      <xdr:nvCxnSpPr>
        <xdr:cNvPr id="989" name="Conector recto 19"/>
        <xdr:cNvCxnSpPr>
          <a:cxnSpLocks noChangeShapeType="1"/>
        </xdr:cNvCxnSpPr>
      </xdr:nvCxnSpPr>
      <xdr:spPr bwMode="auto">
        <a:xfrm>
          <a:off x="1066800" y="36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</xdr:row>
      <xdr:rowOff>66675</xdr:rowOff>
    </xdr:from>
    <xdr:to>
      <xdr:col>1</xdr:col>
      <xdr:colOff>104775</xdr:colOff>
      <xdr:row>13</xdr:row>
      <xdr:rowOff>161925</xdr:rowOff>
    </xdr:to>
    <xdr:cxnSp macro="">
      <xdr:nvCxnSpPr>
        <xdr:cNvPr id="990" name="Conector recto 13"/>
        <xdr:cNvCxnSpPr>
          <a:cxnSpLocks noChangeShapeType="1"/>
        </xdr:cNvCxnSpPr>
      </xdr:nvCxnSpPr>
      <xdr:spPr bwMode="auto">
        <a:xfrm>
          <a:off x="1047750" y="2676525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14</xdr:row>
      <xdr:rowOff>66675</xdr:rowOff>
    </xdr:from>
    <xdr:to>
      <xdr:col>1</xdr:col>
      <xdr:colOff>133350</xdr:colOff>
      <xdr:row>14</xdr:row>
      <xdr:rowOff>142875</xdr:rowOff>
    </xdr:to>
    <xdr:cxnSp macro="">
      <xdr:nvCxnSpPr>
        <xdr:cNvPr id="991" name="Conector recto 13"/>
        <xdr:cNvCxnSpPr>
          <a:cxnSpLocks noChangeShapeType="1"/>
        </xdr:cNvCxnSpPr>
      </xdr:nvCxnSpPr>
      <xdr:spPr bwMode="auto">
        <a:xfrm>
          <a:off x="1076325" y="29051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123825</xdr:colOff>
      <xdr:row>15</xdr:row>
      <xdr:rowOff>161925</xdr:rowOff>
    </xdr:to>
    <xdr:cxnSp macro="">
      <xdr:nvCxnSpPr>
        <xdr:cNvPr id="992" name="Conector recto 13"/>
        <xdr:cNvCxnSpPr>
          <a:cxnSpLocks noChangeShapeType="1"/>
        </xdr:cNvCxnSpPr>
      </xdr:nvCxnSpPr>
      <xdr:spPr bwMode="auto">
        <a:xfrm>
          <a:off x="1066800" y="31527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21</xdr:row>
      <xdr:rowOff>123825</xdr:rowOff>
    </xdr:from>
    <xdr:to>
      <xdr:col>1</xdr:col>
      <xdr:colOff>1238250</xdr:colOff>
      <xdr:row>21</xdr:row>
      <xdr:rowOff>123825</xdr:rowOff>
    </xdr:to>
    <xdr:cxnSp macro="">
      <xdr:nvCxnSpPr>
        <xdr:cNvPr id="993" name="Conector recto 35"/>
        <xdr:cNvCxnSpPr>
          <a:cxnSpLocks noChangeShapeType="1"/>
        </xdr:cNvCxnSpPr>
      </xdr:nvCxnSpPr>
      <xdr:spPr bwMode="auto">
        <a:xfrm>
          <a:off x="1095375" y="45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23</xdr:row>
      <xdr:rowOff>114300</xdr:rowOff>
    </xdr:from>
    <xdr:to>
      <xdr:col>1</xdr:col>
      <xdr:colOff>1209675</xdr:colOff>
      <xdr:row>23</xdr:row>
      <xdr:rowOff>114300</xdr:rowOff>
    </xdr:to>
    <xdr:cxnSp macro="">
      <xdr:nvCxnSpPr>
        <xdr:cNvPr id="994" name="Conector recto 39"/>
        <xdr:cNvCxnSpPr>
          <a:cxnSpLocks noChangeShapeType="1"/>
        </xdr:cNvCxnSpPr>
      </xdr:nvCxnSpPr>
      <xdr:spPr bwMode="auto">
        <a:xfrm>
          <a:off x="1066800" y="501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25</xdr:row>
      <xdr:rowOff>114300</xdr:rowOff>
    </xdr:from>
    <xdr:to>
      <xdr:col>1</xdr:col>
      <xdr:colOff>1247775</xdr:colOff>
      <xdr:row>25</xdr:row>
      <xdr:rowOff>114300</xdr:rowOff>
    </xdr:to>
    <xdr:cxnSp macro="">
      <xdr:nvCxnSpPr>
        <xdr:cNvPr id="995" name="Conector recto 43"/>
        <xdr:cNvCxnSpPr>
          <a:cxnSpLocks noChangeShapeType="1"/>
        </xdr:cNvCxnSpPr>
      </xdr:nvCxnSpPr>
      <xdr:spPr bwMode="auto">
        <a:xfrm>
          <a:off x="1104900" y="546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152400</xdr:rowOff>
    </xdr:from>
    <xdr:to>
      <xdr:col>1</xdr:col>
      <xdr:colOff>1257300</xdr:colOff>
      <xdr:row>26</xdr:row>
      <xdr:rowOff>152400</xdr:rowOff>
    </xdr:to>
    <xdr:cxnSp macro="">
      <xdr:nvCxnSpPr>
        <xdr:cNvPr id="996" name="Conector recto 43"/>
        <xdr:cNvCxnSpPr>
          <a:cxnSpLocks noChangeShapeType="1"/>
        </xdr:cNvCxnSpPr>
      </xdr:nvCxnSpPr>
      <xdr:spPr bwMode="auto">
        <a:xfrm>
          <a:off x="1114425" y="573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57150</xdr:rowOff>
    </xdr:from>
    <xdr:to>
      <xdr:col>1</xdr:col>
      <xdr:colOff>171450</xdr:colOff>
      <xdr:row>26</xdr:row>
      <xdr:rowOff>152400</xdr:rowOff>
    </xdr:to>
    <xdr:cxnSp macro="">
      <xdr:nvCxnSpPr>
        <xdr:cNvPr id="997" name="Conector recto 13"/>
        <xdr:cNvCxnSpPr>
          <a:cxnSpLocks noChangeShapeType="1"/>
        </xdr:cNvCxnSpPr>
      </xdr:nvCxnSpPr>
      <xdr:spPr bwMode="auto">
        <a:xfrm>
          <a:off x="1114425" y="563880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</xdr:row>
      <xdr:rowOff>152400</xdr:rowOff>
    </xdr:from>
    <xdr:to>
      <xdr:col>1</xdr:col>
      <xdr:colOff>1228725</xdr:colOff>
      <xdr:row>27</xdr:row>
      <xdr:rowOff>152400</xdr:rowOff>
    </xdr:to>
    <xdr:cxnSp macro="">
      <xdr:nvCxnSpPr>
        <xdr:cNvPr id="998" name="Conector recto 43"/>
        <xdr:cNvCxnSpPr>
          <a:cxnSpLocks noChangeShapeType="1"/>
        </xdr:cNvCxnSpPr>
      </xdr:nvCxnSpPr>
      <xdr:spPr bwMode="auto">
        <a:xfrm>
          <a:off x="1085850" y="596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1228725</xdr:colOff>
      <xdr:row>27</xdr:row>
      <xdr:rowOff>76200</xdr:rowOff>
    </xdr:from>
    <xdr:to>
      <xdr:col>1</xdr:col>
      <xdr:colOff>1228725</xdr:colOff>
      <xdr:row>27</xdr:row>
      <xdr:rowOff>171450</xdr:rowOff>
    </xdr:to>
    <xdr:cxnSp macro="">
      <xdr:nvCxnSpPr>
        <xdr:cNvPr id="999" name="Conector recto 13"/>
        <xdr:cNvCxnSpPr>
          <a:cxnSpLocks noChangeShapeType="1"/>
        </xdr:cNvCxnSpPr>
      </xdr:nvCxnSpPr>
      <xdr:spPr bwMode="auto">
        <a:xfrm>
          <a:off x="2171700" y="588645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28</xdr:row>
      <xdr:rowOff>57150</xdr:rowOff>
    </xdr:from>
    <xdr:to>
      <xdr:col>1</xdr:col>
      <xdr:colOff>1257300</xdr:colOff>
      <xdr:row>28</xdr:row>
      <xdr:rowOff>152400</xdr:rowOff>
    </xdr:to>
    <xdr:grpSp>
      <xdr:nvGrpSpPr>
        <xdr:cNvPr id="1000" name="Grupo 2"/>
        <xdr:cNvGrpSpPr>
          <a:grpSpLocks/>
        </xdr:cNvGrpSpPr>
      </xdr:nvGrpSpPr>
      <xdr:grpSpPr bwMode="auto">
        <a:xfrm>
          <a:off x="1282700" y="7169150"/>
          <a:ext cx="1085850" cy="95250"/>
          <a:chOff x="10648950" y="5124450"/>
          <a:chExt cx="1085850" cy="95250"/>
        </a:xfrm>
      </xdr:grpSpPr>
      <xdr:cxnSp macro="">
        <xdr:nvCxnSpPr>
          <xdr:cNvPr id="100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30</xdr:row>
      <xdr:rowOff>57150</xdr:rowOff>
    </xdr:from>
    <xdr:to>
      <xdr:col>1</xdr:col>
      <xdr:colOff>1238250</xdr:colOff>
      <xdr:row>30</xdr:row>
      <xdr:rowOff>152400</xdr:rowOff>
    </xdr:to>
    <xdr:grpSp>
      <xdr:nvGrpSpPr>
        <xdr:cNvPr id="1003" name="Grupo 273"/>
        <xdr:cNvGrpSpPr>
          <a:grpSpLocks/>
        </xdr:cNvGrpSpPr>
      </xdr:nvGrpSpPr>
      <xdr:grpSpPr bwMode="auto">
        <a:xfrm>
          <a:off x="1263650" y="7677150"/>
          <a:ext cx="1085850" cy="95250"/>
          <a:chOff x="10648950" y="5124450"/>
          <a:chExt cx="1085850" cy="95250"/>
        </a:xfrm>
      </xdr:grpSpPr>
      <xdr:cxnSp macro="">
        <xdr:nvCxnSpPr>
          <xdr:cNvPr id="100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31</xdr:row>
      <xdr:rowOff>57150</xdr:rowOff>
    </xdr:from>
    <xdr:to>
      <xdr:col>1</xdr:col>
      <xdr:colOff>1238250</xdr:colOff>
      <xdr:row>31</xdr:row>
      <xdr:rowOff>152400</xdr:rowOff>
    </xdr:to>
    <xdr:grpSp>
      <xdr:nvGrpSpPr>
        <xdr:cNvPr id="1006" name="Grupo 276"/>
        <xdr:cNvGrpSpPr>
          <a:grpSpLocks/>
        </xdr:cNvGrpSpPr>
      </xdr:nvGrpSpPr>
      <xdr:grpSpPr bwMode="auto">
        <a:xfrm>
          <a:off x="1263650" y="7931150"/>
          <a:ext cx="1085850" cy="95250"/>
          <a:chOff x="10648950" y="5124450"/>
          <a:chExt cx="1085850" cy="95250"/>
        </a:xfrm>
      </xdr:grpSpPr>
      <xdr:cxnSp macro="">
        <xdr:nvCxnSpPr>
          <xdr:cNvPr id="100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34</xdr:row>
      <xdr:rowOff>104775</xdr:rowOff>
    </xdr:from>
    <xdr:to>
      <xdr:col>1</xdr:col>
      <xdr:colOff>1257300</xdr:colOff>
      <xdr:row>34</xdr:row>
      <xdr:rowOff>104775</xdr:rowOff>
    </xdr:to>
    <xdr:cxnSp macro="">
      <xdr:nvCxnSpPr>
        <xdr:cNvPr id="1009" name="Conector recto 43"/>
        <xdr:cNvCxnSpPr>
          <a:cxnSpLocks noChangeShapeType="1"/>
        </xdr:cNvCxnSpPr>
      </xdr:nvCxnSpPr>
      <xdr:spPr bwMode="auto">
        <a:xfrm>
          <a:off x="1114425" y="7515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37</xdr:row>
      <xdr:rowOff>76200</xdr:rowOff>
    </xdr:from>
    <xdr:to>
      <xdr:col>1</xdr:col>
      <xdr:colOff>1266825</xdr:colOff>
      <xdr:row>37</xdr:row>
      <xdr:rowOff>171450</xdr:rowOff>
    </xdr:to>
    <xdr:grpSp>
      <xdr:nvGrpSpPr>
        <xdr:cNvPr id="1012" name="Grupo 288"/>
        <xdr:cNvGrpSpPr>
          <a:grpSpLocks/>
        </xdr:cNvGrpSpPr>
      </xdr:nvGrpSpPr>
      <xdr:grpSpPr bwMode="auto">
        <a:xfrm>
          <a:off x="1292225" y="9474200"/>
          <a:ext cx="1085850" cy="95250"/>
          <a:chOff x="10648950" y="5124450"/>
          <a:chExt cx="1085850" cy="95250"/>
        </a:xfrm>
      </xdr:grpSpPr>
      <xdr:cxnSp macro="">
        <xdr:nvCxnSpPr>
          <xdr:cNvPr id="101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247650</xdr:colOff>
      <xdr:row>45</xdr:row>
      <xdr:rowOff>85725</xdr:rowOff>
    </xdr:from>
    <xdr:to>
      <xdr:col>1</xdr:col>
      <xdr:colOff>1333500</xdr:colOff>
      <xdr:row>45</xdr:row>
      <xdr:rowOff>161925</xdr:rowOff>
    </xdr:to>
    <xdr:grpSp>
      <xdr:nvGrpSpPr>
        <xdr:cNvPr id="1017" name="Grupo 296"/>
        <xdr:cNvGrpSpPr>
          <a:grpSpLocks/>
        </xdr:cNvGrpSpPr>
      </xdr:nvGrpSpPr>
      <xdr:grpSpPr bwMode="auto">
        <a:xfrm>
          <a:off x="1358900" y="12785725"/>
          <a:ext cx="1085850" cy="76200"/>
          <a:chOff x="10648950" y="5581650"/>
          <a:chExt cx="1085850" cy="76200"/>
        </a:xfrm>
      </xdr:grpSpPr>
      <xdr:cxnSp macro="">
        <xdr:nvCxnSpPr>
          <xdr:cNvPr id="1018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9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276225</xdr:colOff>
      <xdr:row>46</xdr:row>
      <xdr:rowOff>57150</xdr:rowOff>
    </xdr:from>
    <xdr:to>
      <xdr:col>1</xdr:col>
      <xdr:colOff>1362075</xdr:colOff>
      <xdr:row>46</xdr:row>
      <xdr:rowOff>133350</xdr:rowOff>
    </xdr:to>
    <xdr:grpSp>
      <xdr:nvGrpSpPr>
        <xdr:cNvPr id="1020" name="Grupo 299"/>
        <xdr:cNvGrpSpPr>
          <a:grpSpLocks/>
        </xdr:cNvGrpSpPr>
      </xdr:nvGrpSpPr>
      <xdr:grpSpPr bwMode="auto">
        <a:xfrm>
          <a:off x="1387475" y="13011150"/>
          <a:ext cx="1085850" cy="76200"/>
          <a:chOff x="10648950" y="5581650"/>
          <a:chExt cx="1085850" cy="76200"/>
        </a:xfrm>
      </xdr:grpSpPr>
      <xdr:cxnSp macro="">
        <xdr:nvCxnSpPr>
          <xdr:cNvPr id="1021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2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47</xdr:row>
      <xdr:rowOff>85725</xdr:rowOff>
    </xdr:from>
    <xdr:to>
      <xdr:col>1</xdr:col>
      <xdr:colOff>1304925</xdr:colOff>
      <xdr:row>47</xdr:row>
      <xdr:rowOff>161925</xdr:rowOff>
    </xdr:to>
    <xdr:grpSp>
      <xdr:nvGrpSpPr>
        <xdr:cNvPr id="1023" name="Grupo 302"/>
        <xdr:cNvGrpSpPr>
          <a:grpSpLocks/>
        </xdr:cNvGrpSpPr>
      </xdr:nvGrpSpPr>
      <xdr:grpSpPr bwMode="auto">
        <a:xfrm>
          <a:off x="1330325" y="13293725"/>
          <a:ext cx="1085850" cy="76200"/>
          <a:chOff x="10648950" y="5581650"/>
          <a:chExt cx="1085850" cy="76200"/>
        </a:xfrm>
      </xdr:grpSpPr>
      <xdr:cxnSp macro="">
        <xdr:nvCxnSpPr>
          <xdr:cNvPr id="1024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5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48</xdr:row>
      <xdr:rowOff>85725</xdr:rowOff>
    </xdr:from>
    <xdr:to>
      <xdr:col>1</xdr:col>
      <xdr:colOff>1304925</xdr:colOff>
      <xdr:row>48</xdr:row>
      <xdr:rowOff>180975</xdr:rowOff>
    </xdr:to>
    <xdr:grpSp>
      <xdr:nvGrpSpPr>
        <xdr:cNvPr id="1026" name="Grupo 308"/>
        <xdr:cNvGrpSpPr>
          <a:grpSpLocks/>
        </xdr:cNvGrpSpPr>
      </xdr:nvGrpSpPr>
      <xdr:grpSpPr bwMode="auto">
        <a:xfrm>
          <a:off x="1330325" y="13547725"/>
          <a:ext cx="1085850" cy="95250"/>
          <a:chOff x="10648950" y="5810250"/>
          <a:chExt cx="1085850" cy="95250"/>
        </a:xfrm>
      </xdr:grpSpPr>
      <xdr:cxnSp macro="">
        <xdr:nvCxnSpPr>
          <xdr:cNvPr id="1027" name="Conector recto 43"/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8" name="Conector recto 13"/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49</xdr:row>
      <xdr:rowOff>38100</xdr:rowOff>
    </xdr:from>
    <xdr:to>
      <xdr:col>1</xdr:col>
      <xdr:colOff>1295400</xdr:colOff>
      <xdr:row>49</xdr:row>
      <xdr:rowOff>133350</xdr:rowOff>
    </xdr:to>
    <xdr:grpSp>
      <xdr:nvGrpSpPr>
        <xdr:cNvPr id="1029" name="Grupo 311"/>
        <xdr:cNvGrpSpPr>
          <a:grpSpLocks/>
        </xdr:cNvGrpSpPr>
      </xdr:nvGrpSpPr>
      <xdr:grpSpPr bwMode="auto">
        <a:xfrm>
          <a:off x="1320800" y="13754100"/>
          <a:ext cx="1085850" cy="95250"/>
          <a:chOff x="10648950" y="5810250"/>
          <a:chExt cx="1085850" cy="95250"/>
        </a:xfrm>
      </xdr:grpSpPr>
      <xdr:cxnSp macro="">
        <xdr:nvCxnSpPr>
          <xdr:cNvPr id="1030" name="Conector recto 43"/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1" name="Conector recto 13"/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50</xdr:row>
      <xdr:rowOff>28575</xdr:rowOff>
    </xdr:from>
    <xdr:to>
      <xdr:col>1</xdr:col>
      <xdr:colOff>1304925</xdr:colOff>
      <xdr:row>50</xdr:row>
      <xdr:rowOff>123825</xdr:rowOff>
    </xdr:to>
    <xdr:grpSp>
      <xdr:nvGrpSpPr>
        <xdr:cNvPr id="1032" name="Grupo 314"/>
        <xdr:cNvGrpSpPr>
          <a:grpSpLocks/>
        </xdr:cNvGrpSpPr>
      </xdr:nvGrpSpPr>
      <xdr:grpSpPr bwMode="auto">
        <a:xfrm>
          <a:off x="1330325" y="13998575"/>
          <a:ext cx="1085850" cy="95250"/>
          <a:chOff x="10648950" y="5810250"/>
          <a:chExt cx="1085850" cy="95250"/>
        </a:xfrm>
      </xdr:grpSpPr>
      <xdr:cxnSp macro="">
        <xdr:nvCxnSpPr>
          <xdr:cNvPr id="1033" name="Conector recto 43"/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4" name="Conector recto 13"/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51</xdr:row>
      <xdr:rowOff>123825</xdr:rowOff>
    </xdr:from>
    <xdr:to>
      <xdr:col>1</xdr:col>
      <xdr:colOff>1276350</xdr:colOff>
      <xdr:row>51</xdr:row>
      <xdr:rowOff>123825</xdr:rowOff>
    </xdr:to>
    <xdr:cxnSp macro="">
      <xdr:nvCxnSpPr>
        <xdr:cNvPr id="1035" name="Conector recto 43"/>
        <xdr:cNvCxnSpPr>
          <a:cxnSpLocks noChangeShapeType="1"/>
        </xdr:cNvCxnSpPr>
      </xdr:nvCxnSpPr>
      <xdr:spPr bwMode="auto">
        <a:xfrm>
          <a:off x="1133475" y="9991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52</xdr:row>
      <xdr:rowOff>114300</xdr:rowOff>
    </xdr:from>
    <xdr:to>
      <xdr:col>1</xdr:col>
      <xdr:colOff>1266825</xdr:colOff>
      <xdr:row>52</xdr:row>
      <xdr:rowOff>114300</xdr:rowOff>
    </xdr:to>
    <xdr:cxnSp macro="">
      <xdr:nvCxnSpPr>
        <xdr:cNvPr id="1036" name="Conector recto 43"/>
        <xdr:cNvCxnSpPr>
          <a:cxnSpLocks noChangeShapeType="1"/>
        </xdr:cNvCxnSpPr>
      </xdr:nvCxnSpPr>
      <xdr:spPr bwMode="auto">
        <a:xfrm>
          <a:off x="1123950" y="10201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53</xdr:row>
      <xdr:rowOff>123825</xdr:rowOff>
    </xdr:from>
    <xdr:to>
      <xdr:col>1</xdr:col>
      <xdr:colOff>1285875</xdr:colOff>
      <xdr:row>53</xdr:row>
      <xdr:rowOff>123825</xdr:rowOff>
    </xdr:to>
    <xdr:cxnSp macro="">
      <xdr:nvCxnSpPr>
        <xdr:cNvPr id="1037" name="Conector recto 43"/>
        <xdr:cNvCxnSpPr>
          <a:cxnSpLocks noChangeShapeType="1"/>
        </xdr:cNvCxnSpPr>
      </xdr:nvCxnSpPr>
      <xdr:spPr bwMode="auto">
        <a:xfrm>
          <a:off x="1143000" y="10439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209550</xdr:colOff>
      <xdr:row>54</xdr:row>
      <xdr:rowOff>104775</xdr:rowOff>
    </xdr:from>
    <xdr:to>
      <xdr:col>1</xdr:col>
      <xdr:colOff>1295400</xdr:colOff>
      <xdr:row>54</xdr:row>
      <xdr:rowOff>104775</xdr:rowOff>
    </xdr:to>
    <xdr:cxnSp macro="">
      <xdr:nvCxnSpPr>
        <xdr:cNvPr id="1038" name="Conector recto 43"/>
        <xdr:cNvCxnSpPr>
          <a:cxnSpLocks noChangeShapeType="1"/>
        </xdr:cNvCxnSpPr>
      </xdr:nvCxnSpPr>
      <xdr:spPr bwMode="auto">
        <a:xfrm>
          <a:off x="1152525" y="10668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55</xdr:row>
      <xdr:rowOff>133350</xdr:rowOff>
    </xdr:from>
    <xdr:to>
      <xdr:col>1</xdr:col>
      <xdr:colOff>1276350</xdr:colOff>
      <xdr:row>55</xdr:row>
      <xdr:rowOff>133350</xdr:rowOff>
    </xdr:to>
    <xdr:cxnSp macro="">
      <xdr:nvCxnSpPr>
        <xdr:cNvPr id="1039" name="Conector recto 43"/>
        <xdr:cNvCxnSpPr>
          <a:cxnSpLocks noChangeShapeType="1"/>
        </xdr:cNvCxnSpPr>
      </xdr:nvCxnSpPr>
      <xdr:spPr bwMode="auto">
        <a:xfrm>
          <a:off x="1133475" y="1093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56</xdr:row>
      <xdr:rowOff>95250</xdr:rowOff>
    </xdr:from>
    <xdr:to>
      <xdr:col>1</xdr:col>
      <xdr:colOff>1276350</xdr:colOff>
      <xdr:row>56</xdr:row>
      <xdr:rowOff>95250</xdr:rowOff>
    </xdr:to>
    <xdr:cxnSp macro="">
      <xdr:nvCxnSpPr>
        <xdr:cNvPr id="1040" name="Conector recto 43"/>
        <xdr:cNvCxnSpPr>
          <a:cxnSpLocks noChangeShapeType="1"/>
        </xdr:cNvCxnSpPr>
      </xdr:nvCxnSpPr>
      <xdr:spPr bwMode="auto">
        <a:xfrm>
          <a:off x="1133475" y="1115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</xdr:row>
      <xdr:rowOff>123825</xdr:rowOff>
    </xdr:from>
    <xdr:to>
      <xdr:col>1</xdr:col>
      <xdr:colOff>1238250</xdr:colOff>
      <xdr:row>57</xdr:row>
      <xdr:rowOff>123825</xdr:rowOff>
    </xdr:to>
    <xdr:cxnSp macro="">
      <xdr:nvCxnSpPr>
        <xdr:cNvPr id="1041" name="Conector recto 39"/>
        <xdr:cNvCxnSpPr>
          <a:cxnSpLocks noChangeShapeType="1"/>
        </xdr:cNvCxnSpPr>
      </xdr:nvCxnSpPr>
      <xdr:spPr bwMode="auto">
        <a:xfrm>
          <a:off x="1095375" y="1140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62</xdr:row>
      <xdr:rowOff>104775</xdr:rowOff>
    </xdr:from>
    <xdr:to>
      <xdr:col>1</xdr:col>
      <xdr:colOff>1219200</xdr:colOff>
      <xdr:row>62</xdr:row>
      <xdr:rowOff>104775</xdr:rowOff>
    </xdr:to>
    <xdr:cxnSp macro="">
      <xdr:nvCxnSpPr>
        <xdr:cNvPr id="1042" name="Conector recto 39"/>
        <xdr:cNvCxnSpPr>
          <a:cxnSpLocks noChangeShapeType="1"/>
        </xdr:cNvCxnSpPr>
      </xdr:nvCxnSpPr>
      <xdr:spPr bwMode="auto">
        <a:xfrm>
          <a:off x="1076325" y="1245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65</xdr:row>
      <xdr:rowOff>76200</xdr:rowOff>
    </xdr:from>
    <xdr:to>
      <xdr:col>1</xdr:col>
      <xdr:colOff>1266825</xdr:colOff>
      <xdr:row>65</xdr:row>
      <xdr:rowOff>171450</xdr:rowOff>
    </xdr:to>
    <xdr:grpSp>
      <xdr:nvGrpSpPr>
        <xdr:cNvPr id="1044" name="Grupo 326"/>
        <xdr:cNvGrpSpPr>
          <a:grpSpLocks/>
        </xdr:cNvGrpSpPr>
      </xdr:nvGrpSpPr>
      <xdr:grpSpPr bwMode="auto">
        <a:xfrm>
          <a:off x="1292225" y="17856200"/>
          <a:ext cx="1085850" cy="95250"/>
          <a:chOff x="10648950" y="5810250"/>
          <a:chExt cx="1085850" cy="95250"/>
        </a:xfrm>
      </xdr:grpSpPr>
      <xdr:cxnSp macro="">
        <xdr:nvCxnSpPr>
          <xdr:cNvPr id="1045" name="Conector recto 43"/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6" name="Conector recto 13"/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66</xdr:row>
      <xdr:rowOff>38100</xdr:rowOff>
    </xdr:from>
    <xdr:to>
      <xdr:col>1</xdr:col>
      <xdr:colOff>1266825</xdr:colOff>
      <xdr:row>66</xdr:row>
      <xdr:rowOff>133350</xdr:rowOff>
    </xdr:to>
    <xdr:grpSp>
      <xdr:nvGrpSpPr>
        <xdr:cNvPr id="1047" name="Grupo 329"/>
        <xdr:cNvGrpSpPr>
          <a:grpSpLocks/>
        </xdr:cNvGrpSpPr>
      </xdr:nvGrpSpPr>
      <xdr:grpSpPr bwMode="auto">
        <a:xfrm>
          <a:off x="1292225" y="18072100"/>
          <a:ext cx="1085850" cy="95250"/>
          <a:chOff x="10648950" y="5810250"/>
          <a:chExt cx="1085850" cy="95250"/>
        </a:xfrm>
      </xdr:grpSpPr>
      <xdr:cxnSp macro="">
        <xdr:nvCxnSpPr>
          <xdr:cNvPr id="1048" name="Conector recto 43"/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9" name="Conector recto 13"/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67</xdr:row>
      <xdr:rowOff>38100</xdr:rowOff>
    </xdr:from>
    <xdr:to>
      <xdr:col>1</xdr:col>
      <xdr:colOff>1247775</xdr:colOff>
      <xdr:row>67</xdr:row>
      <xdr:rowOff>133350</xdr:rowOff>
    </xdr:to>
    <xdr:grpSp>
      <xdr:nvGrpSpPr>
        <xdr:cNvPr id="1050" name="Grupo 332"/>
        <xdr:cNvGrpSpPr>
          <a:grpSpLocks/>
        </xdr:cNvGrpSpPr>
      </xdr:nvGrpSpPr>
      <xdr:grpSpPr bwMode="auto">
        <a:xfrm>
          <a:off x="1273175" y="18326100"/>
          <a:ext cx="1085850" cy="95250"/>
          <a:chOff x="10648950" y="5124450"/>
          <a:chExt cx="1085850" cy="95250"/>
        </a:xfrm>
      </xdr:grpSpPr>
      <xdr:cxnSp macro="">
        <xdr:nvCxnSpPr>
          <xdr:cNvPr id="105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68</xdr:row>
      <xdr:rowOff>133350</xdr:rowOff>
    </xdr:from>
    <xdr:to>
      <xdr:col>1</xdr:col>
      <xdr:colOff>1276350</xdr:colOff>
      <xdr:row>68</xdr:row>
      <xdr:rowOff>133350</xdr:rowOff>
    </xdr:to>
    <xdr:cxnSp macro="">
      <xdr:nvCxnSpPr>
        <xdr:cNvPr id="1053" name="Conector recto 39"/>
        <xdr:cNvCxnSpPr>
          <a:cxnSpLocks noChangeShapeType="1"/>
        </xdr:cNvCxnSpPr>
      </xdr:nvCxnSpPr>
      <xdr:spPr bwMode="auto">
        <a:xfrm>
          <a:off x="1133475" y="13849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69</xdr:row>
      <xdr:rowOff>114300</xdr:rowOff>
    </xdr:from>
    <xdr:to>
      <xdr:col>1</xdr:col>
      <xdr:colOff>1276350</xdr:colOff>
      <xdr:row>69</xdr:row>
      <xdr:rowOff>114300</xdr:rowOff>
    </xdr:to>
    <xdr:cxnSp macro="">
      <xdr:nvCxnSpPr>
        <xdr:cNvPr id="1054" name="Conector recto 39"/>
        <xdr:cNvCxnSpPr>
          <a:cxnSpLocks noChangeShapeType="1"/>
        </xdr:cNvCxnSpPr>
      </xdr:nvCxnSpPr>
      <xdr:spPr bwMode="auto">
        <a:xfrm>
          <a:off x="1133475" y="14077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70</xdr:row>
      <xdr:rowOff>66675</xdr:rowOff>
    </xdr:from>
    <xdr:to>
      <xdr:col>1</xdr:col>
      <xdr:colOff>1257300</xdr:colOff>
      <xdr:row>70</xdr:row>
      <xdr:rowOff>161925</xdr:rowOff>
    </xdr:to>
    <xdr:grpSp>
      <xdr:nvGrpSpPr>
        <xdr:cNvPr id="1055" name="Grupo 337"/>
        <xdr:cNvGrpSpPr>
          <a:grpSpLocks/>
        </xdr:cNvGrpSpPr>
      </xdr:nvGrpSpPr>
      <xdr:grpSpPr bwMode="auto">
        <a:xfrm>
          <a:off x="1282700" y="19116675"/>
          <a:ext cx="1085850" cy="95250"/>
          <a:chOff x="10648950" y="5124450"/>
          <a:chExt cx="1085850" cy="95250"/>
        </a:xfrm>
      </xdr:grpSpPr>
      <xdr:cxnSp macro="">
        <xdr:nvCxnSpPr>
          <xdr:cNvPr id="105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71</xdr:row>
      <xdr:rowOff>38100</xdr:rowOff>
    </xdr:from>
    <xdr:to>
      <xdr:col>1</xdr:col>
      <xdr:colOff>1247775</xdr:colOff>
      <xdr:row>71</xdr:row>
      <xdr:rowOff>133350</xdr:rowOff>
    </xdr:to>
    <xdr:grpSp>
      <xdr:nvGrpSpPr>
        <xdr:cNvPr id="1058" name="Grupo 340"/>
        <xdr:cNvGrpSpPr>
          <a:grpSpLocks/>
        </xdr:cNvGrpSpPr>
      </xdr:nvGrpSpPr>
      <xdr:grpSpPr bwMode="auto">
        <a:xfrm>
          <a:off x="1273175" y="19342100"/>
          <a:ext cx="1085850" cy="95250"/>
          <a:chOff x="10648950" y="5124450"/>
          <a:chExt cx="1085850" cy="95250"/>
        </a:xfrm>
      </xdr:grpSpPr>
      <xdr:cxnSp macro="">
        <xdr:nvCxnSpPr>
          <xdr:cNvPr id="105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82</xdr:row>
      <xdr:rowOff>95250</xdr:rowOff>
    </xdr:from>
    <xdr:to>
      <xdr:col>1</xdr:col>
      <xdr:colOff>1295400</xdr:colOff>
      <xdr:row>82</xdr:row>
      <xdr:rowOff>171450</xdr:rowOff>
    </xdr:to>
    <xdr:grpSp>
      <xdr:nvGrpSpPr>
        <xdr:cNvPr id="1061" name="Grupo 343"/>
        <xdr:cNvGrpSpPr>
          <a:grpSpLocks/>
        </xdr:cNvGrpSpPr>
      </xdr:nvGrpSpPr>
      <xdr:grpSpPr bwMode="auto">
        <a:xfrm>
          <a:off x="1320800" y="23812500"/>
          <a:ext cx="1085850" cy="76200"/>
          <a:chOff x="10648950" y="5581650"/>
          <a:chExt cx="1085850" cy="76200"/>
        </a:xfrm>
      </xdr:grpSpPr>
      <xdr:cxnSp macro="">
        <xdr:nvCxnSpPr>
          <xdr:cNvPr id="1062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3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</xdr:row>
      <xdr:rowOff>66675</xdr:rowOff>
    </xdr:from>
    <xdr:to>
      <xdr:col>1</xdr:col>
      <xdr:colOff>1323975</xdr:colOff>
      <xdr:row>83</xdr:row>
      <xdr:rowOff>142875</xdr:rowOff>
    </xdr:to>
    <xdr:grpSp>
      <xdr:nvGrpSpPr>
        <xdr:cNvPr id="1064" name="Grupo 346"/>
        <xdr:cNvGrpSpPr>
          <a:grpSpLocks/>
        </xdr:cNvGrpSpPr>
      </xdr:nvGrpSpPr>
      <xdr:grpSpPr bwMode="auto">
        <a:xfrm>
          <a:off x="1349375" y="24037925"/>
          <a:ext cx="1085850" cy="76200"/>
          <a:chOff x="10648950" y="5581650"/>
          <a:chExt cx="1085850" cy="76200"/>
        </a:xfrm>
      </xdr:grpSpPr>
      <xdr:cxnSp macro="">
        <xdr:nvCxnSpPr>
          <xdr:cNvPr id="1065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6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89</xdr:row>
      <xdr:rowOff>104775</xdr:rowOff>
    </xdr:from>
    <xdr:to>
      <xdr:col>1</xdr:col>
      <xdr:colOff>1295400</xdr:colOff>
      <xdr:row>89</xdr:row>
      <xdr:rowOff>104775</xdr:rowOff>
    </xdr:to>
    <xdr:cxnSp macro="">
      <xdr:nvCxnSpPr>
        <xdr:cNvPr id="1071" name="Conector recto 39"/>
        <xdr:cNvCxnSpPr>
          <a:cxnSpLocks noChangeShapeType="1"/>
        </xdr:cNvCxnSpPr>
      </xdr:nvCxnSpPr>
      <xdr:spPr bwMode="auto">
        <a:xfrm>
          <a:off x="1152525" y="16811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94</xdr:row>
      <xdr:rowOff>104775</xdr:rowOff>
    </xdr:from>
    <xdr:to>
      <xdr:col>1</xdr:col>
      <xdr:colOff>1285875</xdr:colOff>
      <xdr:row>94</xdr:row>
      <xdr:rowOff>104775</xdr:rowOff>
    </xdr:to>
    <xdr:cxnSp macro="">
      <xdr:nvCxnSpPr>
        <xdr:cNvPr id="1072" name="Conector recto 39"/>
        <xdr:cNvCxnSpPr>
          <a:cxnSpLocks noChangeShapeType="1"/>
        </xdr:cNvCxnSpPr>
      </xdr:nvCxnSpPr>
      <xdr:spPr bwMode="auto">
        <a:xfrm>
          <a:off x="1143000" y="17954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95</xdr:row>
      <xdr:rowOff>95250</xdr:rowOff>
    </xdr:from>
    <xdr:to>
      <xdr:col>1</xdr:col>
      <xdr:colOff>1257300</xdr:colOff>
      <xdr:row>95</xdr:row>
      <xdr:rowOff>95250</xdr:rowOff>
    </xdr:to>
    <xdr:cxnSp macro="">
      <xdr:nvCxnSpPr>
        <xdr:cNvPr id="1073" name="Conector recto 39"/>
        <xdr:cNvCxnSpPr>
          <a:cxnSpLocks noChangeShapeType="1"/>
        </xdr:cNvCxnSpPr>
      </xdr:nvCxnSpPr>
      <xdr:spPr bwMode="auto">
        <a:xfrm>
          <a:off x="1114425" y="1818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98</xdr:row>
      <xdr:rowOff>95250</xdr:rowOff>
    </xdr:from>
    <xdr:to>
      <xdr:col>1</xdr:col>
      <xdr:colOff>1266825</xdr:colOff>
      <xdr:row>98</xdr:row>
      <xdr:rowOff>95250</xdr:rowOff>
    </xdr:to>
    <xdr:cxnSp macro="">
      <xdr:nvCxnSpPr>
        <xdr:cNvPr id="1074" name="Conector recto 39"/>
        <xdr:cNvCxnSpPr>
          <a:cxnSpLocks noChangeShapeType="1"/>
        </xdr:cNvCxnSpPr>
      </xdr:nvCxnSpPr>
      <xdr:spPr bwMode="auto">
        <a:xfrm>
          <a:off x="1123950" y="18849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99</xdr:row>
      <xdr:rowOff>104775</xdr:rowOff>
    </xdr:from>
    <xdr:to>
      <xdr:col>1</xdr:col>
      <xdr:colOff>1276350</xdr:colOff>
      <xdr:row>99</xdr:row>
      <xdr:rowOff>104775</xdr:rowOff>
    </xdr:to>
    <xdr:cxnSp macro="">
      <xdr:nvCxnSpPr>
        <xdr:cNvPr id="1075" name="Conector recto 39"/>
        <xdr:cNvCxnSpPr>
          <a:cxnSpLocks noChangeShapeType="1"/>
        </xdr:cNvCxnSpPr>
      </xdr:nvCxnSpPr>
      <xdr:spPr bwMode="auto">
        <a:xfrm>
          <a:off x="1133475" y="19059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102</xdr:row>
      <xdr:rowOff>57150</xdr:rowOff>
    </xdr:from>
    <xdr:to>
      <xdr:col>1</xdr:col>
      <xdr:colOff>1228725</xdr:colOff>
      <xdr:row>102</xdr:row>
      <xdr:rowOff>152400</xdr:rowOff>
    </xdr:to>
    <xdr:grpSp>
      <xdr:nvGrpSpPr>
        <xdr:cNvPr id="1077" name="Grupo 359"/>
        <xdr:cNvGrpSpPr>
          <a:grpSpLocks/>
        </xdr:cNvGrpSpPr>
      </xdr:nvGrpSpPr>
      <xdr:grpSpPr bwMode="auto">
        <a:xfrm>
          <a:off x="1254125" y="29171900"/>
          <a:ext cx="1085850" cy="95250"/>
          <a:chOff x="10648950" y="5124450"/>
          <a:chExt cx="1085850" cy="95250"/>
        </a:xfrm>
      </xdr:grpSpPr>
      <xdr:cxnSp macro="">
        <xdr:nvCxnSpPr>
          <xdr:cNvPr id="107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7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103</xdr:row>
      <xdr:rowOff>57150</xdr:rowOff>
    </xdr:from>
    <xdr:to>
      <xdr:col>1</xdr:col>
      <xdr:colOff>1228725</xdr:colOff>
      <xdr:row>103</xdr:row>
      <xdr:rowOff>152400</xdr:rowOff>
    </xdr:to>
    <xdr:grpSp>
      <xdr:nvGrpSpPr>
        <xdr:cNvPr id="1080" name="Grupo 362"/>
        <xdr:cNvGrpSpPr>
          <a:grpSpLocks/>
        </xdr:cNvGrpSpPr>
      </xdr:nvGrpSpPr>
      <xdr:grpSpPr bwMode="auto">
        <a:xfrm>
          <a:off x="1254125" y="29425900"/>
          <a:ext cx="1085850" cy="95250"/>
          <a:chOff x="10648950" y="5124450"/>
          <a:chExt cx="1085850" cy="95250"/>
        </a:xfrm>
      </xdr:grpSpPr>
      <xdr:cxnSp macro="">
        <xdr:nvCxnSpPr>
          <xdr:cNvPr id="108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104</xdr:row>
      <xdr:rowOff>133350</xdr:rowOff>
    </xdr:from>
    <xdr:to>
      <xdr:col>1</xdr:col>
      <xdr:colOff>1257300</xdr:colOff>
      <xdr:row>104</xdr:row>
      <xdr:rowOff>133350</xdr:rowOff>
    </xdr:to>
    <xdr:cxnSp macro="">
      <xdr:nvCxnSpPr>
        <xdr:cNvPr id="1083" name="Conector recto 39"/>
        <xdr:cNvCxnSpPr>
          <a:cxnSpLocks noChangeShapeType="1"/>
        </xdr:cNvCxnSpPr>
      </xdr:nvCxnSpPr>
      <xdr:spPr bwMode="auto">
        <a:xfrm>
          <a:off x="1114425" y="20326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105</xdr:row>
      <xdr:rowOff>95250</xdr:rowOff>
    </xdr:from>
    <xdr:to>
      <xdr:col>1</xdr:col>
      <xdr:colOff>1247775</xdr:colOff>
      <xdr:row>105</xdr:row>
      <xdr:rowOff>95250</xdr:rowOff>
    </xdr:to>
    <xdr:cxnSp macro="">
      <xdr:nvCxnSpPr>
        <xdr:cNvPr id="1084" name="Conector recto 39"/>
        <xdr:cNvCxnSpPr>
          <a:cxnSpLocks noChangeShapeType="1"/>
        </xdr:cNvCxnSpPr>
      </xdr:nvCxnSpPr>
      <xdr:spPr bwMode="auto">
        <a:xfrm>
          <a:off x="1104900" y="2052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106</xdr:row>
      <xdr:rowOff>66675</xdr:rowOff>
    </xdr:from>
    <xdr:to>
      <xdr:col>1</xdr:col>
      <xdr:colOff>1228725</xdr:colOff>
      <xdr:row>106</xdr:row>
      <xdr:rowOff>161925</xdr:rowOff>
    </xdr:to>
    <xdr:grpSp>
      <xdr:nvGrpSpPr>
        <xdr:cNvPr id="1085" name="Grupo 367"/>
        <xdr:cNvGrpSpPr>
          <a:grpSpLocks/>
        </xdr:cNvGrpSpPr>
      </xdr:nvGrpSpPr>
      <xdr:grpSpPr bwMode="auto">
        <a:xfrm>
          <a:off x="1254125" y="30197425"/>
          <a:ext cx="1085850" cy="95250"/>
          <a:chOff x="10648950" y="5124450"/>
          <a:chExt cx="1085850" cy="95250"/>
        </a:xfrm>
      </xdr:grpSpPr>
      <xdr:cxnSp macro="">
        <xdr:nvCxnSpPr>
          <xdr:cNvPr id="108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107</xdr:row>
      <xdr:rowOff>38100</xdr:rowOff>
    </xdr:from>
    <xdr:to>
      <xdr:col>1</xdr:col>
      <xdr:colOff>1200150</xdr:colOff>
      <xdr:row>107</xdr:row>
      <xdr:rowOff>133350</xdr:rowOff>
    </xdr:to>
    <xdr:grpSp>
      <xdr:nvGrpSpPr>
        <xdr:cNvPr id="1088" name="Grupo 370"/>
        <xdr:cNvGrpSpPr>
          <a:grpSpLocks/>
        </xdr:cNvGrpSpPr>
      </xdr:nvGrpSpPr>
      <xdr:grpSpPr bwMode="auto">
        <a:xfrm>
          <a:off x="1225550" y="30422850"/>
          <a:ext cx="1085850" cy="95250"/>
          <a:chOff x="10648950" y="5124450"/>
          <a:chExt cx="1085850" cy="95250"/>
        </a:xfrm>
      </xdr:grpSpPr>
      <xdr:cxnSp macro="">
        <xdr:nvCxnSpPr>
          <xdr:cNvPr id="108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108</xdr:row>
      <xdr:rowOff>114300</xdr:rowOff>
    </xdr:from>
    <xdr:to>
      <xdr:col>1</xdr:col>
      <xdr:colOff>1228725</xdr:colOff>
      <xdr:row>108</xdr:row>
      <xdr:rowOff>114300</xdr:rowOff>
    </xdr:to>
    <xdr:cxnSp macro="">
      <xdr:nvCxnSpPr>
        <xdr:cNvPr id="1091" name="Conector recto 39"/>
        <xdr:cNvCxnSpPr>
          <a:cxnSpLocks noChangeShapeType="1"/>
        </xdr:cNvCxnSpPr>
      </xdr:nvCxnSpPr>
      <xdr:spPr bwMode="auto">
        <a:xfrm>
          <a:off x="1085850" y="2121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109</xdr:row>
      <xdr:rowOff>47625</xdr:rowOff>
    </xdr:from>
    <xdr:to>
      <xdr:col>1</xdr:col>
      <xdr:colOff>1266825</xdr:colOff>
      <xdr:row>109</xdr:row>
      <xdr:rowOff>142875</xdr:rowOff>
    </xdr:to>
    <xdr:grpSp>
      <xdr:nvGrpSpPr>
        <xdr:cNvPr id="1092" name="Grupo 374"/>
        <xdr:cNvGrpSpPr>
          <a:grpSpLocks/>
        </xdr:cNvGrpSpPr>
      </xdr:nvGrpSpPr>
      <xdr:grpSpPr bwMode="auto">
        <a:xfrm>
          <a:off x="1292225" y="31035625"/>
          <a:ext cx="1085850" cy="95250"/>
          <a:chOff x="10648950" y="5124450"/>
          <a:chExt cx="1085850" cy="95250"/>
        </a:xfrm>
      </xdr:grpSpPr>
      <xdr:cxnSp macro="">
        <xdr:nvCxnSpPr>
          <xdr:cNvPr id="109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116</xdr:row>
      <xdr:rowOff>104775</xdr:rowOff>
    </xdr:from>
    <xdr:to>
      <xdr:col>1</xdr:col>
      <xdr:colOff>1266825</xdr:colOff>
      <xdr:row>116</xdr:row>
      <xdr:rowOff>104775</xdr:rowOff>
    </xdr:to>
    <xdr:cxnSp macro="">
      <xdr:nvCxnSpPr>
        <xdr:cNvPr id="1095" name="Conector recto 39"/>
        <xdr:cNvCxnSpPr>
          <a:cxnSpLocks noChangeShapeType="1"/>
        </xdr:cNvCxnSpPr>
      </xdr:nvCxnSpPr>
      <xdr:spPr bwMode="auto">
        <a:xfrm>
          <a:off x="1123950" y="21850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117</xdr:row>
      <xdr:rowOff>66675</xdr:rowOff>
    </xdr:from>
    <xdr:to>
      <xdr:col>1</xdr:col>
      <xdr:colOff>1276350</xdr:colOff>
      <xdr:row>117</xdr:row>
      <xdr:rowOff>142875</xdr:rowOff>
    </xdr:to>
    <xdr:grpSp>
      <xdr:nvGrpSpPr>
        <xdr:cNvPr id="1096" name="Grupo 378"/>
        <xdr:cNvGrpSpPr>
          <a:grpSpLocks/>
        </xdr:cNvGrpSpPr>
      </xdr:nvGrpSpPr>
      <xdr:grpSpPr bwMode="auto">
        <a:xfrm>
          <a:off x="1301750" y="33991550"/>
          <a:ext cx="1085850" cy="76200"/>
          <a:chOff x="10648950" y="5581650"/>
          <a:chExt cx="1085850" cy="76200"/>
        </a:xfrm>
      </xdr:grpSpPr>
      <xdr:cxnSp macro="">
        <xdr:nvCxnSpPr>
          <xdr:cNvPr id="1097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118</xdr:row>
      <xdr:rowOff>76200</xdr:rowOff>
    </xdr:from>
    <xdr:to>
      <xdr:col>1</xdr:col>
      <xdr:colOff>1257300</xdr:colOff>
      <xdr:row>118</xdr:row>
      <xdr:rowOff>152400</xdr:rowOff>
    </xdr:to>
    <xdr:grpSp>
      <xdr:nvGrpSpPr>
        <xdr:cNvPr id="1099" name="Grupo 381"/>
        <xdr:cNvGrpSpPr>
          <a:grpSpLocks/>
        </xdr:cNvGrpSpPr>
      </xdr:nvGrpSpPr>
      <xdr:grpSpPr bwMode="auto">
        <a:xfrm>
          <a:off x="1282700" y="34255075"/>
          <a:ext cx="1085850" cy="76200"/>
          <a:chOff x="10648950" y="5581650"/>
          <a:chExt cx="1085850" cy="76200"/>
        </a:xfrm>
      </xdr:grpSpPr>
      <xdr:cxnSp macro="">
        <xdr:nvCxnSpPr>
          <xdr:cNvPr id="1100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1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127</xdr:row>
      <xdr:rowOff>104775</xdr:rowOff>
    </xdr:from>
    <xdr:to>
      <xdr:col>1</xdr:col>
      <xdr:colOff>1228725</xdr:colOff>
      <xdr:row>127</xdr:row>
      <xdr:rowOff>104775</xdr:rowOff>
    </xdr:to>
    <xdr:cxnSp macro="">
      <xdr:nvCxnSpPr>
        <xdr:cNvPr id="1109" name="Conector recto 39"/>
        <xdr:cNvCxnSpPr>
          <a:cxnSpLocks noChangeShapeType="1"/>
        </xdr:cNvCxnSpPr>
      </xdr:nvCxnSpPr>
      <xdr:spPr bwMode="auto">
        <a:xfrm>
          <a:off x="1085850" y="24393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128</xdr:row>
      <xdr:rowOff>104775</xdr:rowOff>
    </xdr:from>
    <xdr:to>
      <xdr:col>1</xdr:col>
      <xdr:colOff>1247775</xdr:colOff>
      <xdr:row>128</xdr:row>
      <xdr:rowOff>104775</xdr:rowOff>
    </xdr:to>
    <xdr:cxnSp macro="">
      <xdr:nvCxnSpPr>
        <xdr:cNvPr id="1110" name="Conector recto 39"/>
        <xdr:cNvCxnSpPr>
          <a:cxnSpLocks noChangeShapeType="1"/>
        </xdr:cNvCxnSpPr>
      </xdr:nvCxnSpPr>
      <xdr:spPr bwMode="auto">
        <a:xfrm>
          <a:off x="1104900" y="24622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129</xdr:row>
      <xdr:rowOff>57150</xdr:rowOff>
    </xdr:from>
    <xdr:to>
      <xdr:col>1</xdr:col>
      <xdr:colOff>1257300</xdr:colOff>
      <xdr:row>129</xdr:row>
      <xdr:rowOff>152400</xdr:rowOff>
    </xdr:to>
    <xdr:grpSp>
      <xdr:nvGrpSpPr>
        <xdr:cNvPr id="1111" name="Grupo 393"/>
        <xdr:cNvGrpSpPr>
          <a:grpSpLocks/>
        </xdr:cNvGrpSpPr>
      </xdr:nvGrpSpPr>
      <xdr:grpSpPr bwMode="auto">
        <a:xfrm>
          <a:off x="1282700" y="37030025"/>
          <a:ext cx="1085850" cy="95250"/>
          <a:chOff x="10648950" y="5124450"/>
          <a:chExt cx="1085850" cy="95250"/>
        </a:xfrm>
      </xdr:grpSpPr>
      <xdr:cxnSp macro="">
        <xdr:nvCxnSpPr>
          <xdr:cNvPr id="111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130</xdr:row>
      <xdr:rowOff>47625</xdr:rowOff>
    </xdr:from>
    <xdr:to>
      <xdr:col>1</xdr:col>
      <xdr:colOff>1266825</xdr:colOff>
      <xdr:row>130</xdr:row>
      <xdr:rowOff>142875</xdr:rowOff>
    </xdr:to>
    <xdr:grpSp>
      <xdr:nvGrpSpPr>
        <xdr:cNvPr id="1114" name="Grupo 396"/>
        <xdr:cNvGrpSpPr>
          <a:grpSpLocks/>
        </xdr:cNvGrpSpPr>
      </xdr:nvGrpSpPr>
      <xdr:grpSpPr bwMode="auto">
        <a:xfrm>
          <a:off x="1292225" y="37274500"/>
          <a:ext cx="1085850" cy="95250"/>
          <a:chOff x="10648950" y="5124450"/>
          <a:chExt cx="1085850" cy="95250"/>
        </a:xfrm>
      </xdr:grpSpPr>
      <xdr:cxnSp macro="">
        <xdr:nvCxnSpPr>
          <xdr:cNvPr id="111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131</xdr:row>
      <xdr:rowOff>57150</xdr:rowOff>
    </xdr:from>
    <xdr:to>
      <xdr:col>1</xdr:col>
      <xdr:colOff>1247775</xdr:colOff>
      <xdr:row>131</xdr:row>
      <xdr:rowOff>152400</xdr:rowOff>
    </xdr:to>
    <xdr:grpSp>
      <xdr:nvGrpSpPr>
        <xdr:cNvPr id="1117" name="Grupo 399"/>
        <xdr:cNvGrpSpPr>
          <a:grpSpLocks/>
        </xdr:cNvGrpSpPr>
      </xdr:nvGrpSpPr>
      <xdr:grpSpPr bwMode="auto">
        <a:xfrm>
          <a:off x="1273175" y="37538025"/>
          <a:ext cx="1085850" cy="95250"/>
          <a:chOff x="10648950" y="5124450"/>
          <a:chExt cx="1085850" cy="95250"/>
        </a:xfrm>
      </xdr:grpSpPr>
      <xdr:cxnSp macro="">
        <xdr:nvCxnSpPr>
          <xdr:cNvPr id="111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132</xdr:row>
      <xdr:rowOff>28575</xdr:rowOff>
    </xdr:from>
    <xdr:to>
      <xdr:col>1</xdr:col>
      <xdr:colOff>1228725</xdr:colOff>
      <xdr:row>132</xdr:row>
      <xdr:rowOff>123825</xdr:rowOff>
    </xdr:to>
    <xdr:grpSp>
      <xdr:nvGrpSpPr>
        <xdr:cNvPr id="1120" name="Grupo 402"/>
        <xdr:cNvGrpSpPr>
          <a:grpSpLocks/>
        </xdr:cNvGrpSpPr>
      </xdr:nvGrpSpPr>
      <xdr:grpSpPr bwMode="auto">
        <a:xfrm>
          <a:off x="1254125" y="37763450"/>
          <a:ext cx="1085850" cy="95250"/>
          <a:chOff x="10648950" y="5124450"/>
          <a:chExt cx="1085850" cy="95250"/>
        </a:xfrm>
      </xdr:grpSpPr>
      <xdr:cxnSp macro="">
        <xdr:nvCxnSpPr>
          <xdr:cNvPr id="112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133</xdr:row>
      <xdr:rowOff>57150</xdr:rowOff>
    </xdr:from>
    <xdr:to>
      <xdr:col>1</xdr:col>
      <xdr:colOff>1247775</xdr:colOff>
      <xdr:row>133</xdr:row>
      <xdr:rowOff>152400</xdr:rowOff>
    </xdr:to>
    <xdr:grpSp>
      <xdr:nvGrpSpPr>
        <xdr:cNvPr id="1123" name="Grupo 405"/>
        <xdr:cNvGrpSpPr>
          <a:grpSpLocks/>
        </xdr:cNvGrpSpPr>
      </xdr:nvGrpSpPr>
      <xdr:grpSpPr bwMode="auto">
        <a:xfrm>
          <a:off x="1273175" y="38046025"/>
          <a:ext cx="1085850" cy="95250"/>
          <a:chOff x="10648950" y="5124450"/>
          <a:chExt cx="1085850" cy="95250"/>
        </a:xfrm>
      </xdr:grpSpPr>
      <xdr:cxnSp macro="">
        <xdr:nvCxnSpPr>
          <xdr:cNvPr id="112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154</xdr:row>
      <xdr:rowOff>66675</xdr:rowOff>
    </xdr:from>
    <xdr:to>
      <xdr:col>1</xdr:col>
      <xdr:colOff>1257300</xdr:colOff>
      <xdr:row>154</xdr:row>
      <xdr:rowOff>142875</xdr:rowOff>
    </xdr:to>
    <xdr:grpSp>
      <xdr:nvGrpSpPr>
        <xdr:cNvPr id="1126" name="Grupo 408"/>
        <xdr:cNvGrpSpPr>
          <a:grpSpLocks/>
        </xdr:cNvGrpSpPr>
      </xdr:nvGrpSpPr>
      <xdr:grpSpPr bwMode="auto">
        <a:xfrm>
          <a:off x="1282700" y="44564300"/>
          <a:ext cx="1085850" cy="76200"/>
          <a:chOff x="10648950" y="5581650"/>
          <a:chExt cx="1085850" cy="76200"/>
        </a:xfrm>
      </xdr:grpSpPr>
      <xdr:cxnSp macro="">
        <xdr:nvCxnSpPr>
          <xdr:cNvPr id="1127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8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155</xdr:row>
      <xdr:rowOff>57150</xdr:rowOff>
    </xdr:from>
    <xdr:to>
      <xdr:col>1</xdr:col>
      <xdr:colOff>1266825</xdr:colOff>
      <xdr:row>155</xdr:row>
      <xdr:rowOff>133350</xdr:rowOff>
    </xdr:to>
    <xdr:grpSp>
      <xdr:nvGrpSpPr>
        <xdr:cNvPr id="1129" name="Grupo 411"/>
        <xdr:cNvGrpSpPr>
          <a:grpSpLocks/>
        </xdr:cNvGrpSpPr>
      </xdr:nvGrpSpPr>
      <xdr:grpSpPr bwMode="auto">
        <a:xfrm>
          <a:off x="1292225" y="44808775"/>
          <a:ext cx="1085850" cy="76200"/>
          <a:chOff x="10648950" y="5581650"/>
          <a:chExt cx="1085850" cy="76200"/>
        </a:xfrm>
      </xdr:grpSpPr>
      <xdr:cxnSp macro="">
        <xdr:nvCxnSpPr>
          <xdr:cNvPr id="1130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1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156</xdr:row>
      <xdr:rowOff>76200</xdr:rowOff>
    </xdr:from>
    <xdr:to>
      <xdr:col>1</xdr:col>
      <xdr:colOff>1228725</xdr:colOff>
      <xdr:row>156</xdr:row>
      <xdr:rowOff>76200</xdr:rowOff>
    </xdr:to>
    <xdr:cxnSp macro="">
      <xdr:nvCxnSpPr>
        <xdr:cNvPr id="1132" name="Conector recto 39"/>
        <xdr:cNvCxnSpPr>
          <a:cxnSpLocks noChangeShapeType="1"/>
        </xdr:cNvCxnSpPr>
      </xdr:nvCxnSpPr>
      <xdr:spPr bwMode="auto">
        <a:xfrm>
          <a:off x="1085850" y="2667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157</xdr:row>
      <xdr:rowOff>104775</xdr:rowOff>
    </xdr:from>
    <xdr:to>
      <xdr:col>1</xdr:col>
      <xdr:colOff>1257300</xdr:colOff>
      <xdr:row>157</xdr:row>
      <xdr:rowOff>104775</xdr:rowOff>
    </xdr:to>
    <xdr:cxnSp macro="">
      <xdr:nvCxnSpPr>
        <xdr:cNvPr id="1133" name="Conector recto 39"/>
        <xdr:cNvCxnSpPr>
          <a:cxnSpLocks noChangeShapeType="1"/>
        </xdr:cNvCxnSpPr>
      </xdr:nvCxnSpPr>
      <xdr:spPr bwMode="auto">
        <a:xfrm>
          <a:off x="1114425" y="26908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168</xdr:row>
      <xdr:rowOff>57150</xdr:rowOff>
    </xdr:from>
    <xdr:to>
      <xdr:col>1</xdr:col>
      <xdr:colOff>1219200</xdr:colOff>
      <xdr:row>168</xdr:row>
      <xdr:rowOff>152400</xdr:rowOff>
    </xdr:to>
    <xdr:grpSp>
      <xdr:nvGrpSpPr>
        <xdr:cNvPr id="1142" name="Grupo 424"/>
        <xdr:cNvGrpSpPr>
          <a:grpSpLocks/>
        </xdr:cNvGrpSpPr>
      </xdr:nvGrpSpPr>
      <xdr:grpSpPr bwMode="auto">
        <a:xfrm>
          <a:off x="1244600" y="48110775"/>
          <a:ext cx="1085850" cy="95250"/>
          <a:chOff x="10648950" y="5124450"/>
          <a:chExt cx="1085850" cy="95250"/>
        </a:xfrm>
      </xdr:grpSpPr>
      <xdr:cxnSp macro="">
        <xdr:nvCxnSpPr>
          <xdr:cNvPr id="114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169</xdr:row>
      <xdr:rowOff>38100</xdr:rowOff>
    </xdr:from>
    <xdr:to>
      <xdr:col>1</xdr:col>
      <xdr:colOff>1238250</xdr:colOff>
      <xdr:row>169</xdr:row>
      <xdr:rowOff>133350</xdr:rowOff>
    </xdr:to>
    <xdr:grpSp>
      <xdr:nvGrpSpPr>
        <xdr:cNvPr id="1145" name="Grupo 427"/>
        <xdr:cNvGrpSpPr>
          <a:grpSpLocks/>
        </xdr:cNvGrpSpPr>
      </xdr:nvGrpSpPr>
      <xdr:grpSpPr bwMode="auto">
        <a:xfrm>
          <a:off x="1263650" y="48345725"/>
          <a:ext cx="1085850" cy="95250"/>
          <a:chOff x="10648950" y="5124450"/>
          <a:chExt cx="1085850" cy="95250"/>
        </a:xfrm>
      </xdr:grpSpPr>
      <xdr:cxnSp macro="">
        <xdr:nvCxnSpPr>
          <xdr:cNvPr id="114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171</xdr:row>
      <xdr:rowOff>38100</xdr:rowOff>
    </xdr:from>
    <xdr:to>
      <xdr:col>1</xdr:col>
      <xdr:colOff>1219200</xdr:colOff>
      <xdr:row>171</xdr:row>
      <xdr:rowOff>133350</xdr:rowOff>
    </xdr:to>
    <xdr:grpSp>
      <xdr:nvGrpSpPr>
        <xdr:cNvPr id="1149" name="Grupo 431"/>
        <xdr:cNvGrpSpPr>
          <a:grpSpLocks/>
        </xdr:cNvGrpSpPr>
      </xdr:nvGrpSpPr>
      <xdr:grpSpPr bwMode="auto">
        <a:xfrm>
          <a:off x="1244600" y="48853725"/>
          <a:ext cx="1085850" cy="95250"/>
          <a:chOff x="10648950" y="5124450"/>
          <a:chExt cx="1085850" cy="95250"/>
        </a:xfrm>
      </xdr:grpSpPr>
      <xdr:cxnSp macro="">
        <xdr:nvCxnSpPr>
          <xdr:cNvPr id="115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179</xdr:row>
      <xdr:rowOff>85725</xdr:rowOff>
    </xdr:from>
    <xdr:to>
      <xdr:col>1</xdr:col>
      <xdr:colOff>1247775</xdr:colOff>
      <xdr:row>179</xdr:row>
      <xdr:rowOff>161925</xdr:rowOff>
    </xdr:to>
    <xdr:grpSp>
      <xdr:nvGrpSpPr>
        <xdr:cNvPr id="1152" name="Grupo 434"/>
        <xdr:cNvGrpSpPr>
          <a:grpSpLocks/>
        </xdr:cNvGrpSpPr>
      </xdr:nvGrpSpPr>
      <xdr:grpSpPr bwMode="auto">
        <a:xfrm>
          <a:off x="1273175" y="51854100"/>
          <a:ext cx="1085850" cy="76200"/>
          <a:chOff x="10648950" y="5581650"/>
          <a:chExt cx="1085850" cy="76200"/>
        </a:xfrm>
      </xdr:grpSpPr>
      <xdr:cxnSp macro="">
        <xdr:nvCxnSpPr>
          <xdr:cNvPr id="1153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4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180</xdr:row>
      <xdr:rowOff>85725</xdr:rowOff>
    </xdr:from>
    <xdr:to>
      <xdr:col>1</xdr:col>
      <xdr:colOff>1238250</xdr:colOff>
      <xdr:row>180</xdr:row>
      <xdr:rowOff>161925</xdr:rowOff>
    </xdr:to>
    <xdr:grpSp>
      <xdr:nvGrpSpPr>
        <xdr:cNvPr id="1155" name="Grupo 437"/>
        <xdr:cNvGrpSpPr>
          <a:grpSpLocks/>
        </xdr:cNvGrpSpPr>
      </xdr:nvGrpSpPr>
      <xdr:grpSpPr bwMode="auto">
        <a:xfrm>
          <a:off x="1263650" y="52108100"/>
          <a:ext cx="1085850" cy="76200"/>
          <a:chOff x="10648950" y="5581650"/>
          <a:chExt cx="1085850" cy="76200"/>
        </a:xfrm>
      </xdr:grpSpPr>
      <xdr:cxnSp macro="">
        <xdr:nvCxnSpPr>
          <xdr:cNvPr id="1156" name="Conector recto 19"/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7" name="Conector recto 13"/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181</xdr:row>
      <xdr:rowOff>104775</xdr:rowOff>
    </xdr:from>
    <xdr:to>
      <xdr:col>1</xdr:col>
      <xdr:colOff>1238250</xdr:colOff>
      <xdr:row>181</xdr:row>
      <xdr:rowOff>104775</xdr:rowOff>
    </xdr:to>
    <xdr:cxnSp macro="">
      <xdr:nvCxnSpPr>
        <xdr:cNvPr id="1158" name="Conector recto 39"/>
        <xdr:cNvCxnSpPr>
          <a:cxnSpLocks noChangeShapeType="1"/>
        </xdr:cNvCxnSpPr>
      </xdr:nvCxnSpPr>
      <xdr:spPr bwMode="auto">
        <a:xfrm>
          <a:off x="1095375" y="31251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187</xdr:row>
      <xdr:rowOff>123825</xdr:rowOff>
    </xdr:from>
    <xdr:to>
      <xdr:col>1</xdr:col>
      <xdr:colOff>1247775</xdr:colOff>
      <xdr:row>187</xdr:row>
      <xdr:rowOff>123825</xdr:rowOff>
    </xdr:to>
    <xdr:cxnSp macro="">
      <xdr:nvCxnSpPr>
        <xdr:cNvPr id="1159" name="Conector recto 39"/>
        <xdr:cNvCxnSpPr>
          <a:cxnSpLocks noChangeShapeType="1"/>
        </xdr:cNvCxnSpPr>
      </xdr:nvCxnSpPr>
      <xdr:spPr bwMode="auto">
        <a:xfrm>
          <a:off x="1104900" y="3256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188</xdr:row>
      <xdr:rowOff>104775</xdr:rowOff>
    </xdr:from>
    <xdr:to>
      <xdr:col>1</xdr:col>
      <xdr:colOff>1247775</xdr:colOff>
      <xdr:row>188</xdr:row>
      <xdr:rowOff>104775</xdr:rowOff>
    </xdr:to>
    <xdr:cxnSp macro="">
      <xdr:nvCxnSpPr>
        <xdr:cNvPr id="1160" name="Conector recto 39"/>
        <xdr:cNvCxnSpPr>
          <a:cxnSpLocks noChangeShapeType="1"/>
        </xdr:cNvCxnSpPr>
      </xdr:nvCxnSpPr>
      <xdr:spPr bwMode="auto">
        <a:xfrm>
          <a:off x="1104900" y="32766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189</xdr:row>
      <xdr:rowOff>114300</xdr:rowOff>
    </xdr:from>
    <xdr:to>
      <xdr:col>1</xdr:col>
      <xdr:colOff>1209675</xdr:colOff>
      <xdr:row>189</xdr:row>
      <xdr:rowOff>114300</xdr:rowOff>
    </xdr:to>
    <xdr:cxnSp macro="">
      <xdr:nvCxnSpPr>
        <xdr:cNvPr id="1161" name="Conector recto 39"/>
        <xdr:cNvCxnSpPr>
          <a:cxnSpLocks noChangeShapeType="1"/>
        </xdr:cNvCxnSpPr>
      </xdr:nvCxnSpPr>
      <xdr:spPr bwMode="auto">
        <a:xfrm>
          <a:off x="1066800" y="3297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190</xdr:row>
      <xdr:rowOff>114300</xdr:rowOff>
    </xdr:from>
    <xdr:to>
      <xdr:col>1</xdr:col>
      <xdr:colOff>1228725</xdr:colOff>
      <xdr:row>190</xdr:row>
      <xdr:rowOff>114300</xdr:rowOff>
    </xdr:to>
    <xdr:cxnSp macro="">
      <xdr:nvCxnSpPr>
        <xdr:cNvPr id="1162" name="Conector recto 39"/>
        <xdr:cNvCxnSpPr>
          <a:cxnSpLocks noChangeShapeType="1"/>
        </xdr:cNvCxnSpPr>
      </xdr:nvCxnSpPr>
      <xdr:spPr bwMode="auto">
        <a:xfrm>
          <a:off x="1085850" y="3321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191</xdr:row>
      <xdr:rowOff>114300</xdr:rowOff>
    </xdr:from>
    <xdr:to>
      <xdr:col>1</xdr:col>
      <xdr:colOff>1238250</xdr:colOff>
      <xdr:row>191</xdr:row>
      <xdr:rowOff>114300</xdr:rowOff>
    </xdr:to>
    <xdr:cxnSp macro="">
      <xdr:nvCxnSpPr>
        <xdr:cNvPr id="1163" name="Conector recto 39"/>
        <xdr:cNvCxnSpPr>
          <a:cxnSpLocks noChangeShapeType="1"/>
        </xdr:cNvCxnSpPr>
      </xdr:nvCxnSpPr>
      <xdr:spPr bwMode="auto">
        <a:xfrm>
          <a:off x="1095375" y="33451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192</xdr:row>
      <xdr:rowOff>95250</xdr:rowOff>
    </xdr:from>
    <xdr:to>
      <xdr:col>1</xdr:col>
      <xdr:colOff>1247775</xdr:colOff>
      <xdr:row>192</xdr:row>
      <xdr:rowOff>95250</xdr:rowOff>
    </xdr:to>
    <xdr:cxnSp macro="">
      <xdr:nvCxnSpPr>
        <xdr:cNvPr id="1164" name="Conector recto 39"/>
        <xdr:cNvCxnSpPr>
          <a:cxnSpLocks noChangeShapeType="1"/>
        </xdr:cNvCxnSpPr>
      </xdr:nvCxnSpPr>
      <xdr:spPr bwMode="auto">
        <a:xfrm>
          <a:off x="1104900" y="33651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193</xdr:row>
      <xdr:rowOff>114300</xdr:rowOff>
    </xdr:from>
    <xdr:to>
      <xdr:col>1</xdr:col>
      <xdr:colOff>1238250</xdr:colOff>
      <xdr:row>193</xdr:row>
      <xdr:rowOff>114300</xdr:rowOff>
    </xdr:to>
    <xdr:cxnSp macro="">
      <xdr:nvCxnSpPr>
        <xdr:cNvPr id="1165" name="Conector recto 39"/>
        <xdr:cNvCxnSpPr>
          <a:cxnSpLocks noChangeShapeType="1"/>
        </xdr:cNvCxnSpPr>
      </xdr:nvCxnSpPr>
      <xdr:spPr bwMode="auto">
        <a:xfrm>
          <a:off x="1095375" y="33909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194</xdr:row>
      <xdr:rowOff>104775</xdr:rowOff>
    </xdr:from>
    <xdr:to>
      <xdr:col>1</xdr:col>
      <xdr:colOff>1266825</xdr:colOff>
      <xdr:row>194</xdr:row>
      <xdr:rowOff>104775</xdr:rowOff>
    </xdr:to>
    <xdr:cxnSp macro="">
      <xdr:nvCxnSpPr>
        <xdr:cNvPr id="1166" name="Conector recto 39"/>
        <xdr:cNvCxnSpPr>
          <a:cxnSpLocks noChangeShapeType="1"/>
        </xdr:cNvCxnSpPr>
      </xdr:nvCxnSpPr>
      <xdr:spPr bwMode="auto">
        <a:xfrm>
          <a:off x="1123950" y="34109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169</xdr:row>
      <xdr:rowOff>0</xdr:rowOff>
    </xdr:from>
    <xdr:to>
      <xdr:col>1</xdr:col>
      <xdr:colOff>1200150</xdr:colOff>
      <xdr:row>169</xdr:row>
      <xdr:rowOff>0</xdr:rowOff>
    </xdr:to>
    <xdr:cxnSp macro="">
      <xdr:nvCxnSpPr>
        <xdr:cNvPr id="1167" name="Conector recto 39"/>
        <xdr:cNvCxnSpPr>
          <a:cxnSpLocks noChangeShapeType="1"/>
        </xdr:cNvCxnSpPr>
      </xdr:nvCxnSpPr>
      <xdr:spPr bwMode="auto">
        <a:xfrm>
          <a:off x="1057275" y="2962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195</xdr:row>
      <xdr:rowOff>123825</xdr:rowOff>
    </xdr:from>
    <xdr:to>
      <xdr:col>1</xdr:col>
      <xdr:colOff>1266825</xdr:colOff>
      <xdr:row>195</xdr:row>
      <xdr:rowOff>123825</xdr:rowOff>
    </xdr:to>
    <xdr:cxnSp macro="">
      <xdr:nvCxnSpPr>
        <xdr:cNvPr id="1168" name="Conector recto 39"/>
        <xdr:cNvCxnSpPr>
          <a:cxnSpLocks noChangeShapeType="1"/>
        </xdr:cNvCxnSpPr>
      </xdr:nvCxnSpPr>
      <xdr:spPr bwMode="auto">
        <a:xfrm>
          <a:off x="1123950" y="3433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196</xdr:row>
      <xdr:rowOff>76200</xdr:rowOff>
    </xdr:from>
    <xdr:to>
      <xdr:col>1</xdr:col>
      <xdr:colOff>1247775</xdr:colOff>
      <xdr:row>196</xdr:row>
      <xdr:rowOff>76200</xdr:rowOff>
    </xdr:to>
    <xdr:cxnSp macro="">
      <xdr:nvCxnSpPr>
        <xdr:cNvPr id="1169" name="Conector recto 39"/>
        <xdr:cNvCxnSpPr>
          <a:cxnSpLocks noChangeShapeType="1"/>
        </xdr:cNvCxnSpPr>
      </xdr:nvCxnSpPr>
      <xdr:spPr bwMode="auto">
        <a:xfrm>
          <a:off x="1104900" y="34556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199</xdr:row>
      <xdr:rowOff>85725</xdr:rowOff>
    </xdr:from>
    <xdr:to>
      <xdr:col>1</xdr:col>
      <xdr:colOff>1190625</xdr:colOff>
      <xdr:row>199</xdr:row>
      <xdr:rowOff>85725</xdr:rowOff>
    </xdr:to>
    <xdr:cxnSp macro="">
      <xdr:nvCxnSpPr>
        <xdr:cNvPr id="1170" name="Conector recto 39"/>
        <xdr:cNvCxnSpPr>
          <a:cxnSpLocks noChangeShapeType="1"/>
        </xdr:cNvCxnSpPr>
      </xdr:nvCxnSpPr>
      <xdr:spPr bwMode="auto">
        <a:xfrm>
          <a:off x="1047750" y="35204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200</xdr:row>
      <xdr:rowOff>123825</xdr:rowOff>
    </xdr:from>
    <xdr:to>
      <xdr:col>1</xdr:col>
      <xdr:colOff>1209675</xdr:colOff>
      <xdr:row>200</xdr:row>
      <xdr:rowOff>123825</xdr:rowOff>
    </xdr:to>
    <xdr:cxnSp macro="">
      <xdr:nvCxnSpPr>
        <xdr:cNvPr id="1171" name="Conector recto 39"/>
        <xdr:cNvCxnSpPr>
          <a:cxnSpLocks noChangeShapeType="1"/>
        </xdr:cNvCxnSpPr>
      </xdr:nvCxnSpPr>
      <xdr:spPr bwMode="auto">
        <a:xfrm>
          <a:off x="1066800" y="35452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202</xdr:row>
      <xdr:rowOff>104775</xdr:rowOff>
    </xdr:from>
    <xdr:to>
      <xdr:col>1</xdr:col>
      <xdr:colOff>1257300</xdr:colOff>
      <xdr:row>202</xdr:row>
      <xdr:rowOff>104775</xdr:rowOff>
    </xdr:to>
    <xdr:cxnSp macro="">
      <xdr:nvCxnSpPr>
        <xdr:cNvPr id="1172" name="Conector recto 39"/>
        <xdr:cNvCxnSpPr>
          <a:cxnSpLocks noChangeShapeType="1"/>
        </xdr:cNvCxnSpPr>
      </xdr:nvCxnSpPr>
      <xdr:spPr bwMode="auto">
        <a:xfrm>
          <a:off x="1114425" y="35928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203</xdr:row>
      <xdr:rowOff>133350</xdr:rowOff>
    </xdr:from>
    <xdr:to>
      <xdr:col>1</xdr:col>
      <xdr:colOff>1276350</xdr:colOff>
      <xdr:row>203</xdr:row>
      <xdr:rowOff>133350</xdr:rowOff>
    </xdr:to>
    <xdr:cxnSp macro="">
      <xdr:nvCxnSpPr>
        <xdr:cNvPr id="1173" name="Conector recto 39"/>
        <xdr:cNvCxnSpPr>
          <a:cxnSpLocks noChangeShapeType="1"/>
        </xdr:cNvCxnSpPr>
      </xdr:nvCxnSpPr>
      <xdr:spPr bwMode="auto">
        <a:xfrm>
          <a:off x="1133475" y="36175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204</xdr:row>
      <xdr:rowOff>114300</xdr:rowOff>
    </xdr:from>
    <xdr:to>
      <xdr:col>1</xdr:col>
      <xdr:colOff>1219200</xdr:colOff>
      <xdr:row>204</xdr:row>
      <xdr:rowOff>114300</xdr:rowOff>
    </xdr:to>
    <xdr:cxnSp macro="">
      <xdr:nvCxnSpPr>
        <xdr:cNvPr id="1174" name="Conector recto 39"/>
        <xdr:cNvCxnSpPr>
          <a:cxnSpLocks noChangeShapeType="1"/>
        </xdr:cNvCxnSpPr>
      </xdr:nvCxnSpPr>
      <xdr:spPr bwMode="auto">
        <a:xfrm>
          <a:off x="1076325" y="3637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205</xdr:row>
      <xdr:rowOff>95250</xdr:rowOff>
    </xdr:from>
    <xdr:to>
      <xdr:col>1</xdr:col>
      <xdr:colOff>1219200</xdr:colOff>
      <xdr:row>205</xdr:row>
      <xdr:rowOff>95250</xdr:rowOff>
    </xdr:to>
    <xdr:cxnSp macro="">
      <xdr:nvCxnSpPr>
        <xdr:cNvPr id="1175" name="Conector recto 39"/>
        <xdr:cNvCxnSpPr>
          <a:cxnSpLocks noChangeShapeType="1"/>
        </xdr:cNvCxnSpPr>
      </xdr:nvCxnSpPr>
      <xdr:spPr bwMode="auto">
        <a:xfrm>
          <a:off x="1076325" y="3656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208</xdr:row>
      <xdr:rowOff>85725</xdr:rowOff>
    </xdr:from>
    <xdr:to>
      <xdr:col>1</xdr:col>
      <xdr:colOff>1257300</xdr:colOff>
      <xdr:row>208</xdr:row>
      <xdr:rowOff>85725</xdr:rowOff>
    </xdr:to>
    <xdr:cxnSp macro="">
      <xdr:nvCxnSpPr>
        <xdr:cNvPr id="1176" name="Conector recto 39"/>
        <xdr:cNvCxnSpPr>
          <a:cxnSpLocks noChangeShapeType="1"/>
        </xdr:cNvCxnSpPr>
      </xdr:nvCxnSpPr>
      <xdr:spPr bwMode="auto">
        <a:xfrm>
          <a:off x="1114425" y="3727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209</xdr:row>
      <xdr:rowOff>114300</xdr:rowOff>
    </xdr:from>
    <xdr:to>
      <xdr:col>1</xdr:col>
      <xdr:colOff>1209675</xdr:colOff>
      <xdr:row>209</xdr:row>
      <xdr:rowOff>114300</xdr:rowOff>
    </xdr:to>
    <xdr:cxnSp macro="">
      <xdr:nvCxnSpPr>
        <xdr:cNvPr id="1177" name="Conector recto 39"/>
        <xdr:cNvCxnSpPr>
          <a:cxnSpLocks noChangeShapeType="1"/>
        </xdr:cNvCxnSpPr>
      </xdr:nvCxnSpPr>
      <xdr:spPr bwMode="auto">
        <a:xfrm>
          <a:off x="1066800" y="3749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211</xdr:row>
      <xdr:rowOff>104775</xdr:rowOff>
    </xdr:from>
    <xdr:to>
      <xdr:col>1</xdr:col>
      <xdr:colOff>1209675</xdr:colOff>
      <xdr:row>211</xdr:row>
      <xdr:rowOff>104775</xdr:rowOff>
    </xdr:to>
    <xdr:cxnSp macro="">
      <xdr:nvCxnSpPr>
        <xdr:cNvPr id="1178" name="Conector recto 39"/>
        <xdr:cNvCxnSpPr>
          <a:cxnSpLocks noChangeShapeType="1"/>
        </xdr:cNvCxnSpPr>
      </xdr:nvCxnSpPr>
      <xdr:spPr bwMode="auto">
        <a:xfrm>
          <a:off x="1066800" y="37966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212</xdr:row>
      <xdr:rowOff>114300</xdr:rowOff>
    </xdr:from>
    <xdr:to>
      <xdr:col>1</xdr:col>
      <xdr:colOff>1228725</xdr:colOff>
      <xdr:row>212</xdr:row>
      <xdr:rowOff>114300</xdr:rowOff>
    </xdr:to>
    <xdr:cxnSp macro="">
      <xdr:nvCxnSpPr>
        <xdr:cNvPr id="1179" name="Conector recto 39"/>
        <xdr:cNvCxnSpPr>
          <a:cxnSpLocks noChangeShapeType="1"/>
        </xdr:cNvCxnSpPr>
      </xdr:nvCxnSpPr>
      <xdr:spPr bwMode="auto">
        <a:xfrm>
          <a:off x="1085850" y="3818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213</xdr:row>
      <xdr:rowOff>85725</xdr:rowOff>
    </xdr:from>
    <xdr:to>
      <xdr:col>1</xdr:col>
      <xdr:colOff>1228725</xdr:colOff>
      <xdr:row>213</xdr:row>
      <xdr:rowOff>85725</xdr:rowOff>
    </xdr:to>
    <xdr:cxnSp macro="">
      <xdr:nvCxnSpPr>
        <xdr:cNvPr id="1180" name="Conector recto 39"/>
        <xdr:cNvCxnSpPr>
          <a:cxnSpLocks noChangeShapeType="1"/>
        </xdr:cNvCxnSpPr>
      </xdr:nvCxnSpPr>
      <xdr:spPr bwMode="auto">
        <a:xfrm>
          <a:off x="1085850" y="3838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217</xdr:row>
      <xdr:rowOff>47625</xdr:rowOff>
    </xdr:from>
    <xdr:to>
      <xdr:col>1</xdr:col>
      <xdr:colOff>1228725</xdr:colOff>
      <xdr:row>217</xdr:row>
      <xdr:rowOff>142875</xdr:rowOff>
    </xdr:to>
    <xdr:grpSp>
      <xdr:nvGrpSpPr>
        <xdr:cNvPr id="1183" name="Grupo 466"/>
        <xdr:cNvGrpSpPr>
          <a:grpSpLocks/>
        </xdr:cNvGrpSpPr>
      </xdr:nvGrpSpPr>
      <xdr:grpSpPr bwMode="auto">
        <a:xfrm>
          <a:off x="1254125" y="61468000"/>
          <a:ext cx="1085850" cy="95250"/>
          <a:chOff x="10648950" y="5124450"/>
          <a:chExt cx="1085850" cy="95250"/>
        </a:xfrm>
      </xdr:grpSpPr>
      <xdr:cxnSp macro="">
        <xdr:nvCxnSpPr>
          <xdr:cNvPr id="118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218</xdr:row>
      <xdr:rowOff>28575</xdr:rowOff>
    </xdr:from>
    <xdr:to>
      <xdr:col>1</xdr:col>
      <xdr:colOff>1219200</xdr:colOff>
      <xdr:row>218</xdr:row>
      <xdr:rowOff>123825</xdr:rowOff>
    </xdr:to>
    <xdr:grpSp>
      <xdr:nvGrpSpPr>
        <xdr:cNvPr id="1186" name="Grupo 469"/>
        <xdr:cNvGrpSpPr>
          <a:grpSpLocks/>
        </xdr:cNvGrpSpPr>
      </xdr:nvGrpSpPr>
      <xdr:grpSpPr bwMode="auto">
        <a:xfrm>
          <a:off x="1244600" y="61702950"/>
          <a:ext cx="1085850" cy="95250"/>
          <a:chOff x="10648950" y="5124450"/>
          <a:chExt cx="1085850" cy="95250"/>
        </a:xfrm>
      </xdr:grpSpPr>
      <xdr:cxnSp macro="">
        <xdr:nvCxnSpPr>
          <xdr:cNvPr id="118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219</xdr:row>
      <xdr:rowOff>28575</xdr:rowOff>
    </xdr:from>
    <xdr:to>
      <xdr:col>1</xdr:col>
      <xdr:colOff>1209675</xdr:colOff>
      <xdr:row>219</xdr:row>
      <xdr:rowOff>123825</xdr:rowOff>
    </xdr:to>
    <xdr:grpSp>
      <xdr:nvGrpSpPr>
        <xdr:cNvPr id="1189" name="Grupo 472"/>
        <xdr:cNvGrpSpPr>
          <a:grpSpLocks/>
        </xdr:cNvGrpSpPr>
      </xdr:nvGrpSpPr>
      <xdr:grpSpPr bwMode="auto">
        <a:xfrm>
          <a:off x="1235075" y="61956950"/>
          <a:ext cx="1085850" cy="95250"/>
          <a:chOff x="10648950" y="5124450"/>
          <a:chExt cx="1085850" cy="95250"/>
        </a:xfrm>
      </xdr:grpSpPr>
      <xdr:cxnSp macro="">
        <xdr:nvCxnSpPr>
          <xdr:cNvPr id="119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220</xdr:row>
      <xdr:rowOff>38100</xdr:rowOff>
    </xdr:from>
    <xdr:to>
      <xdr:col>1</xdr:col>
      <xdr:colOff>1238250</xdr:colOff>
      <xdr:row>220</xdr:row>
      <xdr:rowOff>133350</xdr:rowOff>
    </xdr:to>
    <xdr:grpSp>
      <xdr:nvGrpSpPr>
        <xdr:cNvPr id="1192" name="Grupo 475"/>
        <xdr:cNvGrpSpPr>
          <a:grpSpLocks/>
        </xdr:cNvGrpSpPr>
      </xdr:nvGrpSpPr>
      <xdr:grpSpPr bwMode="auto">
        <a:xfrm>
          <a:off x="1263650" y="62220475"/>
          <a:ext cx="1085850" cy="95250"/>
          <a:chOff x="10648950" y="5124450"/>
          <a:chExt cx="1085850" cy="95250"/>
        </a:xfrm>
      </xdr:grpSpPr>
      <xdr:cxnSp macro="">
        <xdr:nvCxnSpPr>
          <xdr:cNvPr id="119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518</xdr:row>
      <xdr:rowOff>85725</xdr:rowOff>
    </xdr:from>
    <xdr:to>
      <xdr:col>1</xdr:col>
      <xdr:colOff>1228725</xdr:colOff>
      <xdr:row>518</xdr:row>
      <xdr:rowOff>85725</xdr:rowOff>
    </xdr:to>
    <xdr:cxnSp macro="">
      <xdr:nvCxnSpPr>
        <xdr:cNvPr id="1196" name="Conector recto 39"/>
        <xdr:cNvCxnSpPr>
          <a:cxnSpLocks noChangeShapeType="1"/>
        </xdr:cNvCxnSpPr>
      </xdr:nvCxnSpPr>
      <xdr:spPr bwMode="auto">
        <a:xfrm>
          <a:off x="1085850" y="40776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521</xdr:row>
      <xdr:rowOff>104775</xdr:rowOff>
    </xdr:from>
    <xdr:to>
      <xdr:col>1</xdr:col>
      <xdr:colOff>1219200</xdr:colOff>
      <xdr:row>521</xdr:row>
      <xdr:rowOff>104775</xdr:rowOff>
    </xdr:to>
    <xdr:cxnSp macro="">
      <xdr:nvCxnSpPr>
        <xdr:cNvPr id="1197" name="Conector recto 39"/>
        <xdr:cNvCxnSpPr>
          <a:cxnSpLocks noChangeShapeType="1"/>
        </xdr:cNvCxnSpPr>
      </xdr:nvCxnSpPr>
      <xdr:spPr bwMode="auto">
        <a:xfrm>
          <a:off x="1076325" y="4149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522</xdr:row>
      <xdr:rowOff>104775</xdr:rowOff>
    </xdr:from>
    <xdr:to>
      <xdr:col>1</xdr:col>
      <xdr:colOff>1238250</xdr:colOff>
      <xdr:row>522</xdr:row>
      <xdr:rowOff>104775</xdr:rowOff>
    </xdr:to>
    <xdr:cxnSp macro="">
      <xdr:nvCxnSpPr>
        <xdr:cNvPr id="1198" name="Conector recto 39"/>
        <xdr:cNvCxnSpPr>
          <a:cxnSpLocks noChangeShapeType="1"/>
        </xdr:cNvCxnSpPr>
      </xdr:nvCxnSpPr>
      <xdr:spPr bwMode="auto">
        <a:xfrm>
          <a:off x="1095375" y="4171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523</xdr:row>
      <xdr:rowOff>95250</xdr:rowOff>
    </xdr:from>
    <xdr:to>
      <xdr:col>1</xdr:col>
      <xdr:colOff>1257300</xdr:colOff>
      <xdr:row>523</xdr:row>
      <xdr:rowOff>95250</xdr:rowOff>
    </xdr:to>
    <xdr:cxnSp macro="">
      <xdr:nvCxnSpPr>
        <xdr:cNvPr id="1199" name="Conector recto 39"/>
        <xdr:cNvCxnSpPr>
          <a:cxnSpLocks noChangeShapeType="1"/>
        </xdr:cNvCxnSpPr>
      </xdr:nvCxnSpPr>
      <xdr:spPr bwMode="auto">
        <a:xfrm>
          <a:off x="1114425" y="419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524</xdr:row>
      <xdr:rowOff>85725</xdr:rowOff>
    </xdr:from>
    <xdr:to>
      <xdr:col>1</xdr:col>
      <xdr:colOff>1247775</xdr:colOff>
      <xdr:row>524</xdr:row>
      <xdr:rowOff>85725</xdr:rowOff>
    </xdr:to>
    <xdr:cxnSp macro="">
      <xdr:nvCxnSpPr>
        <xdr:cNvPr id="1200" name="Conector recto 39"/>
        <xdr:cNvCxnSpPr>
          <a:cxnSpLocks noChangeShapeType="1"/>
        </xdr:cNvCxnSpPr>
      </xdr:nvCxnSpPr>
      <xdr:spPr bwMode="auto">
        <a:xfrm>
          <a:off x="1104900" y="422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525</xdr:row>
      <xdr:rowOff>85725</xdr:rowOff>
    </xdr:from>
    <xdr:to>
      <xdr:col>1</xdr:col>
      <xdr:colOff>1228725</xdr:colOff>
      <xdr:row>525</xdr:row>
      <xdr:rowOff>85725</xdr:rowOff>
    </xdr:to>
    <xdr:cxnSp macro="">
      <xdr:nvCxnSpPr>
        <xdr:cNvPr id="1201" name="Conector recto 39"/>
        <xdr:cNvCxnSpPr>
          <a:cxnSpLocks noChangeShapeType="1"/>
        </xdr:cNvCxnSpPr>
      </xdr:nvCxnSpPr>
      <xdr:spPr bwMode="auto">
        <a:xfrm>
          <a:off x="1085850" y="424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526</xdr:row>
      <xdr:rowOff>85725</xdr:rowOff>
    </xdr:from>
    <xdr:to>
      <xdr:col>1</xdr:col>
      <xdr:colOff>1247775</xdr:colOff>
      <xdr:row>526</xdr:row>
      <xdr:rowOff>85725</xdr:rowOff>
    </xdr:to>
    <xdr:cxnSp macro="">
      <xdr:nvCxnSpPr>
        <xdr:cNvPr id="1202" name="Conector recto 39"/>
        <xdr:cNvCxnSpPr>
          <a:cxnSpLocks noChangeShapeType="1"/>
        </xdr:cNvCxnSpPr>
      </xdr:nvCxnSpPr>
      <xdr:spPr bwMode="auto">
        <a:xfrm>
          <a:off x="1104900" y="426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542</xdr:row>
      <xdr:rowOff>95250</xdr:rowOff>
    </xdr:from>
    <xdr:to>
      <xdr:col>1</xdr:col>
      <xdr:colOff>1219200</xdr:colOff>
      <xdr:row>542</xdr:row>
      <xdr:rowOff>95250</xdr:rowOff>
    </xdr:to>
    <xdr:cxnSp macro="">
      <xdr:nvCxnSpPr>
        <xdr:cNvPr id="1203" name="Conector recto 39"/>
        <xdr:cNvCxnSpPr>
          <a:cxnSpLocks noChangeShapeType="1"/>
        </xdr:cNvCxnSpPr>
      </xdr:nvCxnSpPr>
      <xdr:spPr bwMode="auto">
        <a:xfrm>
          <a:off x="1076325" y="4511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547</xdr:row>
      <xdr:rowOff>123825</xdr:rowOff>
    </xdr:from>
    <xdr:to>
      <xdr:col>1</xdr:col>
      <xdr:colOff>1247775</xdr:colOff>
      <xdr:row>547</xdr:row>
      <xdr:rowOff>123825</xdr:rowOff>
    </xdr:to>
    <xdr:cxnSp macro="">
      <xdr:nvCxnSpPr>
        <xdr:cNvPr id="1204" name="Conector recto 39"/>
        <xdr:cNvCxnSpPr>
          <a:cxnSpLocks noChangeShapeType="1"/>
        </xdr:cNvCxnSpPr>
      </xdr:nvCxnSpPr>
      <xdr:spPr bwMode="auto">
        <a:xfrm>
          <a:off x="1104900" y="4586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578</xdr:row>
      <xdr:rowOff>76200</xdr:rowOff>
    </xdr:from>
    <xdr:to>
      <xdr:col>1</xdr:col>
      <xdr:colOff>1200150</xdr:colOff>
      <xdr:row>578</xdr:row>
      <xdr:rowOff>76200</xdr:rowOff>
    </xdr:to>
    <xdr:cxnSp macro="">
      <xdr:nvCxnSpPr>
        <xdr:cNvPr id="1205" name="Conector recto 39"/>
        <xdr:cNvCxnSpPr>
          <a:cxnSpLocks noChangeShapeType="1"/>
        </xdr:cNvCxnSpPr>
      </xdr:nvCxnSpPr>
      <xdr:spPr bwMode="auto">
        <a:xfrm>
          <a:off x="1057275" y="4886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579</xdr:row>
      <xdr:rowOff>85725</xdr:rowOff>
    </xdr:from>
    <xdr:to>
      <xdr:col>1</xdr:col>
      <xdr:colOff>1228725</xdr:colOff>
      <xdr:row>579</xdr:row>
      <xdr:rowOff>85725</xdr:rowOff>
    </xdr:to>
    <xdr:cxnSp macro="">
      <xdr:nvCxnSpPr>
        <xdr:cNvPr id="1206" name="Conector recto 39"/>
        <xdr:cNvCxnSpPr>
          <a:cxnSpLocks noChangeShapeType="1"/>
        </xdr:cNvCxnSpPr>
      </xdr:nvCxnSpPr>
      <xdr:spPr bwMode="auto">
        <a:xfrm>
          <a:off x="1085850" y="49044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580</xdr:row>
      <xdr:rowOff>85725</xdr:rowOff>
    </xdr:from>
    <xdr:to>
      <xdr:col>1</xdr:col>
      <xdr:colOff>1228725</xdr:colOff>
      <xdr:row>580</xdr:row>
      <xdr:rowOff>85725</xdr:rowOff>
    </xdr:to>
    <xdr:cxnSp macro="">
      <xdr:nvCxnSpPr>
        <xdr:cNvPr id="1207" name="Conector recto 39"/>
        <xdr:cNvCxnSpPr>
          <a:cxnSpLocks noChangeShapeType="1"/>
        </xdr:cNvCxnSpPr>
      </xdr:nvCxnSpPr>
      <xdr:spPr bwMode="auto">
        <a:xfrm>
          <a:off x="1085850" y="49215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583</xdr:row>
      <xdr:rowOff>123825</xdr:rowOff>
    </xdr:from>
    <xdr:to>
      <xdr:col>1</xdr:col>
      <xdr:colOff>1257300</xdr:colOff>
      <xdr:row>583</xdr:row>
      <xdr:rowOff>123825</xdr:rowOff>
    </xdr:to>
    <xdr:cxnSp macro="">
      <xdr:nvCxnSpPr>
        <xdr:cNvPr id="1208" name="Conector recto 39"/>
        <xdr:cNvCxnSpPr>
          <a:cxnSpLocks noChangeShapeType="1"/>
        </xdr:cNvCxnSpPr>
      </xdr:nvCxnSpPr>
      <xdr:spPr bwMode="auto">
        <a:xfrm>
          <a:off x="1114425" y="49834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584</xdr:row>
      <xdr:rowOff>104775</xdr:rowOff>
    </xdr:from>
    <xdr:to>
      <xdr:col>1</xdr:col>
      <xdr:colOff>1238250</xdr:colOff>
      <xdr:row>584</xdr:row>
      <xdr:rowOff>104775</xdr:rowOff>
    </xdr:to>
    <xdr:cxnSp macro="">
      <xdr:nvCxnSpPr>
        <xdr:cNvPr id="1209" name="Conector recto 39"/>
        <xdr:cNvCxnSpPr>
          <a:cxnSpLocks noChangeShapeType="1"/>
        </xdr:cNvCxnSpPr>
      </xdr:nvCxnSpPr>
      <xdr:spPr bwMode="auto">
        <a:xfrm>
          <a:off x="1095375" y="50034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589</xdr:row>
      <xdr:rowOff>66675</xdr:rowOff>
    </xdr:from>
    <xdr:to>
      <xdr:col>1</xdr:col>
      <xdr:colOff>1247775</xdr:colOff>
      <xdr:row>589</xdr:row>
      <xdr:rowOff>66675</xdr:rowOff>
    </xdr:to>
    <xdr:cxnSp macro="">
      <xdr:nvCxnSpPr>
        <xdr:cNvPr id="1210" name="Conector recto 39"/>
        <xdr:cNvCxnSpPr>
          <a:cxnSpLocks noChangeShapeType="1"/>
        </xdr:cNvCxnSpPr>
      </xdr:nvCxnSpPr>
      <xdr:spPr bwMode="auto">
        <a:xfrm>
          <a:off x="1104900" y="5122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590</xdr:row>
      <xdr:rowOff>104775</xdr:rowOff>
    </xdr:from>
    <xdr:to>
      <xdr:col>1</xdr:col>
      <xdr:colOff>1247775</xdr:colOff>
      <xdr:row>590</xdr:row>
      <xdr:rowOff>104775</xdr:rowOff>
    </xdr:to>
    <xdr:cxnSp macro="">
      <xdr:nvCxnSpPr>
        <xdr:cNvPr id="1211" name="Conector recto 39"/>
        <xdr:cNvCxnSpPr>
          <a:cxnSpLocks noChangeShapeType="1"/>
        </xdr:cNvCxnSpPr>
      </xdr:nvCxnSpPr>
      <xdr:spPr bwMode="auto">
        <a:xfrm>
          <a:off x="1104900" y="515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593</xdr:row>
      <xdr:rowOff>104775</xdr:rowOff>
    </xdr:from>
    <xdr:to>
      <xdr:col>1</xdr:col>
      <xdr:colOff>1238250</xdr:colOff>
      <xdr:row>593</xdr:row>
      <xdr:rowOff>104775</xdr:rowOff>
    </xdr:to>
    <xdr:cxnSp macro="">
      <xdr:nvCxnSpPr>
        <xdr:cNvPr id="1212" name="Conector recto 39"/>
        <xdr:cNvCxnSpPr>
          <a:cxnSpLocks noChangeShapeType="1"/>
        </xdr:cNvCxnSpPr>
      </xdr:nvCxnSpPr>
      <xdr:spPr bwMode="auto">
        <a:xfrm>
          <a:off x="1095375" y="5221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598</xdr:row>
      <xdr:rowOff>76200</xdr:rowOff>
    </xdr:from>
    <xdr:to>
      <xdr:col>1</xdr:col>
      <xdr:colOff>1257300</xdr:colOff>
      <xdr:row>598</xdr:row>
      <xdr:rowOff>76200</xdr:rowOff>
    </xdr:to>
    <xdr:cxnSp macro="">
      <xdr:nvCxnSpPr>
        <xdr:cNvPr id="1213" name="Conector recto 39"/>
        <xdr:cNvCxnSpPr>
          <a:cxnSpLocks noChangeShapeType="1"/>
        </xdr:cNvCxnSpPr>
      </xdr:nvCxnSpPr>
      <xdr:spPr bwMode="auto">
        <a:xfrm>
          <a:off x="1114425" y="5345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599</xdr:row>
      <xdr:rowOff>114300</xdr:rowOff>
    </xdr:from>
    <xdr:to>
      <xdr:col>1</xdr:col>
      <xdr:colOff>1238250</xdr:colOff>
      <xdr:row>599</xdr:row>
      <xdr:rowOff>114300</xdr:rowOff>
    </xdr:to>
    <xdr:cxnSp macro="">
      <xdr:nvCxnSpPr>
        <xdr:cNvPr id="1214" name="Conector recto 39"/>
        <xdr:cNvCxnSpPr>
          <a:cxnSpLocks noChangeShapeType="1"/>
        </xdr:cNvCxnSpPr>
      </xdr:nvCxnSpPr>
      <xdr:spPr bwMode="auto">
        <a:xfrm>
          <a:off x="1095375" y="5371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600</xdr:row>
      <xdr:rowOff>133350</xdr:rowOff>
    </xdr:from>
    <xdr:to>
      <xdr:col>1</xdr:col>
      <xdr:colOff>1257300</xdr:colOff>
      <xdr:row>600</xdr:row>
      <xdr:rowOff>133350</xdr:rowOff>
    </xdr:to>
    <xdr:cxnSp macro="">
      <xdr:nvCxnSpPr>
        <xdr:cNvPr id="1215" name="Conector recto 39"/>
        <xdr:cNvCxnSpPr>
          <a:cxnSpLocks noChangeShapeType="1"/>
        </xdr:cNvCxnSpPr>
      </xdr:nvCxnSpPr>
      <xdr:spPr bwMode="auto">
        <a:xfrm>
          <a:off x="1114425" y="5395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608</xdr:row>
      <xdr:rowOff>85725</xdr:rowOff>
    </xdr:from>
    <xdr:to>
      <xdr:col>1</xdr:col>
      <xdr:colOff>1304925</xdr:colOff>
      <xdr:row>608</xdr:row>
      <xdr:rowOff>85725</xdr:rowOff>
    </xdr:to>
    <xdr:cxnSp macro="">
      <xdr:nvCxnSpPr>
        <xdr:cNvPr id="1216" name="Conector recto 39"/>
        <xdr:cNvCxnSpPr>
          <a:cxnSpLocks noChangeShapeType="1"/>
        </xdr:cNvCxnSpPr>
      </xdr:nvCxnSpPr>
      <xdr:spPr bwMode="auto">
        <a:xfrm>
          <a:off x="1162050" y="5494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735</xdr:row>
      <xdr:rowOff>104775</xdr:rowOff>
    </xdr:from>
    <xdr:to>
      <xdr:col>1</xdr:col>
      <xdr:colOff>1247775</xdr:colOff>
      <xdr:row>735</xdr:row>
      <xdr:rowOff>104775</xdr:rowOff>
    </xdr:to>
    <xdr:cxnSp macro="">
      <xdr:nvCxnSpPr>
        <xdr:cNvPr id="1217" name="Conector recto 39"/>
        <xdr:cNvCxnSpPr>
          <a:cxnSpLocks noChangeShapeType="1"/>
        </xdr:cNvCxnSpPr>
      </xdr:nvCxnSpPr>
      <xdr:spPr bwMode="auto">
        <a:xfrm>
          <a:off x="1104900" y="5644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736</xdr:row>
      <xdr:rowOff>85725</xdr:rowOff>
    </xdr:from>
    <xdr:to>
      <xdr:col>1</xdr:col>
      <xdr:colOff>1228725</xdr:colOff>
      <xdr:row>736</xdr:row>
      <xdr:rowOff>85725</xdr:rowOff>
    </xdr:to>
    <xdr:cxnSp macro="">
      <xdr:nvCxnSpPr>
        <xdr:cNvPr id="1218" name="Conector recto 39"/>
        <xdr:cNvCxnSpPr>
          <a:cxnSpLocks noChangeShapeType="1"/>
        </xdr:cNvCxnSpPr>
      </xdr:nvCxnSpPr>
      <xdr:spPr bwMode="auto">
        <a:xfrm>
          <a:off x="1085850" y="5665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737</xdr:row>
      <xdr:rowOff>85725</xdr:rowOff>
    </xdr:from>
    <xdr:to>
      <xdr:col>1</xdr:col>
      <xdr:colOff>1228725</xdr:colOff>
      <xdr:row>737</xdr:row>
      <xdr:rowOff>85725</xdr:rowOff>
    </xdr:to>
    <xdr:cxnSp macro="">
      <xdr:nvCxnSpPr>
        <xdr:cNvPr id="1219" name="Conector recto 39"/>
        <xdr:cNvCxnSpPr>
          <a:cxnSpLocks noChangeShapeType="1"/>
        </xdr:cNvCxnSpPr>
      </xdr:nvCxnSpPr>
      <xdr:spPr bwMode="auto">
        <a:xfrm>
          <a:off x="1085850" y="5687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738</xdr:row>
      <xdr:rowOff>114300</xdr:rowOff>
    </xdr:from>
    <xdr:to>
      <xdr:col>1</xdr:col>
      <xdr:colOff>1257300</xdr:colOff>
      <xdr:row>738</xdr:row>
      <xdr:rowOff>114300</xdr:rowOff>
    </xdr:to>
    <xdr:cxnSp macro="">
      <xdr:nvCxnSpPr>
        <xdr:cNvPr id="1220" name="Conector recto 39"/>
        <xdr:cNvCxnSpPr>
          <a:cxnSpLocks noChangeShapeType="1"/>
        </xdr:cNvCxnSpPr>
      </xdr:nvCxnSpPr>
      <xdr:spPr bwMode="auto">
        <a:xfrm>
          <a:off x="1114425" y="5712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739</xdr:row>
      <xdr:rowOff>114300</xdr:rowOff>
    </xdr:from>
    <xdr:to>
      <xdr:col>1</xdr:col>
      <xdr:colOff>1266825</xdr:colOff>
      <xdr:row>739</xdr:row>
      <xdr:rowOff>114300</xdr:rowOff>
    </xdr:to>
    <xdr:cxnSp macro="">
      <xdr:nvCxnSpPr>
        <xdr:cNvPr id="1221" name="Conector recto 39"/>
        <xdr:cNvCxnSpPr>
          <a:cxnSpLocks noChangeShapeType="1"/>
        </xdr:cNvCxnSpPr>
      </xdr:nvCxnSpPr>
      <xdr:spPr bwMode="auto">
        <a:xfrm>
          <a:off x="1123950" y="57350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750</xdr:row>
      <xdr:rowOff>95250</xdr:rowOff>
    </xdr:from>
    <xdr:to>
      <xdr:col>1</xdr:col>
      <xdr:colOff>1238250</xdr:colOff>
      <xdr:row>750</xdr:row>
      <xdr:rowOff>95250</xdr:rowOff>
    </xdr:to>
    <xdr:cxnSp macro="">
      <xdr:nvCxnSpPr>
        <xdr:cNvPr id="1222" name="Conector recto 39"/>
        <xdr:cNvCxnSpPr>
          <a:cxnSpLocks noChangeShapeType="1"/>
        </xdr:cNvCxnSpPr>
      </xdr:nvCxnSpPr>
      <xdr:spPr bwMode="auto">
        <a:xfrm>
          <a:off x="1095375" y="60150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751</xdr:row>
      <xdr:rowOff>85725</xdr:rowOff>
    </xdr:from>
    <xdr:to>
      <xdr:col>1</xdr:col>
      <xdr:colOff>1257300</xdr:colOff>
      <xdr:row>751</xdr:row>
      <xdr:rowOff>85725</xdr:rowOff>
    </xdr:to>
    <xdr:cxnSp macro="">
      <xdr:nvCxnSpPr>
        <xdr:cNvPr id="1223" name="Conector recto 39"/>
        <xdr:cNvCxnSpPr>
          <a:cxnSpLocks noChangeShapeType="1"/>
        </xdr:cNvCxnSpPr>
      </xdr:nvCxnSpPr>
      <xdr:spPr bwMode="auto">
        <a:xfrm>
          <a:off x="1114425" y="6038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519</xdr:row>
      <xdr:rowOff>104775</xdr:rowOff>
    </xdr:from>
    <xdr:to>
      <xdr:col>1</xdr:col>
      <xdr:colOff>1219200</xdr:colOff>
      <xdr:row>519</xdr:row>
      <xdr:rowOff>104775</xdr:rowOff>
    </xdr:to>
    <xdr:cxnSp macro="">
      <xdr:nvCxnSpPr>
        <xdr:cNvPr id="1225" name="Conector recto 39"/>
        <xdr:cNvCxnSpPr>
          <a:cxnSpLocks noChangeShapeType="1"/>
        </xdr:cNvCxnSpPr>
      </xdr:nvCxnSpPr>
      <xdr:spPr bwMode="auto">
        <a:xfrm>
          <a:off x="1076325" y="410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520</xdr:row>
      <xdr:rowOff>95250</xdr:rowOff>
    </xdr:from>
    <xdr:to>
      <xdr:col>1</xdr:col>
      <xdr:colOff>1219200</xdr:colOff>
      <xdr:row>520</xdr:row>
      <xdr:rowOff>95250</xdr:rowOff>
    </xdr:to>
    <xdr:cxnSp macro="">
      <xdr:nvCxnSpPr>
        <xdr:cNvPr id="1226" name="Conector recto 39"/>
        <xdr:cNvCxnSpPr>
          <a:cxnSpLocks noChangeShapeType="1"/>
        </xdr:cNvCxnSpPr>
      </xdr:nvCxnSpPr>
      <xdr:spPr bwMode="auto">
        <a:xfrm>
          <a:off x="1076325" y="4122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527</xdr:row>
      <xdr:rowOff>76200</xdr:rowOff>
    </xdr:from>
    <xdr:to>
      <xdr:col>1</xdr:col>
      <xdr:colOff>1238250</xdr:colOff>
      <xdr:row>527</xdr:row>
      <xdr:rowOff>76200</xdr:rowOff>
    </xdr:to>
    <xdr:cxnSp macro="">
      <xdr:nvCxnSpPr>
        <xdr:cNvPr id="1227" name="Conector recto 39"/>
        <xdr:cNvCxnSpPr>
          <a:cxnSpLocks noChangeShapeType="1"/>
        </xdr:cNvCxnSpPr>
      </xdr:nvCxnSpPr>
      <xdr:spPr bwMode="auto">
        <a:xfrm>
          <a:off x="1095375" y="42900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528</xdr:row>
      <xdr:rowOff>76200</xdr:rowOff>
    </xdr:from>
    <xdr:to>
      <xdr:col>1</xdr:col>
      <xdr:colOff>1209675</xdr:colOff>
      <xdr:row>528</xdr:row>
      <xdr:rowOff>76200</xdr:rowOff>
    </xdr:to>
    <xdr:cxnSp macro="">
      <xdr:nvCxnSpPr>
        <xdr:cNvPr id="1228" name="Conector recto 39"/>
        <xdr:cNvCxnSpPr>
          <a:cxnSpLocks noChangeShapeType="1"/>
        </xdr:cNvCxnSpPr>
      </xdr:nvCxnSpPr>
      <xdr:spPr bwMode="auto">
        <a:xfrm>
          <a:off x="1066800" y="4313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529</xdr:row>
      <xdr:rowOff>123825</xdr:rowOff>
    </xdr:from>
    <xdr:to>
      <xdr:col>1</xdr:col>
      <xdr:colOff>1200150</xdr:colOff>
      <xdr:row>529</xdr:row>
      <xdr:rowOff>123825</xdr:rowOff>
    </xdr:to>
    <xdr:cxnSp macro="">
      <xdr:nvCxnSpPr>
        <xdr:cNvPr id="1229" name="Conector recto 39"/>
        <xdr:cNvCxnSpPr>
          <a:cxnSpLocks noChangeShapeType="1"/>
        </xdr:cNvCxnSpPr>
      </xdr:nvCxnSpPr>
      <xdr:spPr bwMode="auto">
        <a:xfrm>
          <a:off x="1057275" y="4342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530</xdr:row>
      <xdr:rowOff>47625</xdr:rowOff>
    </xdr:from>
    <xdr:to>
      <xdr:col>1</xdr:col>
      <xdr:colOff>1219200</xdr:colOff>
      <xdr:row>530</xdr:row>
      <xdr:rowOff>142875</xdr:rowOff>
    </xdr:to>
    <xdr:grpSp>
      <xdr:nvGrpSpPr>
        <xdr:cNvPr id="1230" name="Grupo 466"/>
        <xdr:cNvGrpSpPr>
          <a:grpSpLocks/>
        </xdr:cNvGrpSpPr>
      </xdr:nvGrpSpPr>
      <xdr:grpSpPr bwMode="auto">
        <a:xfrm>
          <a:off x="1244600" y="1270000"/>
          <a:ext cx="1085850" cy="0"/>
          <a:chOff x="10648950" y="5124450"/>
          <a:chExt cx="1085850" cy="95250"/>
        </a:xfrm>
      </xdr:grpSpPr>
      <xdr:cxnSp macro="">
        <xdr:nvCxnSpPr>
          <xdr:cNvPr id="123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3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536</xdr:row>
      <xdr:rowOff>123825</xdr:rowOff>
    </xdr:from>
    <xdr:to>
      <xdr:col>1</xdr:col>
      <xdr:colOff>1257300</xdr:colOff>
      <xdr:row>536</xdr:row>
      <xdr:rowOff>123825</xdr:rowOff>
    </xdr:to>
    <xdr:cxnSp macro="">
      <xdr:nvCxnSpPr>
        <xdr:cNvPr id="1233" name="Conector recto 39"/>
        <xdr:cNvCxnSpPr>
          <a:cxnSpLocks noChangeShapeType="1"/>
        </xdr:cNvCxnSpPr>
      </xdr:nvCxnSpPr>
      <xdr:spPr bwMode="auto">
        <a:xfrm>
          <a:off x="1114425" y="4440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553</xdr:row>
      <xdr:rowOff>123825</xdr:rowOff>
    </xdr:from>
    <xdr:to>
      <xdr:col>1</xdr:col>
      <xdr:colOff>1238250</xdr:colOff>
      <xdr:row>553</xdr:row>
      <xdr:rowOff>123825</xdr:rowOff>
    </xdr:to>
    <xdr:cxnSp macro="">
      <xdr:nvCxnSpPr>
        <xdr:cNvPr id="1238" name="Conector recto 39"/>
        <xdr:cNvCxnSpPr>
          <a:cxnSpLocks noChangeShapeType="1"/>
        </xdr:cNvCxnSpPr>
      </xdr:nvCxnSpPr>
      <xdr:spPr bwMode="auto">
        <a:xfrm>
          <a:off x="1095375" y="4657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559</xdr:row>
      <xdr:rowOff>114300</xdr:rowOff>
    </xdr:from>
    <xdr:to>
      <xdr:col>1</xdr:col>
      <xdr:colOff>1304925</xdr:colOff>
      <xdr:row>559</xdr:row>
      <xdr:rowOff>114300</xdr:rowOff>
    </xdr:to>
    <xdr:cxnSp macro="">
      <xdr:nvCxnSpPr>
        <xdr:cNvPr id="1240" name="Conector recto 39"/>
        <xdr:cNvCxnSpPr>
          <a:cxnSpLocks noChangeShapeType="1"/>
        </xdr:cNvCxnSpPr>
      </xdr:nvCxnSpPr>
      <xdr:spPr bwMode="auto">
        <a:xfrm>
          <a:off x="1162050" y="4723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571</xdr:row>
      <xdr:rowOff>95250</xdr:rowOff>
    </xdr:from>
    <xdr:to>
      <xdr:col>1</xdr:col>
      <xdr:colOff>1266825</xdr:colOff>
      <xdr:row>571</xdr:row>
      <xdr:rowOff>95250</xdr:rowOff>
    </xdr:to>
    <xdr:cxnSp macro="">
      <xdr:nvCxnSpPr>
        <xdr:cNvPr id="1242" name="Conector recto 39"/>
        <xdr:cNvCxnSpPr>
          <a:cxnSpLocks noChangeShapeType="1"/>
        </xdr:cNvCxnSpPr>
      </xdr:nvCxnSpPr>
      <xdr:spPr bwMode="auto">
        <a:xfrm>
          <a:off x="1123950" y="47958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576</xdr:row>
      <xdr:rowOff>133350</xdr:rowOff>
    </xdr:from>
    <xdr:to>
      <xdr:col>1</xdr:col>
      <xdr:colOff>1257300</xdr:colOff>
      <xdr:row>576</xdr:row>
      <xdr:rowOff>133350</xdr:rowOff>
    </xdr:to>
    <xdr:cxnSp macro="">
      <xdr:nvCxnSpPr>
        <xdr:cNvPr id="1243" name="Conector recto 39"/>
        <xdr:cNvCxnSpPr>
          <a:cxnSpLocks noChangeShapeType="1"/>
        </xdr:cNvCxnSpPr>
      </xdr:nvCxnSpPr>
      <xdr:spPr bwMode="auto">
        <a:xfrm>
          <a:off x="1114425" y="4845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577</xdr:row>
      <xdr:rowOff>85725</xdr:rowOff>
    </xdr:from>
    <xdr:to>
      <xdr:col>1</xdr:col>
      <xdr:colOff>1238250</xdr:colOff>
      <xdr:row>577</xdr:row>
      <xdr:rowOff>85725</xdr:rowOff>
    </xdr:to>
    <xdr:cxnSp macro="">
      <xdr:nvCxnSpPr>
        <xdr:cNvPr id="1244" name="Conector recto 39"/>
        <xdr:cNvCxnSpPr>
          <a:cxnSpLocks noChangeShapeType="1"/>
        </xdr:cNvCxnSpPr>
      </xdr:nvCxnSpPr>
      <xdr:spPr bwMode="auto">
        <a:xfrm>
          <a:off x="1095375" y="4866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581</xdr:row>
      <xdr:rowOff>104775</xdr:rowOff>
    </xdr:from>
    <xdr:to>
      <xdr:col>1</xdr:col>
      <xdr:colOff>1238250</xdr:colOff>
      <xdr:row>581</xdr:row>
      <xdr:rowOff>104775</xdr:rowOff>
    </xdr:to>
    <xdr:cxnSp macro="">
      <xdr:nvCxnSpPr>
        <xdr:cNvPr id="1245" name="Conector recto 39"/>
        <xdr:cNvCxnSpPr>
          <a:cxnSpLocks noChangeShapeType="1"/>
        </xdr:cNvCxnSpPr>
      </xdr:nvCxnSpPr>
      <xdr:spPr bwMode="auto">
        <a:xfrm>
          <a:off x="1095375" y="49406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582</xdr:row>
      <xdr:rowOff>104775</xdr:rowOff>
    </xdr:from>
    <xdr:to>
      <xdr:col>1</xdr:col>
      <xdr:colOff>1219200</xdr:colOff>
      <xdr:row>582</xdr:row>
      <xdr:rowOff>104775</xdr:rowOff>
    </xdr:to>
    <xdr:cxnSp macro="">
      <xdr:nvCxnSpPr>
        <xdr:cNvPr id="1246" name="Conector recto 39"/>
        <xdr:cNvCxnSpPr>
          <a:cxnSpLocks noChangeShapeType="1"/>
        </xdr:cNvCxnSpPr>
      </xdr:nvCxnSpPr>
      <xdr:spPr bwMode="auto">
        <a:xfrm>
          <a:off x="1076325" y="49606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585</xdr:row>
      <xdr:rowOff>104775</xdr:rowOff>
    </xdr:from>
    <xdr:to>
      <xdr:col>1</xdr:col>
      <xdr:colOff>1247775</xdr:colOff>
      <xdr:row>585</xdr:row>
      <xdr:rowOff>104775</xdr:rowOff>
    </xdr:to>
    <xdr:cxnSp macro="">
      <xdr:nvCxnSpPr>
        <xdr:cNvPr id="1247" name="Conector recto 39"/>
        <xdr:cNvCxnSpPr>
          <a:cxnSpLocks noChangeShapeType="1"/>
        </xdr:cNvCxnSpPr>
      </xdr:nvCxnSpPr>
      <xdr:spPr bwMode="auto">
        <a:xfrm>
          <a:off x="1104900" y="50263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586</xdr:row>
      <xdr:rowOff>123825</xdr:rowOff>
    </xdr:from>
    <xdr:to>
      <xdr:col>1</xdr:col>
      <xdr:colOff>1228725</xdr:colOff>
      <xdr:row>586</xdr:row>
      <xdr:rowOff>123825</xdr:rowOff>
    </xdr:to>
    <xdr:cxnSp macro="">
      <xdr:nvCxnSpPr>
        <xdr:cNvPr id="1248" name="Conector recto 39"/>
        <xdr:cNvCxnSpPr>
          <a:cxnSpLocks noChangeShapeType="1"/>
        </xdr:cNvCxnSpPr>
      </xdr:nvCxnSpPr>
      <xdr:spPr bwMode="auto">
        <a:xfrm>
          <a:off x="1085850" y="50539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587</xdr:row>
      <xdr:rowOff>104775</xdr:rowOff>
    </xdr:from>
    <xdr:to>
      <xdr:col>1</xdr:col>
      <xdr:colOff>1257300</xdr:colOff>
      <xdr:row>587</xdr:row>
      <xdr:rowOff>104775</xdr:rowOff>
    </xdr:to>
    <xdr:cxnSp macro="">
      <xdr:nvCxnSpPr>
        <xdr:cNvPr id="1249" name="Conector recto 39"/>
        <xdr:cNvCxnSpPr>
          <a:cxnSpLocks noChangeShapeType="1"/>
        </xdr:cNvCxnSpPr>
      </xdr:nvCxnSpPr>
      <xdr:spPr bwMode="auto">
        <a:xfrm>
          <a:off x="1114425" y="50768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588</xdr:row>
      <xdr:rowOff>114300</xdr:rowOff>
    </xdr:from>
    <xdr:to>
      <xdr:col>1</xdr:col>
      <xdr:colOff>1266825</xdr:colOff>
      <xdr:row>588</xdr:row>
      <xdr:rowOff>114300</xdr:rowOff>
    </xdr:to>
    <xdr:cxnSp macro="">
      <xdr:nvCxnSpPr>
        <xdr:cNvPr id="1250" name="Conector recto 39"/>
        <xdr:cNvCxnSpPr>
          <a:cxnSpLocks noChangeShapeType="1"/>
        </xdr:cNvCxnSpPr>
      </xdr:nvCxnSpPr>
      <xdr:spPr bwMode="auto">
        <a:xfrm>
          <a:off x="1123950" y="51025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591</xdr:row>
      <xdr:rowOff>95250</xdr:rowOff>
    </xdr:from>
    <xdr:to>
      <xdr:col>1</xdr:col>
      <xdr:colOff>1238250</xdr:colOff>
      <xdr:row>591</xdr:row>
      <xdr:rowOff>95250</xdr:rowOff>
    </xdr:to>
    <xdr:cxnSp macro="">
      <xdr:nvCxnSpPr>
        <xdr:cNvPr id="1251" name="Conector recto 39"/>
        <xdr:cNvCxnSpPr>
          <a:cxnSpLocks noChangeShapeType="1"/>
        </xdr:cNvCxnSpPr>
      </xdr:nvCxnSpPr>
      <xdr:spPr bwMode="auto">
        <a:xfrm>
          <a:off x="1095375" y="51749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592</xdr:row>
      <xdr:rowOff>114300</xdr:rowOff>
    </xdr:from>
    <xdr:to>
      <xdr:col>1</xdr:col>
      <xdr:colOff>1247775</xdr:colOff>
      <xdr:row>592</xdr:row>
      <xdr:rowOff>114300</xdr:rowOff>
    </xdr:to>
    <xdr:cxnSp macro="">
      <xdr:nvCxnSpPr>
        <xdr:cNvPr id="1252" name="Conector recto 39"/>
        <xdr:cNvCxnSpPr>
          <a:cxnSpLocks noChangeShapeType="1"/>
        </xdr:cNvCxnSpPr>
      </xdr:nvCxnSpPr>
      <xdr:spPr bwMode="auto">
        <a:xfrm>
          <a:off x="1104900" y="51996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594</xdr:row>
      <xdr:rowOff>85725</xdr:rowOff>
    </xdr:from>
    <xdr:to>
      <xdr:col>1</xdr:col>
      <xdr:colOff>1238250</xdr:colOff>
      <xdr:row>594</xdr:row>
      <xdr:rowOff>85725</xdr:rowOff>
    </xdr:to>
    <xdr:cxnSp macro="">
      <xdr:nvCxnSpPr>
        <xdr:cNvPr id="1253" name="Conector recto 39"/>
        <xdr:cNvCxnSpPr>
          <a:cxnSpLocks noChangeShapeType="1"/>
        </xdr:cNvCxnSpPr>
      </xdr:nvCxnSpPr>
      <xdr:spPr bwMode="auto">
        <a:xfrm>
          <a:off x="1095375" y="5247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595</xdr:row>
      <xdr:rowOff>123825</xdr:rowOff>
    </xdr:from>
    <xdr:to>
      <xdr:col>1</xdr:col>
      <xdr:colOff>1247775</xdr:colOff>
      <xdr:row>595</xdr:row>
      <xdr:rowOff>123825</xdr:rowOff>
    </xdr:to>
    <xdr:cxnSp macro="">
      <xdr:nvCxnSpPr>
        <xdr:cNvPr id="1254" name="Conector recto 39"/>
        <xdr:cNvCxnSpPr>
          <a:cxnSpLocks noChangeShapeType="1"/>
        </xdr:cNvCxnSpPr>
      </xdr:nvCxnSpPr>
      <xdr:spPr bwMode="auto">
        <a:xfrm>
          <a:off x="1104900" y="5276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596</xdr:row>
      <xdr:rowOff>123825</xdr:rowOff>
    </xdr:from>
    <xdr:to>
      <xdr:col>1</xdr:col>
      <xdr:colOff>1257300</xdr:colOff>
      <xdr:row>596</xdr:row>
      <xdr:rowOff>123825</xdr:rowOff>
    </xdr:to>
    <xdr:cxnSp macro="">
      <xdr:nvCxnSpPr>
        <xdr:cNvPr id="1255" name="Conector recto 39"/>
        <xdr:cNvCxnSpPr>
          <a:cxnSpLocks noChangeShapeType="1"/>
        </xdr:cNvCxnSpPr>
      </xdr:nvCxnSpPr>
      <xdr:spPr bwMode="auto">
        <a:xfrm>
          <a:off x="1114425" y="5300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597</xdr:row>
      <xdr:rowOff>114300</xdr:rowOff>
    </xdr:from>
    <xdr:to>
      <xdr:col>1</xdr:col>
      <xdr:colOff>1238250</xdr:colOff>
      <xdr:row>597</xdr:row>
      <xdr:rowOff>114300</xdr:rowOff>
    </xdr:to>
    <xdr:cxnSp macro="">
      <xdr:nvCxnSpPr>
        <xdr:cNvPr id="1256" name="Conector recto 39"/>
        <xdr:cNvCxnSpPr>
          <a:cxnSpLocks noChangeShapeType="1"/>
        </xdr:cNvCxnSpPr>
      </xdr:nvCxnSpPr>
      <xdr:spPr bwMode="auto">
        <a:xfrm>
          <a:off x="1095375" y="532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601</xdr:row>
      <xdr:rowOff>76200</xdr:rowOff>
    </xdr:from>
    <xdr:to>
      <xdr:col>1</xdr:col>
      <xdr:colOff>1247775</xdr:colOff>
      <xdr:row>601</xdr:row>
      <xdr:rowOff>171450</xdr:rowOff>
    </xdr:to>
    <xdr:grpSp>
      <xdr:nvGrpSpPr>
        <xdr:cNvPr id="1257" name="Grupo 466"/>
        <xdr:cNvGrpSpPr>
          <a:grpSpLocks/>
        </xdr:cNvGrpSpPr>
      </xdr:nvGrpSpPr>
      <xdr:grpSpPr bwMode="auto">
        <a:xfrm>
          <a:off x="1273175" y="1270000"/>
          <a:ext cx="1085850" cy="0"/>
          <a:chOff x="10648950" y="5124450"/>
          <a:chExt cx="1085850" cy="95250"/>
        </a:xfrm>
      </xdr:grpSpPr>
      <xdr:cxnSp macro="">
        <xdr:nvCxnSpPr>
          <xdr:cNvPr id="125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734</xdr:row>
      <xdr:rowOff>133350</xdr:rowOff>
    </xdr:from>
    <xdr:to>
      <xdr:col>1</xdr:col>
      <xdr:colOff>1257300</xdr:colOff>
      <xdr:row>734</xdr:row>
      <xdr:rowOff>133350</xdr:rowOff>
    </xdr:to>
    <xdr:cxnSp macro="">
      <xdr:nvCxnSpPr>
        <xdr:cNvPr id="1264" name="Conector recto 39"/>
        <xdr:cNvCxnSpPr>
          <a:cxnSpLocks noChangeShapeType="1"/>
        </xdr:cNvCxnSpPr>
      </xdr:nvCxnSpPr>
      <xdr:spPr bwMode="auto">
        <a:xfrm>
          <a:off x="1114425" y="56226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740</xdr:row>
      <xdr:rowOff>133350</xdr:rowOff>
    </xdr:from>
    <xdr:to>
      <xdr:col>1</xdr:col>
      <xdr:colOff>1266825</xdr:colOff>
      <xdr:row>740</xdr:row>
      <xdr:rowOff>133350</xdr:rowOff>
    </xdr:to>
    <xdr:cxnSp macro="">
      <xdr:nvCxnSpPr>
        <xdr:cNvPr id="1265" name="Conector recto 39"/>
        <xdr:cNvCxnSpPr>
          <a:cxnSpLocks noChangeShapeType="1"/>
        </xdr:cNvCxnSpPr>
      </xdr:nvCxnSpPr>
      <xdr:spPr bwMode="auto">
        <a:xfrm>
          <a:off x="1123950" y="57616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741</xdr:row>
      <xdr:rowOff>142875</xdr:rowOff>
    </xdr:from>
    <xdr:to>
      <xdr:col>1</xdr:col>
      <xdr:colOff>1266825</xdr:colOff>
      <xdr:row>741</xdr:row>
      <xdr:rowOff>142875</xdr:rowOff>
    </xdr:to>
    <xdr:cxnSp macro="">
      <xdr:nvCxnSpPr>
        <xdr:cNvPr id="1266" name="Conector recto 39"/>
        <xdr:cNvCxnSpPr>
          <a:cxnSpLocks noChangeShapeType="1"/>
        </xdr:cNvCxnSpPr>
      </xdr:nvCxnSpPr>
      <xdr:spPr bwMode="auto">
        <a:xfrm>
          <a:off x="1123950" y="57892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742</xdr:row>
      <xdr:rowOff>114300</xdr:rowOff>
    </xdr:from>
    <xdr:to>
      <xdr:col>1</xdr:col>
      <xdr:colOff>1257300</xdr:colOff>
      <xdr:row>742</xdr:row>
      <xdr:rowOff>114300</xdr:rowOff>
    </xdr:to>
    <xdr:cxnSp macro="">
      <xdr:nvCxnSpPr>
        <xdr:cNvPr id="1267" name="Conector recto 39"/>
        <xdr:cNvCxnSpPr>
          <a:cxnSpLocks noChangeShapeType="1"/>
        </xdr:cNvCxnSpPr>
      </xdr:nvCxnSpPr>
      <xdr:spPr bwMode="auto">
        <a:xfrm>
          <a:off x="1114425" y="5815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743</xdr:row>
      <xdr:rowOff>95250</xdr:rowOff>
    </xdr:from>
    <xdr:to>
      <xdr:col>1</xdr:col>
      <xdr:colOff>1247775</xdr:colOff>
      <xdr:row>743</xdr:row>
      <xdr:rowOff>95250</xdr:rowOff>
    </xdr:to>
    <xdr:cxnSp macro="">
      <xdr:nvCxnSpPr>
        <xdr:cNvPr id="1268" name="Conector recto 39"/>
        <xdr:cNvCxnSpPr>
          <a:cxnSpLocks noChangeShapeType="1"/>
        </xdr:cNvCxnSpPr>
      </xdr:nvCxnSpPr>
      <xdr:spPr bwMode="auto">
        <a:xfrm>
          <a:off x="1104900" y="58397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744</xdr:row>
      <xdr:rowOff>114300</xdr:rowOff>
    </xdr:from>
    <xdr:to>
      <xdr:col>1</xdr:col>
      <xdr:colOff>1209675</xdr:colOff>
      <xdr:row>744</xdr:row>
      <xdr:rowOff>114300</xdr:rowOff>
    </xdr:to>
    <xdr:cxnSp macro="">
      <xdr:nvCxnSpPr>
        <xdr:cNvPr id="1269" name="Conector recto 39"/>
        <xdr:cNvCxnSpPr>
          <a:cxnSpLocks noChangeShapeType="1"/>
        </xdr:cNvCxnSpPr>
      </xdr:nvCxnSpPr>
      <xdr:spPr bwMode="auto">
        <a:xfrm>
          <a:off x="1066800" y="5867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745</xdr:row>
      <xdr:rowOff>123825</xdr:rowOff>
    </xdr:from>
    <xdr:to>
      <xdr:col>1</xdr:col>
      <xdr:colOff>1228725</xdr:colOff>
      <xdr:row>745</xdr:row>
      <xdr:rowOff>123825</xdr:rowOff>
    </xdr:to>
    <xdr:cxnSp macro="">
      <xdr:nvCxnSpPr>
        <xdr:cNvPr id="1270" name="Conector recto 39"/>
        <xdr:cNvCxnSpPr>
          <a:cxnSpLocks noChangeShapeType="1"/>
        </xdr:cNvCxnSpPr>
      </xdr:nvCxnSpPr>
      <xdr:spPr bwMode="auto">
        <a:xfrm>
          <a:off x="1085850" y="58940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746</xdr:row>
      <xdr:rowOff>142875</xdr:rowOff>
    </xdr:from>
    <xdr:to>
      <xdr:col>1</xdr:col>
      <xdr:colOff>1238250</xdr:colOff>
      <xdr:row>746</xdr:row>
      <xdr:rowOff>142875</xdr:rowOff>
    </xdr:to>
    <xdr:cxnSp macro="">
      <xdr:nvCxnSpPr>
        <xdr:cNvPr id="1271" name="Conector recto 39"/>
        <xdr:cNvCxnSpPr>
          <a:cxnSpLocks noChangeShapeType="1"/>
        </xdr:cNvCxnSpPr>
      </xdr:nvCxnSpPr>
      <xdr:spPr bwMode="auto">
        <a:xfrm>
          <a:off x="1095375" y="59188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747</xdr:row>
      <xdr:rowOff>123825</xdr:rowOff>
    </xdr:from>
    <xdr:to>
      <xdr:col>1</xdr:col>
      <xdr:colOff>1228725</xdr:colOff>
      <xdr:row>747</xdr:row>
      <xdr:rowOff>123825</xdr:rowOff>
    </xdr:to>
    <xdr:cxnSp macro="">
      <xdr:nvCxnSpPr>
        <xdr:cNvPr id="1272" name="Conector recto 39"/>
        <xdr:cNvCxnSpPr>
          <a:cxnSpLocks noChangeShapeType="1"/>
        </xdr:cNvCxnSpPr>
      </xdr:nvCxnSpPr>
      <xdr:spPr bwMode="auto">
        <a:xfrm>
          <a:off x="1085850" y="5942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748</xdr:row>
      <xdr:rowOff>123825</xdr:rowOff>
    </xdr:from>
    <xdr:to>
      <xdr:col>1</xdr:col>
      <xdr:colOff>1228725</xdr:colOff>
      <xdr:row>748</xdr:row>
      <xdr:rowOff>123825</xdr:rowOff>
    </xdr:to>
    <xdr:cxnSp macro="">
      <xdr:nvCxnSpPr>
        <xdr:cNvPr id="1273" name="Conector recto 39"/>
        <xdr:cNvCxnSpPr>
          <a:cxnSpLocks noChangeShapeType="1"/>
        </xdr:cNvCxnSpPr>
      </xdr:nvCxnSpPr>
      <xdr:spPr bwMode="auto">
        <a:xfrm>
          <a:off x="1085850" y="59674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749</xdr:row>
      <xdr:rowOff>114300</xdr:rowOff>
    </xdr:from>
    <xdr:to>
      <xdr:col>1</xdr:col>
      <xdr:colOff>1228725</xdr:colOff>
      <xdr:row>749</xdr:row>
      <xdr:rowOff>114300</xdr:rowOff>
    </xdr:to>
    <xdr:cxnSp macro="">
      <xdr:nvCxnSpPr>
        <xdr:cNvPr id="1274" name="Conector recto 39"/>
        <xdr:cNvCxnSpPr>
          <a:cxnSpLocks noChangeShapeType="1"/>
        </xdr:cNvCxnSpPr>
      </xdr:nvCxnSpPr>
      <xdr:spPr bwMode="auto">
        <a:xfrm>
          <a:off x="1085850" y="5992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752</xdr:row>
      <xdr:rowOff>114300</xdr:rowOff>
    </xdr:from>
    <xdr:to>
      <xdr:col>1</xdr:col>
      <xdr:colOff>1257300</xdr:colOff>
      <xdr:row>752</xdr:row>
      <xdr:rowOff>114300</xdr:rowOff>
    </xdr:to>
    <xdr:cxnSp macro="">
      <xdr:nvCxnSpPr>
        <xdr:cNvPr id="1275" name="Conector recto 39"/>
        <xdr:cNvCxnSpPr>
          <a:cxnSpLocks noChangeShapeType="1"/>
        </xdr:cNvCxnSpPr>
      </xdr:nvCxnSpPr>
      <xdr:spPr bwMode="auto">
        <a:xfrm>
          <a:off x="1114425" y="6065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753</xdr:row>
      <xdr:rowOff>142875</xdr:rowOff>
    </xdr:from>
    <xdr:to>
      <xdr:col>1</xdr:col>
      <xdr:colOff>1257300</xdr:colOff>
      <xdr:row>753</xdr:row>
      <xdr:rowOff>142875</xdr:rowOff>
    </xdr:to>
    <xdr:cxnSp macro="">
      <xdr:nvCxnSpPr>
        <xdr:cNvPr id="1276" name="Conector recto 39"/>
        <xdr:cNvCxnSpPr>
          <a:cxnSpLocks noChangeShapeType="1"/>
        </xdr:cNvCxnSpPr>
      </xdr:nvCxnSpPr>
      <xdr:spPr bwMode="auto">
        <a:xfrm>
          <a:off x="1114425" y="60912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754</xdr:row>
      <xdr:rowOff>57150</xdr:rowOff>
    </xdr:from>
    <xdr:to>
      <xdr:col>1</xdr:col>
      <xdr:colOff>1257300</xdr:colOff>
      <xdr:row>754</xdr:row>
      <xdr:rowOff>152400</xdr:rowOff>
    </xdr:to>
    <xdr:grpSp>
      <xdr:nvGrpSpPr>
        <xdr:cNvPr id="1277" name="Grupo 466"/>
        <xdr:cNvGrpSpPr>
          <a:grpSpLocks/>
        </xdr:cNvGrpSpPr>
      </xdr:nvGrpSpPr>
      <xdr:grpSpPr bwMode="auto">
        <a:xfrm>
          <a:off x="1282700" y="1270000"/>
          <a:ext cx="1085850" cy="0"/>
          <a:chOff x="10648950" y="5124450"/>
          <a:chExt cx="1085850" cy="95250"/>
        </a:xfrm>
      </xdr:grpSpPr>
      <xdr:cxnSp macro="">
        <xdr:nvCxnSpPr>
          <xdr:cNvPr id="127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353787</xdr:colOff>
      <xdr:row>41</xdr:row>
      <xdr:rowOff>68035</xdr:rowOff>
    </xdr:from>
    <xdr:to>
      <xdr:col>1</xdr:col>
      <xdr:colOff>925287</xdr:colOff>
      <xdr:row>41</xdr:row>
      <xdr:rowOff>476249</xdr:rowOff>
    </xdr:to>
    <xdr:sp macro="" textlink="">
      <xdr:nvSpPr>
        <xdr:cNvPr id="1280" name="Rectángulo redondeado 23"/>
        <xdr:cNvSpPr>
          <a:spLocks noChangeArrowheads="1"/>
        </xdr:cNvSpPr>
      </xdr:nvSpPr>
      <xdr:spPr bwMode="auto">
        <a:xfrm>
          <a:off x="1455966" y="88854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39</xdr:row>
      <xdr:rowOff>68035</xdr:rowOff>
    </xdr:from>
    <xdr:to>
      <xdr:col>1</xdr:col>
      <xdr:colOff>925287</xdr:colOff>
      <xdr:row>39</xdr:row>
      <xdr:rowOff>476249</xdr:rowOff>
    </xdr:to>
    <xdr:sp macro="" textlink="">
      <xdr:nvSpPr>
        <xdr:cNvPr id="1283" name="Rectángulo redondeado 23"/>
        <xdr:cNvSpPr>
          <a:spLocks noChangeArrowheads="1"/>
        </xdr:cNvSpPr>
      </xdr:nvSpPr>
      <xdr:spPr bwMode="auto">
        <a:xfrm>
          <a:off x="1465037" y="9720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</xdr:row>
      <xdr:rowOff>68035</xdr:rowOff>
    </xdr:from>
    <xdr:to>
      <xdr:col>1</xdr:col>
      <xdr:colOff>925287</xdr:colOff>
      <xdr:row>38</xdr:row>
      <xdr:rowOff>476249</xdr:rowOff>
    </xdr:to>
    <xdr:sp macro="" textlink="">
      <xdr:nvSpPr>
        <xdr:cNvPr id="1284" name="Rectángulo redondeado 23"/>
        <xdr:cNvSpPr>
          <a:spLocks noChangeArrowheads="1"/>
        </xdr:cNvSpPr>
      </xdr:nvSpPr>
      <xdr:spPr bwMode="auto">
        <a:xfrm>
          <a:off x="1465037" y="9466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148</xdr:row>
      <xdr:rowOff>68035</xdr:rowOff>
    </xdr:from>
    <xdr:to>
      <xdr:col>1</xdr:col>
      <xdr:colOff>925287</xdr:colOff>
      <xdr:row>148</xdr:row>
      <xdr:rowOff>476249</xdr:rowOff>
    </xdr:to>
    <xdr:sp macro="" textlink="">
      <xdr:nvSpPr>
        <xdr:cNvPr id="1285" name="Rectángulo redondeado 23"/>
        <xdr:cNvSpPr>
          <a:spLocks noChangeArrowheads="1"/>
        </xdr:cNvSpPr>
      </xdr:nvSpPr>
      <xdr:spPr bwMode="auto">
        <a:xfrm>
          <a:off x="1465037" y="10926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149</xdr:row>
      <xdr:rowOff>68035</xdr:rowOff>
    </xdr:from>
    <xdr:to>
      <xdr:col>1</xdr:col>
      <xdr:colOff>925287</xdr:colOff>
      <xdr:row>149</xdr:row>
      <xdr:rowOff>476249</xdr:rowOff>
    </xdr:to>
    <xdr:sp macro="" textlink="">
      <xdr:nvSpPr>
        <xdr:cNvPr id="1286" name="Rectángulo redondeado 23"/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150</xdr:row>
      <xdr:rowOff>68035</xdr:rowOff>
    </xdr:from>
    <xdr:to>
      <xdr:col>1</xdr:col>
      <xdr:colOff>925287</xdr:colOff>
      <xdr:row>150</xdr:row>
      <xdr:rowOff>476249</xdr:rowOff>
    </xdr:to>
    <xdr:sp macro="" textlink="">
      <xdr:nvSpPr>
        <xdr:cNvPr id="1287" name="Rectángulo redondeado 23"/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253</xdr:row>
      <xdr:rowOff>68035</xdr:rowOff>
    </xdr:from>
    <xdr:to>
      <xdr:col>1</xdr:col>
      <xdr:colOff>925287</xdr:colOff>
      <xdr:row>253</xdr:row>
      <xdr:rowOff>476249</xdr:rowOff>
    </xdr:to>
    <xdr:sp macro="" textlink="">
      <xdr:nvSpPr>
        <xdr:cNvPr id="1288" name="Rectángulo redondeado 23"/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254</xdr:row>
      <xdr:rowOff>68035</xdr:rowOff>
    </xdr:from>
    <xdr:to>
      <xdr:col>1</xdr:col>
      <xdr:colOff>925287</xdr:colOff>
      <xdr:row>254</xdr:row>
      <xdr:rowOff>476249</xdr:rowOff>
    </xdr:to>
    <xdr:sp macro="" textlink="">
      <xdr:nvSpPr>
        <xdr:cNvPr id="1289" name="Rectángulo redondeado 23"/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73</xdr:row>
      <xdr:rowOff>34847</xdr:rowOff>
    </xdr:from>
    <xdr:to>
      <xdr:col>1</xdr:col>
      <xdr:colOff>1047750</xdr:colOff>
      <xdr:row>73</xdr:row>
      <xdr:rowOff>443061</xdr:rowOff>
    </xdr:to>
    <xdr:sp macro="" textlink="">
      <xdr:nvSpPr>
        <xdr:cNvPr id="1281" name="Rectángulo redondeado 23"/>
        <xdr:cNvSpPr>
          <a:spLocks noChangeArrowheads="1"/>
        </xdr:cNvSpPr>
      </xdr:nvSpPr>
      <xdr:spPr bwMode="auto">
        <a:xfrm>
          <a:off x="1579756" y="181671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499482</xdr:colOff>
      <xdr:row>75</xdr:row>
      <xdr:rowOff>34847</xdr:rowOff>
    </xdr:from>
    <xdr:to>
      <xdr:col>1</xdr:col>
      <xdr:colOff>1070982</xdr:colOff>
      <xdr:row>75</xdr:row>
      <xdr:rowOff>443061</xdr:rowOff>
    </xdr:to>
    <xdr:sp macro="" textlink="">
      <xdr:nvSpPr>
        <xdr:cNvPr id="1290" name="Rectángulo redondeado 23"/>
        <xdr:cNvSpPr>
          <a:spLocks noChangeArrowheads="1"/>
        </xdr:cNvSpPr>
      </xdr:nvSpPr>
      <xdr:spPr bwMode="auto">
        <a:xfrm>
          <a:off x="1602988" y="1921262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453018</xdr:colOff>
      <xdr:row>77</xdr:row>
      <xdr:rowOff>46463</xdr:rowOff>
    </xdr:from>
    <xdr:to>
      <xdr:col>1</xdr:col>
      <xdr:colOff>1024518</xdr:colOff>
      <xdr:row>77</xdr:row>
      <xdr:rowOff>454677</xdr:rowOff>
    </xdr:to>
    <xdr:sp macro="" textlink="">
      <xdr:nvSpPr>
        <xdr:cNvPr id="1297" name="Rectángulo redondeado 23"/>
        <xdr:cNvSpPr>
          <a:spLocks noChangeArrowheads="1"/>
        </xdr:cNvSpPr>
      </xdr:nvSpPr>
      <xdr:spPr bwMode="auto">
        <a:xfrm>
          <a:off x="1556524" y="202696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110</xdr:row>
      <xdr:rowOff>69696</xdr:rowOff>
    </xdr:from>
    <xdr:to>
      <xdr:col>1</xdr:col>
      <xdr:colOff>1036134</xdr:colOff>
      <xdr:row>110</xdr:row>
      <xdr:rowOff>477910</xdr:rowOff>
    </xdr:to>
    <xdr:sp macro="" textlink="">
      <xdr:nvSpPr>
        <xdr:cNvPr id="1298" name="Rectángulo redondeado 23"/>
        <xdr:cNvSpPr>
          <a:spLocks noChangeArrowheads="1"/>
        </xdr:cNvSpPr>
      </xdr:nvSpPr>
      <xdr:spPr bwMode="auto">
        <a:xfrm>
          <a:off x="1568140" y="2841237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453019</xdr:colOff>
      <xdr:row>111</xdr:row>
      <xdr:rowOff>58080</xdr:rowOff>
    </xdr:from>
    <xdr:to>
      <xdr:col>1</xdr:col>
      <xdr:colOff>1024519</xdr:colOff>
      <xdr:row>111</xdr:row>
      <xdr:rowOff>466294</xdr:rowOff>
    </xdr:to>
    <xdr:sp macro="" textlink="">
      <xdr:nvSpPr>
        <xdr:cNvPr id="1299" name="Rectángulo redondeado 23"/>
        <xdr:cNvSpPr>
          <a:spLocks noChangeArrowheads="1"/>
        </xdr:cNvSpPr>
      </xdr:nvSpPr>
      <xdr:spPr bwMode="auto">
        <a:xfrm>
          <a:off x="1556525" y="2895832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487866</xdr:colOff>
      <xdr:row>112</xdr:row>
      <xdr:rowOff>104543</xdr:rowOff>
    </xdr:from>
    <xdr:to>
      <xdr:col>1</xdr:col>
      <xdr:colOff>1059366</xdr:colOff>
      <xdr:row>112</xdr:row>
      <xdr:rowOff>512757</xdr:rowOff>
    </xdr:to>
    <xdr:sp macro="" textlink="">
      <xdr:nvSpPr>
        <xdr:cNvPr id="1300" name="Rectángulo redondeado 23"/>
        <xdr:cNvSpPr>
          <a:spLocks noChangeArrowheads="1"/>
        </xdr:cNvSpPr>
      </xdr:nvSpPr>
      <xdr:spPr bwMode="auto">
        <a:xfrm>
          <a:off x="1591372" y="29562348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418171</xdr:colOff>
      <xdr:row>134</xdr:row>
      <xdr:rowOff>34848</xdr:rowOff>
    </xdr:from>
    <xdr:to>
      <xdr:col>1</xdr:col>
      <xdr:colOff>989671</xdr:colOff>
      <xdr:row>134</xdr:row>
      <xdr:rowOff>443062</xdr:rowOff>
    </xdr:to>
    <xdr:sp macro="" textlink="">
      <xdr:nvSpPr>
        <xdr:cNvPr id="1301" name="Rectángulo redondeado 23"/>
        <xdr:cNvSpPr>
          <a:spLocks noChangeArrowheads="1"/>
        </xdr:cNvSpPr>
      </xdr:nvSpPr>
      <xdr:spPr bwMode="auto">
        <a:xfrm>
          <a:off x="1521677" y="346849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172</xdr:row>
      <xdr:rowOff>81311</xdr:rowOff>
    </xdr:from>
    <xdr:to>
      <xdr:col>1</xdr:col>
      <xdr:colOff>1012903</xdr:colOff>
      <xdr:row>172</xdr:row>
      <xdr:rowOff>489525</xdr:rowOff>
    </xdr:to>
    <xdr:sp macro="" textlink="">
      <xdr:nvSpPr>
        <xdr:cNvPr id="1302" name="Rectángulo redondeado 23"/>
        <xdr:cNvSpPr>
          <a:spLocks noChangeArrowheads="1"/>
        </xdr:cNvSpPr>
      </xdr:nvSpPr>
      <xdr:spPr bwMode="auto">
        <a:xfrm>
          <a:off x="1544909" y="4546445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431181</xdr:colOff>
      <xdr:row>173</xdr:row>
      <xdr:rowOff>94321</xdr:rowOff>
    </xdr:from>
    <xdr:to>
      <xdr:col>1</xdr:col>
      <xdr:colOff>1002681</xdr:colOff>
      <xdr:row>173</xdr:row>
      <xdr:rowOff>502535</xdr:rowOff>
    </xdr:to>
    <xdr:sp macro="" textlink="">
      <xdr:nvSpPr>
        <xdr:cNvPr id="1303" name="Rectángulo redondeado 23"/>
        <xdr:cNvSpPr>
          <a:spLocks noChangeArrowheads="1"/>
        </xdr:cNvSpPr>
      </xdr:nvSpPr>
      <xdr:spPr bwMode="auto">
        <a:xfrm>
          <a:off x="1534687" y="4603502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174</xdr:row>
      <xdr:rowOff>92927</xdr:rowOff>
    </xdr:from>
    <xdr:to>
      <xdr:col>1</xdr:col>
      <xdr:colOff>1012903</xdr:colOff>
      <xdr:row>174</xdr:row>
      <xdr:rowOff>501141</xdr:rowOff>
    </xdr:to>
    <xdr:sp macro="" textlink="">
      <xdr:nvSpPr>
        <xdr:cNvPr id="1304" name="Rectángulo redondeado 23"/>
        <xdr:cNvSpPr>
          <a:spLocks noChangeArrowheads="1"/>
        </xdr:cNvSpPr>
      </xdr:nvSpPr>
      <xdr:spPr bwMode="auto">
        <a:xfrm>
          <a:off x="1544909" y="465795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221</xdr:row>
      <xdr:rowOff>58079</xdr:rowOff>
    </xdr:from>
    <xdr:to>
      <xdr:col>1</xdr:col>
      <xdr:colOff>966439</xdr:colOff>
      <xdr:row>221</xdr:row>
      <xdr:rowOff>466293</xdr:rowOff>
    </xdr:to>
    <xdr:sp macro="" textlink="">
      <xdr:nvSpPr>
        <xdr:cNvPr id="1305" name="Rectángulo redondeado 23"/>
        <xdr:cNvSpPr>
          <a:spLocks noChangeArrowheads="1"/>
        </xdr:cNvSpPr>
      </xdr:nvSpPr>
      <xdr:spPr bwMode="auto">
        <a:xfrm>
          <a:off x="1498445" y="5810250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222</xdr:row>
      <xdr:rowOff>69695</xdr:rowOff>
    </xdr:from>
    <xdr:to>
      <xdr:col>1</xdr:col>
      <xdr:colOff>966439</xdr:colOff>
      <xdr:row>222</xdr:row>
      <xdr:rowOff>477909</xdr:rowOff>
    </xdr:to>
    <xdr:sp macro="" textlink="">
      <xdr:nvSpPr>
        <xdr:cNvPr id="1306" name="Rectángulo redondeado 23"/>
        <xdr:cNvSpPr>
          <a:spLocks noChangeArrowheads="1"/>
        </xdr:cNvSpPr>
      </xdr:nvSpPr>
      <xdr:spPr bwMode="auto">
        <a:xfrm>
          <a:off x="1498445" y="5862521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638872</xdr:colOff>
      <xdr:row>40</xdr:row>
      <xdr:rowOff>116159</xdr:rowOff>
    </xdr:from>
    <xdr:to>
      <xdr:col>1</xdr:col>
      <xdr:colOff>696022</xdr:colOff>
      <xdr:row>40</xdr:row>
      <xdr:rowOff>382859</xdr:rowOff>
    </xdr:to>
    <xdr:sp macro="" textlink="">
      <xdr:nvSpPr>
        <xdr:cNvPr id="1307" name="Forma libre 6"/>
        <xdr:cNvSpPr>
          <a:spLocks/>
        </xdr:cNvSpPr>
      </xdr:nvSpPr>
      <xdr:spPr bwMode="auto">
        <a:xfrm>
          <a:off x="1742378" y="1007094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801494</xdr:colOff>
      <xdr:row>74</xdr:row>
      <xdr:rowOff>92927</xdr:rowOff>
    </xdr:from>
    <xdr:to>
      <xdr:col>1</xdr:col>
      <xdr:colOff>858644</xdr:colOff>
      <xdr:row>74</xdr:row>
      <xdr:rowOff>359627</xdr:rowOff>
    </xdr:to>
    <xdr:sp macro="" textlink="">
      <xdr:nvSpPr>
        <xdr:cNvPr id="1308" name="Forma libre 6"/>
        <xdr:cNvSpPr>
          <a:spLocks/>
        </xdr:cNvSpPr>
      </xdr:nvSpPr>
      <xdr:spPr bwMode="auto">
        <a:xfrm>
          <a:off x="1905000" y="1923585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696951</xdr:colOff>
      <xdr:row>76</xdr:row>
      <xdr:rowOff>151006</xdr:rowOff>
    </xdr:from>
    <xdr:to>
      <xdr:col>1</xdr:col>
      <xdr:colOff>754101</xdr:colOff>
      <xdr:row>76</xdr:row>
      <xdr:rowOff>417706</xdr:rowOff>
    </xdr:to>
    <xdr:sp macro="" textlink="">
      <xdr:nvSpPr>
        <xdr:cNvPr id="1309" name="Forma libre 6"/>
        <xdr:cNvSpPr>
          <a:spLocks/>
        </xdr:cNvSpPr>
      </xdr:nvSpPr>
      <xdr:spPr bwMode="auto">
        <a:xfrm>
          <a:off x="1800457" y="2033936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662104</xdr:colOff>
      <xdr:row>78</xdr:row>
      <xdr:rowOff>116159</xdr:rowOff>
    </xdr:from>
    <xdr:to>
      <xdr:col>1</xdr:col>
      <xdr:colOff>719254</xdr:colOff>
      <xdr:row>78</xdr:row>
      <xdr:rowOff>382859</xdr:rowOff>
    </xdr:to>
    <xdr:sp macro="" textlink="">
      <xdr:nvSpPr>
        <xdr:cNvPr id="1310" name="Forma libre 6"/>
        <xdr:cNvSpPr>
          <a:spLocks/>
        </xdr:cNvSpPr>
      </xdr:nvSpPr>
      <xdr:spPr bwMode="auto">
        <a:xfrm>
          <a:off x="1765610" y="2134993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286</xdr:row>
      <xdr:rowOff>68035</xdr:rowOff>
    </xdr:from>
    <xdr:to>
      <xdr:col>1</xdr:col>
      <xdr:colOff>925287</xdr:colOff>
      <xdr:row>286</xdr:row>
      <xdr:rowOff>476249</xdr:rowOff>
    </xdr:to>
    <xdr:sp macro="" textlink="">
      <xdr:nvSpPr>
        <xdr:cNvPr id="1195" name="Rectángulo redondeado 23"/>
        <xdr:cNvSpPr>
          <a:spLocks noChangeArrowheads="1"/>
        </xdr:cNvSpPr>
      </xdr:nvSpPr>
      <xdr:spPr bwMode="auto">
        <a:xfrm>
          <a:off x="1458687" y="675717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288</xdr:row>
      <xdr:rowOff>68035</xdr:rowOff>
    </xdr:from>
    <xdr:to>
      <xdr:col>1</xdr:col>
      <xdr:colOff>925287</xdr:colOff>
      <xdr:row>288</xdr:row>
      <xdr:rowOff>476249</xdr:rowOff>
    </xdr:to>
    <xdr:sp macro="" textlink="">
      <xdr:nvSpPr>
        <xdr:cNvPr id="1282" name="Rectángulo redondeado 23"/>
        <xdr:cNvSpPr>
          <a:spLocks noChangeArrowheads="1"/>
        </xdr:cNvSpPr>
      </xdr:nvSpPr>
      <xdr:spPr bwMode="auto">
        <a:xfrm>
          <a:off x="1458687" y="687051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342171</xdr:colOff>
      <xdr:row>287</xdr:row>
      <xdr:rowOff>33187</xdr:rowOff>
    </xdr:from>
    <xdr:to>
      <xdr:col>1</xdr:col>
      <xdr:colOff>913671</xdr:colOff>
      <xdr:row>287</xdr:row>
      <xdr:rowOff>431876</xdr:rowOff>
    </xdr:to>
    <xdr:sp macro="" textlink="">
      <xdr:nvSpPr>
        <xdr:cNvPr id="1311" name="Rectángulo redondeado 23"/>
        <xdr:cNvSpPr>
          <a:spLocks noChangeArrowheads="1"/>
        </xdr:cNvSpPr>
      </xdr:nvSpPr>
      <xdr:spPr bwMode="auto">
        <a:xfrm>
          <a:off x="1445677" y="77359925"/>
          <a:ext cx="571500" cy="398689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316</xdr:row>
      <xdr:rowOff>68035</xdr:rowOff>
    </xdr:from>
    <xdr:to>
      <xdr:col>1</xdr:col>
      <xdr:colOff>925287</xdr:colOff>
      <xdr:row>316</xdr:row>
      <xdr:rowOff>476249</xdr:rowOff>
    </xdr:to>
    <xdr:sp macro="" textlink="">
      <xdr:nvSpPr>
        <xdr:cNvPr id="1312" name="Rectángulo redondeado 23"/>
        <xdr:cNvSpPr>
          <a:spLocks noChangeArrowheads="1"/>
        </xdr:cNvSpPr>
      </xdr:nvSpPr>
      <xdr:spPr bwMode="auto">
        <a:xfrm>
          <a:off x="1458687" y="75906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318</xdr:row>
      <xdr:rowOff>68035</xdr:rowOff>
    </xdr:from>
    <xdr:to>
      <xdr:col>1</xdr:col>
      <xdr:colOff>925287</xdr:colOff>
      <xdr:row>318</xdr:row>
      <xdr:rowOff>476249</xdr:rowOff>
    </xdr:to>
    <xdr:sp macro="" textlink="">
      <xdr:nvSpPr>
        <xdr:cNvPr id="1313" name="Rectángulo redondeado 23"/>
        <xdr:cNvSpPr>
          <a:spLocks noChangeArrowheads="1"/>
        </xdr:cNvSpPr>
      </xdr:nvSpPr>
      <xdr:spPr bwMode="auto">
        <a:xfrm>
          <a:off x="1458687" y="77001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317</xdr:row>
      <xdr:rowOff>68035</xdr:rowOff>
    </xdr:from>
    <xdr:to>
      <xdr:col>1</xdr:col>
      <xdr:colOff>925287</xdr:colOff>
      <xdr:row>317</xdr:row>
      <xdr:rowOff>476249</xdr:rowOff>
    </xdr:to>
    <xdr:sp macro="" textlink="">
      <xdr:nvSpPr>
        <xdr:cNvPr id="1314" name="Rectángulo redondeado 23"/>
        <xdr:cNvSpPr>
          <a:spLocks noChangeArrowheads="1"/>
        </xdr:cNvSpPr>
      </xdr:nvSpPr>
      <xdr:spPr bwMode="auto">
        <a:xfrm>
          <a:off x="1458687" y="764680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635553</xdr:colOff>
      <xdr:row>319</xdr:row>
      <xdr:rowOff>157312</xdr:rowOff>
    </xdr:from>
    <xdr:to>
      <xdr:col>1</xdr:col>
      <xdr:colOff>692703</xdr:colOff>
      <xdr:row>319</xdr:row>
      <xdr:rowOff>421290</xdr:rowOff>
    </xdr:to>
    <xdr:sp macro="" textlink="">
      <xdr:nvSpPr>
        <xdr:cNvPr id="1315" name="Forma libre 6"/>
        <xdr:cNvSpPr>
          <a:spLocks/>
        </xdr:cNvSpPr>
      </xdr:nvSpPr>
      <xdr:spPr bwMode="auto">
        <a:xfrm>
          <a:off x="1739059" y="86788349"/>
          <a:ext cx="57150" cy="263978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340</xdr:row>
      <xdr:rowOff>68035</xdr:rowOff>
    </xdr:from>
    <xdr:to>
      <xdr:col>1</xdr:col>
      <xdr:colOff>925287</xdr:colOff>
      <xdr:row>340</xdr:row>
      <xdr:rowOff>476249</xdr:rowOff>
    </xdr:to>
    <xdr:sp macro="" textlink="">
      <xdr:nvSpPr>
        <xdr:cNvPr id="1316" name="Rectángulo redondeado 23"/>
        <xdr:cNvSpPr>
          <a:spLocks noChangeArrowheads="1"/>
        </xdr:cNvSpPr>
      </xdr:nvSpPr>
      <xdr:spPr bwMode="auto">
        <a:xfrm>
          <a:off x="1458687" y="83030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359</xdr:row>
      <xdr:rowOff>68035</xdr:rowOff>
    </xdr:from>
    <xdr:to>
      <xdr:col>1</xdr:col>
      <xdr:colOff>925287</xdr:colOff>
      <xdr:row>359</xdr:row>
      <xdr:rowOff>476249</xdr:rowOff>
    </xdr:to>
    <xdr:sp macro="" textlink="">
      <xdr:nvSpPr>
        <xdr:cNvPr id="1317" name="Rectángulo redondeado 23"/>
        <xdr:cNvSpPr>
          <a:spLocks noChangeArrowheads="1"/>
        </xdr:cNvSpPr>
      </xdr:nvSpPr>
      <xdr:spPr bwMode="auto">
        <a:xfrm>
          <a:off x="1458687" y="88269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358</xdr:row>
      <xdr:rowOff>68035</xdr:rowOff>
    </xdr:from>
    <xdr:to>
      <xdr:col>1</xdr:col>
      <xdr:colOff>925287</xdr:colOff>
      <xdr:row>358</xdr:row>
      <xdr:rowOff>476249</xdr:rowOff>
    </xdr:to>
    <xdr:sp macro="" textlink="">
      <xdr:nvSpPr>
        <xdr:cNvPr id="1318" name="Rectángulo redondeado 23"/>
        <xdr:cNvSpPr>
          <a:spLocks noChangeArrowheads="1"/>
        </xdr:cNvSpPr>
      </xdr:nvSpPr>
      <xdr:spPr bwMode="auto">
        <a:xfrm>
          <a:off x="1458687" y="87717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389</xdr:row>
      <xdr:rowOff>68035</xdr:rowOff>
    </xdr:from>
    <xdr:to>
      <xdr:col>1</xdr:col>
      <xdr:colOff>925287</xdr:colOff>
      <xdr:row>389</xdr:row>
      <xdr:rowOff>476249</xdr:rowOff>
    </xdr:to>
    <xdr:sp macro="" textlink="">
      <xdr:nvSpPr>
        <xdr:cNvPr id="1319" name="Rectángulo redondeado 23"/>
        <xdr:cNvSpPr>
          <a:spLocks noChangeArrowheads="1"/>
        </xdr:cNvSpPr>
      </xdr:nvSpPr>
      <xdr:spPr bwMode="auto">
        <a:xfrm>
          <a:off x="1458687" y="963848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388</xdr:row>
      <xdr:rowOff>68035</xdr:rowOff>
    </xdr:from>
    <xdr:to>
      <xdr:col>1</xdr:col>
      <xdr:colOff>925287</xdr:colOff>
      <xdr:row>388</xdr:row>
      <xdr:rowOff>476249</xdr:rowOff>
    </xdr:to>
    <xdr:sp macro="" textlink="">
      <xdr:nvSpPr>
        <xdr:cNvPr id="1320" name="Rectángulo redondeado 23"/>
        <xdr:cNvSpPr>
          <a:spLocks noChangeArrowheads="1"/>
        </xdr:cNvSpPr>
      </xdr:nvSpPr>
      <xdr:spPr bwMode="auto">
        <a:xfrm>
          <a:off x="1458687" y="95794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441402</xdr:colOff>
      <xdr:row>531</xdr:row>
      <xdr:rowOff>81311</xdr:rowOff>
    </xdr:from>
    <xdr:to>
      <xdr:col>1</xdr:col>
      <xdr:colOff>1012902</xdr:colOff>
      <xdr:row>531</xdr:row>
      <xdr:rowOff>489525</xdr:rowOff>
    </xdr:to>
    <xdr:sp macro="" textlink="">
      <xdr:nvSpPr>
        <xdr:cNvPr id="1321" name="Rectángulo redondeado 23"/>
        <xdr:cNvSpPr>
          <a:spLocks noChangeArrowheads="1"/>
        </xdr:cNvSpPr>
      </xdr:nvSpPr>
      <xdr:spPr bwMode="auto">
        <a:xfrm>
          <a:off x="1544908" y="13948317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407949</xdr:colOff>
      <xdr:row>537</xdr:row>
      <xdr:rowOff>59474</xdr:rowOff>
    </xdr:from>
    <xdr:to>
      <xdr:col>1</xdr:col>
      <xdr:colOff>979449</xdr:colOff>
      <xdr:row>537</xdr:row>
      <xdr:rowOff>467688</xdr:rowOff>
    </xdr:to>
    <xdr:sp macro="" textlink="">
      <xdr:nvSpPr>
        <xdr:cNvPr id="1322" name="Rectángulo redondeado 23"/>
        <xdr:cNvSpPr>
          <a:spLocks noChangeArrowheads="1"/>
        </xdr:cNvSpPr>
      </xdr:nvSpPr>
      <xdr:spPr bwMode="auto">
        <a:xfrm>
          <a:off x="1511455" y="14123855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535723</xdr:colOff>
      <xdr:row>548</xdr:row>
      <xdr:rowOff>82705</xdr:rowOff>
    </xdr:from>
    <xdr:to>
      <xdr:col>1</xdr:col>
      <xdr:colOff>1107223</xdr:colOff>
      <xdr:row>548</xdr:row>
      <xdr:rowOff>490919</xdr:rowOff>
    </xdr:to>
    <xdr:sp macro="" textlink="">
      <xdr:nvSpPr>
        <xdr:cNvPr id="1324" name="Rectángulo redondeado 23"/>
        <xdr:cNvSpPr>
          <a:spLocks noChangeArrowheads="1"/>
        </xdr:cNvSpPr>
      </xdr:nvSpPr>
      <xdr:spPr bwMode="auto">
        <a:xfrm>
          <a:off x="1639229" y="1448394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554</xdr:row>
      <xdr:rowOff>81311</xdr:rowOff>
    </xdr:from>
    <xdr:to>
      <xdr:col>1</xdr:col>
      <xdr:colOff>1036134</xdr:colOff>
      <xdr:row>554</xdr:row>
      <xdr:rowOff>489525</xdr:rowOff>
    </xdr:to>
    <xdr:sp macro="" textlink="">
      <xdr:nvSpPr>
        <xdr:cNvPr id="1325" name="Rectángulo redondeado 23"/>
        <xdr:cNvSpPr>
          <a:spLocks noChangeArrowheads="1"/>
        </xdr:cNvSpPr>
      </xdr:nvSpPr>
      <xdr:spPr bwMode="auto">
        <a:xfrm>
          <a:off x="1568140" y="14663853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560</xdr:row>
      <xdr:rowOff>82705</xdr:rowOff>
    </xdr:from>
    <xdr:to>
      <xdr:col>1</xdr:col>
      <xdr:colOff>1060760</xdr:colOff>
      <xdr:row>560</xdr:row>
      <xdr:rowOff>490919</xdr:rowOff>
    </xdr:to>
    <xdr:sp macro="" textlink="">
      <xdr:nvSpPr>
        <xdr:cNvPr id="1326" name="Rectángulo redondeado 23"/>
        <xdr:cNvSpPr>
          <a:spLocks noChangeArrowheads="1"/>
        </xdr:cNvSpPr>
      </xdr:nvSpPr>
      <xdr:spPr bwMode="auto">
        <a:xfrm>
          <a:off x="1592766" y="14842877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572</xdr:row>
      <xdr:rowOff>118946</xdr:rowOff>
    </xdr:from>
    <xdr:to>
      <xdr:col>1</xdr:col>
      <xdr:colOff>1004074</xdr:colOff>
      <xdr:row>572</xdr:row>
      <xdr:rowOff>527160</xdr:rowOff>
    </xdr:to>
    <xdr:sp macro="" textlink="">
      <xdr:nvSpPr>
        <xdr:cNvPr id="1327" name="Rectángulo redondeado 23"/>
        <xdr:cNvSpPr>
          <a:spLocks noChangeArrowheads="1"/>
        </xdr:cNvSpPr>
      </xdr:nvSpPr>
      <xdr:spPr bwMode="auto">
        <a:xfrm>
          <a:off x="1536080" y="1502422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609</xdr:row>
      <xdr:rowOff>92927</xdr:rowOff>
    </xdr:from>
    <xdr:to>
      <xdr:col>1</xdr:col>
      <xdr:colOff>1036134</xdr:colOff>
      <xdr:row>609</xdr:row>
      <xdr:rowOff>501141</xdr:rowOff>
    </xdr:to>
    <xdr:sp macro="" textlink="">
      <xdr:nvSpPr>
        <xdr:cNvPr id="1328" name="Rectángulo redondeado 23"/>
        <xdr:cNvSpPr>
          <a:spLocks noChangeArrowheads="1"/>
        </xdr:cNvSpPr>
      </xdr:nvSpPr>
      <xdr:spPr bwMode="auto">
        <a:xfrm>
          <a:off x="1568140" y="15909073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686</xdr:row>
      <xdr:rowOff>69695</xdr:rowOff>
    </xdr:from>
    <xdr:to>
      <xdr:col>1</xdr:col>
      <xdr:colOff>1047750</xdr:colOff>
      <xdr:row>686</xdr:row>
      <xdr:rowOff>477909</xdr:rowOff>
    </xdr:to>
    <xdr:sp macro="" textlink="">
      <xdr:nvSpPr>
        <xdr:cNvPr id="1330" name="Rectángulo redondeado 23"/>
        <xdr:cNvSpPr>
          <a:spLocks noChangeArrowheads="1"/>
        </xdr:cNvSpPr>
      </xdr:nvSpPr>
      <xdr:spPr bwMode="auto">
        <a:xfrm>
          <a:off x="1579756" y="17678167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776</xdr:row>
      <xdr:rowOff>68035</xdr:rowOff>
    </xdr:from>
    <xdr:to>
      <xdr:col>1</xdr:col>
      <xdr:colOff>925287</xdr:colOff>
      <xdr:row>776</xdr:row>
      <xdr:rowOff>476249</xdr:rowOff>
    </xdr:to>
    <xdr:sp macro="" textlink="">
      <xdr:nvSpPr>
        <xdr:cNvPr id="1349" name="Rectángulo redondeado 23"/>
        <xdr:cNvSpPr>
          <a:spLocks noChangeArrowheads="1"/>
        </xdr:cNvSpPr>
      </xdr:nvSpPr>
      <xdr:spPr bwMode="auto">
        <a:xfrm>
          <a:off x="1458687" y="183900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566</xdr:row>
      <xdr:rowOff>82705</xdr:rowOff>
    </xdr:from>
    <xdr:to>
      <xdr:col>1</xdr:col>
      <xdr:colOff>1060760</xdr:colOff>
      <xdr:row>566</xdr:row>
      <xdr:rowOff>490919</xdr:rowOff>
    </xdr:to>
    <xdr:sp macro="" textlink="">
      <xdr:nvSpPr>
        <xdr:cNvPr id="1350" name="Rectángulo redondeado 23"/>
        <xdr:cNvSpPr>
          <a:spLocks noChangeArrowheads="1"/>
        </xdr:cNvSpPr>
      </xdr:nvSpPr>
      <xdr:spPr bwMode="auto">
        <a:xfrm>
          <a:off x="1592766" y="1478595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197470</xdr:colOff>
      <xdr:row>565</xdr:row>
      <xdr:rowOff>92927</xdr:rowOff>
    </xdr:from>
    <xdr:to>
      <xdr:col>1</xdr:col>
      <xdr:colOff>1283320</xdr:colOff>
      <xdr:row>565</xdr:row>
      <xdr:rowOff>92927</xdr:rowOff>
    </xdr:to>
    <xdr:cxnSp macro="">
      <xdr:nvCxnSpPr>
        <xdr:cNvPr id="1351" name="Conector recto 39"/>
        <xdr:cNvCxnSpPr>
          <a:cxnSpLocks noChangeShapeType="1"/>
        </xdr:cNvCxnSpPr>
      </xdr:nvCxnSpPr>
      <xdr:spPr bwMode="auto">
        <a:xfrm>
          <a:off x="1300976" y="14940311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432574</xdr:colOff>
      <xdr:row>602</xdr:row>
      <xdr:rowOff>118946</xdr:rowOff>
    </xdr:from>
    <xdr:to>
      <xdr:col>1</xdr:col>
      <xdr:colOff>1004074</xdr:colOff>
      <xdr:row>602</xdr:row>
      <xdr:rowOff>527160</xdr:rowOff>
    </xdr:to>
    <xdr:sp macro="" textlink="">
      <xdr:nvSpPr>
        <xdr:cNvPr id="1353" name="Rectángulo redondeado 23"/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603</xdr:row>
      <xdr:rowOff>118946</xdr:rowOff>
    </xdr:from>
    <xdr:to>
      <xdr:col>1</xdr:col>
      <xdr:colOff>1004074</xdr:colOff>
      <xdr:row>603</xdr:row>
      <xdr:rowOff>527160</xdr:rowOff>
    </xdr:to>
    <xdr:sp macro="" textlink="">
      <xdr:nvSpPr>
        <xdr:cNvPr id="1354" name="Rectángulo redondeado 23"/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635</xdr:row>
      <xdr:rowOff>68035</xdr:rowOff>
    </xdr:from>
    <xdr:to>
      <xdr:col>1</xdr:col>
      <xdr:colOff>925287</xdr:colOff>
      <xdr:row>635</xdr:row>
      <xdr:rowOff>476249</xdr:rowOff>
    </xdr:to>
    <xdr:sp macro="" textlink="">
      <xdr:nvSpPr>
        <xdr:cNvPr id="1355" name="Rectángulo redondeado 23"/>
        <xdr:cNvSpPr>
          <a:spLocks noChangeArrowheads="1"/>
        </xdr:cNvSpPr>
      </xdr:nvSpPr>
      <xdr:spPr bwMode="auto">
        <a:xfrm>
          <a:off x="1458687" y="149000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634</xdr:row>
      <xdr:rowOff>68035</xdr:rowOff>
    </xdr:from>
    <xdr:to>
      <xdr:col>1</xdr:col>
      <xdr:colOff>925287</xdr:colOff>
      <xdr:row>634</xdr:row>
      <xdr:rowOff>476249</xdr:rowOff>
    </xdr:to>
    <xdr:sp macro="" textlink="">
      <xdr:nvSpPr>
        <xdr:cNvPr id="1356" name="Rectángulo redondeado 23"/>
        <xdr:cNvSpPr>
          <a:spLocks noChangeArrowheads="1"/>
        </xdr:cNvSpPr>
      </xdr:nvSpPr>
      <xdr:spPr bwMode="auto">
        <a:xfrm>
          <a:off x="1458687" y="1484294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636</xdr:row>
      <xdr:rowOff>68035</xdr:rowOff>
    </xdr:from>
    <xdr:to>
      <xdr:col>1</xdr:col>
      <xdr:colOff>925287</xdr:colOff>
      <xdr:row>636</xdr:row>
      <xdr:rowOff>476249</xdr:rowOff>
    </xdr:to>
    <xdr:sp macro="" textlink="">
      <xdr:nvSpPr>
        <xdr:cNvPr id="1357" name="Rectángulo redondeado 23"/>
        <xdr:cNvSpPr>
          <a:spLocks noChangeArrowheads="1"/>
        </xdr:cNvSpPr>
      </xdr:nvSpPr>
      <xdr:spPr bwMode="auto">
        <a:xfrm>
          <a:off x="1458687" y="149591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647</xdr:row>
      <xdr:rowOff>68035</xdr:rowOff>
    </xdr:from>
    <xdr:to>
      <xdr:col>1</xdr:col>
      <xdr:colOff>925287</xdr:colOff>
      <xdr:row>647</xdr:row>
      <xdr:rowOff>476249</xdr:rowOff>
    </xdr:to>
    <xdr:sp macro="" textlink="">
      <xdr:nvSpPr>
        <xdr:cNvPr id="1358" name="Rectángulo redondeado 23"/>
        <xdr:cNvSpPr>
          <a:spLocks noChangeArrowheads="1"/>
        </xdr:cNvSpPr>
      </xdr:nvSpPr>
      <xdr:spPr bwMode="auto">
        <a:xfrm>
          <a:off x="1458687" y="152639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1359" name="Conector recto 39"/>
        <xdr:cNvCxnSpPr>
          <a:cxnSpLocks noChangeShapeType="1"/>
        </xdr:cNvCxnSpPr>
      </xdr:nvCxnSpPr>
      <xdr:spPr bwMode="auto">
        <a:xfrm>
          <a:off x="1235868" y="15394543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1360" name="Conector recto 39"/>
        <xdr:cNvCxnSpPr>
          <a:cxnSpLocks noChangeShapeType="1"/>
        </xdr:cNvCxnSpPr>
      </xdr:nvCxnSpPr>
      <xdr:spPr bwMode="auto">
        <a:xfrm>
          <a:off x="1235869" y="1542168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353787</xdr:colOff>
      <xdr:row>653</xdr:row>
      <xdr:rowOff>68035</xdr:rowOff>
    </xdr:from>
    <xdr:to>
      <xdr:col>1</xdr:col>
      <xdr:colOff>925287</xdr:colOff>
      <xdr:row>653</xdr:row>
      <xdr:rowOff>476249</xdr:rowOff>
    </xdr:to>
    <xdr:sp macro="" textlink="">
      <xdr:nvSpPr>
        <xdr:cNvPr id="1361" name="Rectángulo redondeado 23"/>
        <xdr:cNvSpPr>
          <a:spLocks noChangeArrowheads="1"/>
        </xdr:cNvSpPr>
      </xdr:nvSpPr>
      <xdr:spPr bwMode="auto">
        <a:xfrm>
          <a:off x="1458687" y="154449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678</xdr:row>
      <xdr:rowOff>68035</xdr:rowOff>
    </xdr:from>
    <xdr:to>
      <xdr:col>1</xdr:col>
      <xdr:colOff>925287</xdr:colOff>
      <xdr:row>678</xdr:row>
      <xdr:rowOff>476249</xdr:rowOff>
    </xdr:to>
    <xdr:sp macro="" textlink="">
      <xdr:nvSpPr>
        <xdr:cNvPr id="1362" name="Rectángulo redondeado 23"/>
        <xdr:cNvSpPr>
          <a:spLocks noChangeArrowheads="1"/>
        </xdr:cNvSpPr>
      </xdr:nvSpPr>
      <xdr:spPr bwMode="auto">
        <a:xfrm>
          <a:off x="1458687" y="161707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677</xdr:row>
      <xdr:rowOff>68035</xdr:rowOff>
    </xdr:from>
    <xdr:to>
      <xdr:col>1</xdr:col>
      <xdr:colOff>925287</xdr:colOff>
      <xdr:row>677</xdr:row>
      <xdr:rowOff>476249</xdr:rowOff>
    </xdr:to>
    <xdr:sp macro="" textlink="">
      <xdr:nvSpPr>
        <xdr:cNvPr id="1363" name="Rectángulo redondeado 23"/>
        <xdr:cNvSpPr>
          <a:spLocks noChangeArrowheads="1"/>
        </xdr:cNvSpPr>
      </xdr:nvSpPr>
      <xdr:spPr bwMode="auto">
        <a:xfrm>
          <a:off x="1458687" y="161097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676</xdr:row>
      <xdr:rowOff>68035</xdr:rowOff>
    </xdr:from>
    <xdr:to>
      <xdr:col>1</xdr:col>
      <xdr:colOff>925287</xdr:colOff>
      <xdr:row>676</xdr:row>
      <xdr:rowOff>476249</xdr:rowOff>
    </xdr:to>
    <xdr:sp macro="" textlink="">
      <xdr:nvSpPr>
        <xdr:cNvPr id="1364" name="Rectángulo redondeado 23"/>
        <xdr:cNvSpPr>
          <a:spLocks noChangeArrowheads="1"/>
        </xdr:cNvSpPr>
      </xdr:nvSpPr>
      <xdr:spPr bwMode="auto">
        <a:xfrm>
          <a:off x="1458687" y="160507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421</xdr:row>
      <xdr:rowOff>68035</xdr:rowOff>
    </xdr:from>
    <xdr:to>
      <xdr:col>1</xdr:col>
      <xdr:colOff>925287</xdr:colOff>
      <xdr:row>421</xdr:row>
      <xdr:rowOff>476249</xdr:rowOff>
    </xdr:to>
    <xdr:sp macro="" textlink="">
      <xdr:nvSpPr>
        <xdr:cNvPr id="1323" name="Rectángulo redondeado 23"/>
        <xdr:cNvSpPr>
          <a:spLocks noChangeArrowheads="1"/>
        </xdr:cNvSpPr>
      </xdr:nvSpPr>
      <xdr:spPr bwMode="auto">
        <a:xfrm>
          <a:off x="1458687" y="106471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422</xdr:row>
      <xdr:rowOff>68035</xdr:rowOff>
    </xdr:from>
    <xdr:to>
      <xdr:col>1</xdr:col>
      <xdr:colOff>925287</xdr:colOff>
      <xdr:row>422</xdr:row>
      <xdr:rowOff>476249</xdr:rowOff>
    </xdr:to>
    <xdr:sp macro="" textlink="">
      <xdr:nvSpPr>
        <xdr:cNvPr id="1329" name="Rectángulo redondeado 23"/>
        <xdr:cNvSpPr>
          <a:spLocks noChangeArrowheads="1"/>
        </xdr:cNvSpPr>
      </xdr:nvSpPr>
      <xdr:spPr bwMode="auto">
        <a:xfrm>
          <a:off x="1458687" y="107033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461</xdr:row>
      <xdr:rowOff>68035</xdr:rowOff>
    </xdr:from>
    <xdr:to>
      <xdr:col>1</xdr:col>
      <xdr:colOff>925287</xdr:colOff>
      <xdr:row>461</xdr:row>
      <xdr:rowOff>476249</xdr:rowOff>
    </xdr:to>
    <xdr:sp macro="" textlink="">
      <xdr:nvSpPr>
        <xdr:cNvPr id="1331" name="Rectángulo redondeado 23"/>
        <xdr:cNvSpPr>
          <a:spLocks noChangeArrowheads="1"/>
        </xdr:cNvSpPr>
      </xdr:nvSpPr>
      <xdr:spPr bwMode="auto">
        <a:xfrm>
          <a:off x="1458687" y="1169874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462</xdr:row>
      <xdr:rowOff>68035</xdr:rowOff>
    </xdr:from>
    <xdr:to>
      <xdr:col>1</xdr:col>
      <xdr:colOff>925287</xdr:colOff>
      <xdr:row>462</xdr:row>
      <xdr:rowOff>476249</xdr:rowOff>
    </xdr:to>
    <xdr:sp macro="" textlink="">
      <xdr:nvSpPr>
        <xdr:cNvPr id="1332" name="Rectángulo redondeado 23"/>
        <xdr:cNvSpPr>
          <a:spLocks noChangeArrowheads="1"/>
        </xdr:cNvSpPr>
      </xdr:nvSpPr>
      <xdr:spPr bwMode="auto">
        <a:xfrm>
          <a:off x="1458687" y="11752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466</xdr:row>
      <xdr:rowOff>68035</xdr:rowOff>
    </xdr:from>
    <xdr:to>
      <xdr:col>1</xdr:col>
      <xdr:colOff>925287</xdr:colOff>
      <xdr:row>466</xdr:row>
      <xdr:rowOff>476249</xdr:rowOff>
    </xdr:to>
    <xdr:sp macro="" textlink="">
      <xdr:nvSpPr>
        <xdr:cNvPr id="1333" name="Rectángulo redondeado 23"/>
        <xdr:cNvSpPr>
          <a:spLocks noChangeArrowheads="1"/>
        </xdr:cNvSpPr>
      </xdr:nvSpPr>
      <xdr:spPr bwMode="auto">
        <a:xfrm>
          <a:off x="1458687" y="119844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463</xdr:row>
      <xdr:rowOff>171450</xdr:rowOff>
    </xdr:from>
    <xdr:to>
      <xdr:col>1</xdr:col>
      <xdr:colOff>704850</xdr:colOff>
      <xdr:row>463</xdr:row>
      <xdr:rowOff>438150</xdr:rowOff>
    </xdr:to>
    <xdr:sp macro="" textlink="">
      <xdr:nvSpPr>
        <xdr:cNvPr id="1334" name="Forma libre 6"/>
        <xdr:cNvSpPr>
          <a:spLocks/>
        </xdr:cNvSpPr>
      </xdr:nvSpPr>
      <xdr:spPr bwMode="auto">
        <a:xfrm>
          <a:off x="1752600" y="118195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464</xdr:row>
      <xdr:rowOff>68035</xdr:rowOff>
    </xdr:from>
    <xdr:to>
      <xdr:col>1</xdr:col>
      <xdr:colOff>925287</xdr:colOff>
      <xdr:row>464</xdr:row>
      <xdr:rowOff>476249</xdr:rowOff>
    </xdr:to>
    <xdr:sp macro="" textlink="">
      <xdr:nvSpPr>
        <xdr:cNvPr id="1335" name="Rectángulo redondeado 23"/>
        <xdr:cNvSpPr>
          <a:spLocks noChangeArrowheads="1"/>
        </xdr:cNvSpPr>
      </xdr:nvSpPr>
      <xdr:spPr bwMode="auto">
        <a:xfrm>
          <a:off x="1458687" y="118682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465</xdr:row>
      <xdr:rowOff>171450</xdr:rowOff>
    </xdr:from>
    <xdr:to>
      <xdr:col>1</xdr:col>
      <xdr:colOff>704850</xdr:colOff>
      <xdr:row>465</xdr:row>
      <xdr:rowOff>438150</xdr:rowOff>
    </xdr:to>
    <xdr:sp macro="" textlink="">
      <xdr:nvSpPr>
        <xdr:cNvPr id="1336" name="Forma libre 6"/>
        <xdr:cNvSpPr>
          <a:spLocks/>
        </xdr:cNvSpPr>
      </xdr:nvSpPr>
      <xdr:spPr bwMode="auto">
        <a:xfrm>
          <a:off x="1752600" y="1193577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504</xdr:row>
      <xdr:rowOff>68035</xdr:rowOff>
    </xdr:from>
    <xdr:to>
      <xdr:col>1</xdr:col>
      <xdr:colOff>925287</xdr:colOff>
      <xdr:row>504</xdr:row>
      <xdr:rowOff>476249</xdr:rowOff>
    </xdr:to>
    <xdr:sp macro="" textlink="">
      <xdr:nvSpPr>
        <xdr:cNvPr id="1337" name="Rectángulo redondeado 23"/>
        <xdr:cNvSpPr>
          <a:spLocks noChangeArrowheads="1"/>
        </xdr:cNvSpPr>
      </xdr:nvSpPr>
      <xdr:spPr bwMode="auto">
        <a:xfrm>
          <a:off x="1458687" y="129579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505</xdr:row>
      <xdr:rowOff>68035</xdr:rowOff>
    </xdr:from>
    <xdr:to>
      <xdr:col>1</xdr:col>
      <xdr:colOff>925287</xdr:colOff>
      <xdr:row>505</xdr:row>
      <xdr:rowOff>476249</xdr:rowOff>
    </xdr:to>
    <xdr:sp macro="" textlink="">
      <xdr:nvSpPr>
        <xdr:cNvPr id="1338" name="Rectángulo redondeado 23"/>
        <xdr:cNvSpPr>
          <a:spLocks noChangeArrowheads="1"/>
        </xdr:cNvSpPr>
      </xdr:nvSpPr>
      <xdr:spPr bwMode="auto">
        <a:xfrm>
          <a:off x="1458687" y="1301223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506</xdr:row>
      <xdr:rowOff>171450</xdr:rowOff>
    </xdr:from>
    <xdr:to>
      <xdr:col>1</xdr:col>
      <xdr:colOff>704850</xdr:colOff>
      <xdr:row>506</xdr:row>
      <xdr:rowOff>438150</xdr:rowOff>
    </xdr:to>
    <xdr:sp macro="" textlink="">
      <xdr:nvSpPr>
        <xdr:cNvPr id="1339" name="Forma libre 6"/>
        <xdr:cNvSpPr>
          <a:spLocks/>
        </xdr:cNvSpPr>
      </xdr:nvSpPr>
      <xdr:spPr bwMode="auto">
        <a:xfrm>
          <a:off x="1752600" y="130768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507</xdr:row>
      <xdr:rowOff>68035</xdr:rowOff>
    </xdr:from>
    <xdr:to>
      <xdr:col>1</xdr:col>
      <xdr:colOff>925287</xdr:colOff>
      <xdr:row>507</xdr:row>
      <xdr:rowOff>476249</xdr:rowOff>
    </xdr:to>
    <xdr:sp macro="" textlink="">
      <xdr:nvSpPr>
        <xdr:cNvPr id="1340" name="Rectángulo redondeado 23"/>
        <xdr:cNvSpPr>
          <a:spLocks noChangeArrowheads="1"/>
        </xdr:cNvSpPr>
      </xdr:nvSpPr>
      <xdr:spPr bwMode="auto">
        <a:xfrm>
          <a:off x="1458687" y="131208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508</xdr:row>
      <xdr:rowOff>171450</xdr:rowOff>
    </xdr:from>
    <xdr:to>
      <xdr:col>1</xdr:col>
      <xdr:colOff>704850</xdr:colOff>
      <xdr:row>508</xdr:row>
      <xdr:rowOff>438150</xdr:rowOff>
    </xdr:to>
    <xdr:sp macro="" textlink="">
      <xdr:nvSpPr>
        <xdr:cNvPr id="1341" name="Forma libre 6"/>
        <xdr:cNvSpPr>
          <a:spLocks/>
        </xdr:cNvSpPr>
      </xdr:nvSpPr>
      <xdr:spPr bwMode="auto">
        <a:xfrm>
          <a:off x="1752600" y="1318545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707</xdr:row>
      <xdr:rowOff>68035</xdr:rowOff>
    </xdr:from>
    <xdr:to>
      <xdr:col>1</xdr:col>
      <xdr:colOff>925287</xdr:colOff>
      <xdr:row>707</xdr:row>
      <xdr:rowOff>476249</xdr:rowOff>
    </xdr:to>
    <xdr:sp macro="" textlink="">
      <xdr:nvSpPr>
        <xdr:cNvPr id="1342" name="Rectángulo redondeado 23"/>
        <xdr:cNvSpPr>
          <a:spLocks noChangeArrowheads="1"/>
        </xdr:cNvSpPr>
      </xdr:nvSpPr>
      <xdr:spPr bwMode="auto">
        <a:xfrm>
          <a:off x="1458687" y="17519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715</xdr:row>
      <xdr:rowOff>68035</xdr:rowOff>
    </xdr:from>
    <xdr:to>
      <xdr:col>1</xdr:col>
      <xdr:colOff>925287</xdr:colOff>
      <xdr:row>715</xdr:row>
      <xdr:rowOff>476249</xdr:rowOff>
    </xdr:to>
    <xdr:sp macro="" textlink="">
      <xdr:nvSpPr>
        <xdr:cNvPr id="1344" name="Rectángulo redondeado 23"/>
        <xdr:cNvSpPr>
          <a:spLocks noChangeArrowheads="1"/>
        </xdr:cNvSpPr>
      </xdr:nvSpPr>
      <xdr:spPr bwMode="auto">
        <a:xfrm>
          <a:off x="1458687" y="1774902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721</xdr:row>
      <xdr:rowOff>68035</xdr:rowOff>
    </xdr:from>
    <xdr:to>
      <xdr:col>1</xdr:col>
      <xdr:colOff>925287</xdr:colOff>
      <xdr:row>721</xdr:row>
      <xdr:rowOff>476249</xdr:rowOff>
    </xdr:to>
    <xdr:sp macro="" textlink="">
      <xdr:nvSpPr>
        <xdr:cNvPr id="1345" name="Rectángulo redondeado 23"/>
        <xdr:cNvSpPr>
          <a:spLocks noChangeArrowheads="1"/>
        </xdr:cNvSpPr>
      </xdr:nvSpPr>
      <xdr:spPr bwMode="auto">
        <a:xfrm>
          <a:off x="1458687" y="1790237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727</xdr:row>
      <xdr:rowOff>68035</xdr:rowOff>
    </xdr:from>
    <xdr:to>
      <xdr:col>1</xdr:col>
      <xdr:colOff>925287</xdr:colOff>
      <xdr:row>727</xdr:row>
      <xdr:rowOff>476249</xdr:rowOff>
    </xdr:to>
    <xdr:sp macro="" textlink="">
      <xdr:nvSpPr>
        <xdr:cNvPr id="1346" name="Rectángulo redondeado 23"/>
        <xdr:cNvSpPr>
          <a:spLocks noChangeArrowheads="1"/>
        </xdr:cNvSpPr>
      </xdr:nvSpPr>
      <xdr:spPr bwMode="auto">
        <a:xfrm>
          <a:off x="1458687" y="180785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790</xdr:row>
      <xdr:rowOff>68035</xdr:rowOff>
    </xdr:from>
    <xdr:to>
      <xdr:col>1</xdr:col>
      <xdr:colOff>925287</xdr:colOff>
      <xdr:row>790</xdr:row>
      <xdr:rowOff>476249</xdr:rowOff>
    </xdr:to>
    <xdr:sp macro="" textlink="">
      <xdr:nvSpPr>
        <xdr:cNvPr id="1347" name="Rectángulo redondeado 23"/>
        <xdr:cNvSpPr>
          <a:spLocks noChangeArrowheads="1"/>
        </xdr:cNvSpPr>
      </xdr:nvSpPr>
      <xdr:spPr bwMode="auto">
        <a:xfrm>
          <a:off x="1458687" y="1955115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799</xdr:row>
      <xdr:rowOff>68035</xdr:rowOff>
    </xdr:from>
    <xdr:to>
      <xdr:col>1</xdr:col>
      <xdr:colOff>925287</xdr:colOff>
      <xdr:row>799</xdr:row>
      <xdr:rowOff>476249</xdr:rowOff>
    </xdr:to>
    <xdr:sp macro="" textlink="">
      <xdr:nvSpPr>
        <xdr:cNvPr id="1348" name="Rectángulo redondeado 23"/>
        <xdr:cNvSpPr>
          <a:spLocks noChangeArrowheads="1"/>
        </xdr:cNvSpPr>
      </xdr:nvSpPr>
      <xdr:spPr bwMode="auto">
        <a:xfrm>
          <a:off x="1458687" y="19805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811</xdr:row>
      <xdr:rowOff>68035</xdr:rowOff>
    </xdr:from>
    <xdr:to>
      <xdr:col>1</xdr:col>
      <xdr:colOff>925287</xdr:colOff>
      <xdr:row>811</xdr:row>
      <xdr:rowOff>476249</xdr:rowOff>
    </xdr:to>
    <xdr:sp macro="" textlink="">
      <xdr:nvSpPr>
        <xdr:cNvPr id="1371" name="Rectángulo redondeado 23"/>
        <xdr:cNvSpPr>
          <a:spLocks noChangeArrowheads="1"/>
        </xdr:cNvSpPr>
      </xdr:nvSpPr>
      <xdr:spPr bwMode="auto">
        <a:xfrm>
          <a:off x="1458687" y="20134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817</xdr:row>
      <xdr:rowOff>68035</xdr:rowOff>
    </xdr:from>
    <xdr:to>
      <xdr:col>1</xdr:col>
      <xdr:colOff>925287</xdr:colOff>
      <xdr:row>817</xdr:row>
      <xdr:rowOff>476249</xdr:rowOff>
    </xdr:to>
    <xdr:sp macro="" textlink="">
      <xdr:nvSpPr>
        <xdr:cNvPr id="1372" name="Rectángulo redondeado 23"/>
        <xdr:cNvSpPr>
          <a:spLocks noChangeArrowheads="1"/>
        </xdr:cNvSpPr>
      </xdr:nvSpPr>
      <xdr:spPr bwMode="auto">
        <a:xfrm>
          <a:off x="1458687" y="203141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823</xdr:row>
      <xdr:rowOff>68035</xdr:rowOff>
    </xdr:from>
    <xdr:to>
      <xdr:col>1</xdr:col>
      <xdr:colOff>925287</xdr:colOff>
      <xdr:row>823</xdr:row>
      <xdr:rowOff>476249</xdr:rowOff>
    </xdr:to>
    <xdr:sp macro="" textlink="">
      <xdr:nvSpPr>
        <xdr:cNvPr id="1373" name="Rectángulo redondeado 23"/>
        <xdr:cNvSpPr>
          <a:spLocks noChangeArrowheads="1"/>
        </xdr:cNvSpPr>
      </xdr:nvSpPr>
      <xdr:spPr bwMode="auto">
        <a:xfrm>
          <a:off x="1458687" y="2049412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830</xdr:row>
      <xdr:rowOff>68035</xdr:rowOff>
    </xdr:from>
    <xdr:to>
      <xdr:col>1</xdr:col>
      <xdr:colOff>925287</xdr:colOff>
      <xdr:row>830</xdr:row>
      <xdr:rowOff>476249</xdr:rowOff>
    </xdr:to>
    <xdr:sp macro="" textlink="">
      <xdr:nvSpPr>
        <xdr:cNvPr id="1374" name="Rectángulo redondeado 23"/>
        <xdr:cNvSpPr>
          <a:spLocks noChangeArrowheads="1"/>
        </xdr:cNvSpPr>
      </xdr:nvSpPr>
      <xdr:spPr bwMode="auto">
        <a:xfrm>
          <a:off x="1458687" y="206989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840</xdr:row>
      <xdr:rowOff>68035</xdr:rowOff>
    </xdr:from>
    <xdr:to>
      <xdr:col>1</xdr:col>
      <xdr:colOff>925287</xdr:colOff>
      <xdr:row>840</xdr:row>
      <xdr:rowOff>476249</xdr:rowOff>
    </xdr:to>
    <xdr:sp macro="" textlink="">
      <xdr:nvSpPr>
        <xdr:cNvPr id="1375" name="Rectángulo redondeado 23"/>
        <xdr:cNvSpPr>
          <a:spLocks noChangeArrowheads="1"/>
        </xdr:cNvSpPr>
      </xdr:nvSpPr>
      <xdr:spPr bwMode="auto">
        <a:xfrm>
          <a:off x="1458687" y="2097799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861</xdr:row>
      <xdr:rowOff>68035</xdr:rowOff>
    </xdr:from>
    <xdr:to>
      <xdr:col>1</xdr:col>
      <xdr:colOff>925287</xdr:colOff>
      <xdr:row>861</xdr:row>
      <xdr:rowOff>476249</xdr:rowOff>
    </xdr:to>
    <xdr:sp macro="" textlink="">
      <xdr:nvSpPr>
        <xdr:cNvPr id="1376" name="Rectángulo redondeado 23"/>
        <xdr:cNvSpPr>
          <a:spLocks noChangeArrowheads="1"/>
        </xdr:cNvSpPr>
      </xdr:nvSpPr>
      <xdr:spPr bwMode="auto">
        <a:xfrm>
          <a:off x="1458687" y="215294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163286</xdr:colOff>
      <xdr:row>875</xdr:row>
      <xdr:rowOff>122464</xdr:rowOff>
    </xdr:from>
    <xdr:to>
      <xdr:col>1</xdr:col>
      <xdr:colOff>1249136</xdr:colOff>
      <xdr:row>875</xdr:row>
      <xdr:rowOff>122464</xdr:rowOff>
    </xdr:to>
    <xdr:cxnSp macro="">
      <xdr:nvCxnSpPr>
        <xdr:cNvPr id="1377" name="Conector recto 39"/>
        <xdr:cNvCxnSpPr>
          <a:cxnSpLocks noChangeShapeType="1"/>
        </xdr:cNvCxnSpPr>
      </xdr:nvCxnSpPr>
      <xdr:spPr bwMode="auto">
        <a:xfrm>
          <a:off x="1268186" y="21789253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876</xdr:row>
      <xdr:rowOff>136071</xdr:rowOff>
    </xdr:from>
    <xdr:to>
      <xdr:col>1</xdr:col>
      <xdr:colOff>1208314</xdr:colOff>
      <xdr:row>876</xdr:row>
      <xdr:rowOff>136071</xdr:rowOff>
    </xdr:to>
    <xdr:cxnSp macro="">
      <xdr:nvCxnSpPr>
        <xdr:cNvPr id="1378" name="Conector recto 39"/>
        <xdr:cNvCxnSpPr>
          <a:cxnSpLocks noChangeShapeType="1"/>
        </xdr:cNvCxnSpPr>
      </xdr:nvCxnSpPr>
      <xdr:spPr bwMode="auto">
        <a:xfrm>
          <a:off x="1227364" y="21815379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885</xdr:row>
      <xdr:rowOff>122464</xdr:rowOff>
    </xdr:from>
    <xdr:to>
      <xdr:col>1</xdr:col>
      <xdr:colOff>1249136</xdr:colOff>
      <xdr:row>885</xdr:row>
      <xdr:rowOff>122464</xdr:rowOff>
    </xdr:to>
    <xdr:cxnSp macro="">
      <xdr:nvCxnSpPr>
        <xdr:cNvPr id="1379" name="Conector recto 39"/>
        <xdr:cNvCxnSpPr>
          <a:cxnSpLocks noChangeShapeType="1"/>
        </xdr:cNvCxnSpPr>
      </xdr:nvCxnSpPr>
      <xdr:spPr bwMode="auto">
        <a:xfrm>
          <a:off x="1268186" y="2191307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886</xdr:row>
      <xdr:rowOff>136071</xdr:rowOff>
    </xdr:from>
    <xdr:to>
      <xdr:col>1</xdr:col>
      <xdr:colOff>1208314</xdr:colOff>
      <xdr:row>886</xdr:row>
      <xdr:rowOff>136071</xdr:rowOff>
    </xdr:to>
    <xdr:cxnSp macro="">
      <xdr:nvCxnSpPr>
        <xdr:cNvPr id="1380" name="Conector recto 39"/>
        <xdr:cNvCxnSpPr>
          <a:cxnSpLocks noChangeShapeType="1"/>
        </xdr:cNvCxnSpPr>
      </xdr:nvCxnSpPr>
      <xdr:spPr bwMode="auto">
        <a:xfrm>
          <a:off x="1227364" y="2193920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887</xdr:row>
      <xdr:rowOff>136072</xdr:rowOff>
    </xdr:from>
    <xdr:to>
      <xdr:col>1</xdr:col>
      <xdr:colOff>1235528</xdr:colOff>
      <xdr:row>887</xdr:row>
      <xdr:rowOff>136072</xdr:rowOff>
    </xdr:to>
    <xdr:cxnSp macro="">
      <xdr:nvCxnSpPr>
        <xdr:cNvPr id="1381" name="Conector recto 39"/>
        <xdr:cNvCxnSpPr>
          <a:cxnSpLocks noChangeShapeType="1"/>
        </xdr:cNvCxnSpPr>
      </xdr:nvCxnSpPr>
      <xdr:spPr bwMode="auto">
        <a:xfrm>
          <a:off x="1254578" y="2196396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888</xdr:row>
      <xdr:rowOff>108857</xdr:rowOff>
    </xdr:from>
    <xdr:to>
      <xdr:col>1</xdr:col>
      <xdr:colOff>1235529</xdr:colOff>
      <xdr:row>888</xdr:row>
      <xdr:rowOff>108857</xdr:rowOff>
    </xdr:to>
    <xdr:cxnSp macro="">
      <xdr:nvCxnSpPr>
        <xdr:cNvPr id="1382" name="Conector recto 39"/>
        <xdr:cNvCxnSpPr>
          <a:cxnSpLocks noChangeShapeType="1"/>
        </xdr:cNvCxnSpPr>
      </xdr:nvCxnSpPr>
      <xdr:spPr bwMode="auto">
        <a:xfrm>
          <a:off x="1254579" y="2198601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889</xdr:row>
      <xdr:rowOff>122464</xdr:rowOff>
    </xdr:from>
    <xdr:to>
      <xdr:col>1</xdr:col>
      <xdr:colOff>1194707</xdr:colOff>
      <xdr:row>889</xdr:row>
      <xdr:rowOff>122464</xdr:rowOff>
    </xdr:to>
    <xdr:cxnSp macro="">
      <xdr:nvCxnSpPr>
        <xdr:cNvPr id="1383" name="Conector recto 39"/>
        <xdr:cNvCxnSpPr>
          <a:cxnSpLocks noChangeShapeType="1"/>
        </xdr:cNvCxnSpPr>
      </xdr:nvCxnSpPr>
      <xdr:spPr bwMode="auto">
        <a:xfrm>
          <a:off x="1213757" y="2201213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890</xdr:row>
      <xdr:rowOff>122465</xdr:rowOff>
    </xdr:from>
    <xdr:to>
      <xdr:col>1</xdr:col>
      <xdr:colOff>1221921</xdr:colOff>
      <xdr:row>890</xdr:row>
      <xdr:rowOff>122465</xdr:rowOff>
    </xdr:to>
    <xdr:cxnSp macro="">
      <xdr:nvCxnSpPr>
        <xdr:cNvPr id="1384" name="Conector recto 39"/>
        <xdr:cNvCxnSpPr>
          <a:cxnSpLocks noChangeShapeType="1"/>
        </xdr:cNvCxnSpPr>
      </xdr:nvCxnSpPr>
      <xdr:spPr bwMode="auto">
        <a:xfrm>
          <a:off x="1240971" y="22036904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166007</xdr:colOff>
      <xdr:row>891</xdr:row>
      <xdr:rowOff>152401</xdr:rowOff>
    </xdr:from>
    <xdr:to>
      <xdr:col>1</xdr:col>
      <xdr:colOff>1251857</xdr:colOff>
      <xdr:row>891</xdr:row>
      <xdr:rowOff>152401</xdr:rowOff>
    </xdr:to>
    <xdr:cxnSp macro="">
      <xdr:nvCxnSpPr>
        <xdr:cNvPr id="1385" name="Conector recto 39"/>
        <xdr:cNvCxnSpPr>
          <a:cxnSpLocks noChangeShapeType="1"/>
        </xdr:cNvCxnSpPr>
      </xdr:nvCxnSpPr>
      <xdr:spPr bwMode="auto">
        <a:xfrm>
          <a:off x="1270907" y="2206466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84363</xdr:colOff>
      <xdr:row>892</xdr:row>
      <xdr:rowOff>125185</xdr:rowOff>
    </xdr:from>
    <xdr:to>
      <xdr:col>1</xdr:col>
      <xdr:colOff>1170213</xdr:colOff>
      <xdr:row>892</xdr:row>
      <xdr:rowOff>125185</xdr:rowOff>
    </xdr:to>
    <xdr:cxnSp macro="">
      <xdr:nvCxnSpPr>
        <xdr:cNvPr id="1386" name="Conector recto 39"/>
        <xdr:cNvCxnSpPr>
          <a:cxnSpLocks noChangeShapeType="1"/>
        </xdr:cNvCxnSpPr>
      </xdr:nvCxnSpPr>
      <xdr:spPr bwMode="auto">
        <a:xfrm>
          <a:off x="1189263" y="22086706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152399</xdr:colOff>
      <xdr:row>893</xdr:row>
      <xdr:rowOff>166009</xdr:rowOff>
    </xdr:from>
    <xdr:to>
      <xdr:col>1</xdr:col>
      <xdr:colOff>1238249</xdr:colOff>
      <xdr:row>893</xdr:row>
      <xdr:rowOff>166009</xdr:rowOff>
    </xdr:to>
    <xdr:cxnSp macro="">
      <xdr:nvCxnSpPr>
        <xdr:cNvPr id="1387" name="Conector recto 39"/>
        <xdr:cNvCxnSpPr>
          <a:cxnSpLocks noChangeShapeType="1"/>
        </xdr:cNvCxnSpPr>
      </xdr:nvCxnSpPr>
      <xdr:spPr bwMode="auto">
        <a:xfrm>
          <a:off x="1257299" y="22115553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182336</xdr:colOff>
      <xdr:row>894</xdr:row>
      <xdr:rowOff>155122</xdr:rowOff>
    </xdr:from>
    <xdr:to>
      <xdr:col>1</xdr:col>
      <xdr:colOff>1268186</xdr:colOff>
      <xdr:row>894</xdr:row>
      <xdr:rowOff>155122</xdr:rowOff>
    </xdr:to>
    <xdr:cxnSp macro="">
      <xdr:nvCxnSpPr>
        <xdr:cNvPr id="1388" name="Conector recto 39"/>
        <xdr:cNvCxnSpPr>
          <a:cxnSpLocks noChangeShapeType="1"/>
        </xdr:cNvCxnSpPr>
      </xdr:nvCxnSpPr>
      <xdr:spPr bwMode="auto">
        <a:xfrm>
          <a:off x="1287236" y="2213922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141514</xdr:colOff>
      <xdr:row>895</xdr:row>
      <xdr:rowOff>168728</xdr:rowOff>
    </xdr:from>
    <xdr:to>
      <xdr:col>1</xdr:col>
      <xdr:colOff>1227364</xdr:colOff>
      <xdr:row>895</xdr:row>
      <xdr:rowOff>168728</xdr:rowOff>
    </xdr:to>
    <xdr:cxnSp macro="">
      <xdr:nvCxnSpPr>
        <xdr:cNvPr id="1389" name="Conector recto 39"/>
        <xdr:cNvCxnSpPr>
          <a:cxnSpLocks noChangeShapeType="1"/>
        </xdr:cNvCxnSpPr>
      </xdr:nvCxnSpPr>
      <xdr:spPr bwMode="auto">
        <a:xfrm>
          <a:off x="1246414" y="22165355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168728</xdr:colOff>
      <xdr:row>896</xdr:row>
      <xdr:rowOff>168730</xdr:rowOff>
    </xdr:from>
    <xdr:to>
      <xdr:col>1</xdr:col>
      <xdr:colOff>1254578</xdr:colOff>
      <xdr:row>896</xdr:row>
      <xdr:rowOff>168730</xdr:rowOff>
    </xdr:to>
    <xdr:cxnSp macro="">
      <xdr:nvCxnSpPr>
        <xdr:cNvPr id="1390" name="Conector recto 39"/>
        <xdr:cNvCxnSpPr>
          <a:cxnSpLocks noChangeShapeType="1"/>
        </xdr:cNvCxnSpPr>
      </xdr:nvCxnSpPr>
      <xdr:spPr bwMode="auto">
        <a:xfrm>
          <a:off x="1273628" y="22190120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130628</xdr:colOff>
      <xdr:row>897</xdr:row>
      <xdr:rowOff>117021</xdr:rowOff>
    </xdr:from>
    <xdr:to>
      <xdr:col>1</xdr:col>
      <xdr:colOff>1216478</xdr:colOff>
      <xdr:row>897</xdr:row>
      <xdr:rowOff>117021</xdr:rowOff>
    </xdr:to>
    <xdr:cxnSp macro="">
      <xdr:nvCxnSpPr>
        <xdr:cNvPr id="1391" name="Conector recto 39"/>
        <xdr:cNvCxnSpPr>
          <a:cxnSpLocks noChangeShapeType="1"/>
        </xdr:cNvCxnSpPr>
      </xdr:nvCxnSpPr>
      <xdr:spPr bwMode="auto">
        <a:xfrm>
          <a:off x="1235528" y="2220971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157842</xdr:colOff>
      <xdr:row>898</xdr:row>
      <xdr:rowOff>117023</xdr:rowOff>
    </xdr:from>
    <xdr:to>
      <xdr:col>1</xdr:col>
      <xdr:colOff>1243692</xdr:colOff>
      <xdr:row>898</xdr:row>
      <xdr:rowOff>117023</xdr:rowOff>
    </xdr:to>
    <xdr:cxnSp macro="">
      <xdr:nvCxnSpPr>
        <xdr:cNvPr id="1392" name="Conector recto 39"/>
        <xdr:cNvCxnSpPr>
          <a:cxnSpLocks noChangeShapeType="1"/>
        </xdr:cNvCxnSpPr>
      </xdr:nvCxnSpPr>
      <xdr:spPr bwMode="auto">
        <a:xfrm>
          <a:off x="1262742" y="22234479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381000</xdr:colOff>
      <xdr:row>755</xdr:row>
      <xdr:rowOff>81643</xdr:rowOff>
    </xdr:from>
    <xdr:to>
      <xdr:col>1</xdr:col>
      <xdr:colOff>952500</xdr:colOff>
      <xdr:row>755</xdr:row>
      <xdr:rowOff>489857</xdr:rowOff>
    </xdr:to>
    <xdr:sp macro="" textlink="">
      <xdr:nvSpPr>
        <xdr:cNvPr id="1291" name="Rectángulo redondeado 23"/>
        <xdr:cNvSpPr>
          <a:spLocks noChangeArrowheads="1"/>
        </xdr:cNvSpPr>
      </xdr:nvSpPr>
      <xdr:spPr bwMode="auto">
        <a:xfrm>
          <a:off x="1483179" y="2062026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408215</xdr:colOff>
      <xdr:row>756</xdr:row>
      <xdr:rowOff>81643</xdr:rowOff>
    </xdr:from>
    <xdr:to>
      <xdr:col>1</xdr:col>
      <xdr:colOff>979715</xdr:colOff>
      <xdr:row>756</xdr:row>
      <xdr:rowOff>489857</xdr:rowOff>
    </xdr:to>
    <xdr:sp macro="" textlink="">
      <xdr:nvSpPr>
        <xdr:cNvPr id="1292" name="Rectángulo redondeado 23"/>
        <xdr:cNvSpPr>
          <a:spLocks noChangeArrowheads="1"/>
        </xdr:cNvSpPr>
      </xdr:nvSpPr>
      <xdr:spPr bwMode="auto">
        <a:xfrm>
          <a:off x="1510394" y="2067741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421822</xdr:colOff>
      <xdr:row>757</xdr:row>
      <xdr:rowOff>95250</xdr:rowOff>
    </xdr:from>
    <xdr:to>
      <xdr:col>1</xdr:col>
      <xdr:colOff>993322</xdr:colOff>
      <xdr:row>757</xdr:row>
      <xdr:rowOff>503464</xdr:rowOff>
    </xdr:to>
    <xdr:sp macro="" textlink="">
      <xdr:nvSpPr>
        <xdr:cNvPr id="1293" name="Rectángulo redondeado 23"/>
        <xdr:cNvSpPr>
          <a:spLocks noChangeArrowheads="1"/>
        </xdr:cNvSpPr>
      </xdr:nvSpPr>
      <xdr:spPr bwMode="auto">
        <a:xfrm>
          <a:off x="1524001" y="20735925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76200</xdr:colOff>
      <xdr:row>978</xdr:row>
      <xdr:rowOff>66675</xdr:rowOff>
    </xdr:from>
    <xdr:to>
      <xdr:col>1</xdr:col>
      <xdr:colOff>657225</xdr:colOff>
      <xdr:row>978</xdr:row>
      <xdr:rowOff>68263</xdr:rowOff>
    </xdr:to>
    <xdr:cxnSp macro="">
      <xdr:nvCxnSpPr>
        <xdr:cNvPr id="1294" name="Conector recto 4"/>
        <xdr:cNvCxnSpPr>
          <a:cxnSpLocks noChangeShapeType="1"/>
        </xdr:cNvCxnSpPr>
      </xdr:nvCxnSpPr>
      <xdr:spPr bwMode="auto">
        <a:xfrm>
          <a:off x="838200" y="167735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65881</xdr:colOff>
      <xdr:row>978</xdr:row>
      <xdr:rowOff>67469</xdr:rowOff>
    </xdr:from>
    <xdr:to>
      <xdr:col>1</xdr:col>
      <xdr:colOff>67469</xdr:colOff>
      <xdr:row>978</xdr:row>
      <xdr:rowOff>143669</xdr:rowOff>
    </xdr:to>
    <xdr:cxnSp macro="">
      <xdr:nvCxnSpPr>
        <xdr:cNvPr id="1295" name="Conector recto 7"/>
        <xdr:cNvCxnSpPr>
          <a:cxnSpLocks noChangeShapeType="1"/>
        </xdr:cNvCxnSpPr>
      </xdr:nvCxnSpPr>
      <xdr:spPr bwMode="auto">
        <a:xfrm rot="5400000">
          <a:off x="790575" y="168116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980</xdr:row>
      <xdr:rowOff>187778</xdr:rowOff>
    </xdr:from>
    <xdr:to>
      <xdr:col>1</xdr:col>
      <xdr:colOff>744682</xdr:colOff>
      <xdr:row>980</xdr:row>
      <xdr:rowOff>190500</xdr:rowOff>
    </xdr:to>
    <xdr:cxnSp macro="">
      <xdr:nvCxnSpPr>
        <xdr:cNvPr id="1296" name="Conector recto 16"/>
        <xdr:cNvCxnSpPr>
          <a:cxnSpLocks noChangeShapeType="1"/>
        </xdr:cNvCxnSpPr>
      </xdr:nvCxnSpPr>
      <xdr:spPr bwMode="auto">
        <a:xfrm>
          <a:off x="18833523" y="20276869"/>
          <a:ext cx="649432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979</xdr:row>
      <xdr:rowOff>123825</xdr:rowOff>
    </xdr:from>
    <xdr:to>
      <xdr:col>1</xdr:col>
      <xdr:colOff>685800</xdr:colOff>
      <xdr:row>979</xdr:row>
      <xdr:rowOff>125413</xdr:rowOff>
    </xdr:to>
    <xdr:cxnSp macro="">
      <xdr:nvCxnSpPr>
        <xdr:cNvPr id="1343" name="Conector recto 12"/>
        <xdr:cNvCxnSpPr>
          <a:cxnSpLocks noChangeShapeType="1"/>
        </xdr:cNvCxnSpPr>
      </xdr:nvCxnSpPr>
      <xdr:spPr bwMode="auto">
        <a:xfrm>
          <a:off x="866775" y="17021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979</xdr:row>
      <xdr:rowOff>38894</xdr:rowOff>
    </xdr:from>
    <xdr:to>
      <xdr:col>1</xdr:col>
      <xdr:colOff>96044</xdr:colOff>
      <xdr:row>979</xdr:row>
      <xdr:rowOff>115094</xdr:rowOff>
    </xdr:to>
    <xdr:cxnSp macro="">
      <xdr:nvCxnSpPr>
        <xdr:cNvPr id="1365" name="Conector recto 13"/>
        <xdr:cNvCxnSpPr>
          <a:cxnSpLocks noChangeShapeType="1"/>
        </xdr:cNvCxnSpPr>
      </xdr:nvCxnSpPr>
      <xdr:spPr bwMode="auto">
        <a:xfrm rot="5400000">
          <a:off x="819150" y="16973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980</xdr:row>
      <xdr:rowOff>102847</xdr:rowOff>
    </xdr:from>
    <xdr:to>
      <xdr:col>1</xdr:col>
      <xdr:colOff>96044</xdr:colOff>
      <xdr:row>980</xdr:row>
      <xdr:rowOff>179047</xdr:rowOff>
    </xdr:to>
    <xdr:cxnSp macro="">
      <xdr:nvCxnSpPr>
        <xdr:cNvPr id="1366" name="Conector recto 13"/>
        <xdr:cNvCxnSpPr>
          <a:cxnSpLocks noChangeShapeType="1"/>
        </xdr:cNvCxnSpPr>
      </xdr:nvCxnSpPr>
      <xdr:spPr bwMode="auto">
        <a:xfrm rot="5400000">
          <a:off x="819150" y="172280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983</xdr:row>
      <xdr:rowOff>103981</xdr:rowOff>
    </xdr:from>
    <xdr:to>
      <xdr:col>1</xdr:col>
      <xdr:colOff>667544</xdr:colOff>
      <xdr:row>983</xdr:row>
      <xdr:rowOff>105569</xdr:rowOff>
    </xdr:to>
    <xdr:cxnSp macro="">
      <xdr:nvCxnSpPr>
        <xdr:cNvPr id="1367" name="Conector recto 12"/>
        <xdr:cNvCxnSpPr>
          <a:cxnSpLocks noChangeShapeType="1"/>
        </xdr:cNvCxnSpPr>
      </xdr:nvCxnSpPr>
      <xdr:spPr bwMode="auto">
        <a:xfrm>
          <a:off x="848519" y="17763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984</xdr:row>
      <xdr:rowOff>103981</xdr:rowOff>
    </xdr:from>
    <xdr:to>
      <xdr:col>1</xdr:col>
      <xdr:colOff>667544</xdr:colOff>
      <xdr:row>984</xdr:row>
      <xdr:rowOff>105569</xdr:rowOff>
    </xdr:to>
    <xdr:cxnSp macro="">
      <xdr:nvCxnSpPr>
        <xdr:cNvPr id="1368" name="Conector recto 12"/>
        <xdr:cNvCxnSpPr>
          <a:cxnSpLocks noChangeShapeType="1"/>
        </xdr:cNvCxnSpPr>
      </xdr:nvCxnSpPr>
      <xdr:spPr bwMode="auto">
        <a:xfrm>
          <a:off x="848519" y="179538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985</xdr:row>
      <xdr:rowOff>103981</xdr:rowOff>
    </xdr:from>
    <xdr:to>
      <xdr:col>1</xdr:col>
      <xdr:colOff>667544</xdr:colOff>
      <xdr:row>985</xdr:row>
      <xdr:rowOff>105569</xdr:rowOff>
    </xdr:to>
    <xdr:cxnSp macro="">
      <xdr:nvCxnSpPr>
        <xdr:cNvPr id="1369" name="Conector recto 12"/>
        <xdr:cNvCxnSpPr>
          <a:cxnSpLocks noChangeShapeType="1"/>
        </xdr:cNvCxnSpPr>
      </xdr:nvCxnSpPr>
      <xdr:spPr bwMode="auto">
        <a:xfrm>
          <a:off x="848519" y="18144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986</xdr:row>
      <xdr:rowOff>84931</xdr:rowOff>
    </xdr:from>
    <xdr:to>
      <xdr:col>1</xdr:col>
      <xdr:colOff>667544</xdr:colOff>
      <xdr:row>986</xdr:row>
      <xdr:rowOff>86519</xdr:rowOff>
    </xdr:to>
    <xdr:cxnSp macro="">
      <xdr:nvCxnSpPr>
        <xdr:cNvPr id="1370" name="Conector recto 12"/>
        <xdr:cNvCxnSpPr>
          <a:cxnSpLocks noChangeShapeType="1"/>
        </xdr:cNvCxnSpPr>
      </xdr:nvCxnSpPr>
      <xdr:spPr bwMode="auto">
        <a:xfrm>
          <a:off x="848519" y="18315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987</xdr:row>
      <xdr:rowOff>84931</xdr:rowOff>
    </xdr:from>
    <xdr:to>
      <xdr:col>1</xdr:col>
      <xdr:colOff>667544</xdr:colOff>
      <xdr:row>987</xdr:row>
      <xdr:rowOff>86519</xdr:rowOff>
    </xdr:to>
    <xdr:cxnSp macro="">
      <xdr:nvCxnSpPr>
        <xdr:cNvPr id="1393" name="Conector recto 12"/>
        <xdr:cNvCxnSpPr>
          <a:cxnSpLocks noChangeShapeType="1"/>
        </xdr:cNvCxnSpPr>
      </xdr:nvCxnSpPr>
      <xdr:spPr bwMode="auto">
        <a:xfrm>
          <a:off x="848519" y="185062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988</xdr:row>
      <xdr:rowOff>84931</xdr:rowOff>
    </xdr:from>
    <xdr:to>
      <xdr:col>1</xdr:col>
      <xdr:colOff>667544</xdr:colOff>
      <xdr:row>988</xdr:row>
      <xdr:rowOff>86519</xdr:rowOff>
    </xdr:to>
    <xdr:cxnSp macro="">
      <xdr:nvCxnSpPr>
        <xdr:cNvPr id="1394" name="Conector recto 12"/>
        <xdr:cNvCxnSpPr>
          <a:cxnSpLocks noChangeShapeType="1"/>
        </xdr:cNvCxnSpPr>
      </xdr:nvCxnSpPr>
      <xdr:spPr bwMode="auto">
        <a:xfrm>
          <a:off x="848519" y="18696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989</xdr:row>
      <xdr:rowOff>120915</xdr:rowOff>
    </xdr:from>
    <xdr:to>
      <xdr:col>1</xdr:col>
      <xdr:colOff>646378</xdr:colOff>
      <xdr:row>989</xdr:row>
      <xdr:rowOff>122503</xdr:rowOff>
    </xdr:to>
    <xdr:cxnSp macro="">
      <xdr:nvCxnSpPr>
        <xdr:cNvPr id="1395" name="Conector recto 12"/>
        <xdr:cNvCxnSpPr>
          <a:cxnSpLocks noChangeShapeType="1"/>
        </xdr:cNvCxnSpPr>
      </xdr:nvCxnSpPr>
      <xdr:spPr bwMode="auto">
        <a:xfrm>
          <a:off x="827353" y="18923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990</xdr:row>
      <xdr:rowOff>120915</xdr:rowOff>
    </xdr:from>
    <xdr:to>
      <xdr:col>1</xdr:col>
      <xdr:colOff>646378</xdr:colOff>
      <xdr:row>990</xdr:row>
      <xdr:rowOff>122503</xdr:rowOff>
    </xdr:to>
    <xdr:cxnSp macro="">
      <xdr:nvCxnSpPr>
        <xdr:cNvPr id="1396" name="Conector recto 12"/>
        <xdr:cNvCxnSpPr>
          <a:cxnSpLocks noChangeShapeType="1"/>
        </xdr:cNvCxnSpPr>
      </xdr:nvCxnSpPr>
      <xdr:spPr bwMode="auto">
        <a:xfrm>
          <a:off x="827353" y="191137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991</xdr:row>
      <xdr:rowOff>120915</xdr:rowOff>
    </xdr:from>
    <xdr:to>
      <xdr:col>1</xdr:col>
      <xdr:colOff>646378</xdr:colOff>
      <xdr:row>991</xdr:row>
      <xdr:rowOff>122503</xdr:rowOff>
    </xdr:to>
    <xdr:cxnSp macro="">
      <xdr:nvCxnSpPr>
        <xdr:cNvPr id="1397" name="Conector recto 12"/>
        <xdr:cNvCxnSpPr>
          <a:cxnSpLocks noChangeShapeType="1"/>
        </xdr:cNvCxnSpPr>
      </xdr:nvCxnSpPr>
      <xdr:spPr bwMode="auto">
        <a:xfrm>
          <a:off x="827353" y="19304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48419</xdr:colOff>
      <xdr:row>992</xdr:row>
      <xdr:rowOff>114565</xdr:rowOff>
    </xdr:from>
    <xdr:to>
      <xdr:col>1</xdr:col>
      <xdr:colOff>629444</xdr:colOff>
      <xdr:row>992</xdr:row>
      <xdr:rowOff>116153</xdr:rowOff>
    </xdr:to>
    <xdr:cxnSp macro="">
      <xdr:nvCxnSpPr>
        <xdr:cNvPr id="1398" name="Conector recto 12"/>
        <xdr:cNvCxnSpPr>
          <a:cxnSpLocks noChangeShapeType="1"/>
        </xdr:cNvCxnSpPr>
      </xdr:nvCxnSpPr>
      <xdr:spPr bwMode="auto">
        <a:xfrm>
          <a:off x="810419" y="1948841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86783</xdr:colOff>
      <xdr:row>993</xdr:row>
      <xdr:rowOff>49742</xdr:rowOff>
    </xdr:from>
    <xdr:to>
      <xdr:col>1</xdr:col>
      <xdr:colOff>667808</xdr:colOff>
      <xdr:row>993</xdr:row>
      <xdr:rowOff>51330</xdr:rowOff>
    </xdr:to>
    <xdr:cxnSp macro="">
      <xdr:nvCxnSpPr>
        <xdr:cNvPr id="1399" name="Conector recto 4"/>
        <xdr:cNvCxnSpPr>
          <a:cxnSpLocks noChangeShapeType="1"/>
        </xdr:cNvCxnSpPr>
      </xdr:nvCxnSpPr>
      <xdr:spPr bwMode="auto">
        <a:xfrm>
          <a:off x="848783" y="1961409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76464</xdr:colOff>
      <xdr:row>993</xdr:row>
      <xdr:rowOff>50536</xdr:rowOff>
    </xdr:from>
    <xdr:to>
      <xdr:col>1</xdr:col>
      <xdr:colOff>78052</xdr:colOff>
      <xdr:row>993</xdr:row>
      <xdr:rowOff>126736</xdr:rowOff>
    </xdr:to>
    <xdr:cxnSp macro="">
      <xdr:nvCxnSpPr>
        <xdr:cNvPr id="1400" name="Conector recto 7"/>
        <xdr:cNvCxnSpPr>
          <a:cxnSpLocks noChangeShapeType="1"/>
        </xdr:cNvCxnSpPr>
      </xdr:nvCxnSpPr>
      <xdr:spPr bwMode="auto">
        <a:xfrm rot="5400000">
          <a:off x="801158" y="1965219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126999</xdr:colOff>
      <xdr:row>997</xdr:row>
      <xdr:rowOff>42332</xdr:rowOff>
    </xdr:from>
    <xdr:to>
      <xdr:col>1</xdr:col>
      <xdr:colOff>661458</xdr:colOff>
      <xdr:row>997</xdr:row>
      <xdr:rowOff>105227</xdr:rowOff>
    </xdr:to>
    <xdr:grpSp>
      <xdr:nvGrpSpPr>
        <xdr:cNvPr id="1402" name="Grupo 273"/>
        <xdr:cNvGrpSpPr>
          <a:grpSpLocks/>
        </xdr:cNvGrpSpPr>
      </xdr:nvGrpSpPr>
      <xdr:grpSpPr bwMode="auto">
        <a:xfrm>
          <a:off x="1238249" y="24680332"/>
          <a:ext cx="534459" cy="62895"/>
          <a:chOff x="10648950" y="5124450"/>
          <a:chExt cx="1085850" cy="95250"/>
        </a:xfrm>
      </xdr:grpSpPr>
      <xdr:cxnSp macro="">
        <xdr:nvCxnSpPr>
          <xdr:cNvPr id="140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141815</xdr:colOff>
      <xdr:row>998</xdr:row>
      <xdr:rowOff>35981</xdr:rowOff>
    </xdr:from>
    <xdr:to>
      <xdr:col>1</xdr:col>
      <xdr:colOff>676274</xdr:colOff>
      <xdr:row>998</xdr:row>
      <xdr:rowOff>98876</xdr:rowOff>
    </xdr:to>
    <xdr:grpSp>
      <xdr:nvGrpSpPr>
        <xdr:cNvPr id="1407" name="Grupo 273"/>
        <xdr:cNvGrpSpPr>
          <a:grpSpLocks/>
        </xdr:cNvGrpSpPr>
      </xdr:nvGrpSpPr>
      <xdr:grpSpPr bwMode="auto">
        <a:xfrm>
          <a:off x="1253065" y="24927981"/>
          <a:ext cx="534459" cy="62895"/>
          <a:chOff x="10648950" y="5124450"/>
          <a:chExt cx="1085850" cy="95250"/>
        </a:xfrm>
      </xdr:grpSpPr>
      <xdr:cxnSp macro="">
        <xdr:nvCxnSpPr>
          <xdr:cNvPr id="140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286712</xdr:colOff>
      <xdr:row>999</xdr:row>
      <xdr:rowOff>80820</xdr:rowOff>
    </xdr:from>
    <xdr:to>
      <xdr:col>1</xdr:col>
      <xdr:colOff>779317</xdr:colOff>
      <xdr:row>999</xdr:row>
      <xdr:rowOff>363682</xdr:rowOff>
    </xdr:to>
    <xdr:sp macro="" textlink="">
      <xdr:nvSpPr>
        <xdr:cNvPr id="1410" name="Rectángulo redondeado 23"/>
        <xdr:cNvSpPr>
          <a:spLocks noChangeArrowheads="1"/>
        </xdr:cNvSpPr>
      </xdr:nvSpPr>
      <xdr:spPr bwMode="auto">
        <a:xfrm>
          <a:off x="19024985" y="25607820"/>
          <a:ext cx="492605" cy="28286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245341</xdr:colOff>
      <xdr:row>1000</xdr:row>
      <xdr:rowOff>76971</xdr:rowOff>
    </xdr:from>
    <xdr:to>
      <xdr:col>1</xdr:col>
      <xdr:colOff>762000</xdr:colOff>
      <xdr:row>1000</xdr:row>
      <xdr:rowOff>346365</xdr:rowOff>
    </xdr:to>
    <xdr:sp macro="" textlink="">
      <xdr:nvSpPr>
        <xdr:cNvPr id="1411" name="Rectángulo redondeado 23"/>
        <xdr:cNvSpPr>
          <a:spLocks noChangeArrowheads="1"/>
        </xdr:cNvSpPr>
      </xdr:nvSpPr>
      <xdr:spPr bwMode="auto">
        <a:xfrm>
          <a:off x="18983614" y="26019607"/>
          <a:ext cx="516659" cy="26939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1030</xdr:row>
      <xdr:rowOff>63500</xdr:rowOff>
    </xdr:from>
    <xdr:to>
      <xdr:col>1</xdr:col>
      <xdr:colOff>686594</xdr:colOff>
      <xdr:row>1030</xdr:row>
      <xdr:rowOff>65088</xdr:rowOff>
    </xdr:to>
    <xdr:cxnSp macro="">
      <xdr:nvCxnSpPr>
        <xdr:cNvPr id="1412" name="Conector recto 4"/>
        <xdr:cNvCxnSpPr>
          <a:cxnSpLocks noChangeShapeType="1"/>
        </xdr:cNvCxnSpPr>
      </xdr:nvCxnSpPr>
      <xdr:spPr bwMode="auto">
        <a:xfrm>
          <a:off x="867569" y="278193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1030</xdr:row>
      <xdr:rowOff>64294</xdr:rowOff>
    </xdr:from>
    <xdr:to>
      <xdr:col>1</xdr:col>
      <xdr:colOff>96838</xdr:colOff>
      <xdr:row>1030</xdr:row>
      <xdr:rowOff>140494</xdr:rowOff>
    </xdr:to>
    <xdr:cxnSp macro="">
      <xdr:nvCxnSpPr>
        <xdr:cNvPr id="1413" name="Conector recto 7"/>
        <xdr:cNvCxnSpPr>
          <a:cxnSpLocks noChangeShapeType="1"/>
        </xdr:cNvCxnSpPr>
      </xdr:nvCxnSpPr>
      <xdr:spPr bwMode="auto">
        <a:xfrm rot="5400000">
          <a:off x="819944" y="278574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109802</xdr:colOff>
      <xdr:row>1031</xdr:row>
      <xdr:rowOff>57150</xdr:rowOff>
    </xdr:from>
    <xdr:to>
      <xdr:col>1</xdr:col>
      <xdr:colOff>690827</xdr:colOff>
      <xdr:row>1031</xdr:row>
      <xdr:rowOff>58738</xdr:rowOff>
    </xdr:to>
    <xdr:cxnSp macro="">
      <xdr:nvCxnSpPr>
        <xdr:cNvPr id="1414" name="Conector recto 4"/>
        <xdr:cNvCxnSpPr>
          <a:cxnSpLocks noChangeShapeType="1"/>
        </xdr:cNvCxnSpPr>
      </xdr:nvCxnSpPr>
      <xdr:spPr bwMode="auto">
        <a:xfrm>
          <a:off x="871802" y="280035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99483</xdr:colOff>
      <xdr:row>1031</xdr:row>
      <xdr:rowOff>57944</xdr:rowOff>
    </xdr:from>
    <xdr:to>
      <xdr:col>1</xdr:col>
      <xdr:colOff>101071</xdr:colOff>
      <xdr:row>1031</xdr:row>
      <xdr:rowOff>134144</xdr:rowOff>
    </xdr:to>
    <xdr:cxnSp macro="">
      <xdr:nvCxnSpPr>
        <xdr:cNvPr id="1415" name="Conector recto 7"/>
        <xdr:cNvCxnSpPr>
          <a:cxnSpLocks noChangeShapeType="1"/>
        </xdr:cNvCxnSpPr>
      </xdr:nvCxnSpPr>
      <xdr:spPr bwMode="auto">
        <a:xfrm rot="5400000">
          <a:off x="824177" y="280416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1032</xdr:row>
      <xdr:rowOff>50800</xdr:rowOff>
    </xdr:from>
    <xdr:to>
      <xdr:col>1</xdr:col>
      <xdr:colOff>673894</xdr:colOff>
      <xdr:row>1032</xdr:row>
      <xdr:rowOff>52388</xdr:rowOff>
    </xdr:to>
    <xdr:cxnSp macro="">
      <xdr:nvCxnSpPr>
        <xdr:cNvPr id="1416" name="Conector recto 4"/>
        <xdr:cNvCxnSpPr>
          <a:cxnSpLocks noChangeShapeType="1"/>
        </xdr:cNvCxnSpPr>
      </xdr:nvCxnSpPr>
      <xdr:spPr bwMode="auto">
        <a:xfrm>
          <a:off x="854869" y="281876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82550</xdr:colOff>
      <xdr:row>1032</xdr:row>
      <xdr:rowOff>51594</xdr:rowOff>
    </xdr:from>
    <xdr:to>
      <xdr:col>1</xdr:col>
      <xdr:colOff>84138</xdr:colOff>
      <xdr:row>1032</xdr:row>
      <xdr:rowOff>127794</xdr:rowOff>
    </xdr:to>
    <xdr:cxnSp macro="">
      <xdr:nvCxnSpPr>
        <xdr:cNvPr id="1417" name="Conector recto 7"/>
        <xdr:cNvCxnSpPr>
          <a:cxnSpLocks noChangeShapeType="1"/>
        </xdr:cNvCxnSpPr>
      </xdr:nvCxnSpPr>
      <xdr:spPr bwMode="auto">
        <a:xfrm rot="5400000">
          <a:off x="807244" y="282257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1033</xdr:row>
      <xdr:rowOff>84667</xdr:rowOff>
    </xdr:from>
    <xdr:to>
      <xdr:col>1</xdr:col>
      <xdr:colOff>714375</xdr:colOff>
      <xdr:row>1033</xdr:row>
      <xdr:rowOff>86255</xdr:rowOff>
    </xdr:to>
    <xdr:cxnSp macro="">
      <xdr:nvCxnSpPr>
        <xdr:cNvPr id="1418" name="Conector recto 12"/>
        <xdr:cNvCxnSpPr>
          <a:cxnSpLocks noChangeShapeType="1"/>
        </xdr:cNvCxnSpPr>
      </xdr:nvCxnSpPr>
      <xdr:spPr bwMode="auto">
        <a:xfrm>
          <a:off x="895350" y="28412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1034</xdr:row>
      <xdr:rowOff>84667</xdr:rowOff>
    </xdr:from>
    <xdr:to>
      <xdr:col>1</xdr:col>
      <xdr:colOff>714375</xdr:colOff>
      <xdr:row>1034</xdr:row>
      <xdr:rowOff>86255</xdr:rowOff>
    </xdr:to>
    <xdr:cxnSp macro="">
      <xdr:nvCxnSpPr>
        <xdr:cNvPr id="1419" name="Conector recto 12"/>
        <xdr:cNvCxnSpPr>
          <a:cxnSpLocks noChangeShapeType="1"/>
        </xdr:cNvCxnSpPr>
      </xdr:nvCxnSpPr>
      <xdr:spPr bwMode="auto">
        <a:xfrm>
          <a:off x="895350" y="286025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1035</xdr:row>
      <xdr:rowOff>84667</xdr:rowOff>
    </xdr:from>
    <xdr:to>
      <xdr:col>1</xdr:col>
      <xdr:colOff>714375</xdr:colOff>
      <xdr:row>1035</xdr:row>
      <xdr:rowOff>86255</xdr:rowOff>
    </xdr:to>
    <xdr:cxnSp macro="">
      <xdr:nvCxnSpPr>
        <xdr:cNvPr id="1420" name="Conector recto 12"/>
        <xdr:cNvCxnSpPr>
          <a:cxnSpLocks noChangeShapeType="1"/>
        </xdr:cNvCxnSpPr>
      </xdr:nvCxnSpPr>
      <xdr:spPr bwMode="auto">
        <a:xfrm>
          <a:off x="895350" y="28793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1036</xdr:row>
      <xdr:rowOff>65617</xdr:rowOff>
    </xdr:from>
    <xdr:to>
      <xdr:col>1</xdr:col>
      <xdr:colOff>714375</xdr:colOff>
      <xdr:row>1036</xdr:row>
      <xdr:rowOff>67205</xdr:rowOff>
    </xdr:to>
    <xdr:cxnSp macro="">
      <xdr:nvCxnSpPr>
        <xdr:cNvPr id="1421" name="Conector recto 12"/>
        <xdr:cNvCxnSpPr>
          <a:cxnSpLocks noChangeShapeType="1"/>
        </xdr:cNvCxnSpPr>
      </xdr:nvCxnSpPr>
      <xdr:spPr bwMode="auto">
        <a:xfrm>
          <a:off x="895350" y="28964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1037</xdr:row>
      <xdr:rowOff>65617</xdr:rowOff>
    </xdr:from>
    <xdr:to>
      <xdr:col>1</xdr:col>
      <xdr:colOff>714375</xdr:colOff>
      <xdr:row>1037</xdr:row>
      <xdr:rowOff>67205</xdr:rowOff>
    </xdr:to>
    <xdr:cxnSp macro="">
      <xdr:nvCxnSpPr>
        <xdr:cNvPr id="1422" name="Conector recto 12"/>
        <xdr:cNvCxnSpPr>
          <a:cxnSpLocks noChangeShapeType="1"/>
        </xdr:cNvCxnSpPr>
      </xdr:nvCxnSpPr>
      <xdr:spPr bwMode="auto">
        <a:xfrm>
          <a:off x="895350" y="291549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1038</xdr:row>
      <xdr:rowOff>65617</xdr:rowOff>
    </xdr:from>
    <xdr:to>
      <xdr:col>1</xdr:col>
      <xdr:colOff>714375</xdr:colOff>
      <xdr:row>1038</xdr:row>
      <xdr:rowOff>67205</xdr:rowOff>
    </xdr:to>
    <xdr:cxnSp macro="">
      <xdr:nvCxnSpPr>
        <xdr:cNvPr id="1423" name="Conector recto 12"/>
        <xdr:cNvCxnSpPr>
          <a:cxnSpLocks noChangeShapeType="1"/>
        </xdr:cNvCxnSpPr>
      </xdr:nvCxnSpPr>
      <xdr:spPr bwMode="auto">
        <a:xfrm>
          <a:off x="895350" y="29345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1039</xdr:row>
      <xdr:rowOff>101601</xdr:rowOff>
    </xdr:from>
    <xdr:to>
      <xdr:col>1</xdr:col>
      <xdr:colOff>693209</xdr:colOff>
      <xdr:row>1039</xdr:row>
      <xdr:rowOff>103189</xdr:rowOff>
    </xdr:to>
    <xdr:cxnSp macro="">
      <xdr:nvCxnSpPr>
        <xdr:cNvPr id="1424" name="Conector recto 12"/>
        <xdr:cNvCxnSpPr>
          <a:cxnSpLocks noChangeShapeType="1"/>
        </xdr:cNvCxnSpPr>
      </xdr:nvCxnSpPr>
      <xdr:spPr bwMode="auto">
        <a:xfrm>
          <a:off x="874184" y="29571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1040</xdr:row>
      <xdr:rowOff>101601</xdr:rowOff>
    </xdr:from>
    <xdr:to>
      <xdr:col>1</xdr:col>
      <xdr:colOff>693209</xdr:colOff>
      <xdr:row>1040</xdr:row>
      <xdr:rowOff>103189</xdr:rowOff>
    </xdr:to>
    <xdr:cxnSp macro="">
      <xdr:nvCxnSpPr>
        <xdr:cNvPr id="1425" name="Conector recto 12"/>
        <xdr:cNvCxnSpPr>
          <a:cxnSpLocks noChangeShapeType="1"/>
        </xdr:cNvCxnSpPr>
      </xdr:nvCxnSpPr>
      <xdr:spPr bwMode="auto">
        <a:xfrm>
          <a:off x="874184" y="297624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1041</xdr:row>
      <xdr:rowOff>101601</xdr:rowOff>
    </xdr:from>
    <xdr:to>
      <xdr:col>1</xdr:col>
      <xdr:colOff>693209</xdr:colOff>
      <xdr:row>1041</xdr:row>
      <xdr:rowOff>103189</xdr:rowOff>
    </xdr:to>
    <xdr:cxnSp macro="">
      <xdr:nvCxnSpPr>
        <xdr:cNvPr id="1426" name="Conector recto 12"/>
        <xdr:cNvCxnSpPr>
          <a:cxnSpLocks noChangeShapeType="1"/>
        </xdr:cNvCxnSpPr>
      </xdr:nvCxnSpPr>
      <xdr:spPr bwMode="auto">
        <a:xfrm>
          <a:off x="874184" y="29952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1044</xdr:row>
      <xdr:rowOff>68799</xdr:rowOff>
    </xdr:from>
    <xdr:to>
      <xdr:col>1</xdr:col>
      <xdr:colOff>649079</xdr:colOff>
      <xdr:row>1044</xdr:row>
      <xdr:rowOff>131694</xdr:rowOff>
    </xdr:to>
    <xdr:grpSp>
      <xdr:nvGrpSpPr>
        <xdr:cNvPr id="1428" name="Grupo 273"/>
        <xdr:cNvGrpSpPr>
          <a:grpSpLocks/>
        </xdr:cNvGrpSpPr>
      </xdr:nvGrpSpPr>
      <xdr:grpSpPr bwMode="auto">
        <a:xfrm>
          <a:off x="1225870" y="36962299"/>
          <a:ext cx="534459" cy="62895"/>
          <a:chOff x="10648950" y="5124450"/>
          <a:chExt cx="1085850" cy="95250"/>
        </a:xfrm>
      </xdr:grpSpPr>
      <xdr:cxnSp macro="">
        <xdr:nvCxnSpPr>
          <xdr:cNvPr id="142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1045</xdr:row>
      <xdr:rowOff>62448</xdr:rowOff>
    </xdr:from>
    <xdr:to>
      <xdr:col>1</xdr:col>
      <xdr:colOff>663895</xdr:colOff>
      <xdr:row>1045</xdr:row>
      <xdr:rowOff>125343</xdr:rowOff>
    </xdr:to>
    <xdr:grpSp>
      <xdr:nvGrpSpPr>
        <xdr:cNvPr id="1432" name="Grupo 273"/>
        <xdr:cNvGrpSpPr>
          <a:grpSpLocks/>
        </xdr:cNvGrpSpPr>
      </xdr:nvGrpSpPr>
      <xdr:grpSpPr bwMode="auto">
        <a:xfrm>
          <a:off x="1240686" y="37225823"/>
          <a:ext cx="534459" cy="62895"/>
          <a:chOff x="10648950" y="5124450"/>
          <a:chExt cx="1085850" cy="95250"/>
        </a:xfrm>
      </xdr:grpSpPr>
      <xdr:cxnSp macro="">
        <xdr:nvCxnSpPr>
          <xdr:cNvPr id="143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137583</xdr:colOff>
      <xdr:row>1046</xdr:row>
      <xdr:rowOff>42334</xdr:rowOff>
    </xdr:from>
    <xdr:to>
      <xdr:col>1</xdr:col>
      <xdr:colOff>677333</xdr:colOff>
      <xdr:row>1046</xdr:row>
      <xdr:rowOff>433916</xdr:rowOff>
    </xdr:to>
    <xdr:sp macro="" textlink="">
      <xdr:nvSpPr>
        <xdr:cNvPr id="1435" name="Rectángulo redondeado 23"/>
        <xdr:cNvSpPr>
          <a:spLocks noChangeArrowheads="1"/>
        </xdr:cNvSpPr>
      </xdr:nvSpPr>
      <xdr:spPr bwMode="auto">
        <a:xfrm>
          <a:off x="899583" y="3084618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148166</xdr:colOff>
      <xdr:row>1047</xdr:row>
      <xdr:rowOff>42333</xdr:rowOff>
    </xdr:from>
    <xdr:to>
      <xdr:col>1</xdr:col>
      <xdr:colOff>687916</xdr:colOff>
      <xdr:row>1047</xdr:row>
      <xdr:rowOff>433915</xdr:rowOff>
    </xdr:to>
    <xdr:sp macro="" textlink="">
      <xdr:nvSpPr>
        <xdr:cNvPr id="1436" name="Rectángulo redondeado 23"/>
        <xdr:cNvSpPr>
          <a:spLocks noChangeArrowheads="1"/>
        </xdr:cNvSpPr>
      </xdr:nvSpPr>
      <xdr:spPr bwMode="auto">
        <a:xfrm>
          <a:off x="910166" y="313224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1077</xdr:row>
      <xdr:rowOff>79375</xdr:rowOff>
    </xdr:from>
    <xdr:to>
      <xdr:col>1</xdr:col>
      <xdr:colOff>686594</xdr:colOff>
      <xdr:row>1077</xdr:row>
      <xdr:rowOff>80963</xdr:rowOff>
    </xdr:to>
    <xdr:cxnSp macro="">
      <xdr:nvCxnSpPr>
        <xdr:cNvPr id="1437" name="Conector recto 4"/>
        <xdr:cNvCxnSpPr>
          <a:cxnSpLocks noChangeShapeType="1"/>
        </xdr:cNvCxnSpPr>
      </xdr:nvCxnSpPr>
      <xdr:spPr bwMode="auto">
        <a:xfrm>
          <a:off x="867569" y="38293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1078</xdr:row>
      <xdr:rowOff>132556</xdr:rowOff>
    </xdr:from>
    <xdr:to>
      <xdr:col>1</xdr:col>
      <xdr:colOff>696119</xdr:colOff>
      <xdr:row>1078</xdr:row>
      <xdr:rowOff>135278</xdr:rowOff>
    </xdr:to>
    <xdr:cxnSp macro="">
      <xdr:nvCxnSpPr>
        <xdr:cNvPr id="1439" name="Conector recto 16"/>
        <xdr:cNvCxnSpPr>
          <a:cxnSpLocks noChangeShapeType="1"/>
        </xdr:cNvCxnSpPr>
      </xdr:nvCxnSpPr>
      <xdr:spPr bwMode="auto">
        <a:xfrm>
          <a:off x="858044" y="38537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89694</xdr:colOff>
      <xdr:row>1079</xdr:row>
      <xdr:rowOff>126206</xdr:rowOff>
    </xdr:from>
    <xdr:to>
      <xdr:col>1</xdr:col>
      <xdr:colOff>689769</xdr:colOff>
      <xdr:row>1079</xdr:row>
      <xdr:rowOff>128928</xdr:rowOff>
    </xdr:to>
    <xdr:cxnSp macro="">
      <xdr:nvCxnSpPr>
        <xdr:cNvPr id="1441" name="Conector recto 16"/>
        <xdr:cNvCxnSpPr>
          <a:cxnSpLocks noChangeShapeType="1"/>
        </xdr:cNvCxnSpPr>
      </xdr:nvCxnSpPr>
      <xdr:spPr bwMode="auto">
        <a:xfrm>
          <a:off x="851694" y="387215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88900</xdr:colOff>
      <xdr:row>1079</xdr:row>
      <xdr:rowOff>41275</xdr:rowOff>
    </xdr:from>
    <xdr:to>
      <xdr:col>1</xdr:col>
      <xdr:colOff>90488</xdr:colOff>
      <xdr:row>1079</xdr:row>
      <xdr:rowOff>117475</xdr:rowOff>
    </xdr:to>
    <xdr:cxnSp macro="">
      <xdr:nvCxnSpPr>
        <xdr:cNvPr id="1442" name="Conector recto 13"/>
        <xdr:cNvCxnSpPr>
          <a:cxnSpLocks noChangeShapeType="1"/>
        </xdr:cNvCxnSpPr>
      </xdr:nvCxnSpPr>
      <xdr:spPr bwMode="auto">
        <a:xfrm rot="5400000">
          <a:off x="813594" y="386738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1080</xdr:row>
      <xdr:rowOff>63500</xdr:rowOff>
    </xdr:from>
    <xdr:to>
      <xdr:col>1</xdr:col>
      <xdr:colOff>745066</xdr:colOff>
      <xdr:row>1080</xdr:row>
      <xdr:rowOff>65088</xdr:rowOff>
    </xdr:to>
    <xdr:cxnSp macro="">
      <xdr:nvCxnSpPr>
        <xdr:cNvPr id="1443" name="Conector recto 12"/>
        <xdr:cNvCxnSpPr>
          <a:cxnSpLocks noChangeShapeType="1"/>
        </xdr:cNvCxnSpPr>
      </xdr:nvCxnSpPr>
      <xdr:spPr bwMode="auto">
        <a:xfrm>
          <a:off x="926041" y="38849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1081</xdr:row>
      <xdr:rowOff>63500</xdr:rowOff>
    </xdr:from>
    <xdr:to>
      <xdr:col>1</xdr:col>
      <xdr:colOff>745066</xdr:colOff>
      <xdr:row>1081</xdr:row>
      <xdr:rowOff>65088</xdr:rowOff>
    </xdr:to>
    <xdr:cxnSp macro="">
      <xdr:nvCxnSpPr>
        <xdr:cNvPr id="1444" name="Conector recto 12"/>
        <xdr:cNvCxnSpPr>
          <a:cxnSpLocks noChangeShapeType="1"/>
        </xdr:cNvCxnSpPr>
      </xdr:nvCxnSpPr>
      <xdr:spPr bwMode="auto">
        <a:xfrm>
          <a:off x="926041" y="390398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1082</xdr:row>
      <xdr:rowOff>63500</xdr:rowOff>
    </xdr:from>
    <xdr:to>
      <xdr:col>1</xdr:col>
      <xdr:colOff>745066</xdr:colOff>
      <xdr:row>1082</xdr:row>
      <xdr:rowOff>65088</xdr:rowOff>
    </xdr:to>
    <xdr:cxnSp macro="">
      <xdr:nvCxnSpPr>
        <xdr:cNvPr id="1445" name="Conector recto 12"/>
        <xdr:cNvCxnSpPr>
          <a:cxnSpLocks noChangeShapeType="1"/>
        </xdr:cNvCxnSpPr>
      </xdr:nvCxnSpPr>
      <xdr:spPr bwMode="auto">
        <a:xfrm>
          <a:off x="926041" y="39230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1083</xdr:row>
      <xdr:rowOff>44450</xdr:rowOff>
    </xdr:from>
    <xdr:to>
      <xdr:col>1</xdr:col>
      <xdr:colOff>745066</xdr:colOff>
      <xdr:row>1083</xdr:row>
      <xdr:rowOff>46038</xdr:rowOff>
    </xdr:to>
    <xdr:cxnSp macro="">
      <xdr:nvCxnSpPr>
        <xdr:cNvPr id="1446" name="Conector recto 12"/>
        <xdr:cNvCxnSpPr>
          <a:cxnSpLocks noChangeShapeType="1"/>
        </xdr:cNvCxnSpPr>
      </xdr:nvCxnSpPr>
      <xdr:spPr bwMode="auto">
        <a:xfrm>
          <a:off x="926041" y="39401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1084</xdr:row>
      <xdr:rowOff>44450</xdr:rowOff>
    </xdr:from>
    <xdr:to>
      <xdr:col>1</xdr:col>
      <xdr:colOff>745066</xdr:colOff>
      <xdr:row>1084</xdr:row>
      <xdr:rowOff>46038</xdr:rowOff>
    </xdr:to>
    <xdr:cxnSp macro="">
      <xdr:nvCxnSpPr>
        <xdr:cNvPr id="1447" name="Conector recto 12"/>
        <xdr:cNvCxnSpPr>
          <a:cxnSpLocks noChangeShapeType="1"/>
        </xdr:cNvCxnSpPr>
      </xdr:nvCxnSpPr>
      <xdr:spPr bwMode="auto">
        <a:xfrm>
          <a:off x="926041" y="395922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1085</xdr:row>
      <xdr:rowOff>44450</xdr:rowOff>
    </xdr:from>
    <xdr:to>
      <xdr:col>1</xdr:col>
      <xdr:colOff>745066</xdr:colOff>
      <xdr:row>1085</xdr:row>
      <xdr:rowOff>46038</xdr:rowOff>
    </xdr:to>
    <xdr:cxnSp macro="">
      <xdr:nvCxnSpPr>
        <xdr:cNvPr id="1448" name="Conector recto 12"/>
        <xdr:cNvCxnSpPr>
          <a:cxnSpLocks noChangeShapeType="1"/>
        </xdr:cNvCxnSpPr>
      </xdr:nvCxnSpPr>
      <xdr:spPr bwMode="auto">
        <a:xfrm>
          <a:off x="926041" y="3978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1086</xdr:row>
      <xdr:rowOff>80434</xdr:rowOff>
    </xdr:from>
    <xdr:to>
      <xdr:col>1</xdr:col>
      <xdr:colOff>723900</xdr:colOff>
      <xdr:row>1086</xdr:row>
      <xdr:rowOff>82022</xdr:rowOff>
    </xdr:to>
    <xdr:cxnSp macro="">
      <xdr:nvCxnSpPr>
        <xdr:cNvPr id="1449" name="Conector recto 12"/>
        <xdr:cNvCxnSpPr>
          <a:cxnSpLocks noChangeShapeType="1"/>
        </xdr:cNvCxnSpPr>
      </xdr:nvCxnSpPr>
      <xdr:spPr bwMode="auto">
        <a:xfrm>
          <a:off x="904875" y="40009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1087</xdr:row>
      <xdr:rowOff>80434</xdr:rowOff>
    </xdr:from>
    <xdr:to>
      <xdr:col>1</xdr:col>
      <xdr:colOff>723900</xdr:colOff>
      <xdr:row>1087</xdr:row>
      <xdr:rowOff>82022</xdr:rowOff>
    </xdr:to>
    <xdr:cxnSp macro="">
      <xdr:nvCxnSpPr>
        <xdr:cNvPr id="1450" name="Conector recto 12"/>
        <xdr:cNvCxnSpPr>
          <a:cxnSpLocks noChangeShapeType="1"/>
        </xdr:cNvCxnSpPr>
      </xdr:nvCxnSpPr>
      <xdr:spPr bwMode="auto">
        <a:xfrm>
          <a:off x="904875" y="401997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1088</xdr:row>
      <xdr:rowOff>80434</xdr:rowOff>
    </xdr:from>
    <xdr:to>
      <xdr:col>1</xdr:col>
      <xdr:colOff>723900</xdr:colOff>
      <xdr:row>1088</xdr:row>
      <xdr:rowOff>82022</xdr:rowOff>
    </xdr:to>
    <xdr:cxnSp macro="">
      <xdr:nvCxnSpPr>
        <xdr:cNvPr id="1451" name="Conector recto 12"/>
        <xdr:cNvCxnSpPr>
          <a:cxnSpLocks noChangeShapeType="1"/>
        </xdr:cNvCxnSpPr>
      </xdr:nvCxnSpPr>
      <xdr:spPr bwMode="auto">
        <a:xfrm>
          <a:off x="904875" y="40390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1089</xdr:row>
      <xdr:rowOff>111125</xdr:rowOff>
    </xdr:from>
    <xdr:to>
      <xdr:col>1</xdr:col>
      <xdr:colOff>692150</xdr:colOff>
      <xdr:row>1089</xdr:row>
      <xdr:rowOff>112713</xdr:rowOff>
    </xdr:to>
    <xdr:cxnSp macro="">
      <xdr:nvCxnSpPr>
        <xdr:cNvPr id="1452" name="Conector recto 12"/>
        <xdr:cNvCxnSpPr>
          <a:cxnSpLocks noChangeShapeType="1"/>
        </xdr:cNvCxnSpPr>
      </xdr:nvCxnSpPr>
      <xdr:spPr bwMode="auto">
        <a:xfrm>
          <a:off x="873125" y="40611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1090</xdr:row>
      <xdr:rowOff>111125</xdr:rowOff>
    </xdr:from>
    <xdr:to>
      <xdr:col>1</xdr:col>
      <xdr:colOff>692150</xdr:colOff>
      <xdr:row>1090</xdr:row>
      <xdr:rowOff>112713</xdr:rowOff>
    </xdr:to>
    <xdr:cxnSp macro="">
      <xdr:nvCxnSpPr>
        <xdr:cNvPr id="1453" name="Conector recto 12"/>
        <xdr:cNvCxnSpPr>
          <a:cxnSpLocks noChangeShapeType="1"/>
        </xdr:cNvCxnSpPr>
      </xdr:nvCxnSpPr>
      <xdr:spPr bwMode="auto">
        <a:xfrm>
          <a:off x="873125" y="40801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130495</xdr:colOff>
      <xdr:row>1093</xdr:row>
      <xdr:rowOff>68799</xdr:rowOff>
    </xdr:from>
    <xdr:to>
      <xdr:col>1</xdr:col>
      <xdr:colOff>664954</xdr:colOff>
      <xdr:row>1093</xdr:row>
      <xdr:rowOff>131694</xdr:rowOff>
    </xdr:to>
    <xdr:grpSp>
      <xdr:nvGrpSpPr>
        <xdr:cNvPr id="1455" name="Grupo 273"/>
        <xdr:cNvGrpSpPr>
          <a:grpSpLocks/>
        </xdr:cNvGrpSpPr>
      </xdr:nvGrpSpPr>
      <xdr:grpSpPr bwMode="auto">
        <a:xfrm>
          <a:off x="1241745" y="50408424"/>
          <a:ext cx="534459" cy="62895"/>
          <a:chOff x="10648950" y="5124450"/>
          <a:chExt cx="1085850" cy="95250"/>
        </a:xfrm>
      </xdr:grpSpPr>
      <xdr:cxnSp macro="">
        <xdr:nvCxnSpPr>
          <xdr:cNvPr id="145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5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145311</xdr:colOff>
      <xdr:row>1094</xdr:row>
      <xdr:rowOff>62448</xdr:rowOff>
    </xdr:from>
    <xdr:to>
      <xdr:col>1</xdr:col>
      <xdr:colOff>679770</xdr:colOff>
      <xdr:row>1094</xdr:row>
      <xdr:rowOff>125343</xdr:rowOff>
    </xdr:to>
    <xdr:grpSp>
      <xdr:nvGrpSpPr>
        <xdr:cNvPr id="1459" name="Grupo 273"/>
        <xdr:cNvGrpSpPr>
          <a:grpSpLocks/>
        </xdr:cNvGrpSpPr>
      </xdr:nvGrpSpPr>
      <xdr:grpSpPr bwMode="auto">
        <a:xfrm>
          <a:off x="1256561" y="50671948"/>
          <a:ext cx="534459" cy="62895"/>
          <a:chOff x="10648950" y="5124450"/>
          <a:chExt cx="1085850" cy="95250"/>
        </a:xfrm>
      </xdr:grpSpPr>
      <xdr:cxnSp macro="">
        <xdr:nvCxnSpPr>
          <xdr:cNvPr id="146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154836</xdr:colOff>
      <xdr:row>1095</xdr:row>
      <xdr:rowOff>40223</xdr:rowOff>
    </xdr:from>
    <xdr:to>
      <xdr:col>1</xdr:col>
      <xdr:colOff>689295</xdr:colOff>
      <xdr:row>1095</xdr:row>
      <xdr:rowOff>103118</xdr:rowOff>
    </xdr:to>
    <xdr:grpSp>
      <xdr:nvGrpSpPr>
        <xdr:cNvPr id="1462" name="Grupo 273"/>
        <xdr:cNvGrpSpPr>
          <a:grpSpLocks/>
        </xdr:cNvGrpSpPr>
      </xdr:nvGrpSpPr>
      <xdr:grpSpPr bwMode="auto">
        <a:xfrm>
          <a:off x="1266086" y="50919598"/>
          <a:ext cx="534459" cy="62895"/>
          <a:chOff x="10648950" y="5124450"/>
          <a:chExt cx="1085850" cy="95250"/>
        </a:xfrm>
      </xdr:grpSpPr>
      <xdr:cxnSp macro="">
        <xdr:nvCxnSpPr>
          <xdr:cNvPr id="146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329406</xdr:colOff>
      <xdr:row>1096</xdr:row>
      <xdr:rowOff>87313</xdr:rowOff>
    </xdr:from>
    <xdr:to>
      <xdr:col>1</xdr:col>
      <xdr:colOff>869156</xdr:colOff>
      <xdr:row>1096</xdr:row>
      <xdr:rowOff>421745</xdr:rowOff>
    </xdr:to>
    <xdr:sp macro="" textlink="">
      <xdr:nvSpPr>
        <xdr:cNvPr id="1465" name="Rectángulo redondeado 23"/>
        <xdr:cNvSpPr>
          <a:spLocks noChangeArrowheads="1"/>
        </xdr:cNvSpPr>
      </xdr:nvSpPr>
      <xdr:spPr bwMode="auto">
        <a:xfrm>
          <a:off x="1440656" y="56348313"/>
          <a:ext cx="539750" cy="33443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264583</xdr:colOff>
      <xdr:row>1097</xdr:row>
      <xdr:rowOff>79375</xdr:rowOff>
    </xdr:from>
    <xdr:to>
      <xdr:col>1</xdr:col>
      <xdr:colOff>804333</xdr:colOff>
      <xdr:row>1097</xdr:row>
      <xdr:rowOff>432857</xdr:rowOff>
    </xdr:to>
    <xdr:sp macro="" textlink="">
      <xdr:nvSpPr>
        <xdr:cNvPr id="1466" name="Rectángulo redondeado 23"/>
        <xdr:cNvSpPr>
          <a:spLocks noChangeArrowheads="1"/>
        </xdr:cNvSpPr>
      </xdr:nvSpPr>
      <xdr:spPr bwMode="auto">
        <a:xfrm>
          <a:off x="1375833" y="56610250"/>
          <a:ext cx="539750" cy="3534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206639</xdr:colOff>
      <xdr:row>1098</xdr:row>
      <xdr:rowOff>45244</xdr:rowOff>
    </xdr:from>
    <xdr:to>
      <xdr:col>1</xdr:col>
      <xdr:colOff>746389</xdr:colOff>
      <xdr:row>1098</xdr:row>
      <xdr:rowOff>370151</xdr:rowOff>
    </xdr:to>
    <xdr:sp macro="" textlink="">
      <xdr:nvSpPr>
        <xdr:cNvPr id="1467" name="Rectángulo redondeado 23"/>
        <xdr:cNvSpPr>
          <a:spLocks noChangeArrowheads="1"/>
        </xdr:cNvSpPr>
      </xdr:nvSpPr>
      <xdr:spPr bwMode="auto">
        <a:xfrm>
          <a:off x="1317889" y="56845994"/>
          <a:ext cx="539750" cy="32490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129382</xdr:colOff>
      <xdr:row>912</xdr:row>
      <xdr:rowOff>71438</xdr:rowOff>
    </xdr:from>
    <xdr:to>
      <xdr:col>1</xdr:col>
      <xdr:colOff>710407</xdr:colOff>
      <xdr:row>912</xdr:row>
      <xdr:rowOff>73026</xdr:rowOff>
    </xdr:to>
    <xdr:cxnSp macro="">
      <xdr:nvCxnSpPr>
        <xdr:cNvPr id="1468" name="Conector recto 4"/>
        <xdr:cNvCxnSpPr>
          <a:cxnSpLocks noChangeShapeType="1"/>
        </xdr:cNvCxnSpPr>
      </xdr:nvCxnSpPr>
      <xdr:spPr bwMode="auto">
        <a:xfrm>
          <a:off x="891382" y="14716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912</xdr:row>
      <xdr:rowOff>72232</xdr:rowOff>
    </xdr:from>
    <xdr:to>
      <xdr:col>1</xdr:col>
      <xdr:colOff>120651</xdr:colOff>
      <xdr:row>912</xdr:row>
      <xdr:rowOff>148432</xdr:rowOff>
    </xdr:to>
    <xdr:cxnSp macro="">
      <xdr:nvCxnSpPr>
        <xdr:cNvPr id="1469" name="Conector recto 7"/>
        <xdr:cNvCxnSpPr>
          <a:cxnSpLocks noChangeShapeType="1"/>
        </xdr:cNvCxnSpPr>
      </xdr:nvCxnSpPr>
      <xdr:spPr bwMode="auto">
        <a:xfrm rot="5400000">
          <a:off x="843757" y="15097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914</xdr:row>
      <xdr:rowOff>156822</xdr:rowOff>
    </xdr:from>
    <xdr:to>
      <xdr:col>1</xdr:col>
      <xdr:colOff>760413</xdr:colOff>
      <xdr:row>914</xdr:row>
      <xdr:rowOff>159544</xdr:rowOff>
    </xdr:to>
    <xdr:cxnSp macro="">
      <xdr:nvCxnSpPr>
        <xdr:cNvPr id="1470" name="Conector recto 16"/>
        <xdr:cNvCxnSpPr>
          <a:cxnSpLocks noChangeShapeType="1"/>
        </xdr:cNvCxnSpPr>
      </xdr:nvCxnSpPr>
      <xdr:spPr bwMode="auto">
        <a:xfrm>
          <a:off x="922338" y="193799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157957</xdr:colOff>
      <xdr:row>913</xdr:row>
      <xdr:rowOff>128588</xdr:rowOff>
    </xdr:from>
    <xdr:to>
      <xdr:col>1</xdr:col>
      <xdr:colOff>738982</xdr:colOff>
      <xdr:row>913</xdr:row>
      <xdr:rowOff>130176</xdr:rowOff>
    </xdr:to>
    <xdr:cxnSp macro="">
      <xdr:nvCxnSpPr>
        <xdr:cNvPr id="1471" name="Conector recto 12"/>
        <xdr:cNvCxnSpPr>
          <a:cxnSpLocks noChangeShapeType="1"/>
        </xdr:cNvCxnSpPr>
      </xdr:nvCxnSpPr>
      <xdr:spPr bwMode="auto">
        <a:xfrm>
          <a:off x="919957" y="1719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147638</xdr:colOff>
      <xdr:row>913</xdr:row>
      <xdr:rowOff>43657</xdr:rowOff>
    </xdr:from>
    <xdr:to>
      <xdr:col>1</xdr:col>
      <xdr:colOff>149226</xdr:colOff>
      <xdr:row>913</xdr:row>
      <xdr:rowOff>119857</xdr:rowOff>
    </xdr:to>
    <xdr:cxnSp macro="">
      <xdr:nvCxnSpPr>
        <xdr:cNvPr id="1472" name="Conector recto 13"/>
        <xdr:cNvCxnSpPr>
          <a:cxnSpLocks noChangeShapeType="1"/>
        </xdr:cNvCxnSpPr>
      </xdr:nvCxnSpPr>
      <xdr:spPr bwMode="auto">
        <a:xfrm rot="5400000">
          <a:off x="872332" y="1671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915</xdr:row>
      <xdr:rowOff>119063</xdr:rowOff>
    </xdr:from>
    <xdr:to>
      <xdr:col>1</xdr:col>
      <xdr:colOff>771525</xdr:colOff>
      <xdr:row>915</xdr:row>
      <xdr:rowOff>120651</xdr:rowOff>
    </xdr:to>
    <xdr:cxnSp macro="">
      <xdr:nvCxnSpPr>
        <xdr:cNvPr id="1473" name="Conector recto 12"/>
        <xdr:cNvCxnSpPr>
          <a:cxnSpLocks noChangeShapeType="1"/>
        </xdr:cNvCxnSpPr>
      </xdr:nvCxnSpPr>
      <xdr:spPr bwMode="auto">
        <a:xfrm>
          <a:off x="952500" y="20907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916</xdr:row>
      <xdr:rowOff>116682</xdr:rowOff>
    </xdr:from>
    <xdr:to>
      <xdr:col>1</xdr:col>
      <xdr:colOff>781050</xdr:colOff>
      <xdr:row>916</xdr:row>
      <xdr:rowOff>118270</xdr:rowOff>
    </xdr:to>
    <xdr:cxnSp macro="">
      <xdr:nvCxnSpPr>
        <xdr:cNvPr id="1474" name="Conector recto 12"/>
        <xdr:cNvCxnSpPr>
          <a:cxnSpLocks noChangeShapeType="1"/>
        </xdr:cNvCxnSpPr>
      </xdr:nvCxnSpPr>
      <xdr:spPr bwMode="auto">
        <a:xfrm>
          <a:off x="962025" y="227885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185738</xdr:colOff>
      <xdr:row>917</xdr:row>
      <xdr:rowOff>102394</xdr:rowOff>
    </xdr:from>
    <xdr:to>
      <xdr:col>1</xdr:col>
      <xdr:colOff>766763</xdr:colOff>
      <xdr:row>917</xdr:row>
      <xdr:rowOff>103982</xdr:rowOff>
    </xdr:to>
    <xdr:cxnSp macro="">
      <xdr:nvCxnSpPr>
        <xdr:cNvPr id="1475" name="Conector recto 12"/>
        <xdr:cNvCxnSpPr>
          <a:cxnSpLocks noChangeShapeType="1"/>
        </xdr:cNvCxnSpPr>
      </xdr:nvCxnSpPr>
      <xdr:spPr bwMode="auto">
        <a:xfrm>
          <a:off x="947738" y="24550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183357</xdr:colOff>
      <xdr:row>918</xdr:row>
      <xdr:rowOff>111919</xdr:rowOff>
    </xdr:from>
    <xdr:to>
      <xdr:col>1</xdr:col>
      <xdr:colOff>764382</xdr:colOff>
      <xdr:row>918</xdr:row>
      <xdr:rowOff>113507</xdr:rowOff>
    </xdr:to>
    <xdr:cxnSp macro="">
      <xdr:nvCxnSpPr>
        <xdr:cNvPr id="1476" name="Conector recto 12"/>
        <xdr:cNvCxnSpPr>
          <a:cxnSpLocks noChangeShapeType="1"/>
        </xdr:cNvCxnSpPr>
      </xdr:nvCxnSpPr>
      <xdr:spPr bwMode="auto">
        <a:xfrm>
          <a:off x="945357" y="26550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142081</xdr:colOff>
      <xdr:row>914</xdr:row>
      <xdr:rowOff>794</xdr:rowOff>
    </xdr:from>
    <xdr:to>
      <xdr:col>1</xdr:col>
      <xdr:colOff>143669</xdr:colOff>
      <xdr:row>914</xdr:row>
      <xdr:rowOff>179388</xdr:rowOff>
    </xdr:to>
    <xdr:cxnSp macro="">
      <xdr:nvCxnSpPr>
        <xdr:cNvPr id="1477" name="263 Conector recto"/>
        <xdr:cNvCxnSpPr/>
      </xdr:nvCxnSpPr>
      <xdr:spPr>
        <a:xfrm rot="5400000" flipH="1" flipV="1">
          <a:off x="815578" y="1870472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735012</xdr:colOff>
      <xdr:row>914</xdr:row>
      <xdr:rowOff>10320</xdr:rowOff>
    </xdr:from>
    <xdr:to>
      <xdr:col>1</xdr:col>
      <xdr:colOff>736600</xdr:colOff>
      <xdr:row>914</xdr:row>
      <xdr:rowOff>188914</xdr:rowOff>
    </xdr:to>
    <xdr:cxnSp macro="">
      <xdr:nvCxnSpPr>
        <xdr:cNvPr id="1478" name="264 Conector recto"/>
        <xdr:cNvCxnSpPr/>
      </xdr:nvCxnSpPr>
      <xdr:spPr>
        <a:xfrm rot="5400000" flipH="1" flipV="1">
          <a:off x="1408509" y="1879998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</xdr:colOff>
      <xdr:row>982</xdr:row>
      <xdr:rowOff>159430</xdr:rowOff>
    </xdr:from>
    <xdr:to>
      <xdr:col>1</xdr:col>
      <xdr:colOff>717550</xdr:colOff>
      <xdr:row>982</xdr:row>
      <xdr:rowOff>163512</xdr:rowOff>
    </xdr:to>
    <xdr:cxnSp macro="">
      <xdr:nvCxnSpPr>
        <xdr:cNvPr id="1479" name="Conector recto 17"/>
        <xdr:cNvCxnSpPr>
          <a:cxnSpLocks noChangeShapeType="1"/>
        </xdr:cNvCxnSpPr>
      </xdr:nvCxnSpPr>
      <xdr:spPr bwMode="auto">
        <a:xfrm flipV="1">
          <a:off x="879475" y="17628280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982</xdr:row>
      <xdr:rowOff>59531</xdr:rowOff>
    </xdr:from>
    <xdr:to>
      <xdr:col>1</xdr:col>
      <xdr:colOff>108744</xdr:colOff>
      <xdr:row>982</xdr:row>
      <xdr:rowOff>154781</xdr:rowOff>
    </xdr:to>
    <xdr:cxnSp macro="">
      <xdr:nvCxnSpPr>
        <xdr:cNvPr id="1480" name="Conector recto 13"/>
        <xdr:cNvCxnSpPr>
          <a:cxnSpLocks noChangeShapeType="1"/>
        </xdr:cNvCxnSpPr>
      </xdr:nvCxnSpPr>
      <xdr:spPr bwMode="auto">
        <a:xfrm rot="5400000">
          <a:off x="822325" y="17575212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103188</xdr:colOff>
      <xdr:row>981</xdr:row>
      <xdr:rowOff>145142</xdr:rowOff>
    </xdr:from>
    <xdr:to>
      <xdr:col>1</xdr:col>
      <xdr:colOff>703263</xdr:colOff>
      <xdr:row>981</xdr:row>
      <xdr:rowOff>149224</xdr:rowOff>
    </xdr:to>
    <xdr:cxnSp macro="">
      <xdr:nvCxnSpPr>
        <xdr:cNvPr id="1481" name="Conector recto 17"/>
        <xdr:cNvCxnSpPr>
          <a:cxnSpLocks noChangeShapeType="1"/>
        </xdr:cNvCxnSpPr>
      </xdr:nvCxnSpPr>
      <xdr:spPr bwMode="auto">
        <a:xfrm flipV="1">
          <a:off x="865188" y="17423492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981</xdr:row>
      <xdr:rowOff>45243</xdr:rowOff>
    </xdr:from>
    <xdr:to>
      <xdr:col>1</xdr:col>
      <xdr:colOff>94457</xdr:colOff>
      <xdr:row>981</xdr:row>
      <xdr:rowOff>140493</xdr:rowOff>
    </xdr:to>
    <xdr:cxnSp macro="">
      <xdr:nvCxnSpPr>
        <xdr:cNvPr id="1482" name="Conector recto 13"/>
        <xdr:cNvCxnSpPr>
          <a:cxnSpLocks noChangeShapeType="1"/>
        </xdr:cNvCxnSpPr>
      </xdr:nvCxnSpPr>
      <xdr:spPr bwMode="auto">
        <a:xfrm rot="5400000">
          <a:off x="808038" y="17370424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919</xdr:row>
      <xdr:rowOff>59531</xdr:rowOff>
    </xdr:from>
    <xdr:to>
      <xdr:col>1</xdr:col>
      <xdr:colOff>718343</xdr:colOff>
      <xdr:row>919</xdr:row>
      <xdr:rowOff>451113</xdr:rowOff>
    </xdr:to>
    <xdr:sp macro="" textlink="">
      <xdr:nvSpPr>
        <xdr:cNvPr id="1483" name="Rectángulo redondeado 23"/>
        <xdr:cNvSpPr>
          <a:spLocks noChangeArrowheads="1"/>
        </xdr:cNvSpPr>
      </xdr:nvSpPr>
      <xdr:spPr bwMode="auto">
        <a:xfrm>
          <a:off x="940593" y="279320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418039</xdr:rowOff>
    </xdr:to>
    <xdr:sp macro="" textlink="">
      <xdr:nvSpPr>
        <xdr:cNvPr id="1484" name="Rectángulo redondeado 23"/>
        <xdr:cNvSpPr>
          <a:spLocks noChangeArrowheads="1"/>
        </xdr:cNvSpPr>
      </xdr:nvSpPr>
      <xdr:spPr bwMode="auto">
        <a:xfrm>
          <a:off x="951176" y="3272101"/>
          <a:ext cx="539750" cy="365388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444233</xdr:rowOff>
    </xdr:to>
    <xdr:sp macro="" textlink="">
      <xdr:nvSpPr>
        <xdr:cNvPr id="1485" name="Rectángulo redondeado 23"/>
        <xdr:cNvSpPr>
          <a:spLocks noChangeArrowheads="1"/>
        </xdr:cNvSpPr>
      </xdr:nvSpPr>
      <xdr:spPr bwMode="auto">
        <a:xfrm>
          <a:off x="951176" y="327210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199759</xdr:colOff>
      <xdr:row>921</xdr:row>
      <xdr:rowOff>31482</xdr:rowOff>
    </xdr:from>
    <xdr:to>
      <xdr:col>1</xdr:col>
      <xdr:colOff>739509</xdr:colOff>
      <xdr:row>921</xdr:row>
      <xdr:rowOff>423064</xdr:rowOff>
    </xdr:to>
    <xdr:sp macro="" textlink="">
      <xdr:nvSpPr>
        <xdr:cNvPr id="1486" name="Rectángulo redondeado 23"/>
        <xdr:cNvSpPr>
          <a:spLocks noChangeArrowheads="1"/>
        </xdr:cNvSpPr>
      </xdr:nvSpPr>
      <xdr:spPr bwMode="auto">
        <a:xfrm>
          <a:off x="961759" y="37557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117475</xdr:colOff>
      <xdr:row>925</xdr:row>
      <xdr:rowOff>59531</xdr:rowOff>
    </xdr:from>
    <xdr:to>
      <xdr:col>1</xdr:col>
      <xdr:colOff>698500</xdr:colOff>
      <xdr:row>925</xdr:row>
      <xdr:rowOff>61119</xdr:rowOff>
    </xdr:to>
    <xdr:cxnSp macro="">
      <xdr:nvCxnSpPr>
        <xdr:cNvPr id="1487" name="Conector recto 4"/>
        <xdr:cNvCxnSpPr>
          <a:cxnSpLocks noChangeShapeType="1"/>
        </xdr:cNvCxnSpPr>
      </xdr:nvCxnSpPr>
      <xdr:spPr bwMode="auto">
        <a:xfrm>
          <a:off x="879475" y="47839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925</xdr:row>
      <xdr:rowOff>60325</xdr:rowOff>
    </xdr:from>
    <xdr:to>
      <xdr:col>1</xdr:col>
      <xdr:colOff>108744</xdr:colOff>
      <xdr:row>925</xdr:row>
      <xdr:rowOff>136525</xdr:rowOff>
    </xdr:to>
    <xdr:cxnSp macro="">
      <xdr:nvCxnSpPr>
        <xdr:cNvPr id="1488" name="Conector recto 7"/>
        <xdr:cNvCxnSpPr>
          <a:cxnSpLocks noChangeShapeType="1"/>
        </xdr:cNvCxnSpPr>
      </xdr:nvCxnSpPr>
      <xdr:spPr bwMode="auto">
        <a:xfrm rot="5400000">
          <a:off x="831850" y="48220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127000</xdr:colOff>
      <xdr:row>926</xdr:row>
      <xdr:rowOff>57149</xdr:rowOff>
    </xdr:from>
    <xdr:to>
      <xdr:col>1</xdr:col>
      <xdr:colOff>708025</xdr:colOff>
      <xdr:row>926</xdr:row>
      <xdr:rowOff>58737</xdr:rowOff>
    </xdr:to>
    <xdr:cxnSp macro="">
      <xdr:nvCxnSpPr>
        <xdr:cNvPr id="1489" name="Conector recto 4"/>
        <xdr:cNvCxnSpPr>
          <a:cxnSpLocks noChangeShapeType="1"/>
        </xdr:cNvCxnSpPr>
      </xdr:nvCxnSpPr>
      <xdr:spPr bwMode="auto">
        <a:xfrm>
          <a:off x="889000" y="497204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116681</xdr:colOff>
      <xdr:row>926</xdr:row>
      <xdr:rowOff>57943</xdr:rowOff>
    </xdr:from>
    <xdr:to>
      <xdr:col>1</xdr:col>
      <xdr:colOff>118269</xdr:colOff>
      <xdr:row>926</xdr:row>
      <xdr:rowOff>134143</xdr:rowOff>
    </xdr:to>
    <xdr:cxnSp macro="">
      <xdr:nvCxnSpPr>
        <xdr:cNvPr id="1490" name="Conector recto 7"/>
        <xdr:cNvCxnSpPr>
          <a:cxnSpLocks noChangeShapeType="1"/>
        </xdr:cNvCxnSpPr>
      </xdr:nvCxnSpPr>
      <xdr:spPr bwMode="auto">
        <a:xfrm rot="5400000">
          <a:off x="841375" y="50101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143670</xdr:colOff>
      <xdr:row>927</xdr:row>
      <xdr:rowOff>114300</xdr:rowOff>
    </xdr:from>
    <xdr:to>
      <xdr:col>1</xdr:col>
      <xdr:colOff>724695</xdr:colOff>
      <xdr:row>927</xdr:row>
      <xdr:rowOff>115888</xdr:rowOff>
    </xdr:to>
    <xdr:cxnSp macro="">
      <xdr:nvCxnSpPr>
        <xdr:cNvPr id="1491" name="Conector recto 12"/>
        <xdr:cNvCxnSpPr>
          <a:cxnSpLocks noChangeShapeType="1"/>
        </xdr:cNvCxnSpPr>
      </xdr:nvCxnSpPr>
      <xdr:spPr bwMode="auto">
        <a:xfrm>
          <a:off x="905670" y="52197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133351</xdr:colOff>
      <xdr:row>927</xdr:row>
      <xdr:rowOff>29369</xdr:rowOff>
    </xdr:from>
    <xdr:to>
      <xdr:col>1</xdr:col>
      <xdr:colOff>134939</xdr:colOff>
      <xdr:row>927</xdr:row>
      <xdr:rowOff>105569</xdr:rowOff>
    </xdr:to>
    <xdr:cxnSp macro="">
      <xdr:nvCxnSpPr>
        <xdr:cNvPr id="1492" name="Conector recto 13"/>
        <xdr:cNvCxnSpPr>
          <a:cxnSpLocks noChangeShapeType="1"/>
        </xdr:cNvCxnSpPr>
      </xdr:nvCxnSpPr>
      <xdr:spPr bwMode="auto">
        <a:xfrm rot="5400000">
          <a:off x="858045" y="51720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141289</xdr:colOff>
      <xdr:row>928</xdr:row>
      <xdr:rowOff>123825</xdr:rowOff>
    </xdr:from>
    <xdr:to>
      <xdr:col>1</xdr:col>
      <xdr:colOff>722314</xdr:colOff>
      <xdr:row>928</xdr:row>
      <xdr:rowOff>125413</xdr:rowOff>
    </xdr:to>
    <xdr:cxnSp macro="">
      <xdr:nvCxnSpPr>
        <xdr:cNvPr id="1493" name="Conector recto 12"/>
        <xdr:cNvCxnSpPr>
          <a:cxnSpLocks noChangeShapeType="1"/>
        </xdr:cNvCxnSpPr>
      </xdr:nvCxnSpPr>
      <xdr:spPr bwMode="auto">
        <a:xfrm>
          <a:off x="903289" y="54197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130970</xdr:colOff>
      <xdr:row>928</xdr:row>
      <xdr:rowOff>38894</xdr:rowOff>
    </xdr:from>
    <xdr:to>
      <xdr:col>1</xdr:col>
      <xdr:colOff>132558</xdr:colOff>
      <xdr:row>928</xdr:row>
      <xdr:rowOff>115094</xdr:rowOff>
    </xdr:to>
    <xdr:cxnSp macro="">
      <xdr:nvCxnSpPr>
        <xdr:cNvPr id="1494" name="Conector recto 13"/>
        <xdr:cNvCxnSpPr>
          <a:cxnSpLocks noChangeShapeType="1"/>
        </xdr:cNvCxnSpPr>
      </xdr:nvCxnSpPr>
      <xdr:spPr bwMode="auto">
        <a:xfrm rot="5400000">
          <a:off x="855664" y="53721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929</xdr:row>
      <xdr:rowOff>144462</xdr:rowOff>
    </xdr:from>
    <xdr:to>
      <xdr:col>1</xdr:col>
      <xdr:colOff>734219</xdr:colOff>
      <xdr:row>929</xdr:row>
      <xdr:rowOff>146050</xdr:rowOff>
    </xdr:to>
    <xdr:cxnSp macro="">
      <xdr:nvCxnSpPr>
        <xdr:cNvPr id="1495" name="Conector recto 12"/>
        <xdr:cNvCxnSpPr>
          <a:cxnSpLocks noChangeShapeType="1"/>
        </xdr:cNvCxnSpPr>
      </xdr:nvCxnSpPr>
      <xdr:spPr bwMode="auto">
        <a:xfrm>
          <a:off x="915194" y="5630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929</xdr:row>
      <xdr:rowOff>59531</xdr:rowOff>
    </xdr:from>
    <xdr:to>
      <xdr:col>1</xdr:col>
      <xdr:colOff>144463</xdr:colOff>
      <xdr:row>929</xdr:row>
      <xdr:rowOff>135731</xdr:rowOff>
    </xdr:to>
    <xdr:cxnSp macro="">
      <xdr:nvCxnSpPr>
        <xdr:cNvPr id="1496" name="Conector recto 13"/>
        <xdr:cNvCxnSpPr>
          <a:cxnSpLocks noChangeShapeType="1"/>
        </xdr:cNvCxnSpPr>
      </xdr:nvCxnSpPr>
      <xdr:spPr bwMode="auto">
        <a:xfrm rot="5400000">
          <a:off x="867569" y="558323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138111</xdr:colOff>
      <xdr:row>930</xdr:row>
      <xdr:rowOff>95250</xdr:rowOff>
    </xdr:from>
    <xdr:to>
      <xdr:col>1</xdr:col>
      <xdr:colOff>719136</xdr:colOff>
      <xdr:row>930</xdr:row>
      <xdr:rowOff>96838</xdr:rowOff>
    </xdr:to>
    <xdr:cxnSp macro="">
      <xdr:nvCxnSpPr>
        <xdr:cNvPr id="1497" name="Conector recto 12"/>
        <xdr:cNvCxnSpPr>
          <a:cxnSpLocks noChangeShapeType="1"/>
        </xdr:cNvCxnSpPr>
      </xdr:nvCxnSpPr>
      <xdr:spPr bwMode="auto">
        <a:xfrm>
          <a:off x="900111" y="5772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147636</xdr:colOff>
      <xdr:row>931</xdr:row>
      <xdr:rowOff>92869</xdr:rowOff>
    </xdr:from>
    <xdr:to>
      <xdr:col>1</xdr:col>
      <xdr:colOff>728661</xdr:colOff>
      <xdr:row>931</xdr:row>
      <xdr:rowOff>94457</xdr:rowOff>
    </xdr:to>
    <xdr:cxnSp macro="">
      <xdr:nvCxnSpPr>
        <xdr:cNvPr id="1498" name="Conector recto 12"/>
        <xdr:cNvCxnSpPr>
          <a:cxnSpLocks noChangeShapeType="1"/>
        </xdr:cNvCxnSpPr>
      </xdr:nvCxnSpPr>
      <xdr:spPr bwMode="auto">
        <a:xfrm>
          <a:off x="909636" y="59602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133349</xdr:colOff>
      <xdr:row>932</xdr:row>
      <xdr:rowOff>78581</xdr:rowOff>
    </xdr:from>
    <xdr:to>
      <xdr:col>1</xdr:col>
      <xdr:colOff>714374</xdr:colOff>
      <xdr:row>932</xdr:row>
      <xdr:rowOff>80169</xdr:rowOff>
    </xdr:to>
    <xdr:cxnSp macro="">
      <xdr:nvCxnSpPr>
        <xdr:cNvPr id="1499" name="Conector recto 12"/>
        <xdr:cNvCxnSpPr>
          <a:cxnSpLocks noChangeShapeType="1"/>
        </xdr:cNvCxnSpPr>
      </xdr:nvCxnSpPr>
      <xdr:spPr bwMode="auto">
        <a:xfrm>
          <a:off x="895349" y="61364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933</xdr:row>
      <xdr:rowOff>88106</xdr:rowOff>
    </xdr:from>
    <xdr:to>
      <xdr:col>1</xdr:col>
      <xdr:colOff>711993</xdr:colOff>
      <xdr:row>933</xdr:row>
      <xdr:rowOff>89694</xdr:rowOff>
    </xdr:to>
    <xdr:cxnSp macro="">
      <xdr:nvCxnSpPr>
        <xdr:cNvPr id="1500" name="Conector recto 12"/>
        <xdr:cNvCxnSpPr>
          <a:cxnSpLocks noChangeShapeType="1"/>
        </xdr:cNvCxnSpPr>
      </xdr:nvCxnSpPr>
      <xdr:spPr bwMode="auto">
        <a:xfrm>
          <a:off x="892968" y="6336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183355</xdr:colOff>
      <xdr:row>934</xdr:row>
      <xdr:rowOff>95250</xdr:rowOff>
    </xdr:from>
    <xdr:to>
      <xdr:col>1</xdr:col>
      <xdr:colOff>764380</xdr:colOff>
      <xdr:row>934</xdr:row>
      <xdr:rowOff>96838</xdr:rowOff>
    </xdr:to>
    <xdr:cxnSp macro="">
      <xdr:nvCxnSpPr>
        <xdr:cNvPr id="1501" name="Conector recto 12"/>
        <xdr:cNvCxnSpPr>
          <a:cxnSpLocks noChangeShapeType="1"/>
        </xdr:cNvCxnSpPr>
      </xdr:nvCxnSpPr>
      <xdr:spPr bwMode="auto">
        <a:xfrm>
          <a:off x="945355" y="6534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935</xdr:row>
      <xdr:rowOff>80962</xdr:rowOff>
    </xdr:from>
    <xdr:to>
      <xdr:col>1</xdr:col>
      <xdr:colOff>750093</xdr:colOff>
      <xdr:row>935</xdr:row>
      <xdr:rowOff>82550</xdr:rowOff>
    </xdr:to>
    <xdr:cxnSp macro="">
      <xdr:nvCxnSpPr>
        <xdr:cNvPr id="1502" name="Conector recto 12"/>
        <xdr:cNvCxnSpPr>
          <a:cxnSpLocks noChangeShapeType="1"/>
        </xdr:cNvCxnSpPr>
      </xdr:nvCxnSpPr>
      <xdr:spPr bwMode="auto">
        <a:xfrm>
          <a:off x="931068" y="67103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936</xdr:row>
      <xdr:rowOff>90487</xdr:rowOff>
    </xdr:from>
    <xdr:to>
      <xdr:col>1</xdr:col>
      <xdr:colOff>747712</xdr:colOff>
      <xdr:row>936</xdr:row>
      <xdr:rowOff>92075</xdr:rowOff>
    </xdr:to>
    <xdr:cxnSp macro="">
      <xdr:nvCxnSpPr>
        <xdr:cNvPr id="1503" name="Conector recto 12"/>
        <xdr:cNvCxnSpPr>
          <a:cxnSpLocks noChangeShapeType="1"/>
        </xdr:cNvCxnSpPr>
      </xdr:nvCxnSpPr>
      <xdr:spPr bwMode="auto">
        <a:xfrm>
          <a:off x="928687" y="69103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150339</xdr:colOff>
      <xdr:row>941</xdr:row>
      <xdr:rowOff>49219</xdr:rowOff>
    </xdr:from>
    <xdr:to>
      <xdr:col>1</xdr:col>
      <xdr:colOff>684798</xdr:colOff>
      <xdr:row>941</xdr:row>
      <xdr:rowOff>112114</xdr:rowOff>
    </xdr:to>
    <xdr:grpSp>
      <xdr:nvGrpSpPr>
        <xdr:cNvPr id="1505" name="Grupo 273"/>
        <xdr:cNvGrpSpPr>
          <a:grpSpLocks/>
        </xdr:cNvGrpSpPr>
      </xdr:nvGrpSpPr>
      <xdr:grpSpPr bwMode="auto">
        <a:xfrm>
          <a:off x="1261589" y="10463219"/>
          <a:ext cx="534459" cy="62895"/>
          <a:chOff x="10648950" y="5124450"/>
          <a:chExt cx="1085850" cy="95250"/>
        </a:xfrm>
      </xdr:grpSpPr>
      <xdr:cxnSp macro="">
        <xdr:nvCxnSpPr>
          <xdr:cNvPr id="150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0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165155</xdr:colOff>
      <xdr:row>942</xdr:row>
      <xdr:rowOff>42868</xdr:rowOff>
    </xdr:from>
    <xdr:to>
      <xdr:col>1</xdr:col>
      <xdr:colOff>699614</xdr:colOff>
      <xdr:row>942</xdr:row>
      <xdr:rowOff>105763</xdr:rowOff>
    </xdr:to>
    <xdr:grpSp>
      <xdr:nvGrpSpPr>
        <xdr:cNvPr id="1510" name="Grupo 273"/>
        <xdr:cNvGrpSpPr>
          <a:grpSpLocks/>
        </xdr:cNvGrpSpPr>
      </xdr:nvGrpSpPr>
      <xdr:grpSpPr bwMode="auto">
        <a:xfrm>
          <a:off x="1276405" y="10710868"/>
          <a:ext cx="534459" cy="62895"/>
          <a:chOff x="10648950" y="5124450"/>
          <a:chExt cx="1085850" cy="95250"/>
        </a:xfrm>
      </xdr:grpSpPr>
      <xdr:cxnSp macro="">
        <xdr:nvCxnSpPr>
          <xdr:cNvPr id="151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1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182090</xdr:colOff>
      <xdr:row>944</xdr:row>
      <xdr:rowOff>25408</xdr:rowOff>
    </xdr:from>
    <xdr:to>
      <xdr:col>1</xdr:col>
      <xdr:colOff>721840</xdr:colOff>
      <xdr:row>944</xdr:row>
      <xdr:rowOff>416990</xdr:rowOff>
    </xdr:to>
    <xdr:sp macro="" textlink="">
      <xdr:nvSpPr>
        <xdr:cNvPr id="1513" name="Rectángulo redondeado 23"/>
        <xdr:cNvSpPr>
          <a:spLocks noChangeArrowheads="1"/>
        </xdr:cNvSpPr>
      </xdr:nvSpPr>
      <xdr:spPr bwMode="auto">
        <a:xfrm>
          <a:off x="944090" y="86836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943</xdr:row>
      <xdr:rowOff>59531</xdr:rowOff>
    </xdr:from>
    <xdr:to>
      <xdr:col>1</xdr:col>
      <xdr:colOff>706438</xdr:colOff>
      <xdr:row>943</xdr:row>
      <xdr:rowOff>451113</xdr:rowOff>
    </xdr:to>
    <xdr:sp macro="" textlink="">
      <xdr:nvSpPr>
        <xdr:cNvPr id="1515" name="Rectángulo redondeado 23"/>
        <xdr:cNvSpPr>
          <a:spLocks noChangeArrowheads="1"/>
        </xdr:cNvSpPr>
      </xdr:nvSpPr>
      <xdr:spPr bwMode="auto">
        <a:xfrm>
          <a:off x="928688" y="82129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190500</xdr:colOff>
      <xdr:row>945</xdr:row>
      <xdr:rowOff>47625</xdr:rowOff>
    </xdr:from>
    <xdr:to>
      <xdr:col>1</xdr:col>
      <xdr:colOff>730250</xdr:colOff>
      <xdr:row>945</xdr:row>
      <xdr:rowOff>439207</xdr:rowOff>
    </xdr:to>
    <xdr:sp macro="" textlink="">
      <xdr:nvSpPr>
        <xdr:cNvPr id="1516" name="Rectángulo redondeado 23"/>
        <xdr:cNvSpPr>
          <a:spLocks noChangeArrowheads="1"/>
        </xdr:cNvSpPr>
      </xdr:nvSpPr>
      <xdr:spPr bwMode="auto">
        <a:xfrm>
          <a:off x="952500" y="91440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946</xdr:row>
      <xdr:rowOff>95250</xdr:rowOff>
    </xdr:from>
    <xdr:to>
      <xdr:col>1</xdr:col>
      <xdr:colOff>450056</xdr:colOff>
      <xdr:row>946</xdr:row>
      <xdr:rowOff>361950</xdr:rowOff>
    </xdr:to>
    <xdr:sp macro="" textlink="">
      <xdr:nvSpPr>
        <xdr:cNvPr id="1517" name="Forma libre 6"/>
        <xdr:cNvSpPr>
          <a:spLocks/>
        </xdr:cNvSpPr>
      </xdr:nvSpPr>
      <xdr:spPr bwMode="auto">
        <a:xfrm>
          <a:off x="1154906" y="9705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947</xdr:row>
      <xdr:rowOff>47625</xdr:rowOff>
    </xdr:from>
    <xdr:to>
      <xdr:col>1</xdr:col>
      <xdr:colOff>450057</xdr:colOff>
      <xdr:row>947</xdr:row>
      <xdr:rowOff>314325</xdr:rowOff>
    </xdr:to>
    <xdr:sp macro="" textlink="">
      <xdr:nvSpPr>
        <xdr:cNvPr id="1518" name="Forma libre 6"/>
        <xdr:cNvSpPr>
          <a:spLocks/>
        </xdr:cNvSpPr>
      </xdr:nvSpPr>
      <xdr:spPr bwMode="auto">
        <a:xfrm>
          <a:off x="1154907" y="10086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951</xdr:row>
      <xdr:rowOff>59531</xdr:rowOff>
    </xdr:from>
    <xdr:to>
      <xdr:col>1</xdr:col>
      <xdr:colOff>686594</xdr:colOff>
      <xdr:row>951</xdr:row>
      <xdr:rowOff>61119</xdr:rowOff>
    </xdr:to>
    <xdr:cxnSp macro="">
      <xdr:nvCxnSpPr>
        <xdr:cNvPr id="1519" name="Conector recto 4"/>
        <xdr:cNvCxnSpPr>
          <a:cxnSpLocks noChangeShapeType="1"/>
        </xdr:cNvCxnSpPr>
      </xdr:nvCxnSpPr>
      <xdr:spPr bwMode="auto">
        <a:xfrm>
          <a:off x="867569" y="110418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951</xdr:row>
      <xdr:rowOff>60325</xdr:rowOff>
    </xdr:from>
    <xdr:to>
      <xdr:col>1</xdr:col>
      <xdr:colOff>96838</xdr:colOff>
      <xdr:row>951</xdr:row>
      <xdr:rowOff>136525</xdr:rowOff>
    </xdr:to>
    <xdr:cxnSp macro="">
      <xdr:nvCxnSpPr>
        <xdr:cNvPr id="1520" name="Conector recto 7"/>
        <xdr:cNvCxnSpPr>
          <a:cxnSpLocks noChangeShapeType="1"/>
        </xdr:cNvCxnSpPr>
      </xdr:nvCxnSpPr>
      <xdr:spPr bwMode="auto">
        <a:xfrm rot="5400000">
          <a:off x="819944" y="110799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122239</xdr:colOff>
      <xdr:row>952</xdr:row>
      <xdr:rowOff>116682</xdr:rowOff>
    </xdr:from>
    <xdr:to>
      <xdr:col>1</xdr:col>
      <xdr:colOff>703264</xdr:colOff>
      <xdr:row>952</xdr:row>
      <xdr:rowOff>118270</xdr:rowOff>
    </xdr:to>
    <xdr:cxnSp macro="">
      <xdr:nvCxnSpPr>
        <xdr:cNvPr id="1521" name="Conector recto 12"/>
        <xdr:cNvCxnSpPr>
          <a:cxnSpLocks noChangeShapeType="1"/>
        </xdr:cNvCxnSpPr>
      </xdr:nvCxnSpPr>
      <xdr:spPr bwMode="auto">
        <a:xfrm>
          <a:off x="884239" y="1128950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111920</xdr:colOff>
      <xdr:row>952</xdr:row>
      <xdr:rowOff>31751</xdr:rowOff>
    </xdr:from>
    <xdr:to>
      <xdr:col>1</xdr:col>
      <xdr:colOff>113508</xdr:colOff>
      <xdr:row>952</xdr:row>
      <xdr:rowOff>107951</xdr:rowOff>
    </xdr:to>
    <xdr:cxnSp macro="">
      <xdr:nvCxnSpPr>
        <xdr:cNvPr id="1522" name="Conector recto 13"/>
        <xdr:cNvCxnSpPr>
          <a:cxnSpLocks noChangeShapeType="1"/>
        </xdr:cNvCxnSpPr>
      </xdr:nvCxnSpPr>
      <xdr:spPr bwMode="auto">
        <a:xfrm rot="5400000">
          <a:off x="836614" y="112418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119858</xdr:colOff>
      <xdr:row>953</xdr:row>
      <xdr:rowOff>126207</xdr:rowOff>
    </xdr:from>
    <xdr:to>
      <xdr:col>1</xdr:col>
      <xdr:colOff>700883</xdr:colOff>
      <xdr:row>953</xdr:row>
      <xdr:rowOff>127795</xdr:rowOff>
    </xdr:to>
    <xdr:cxnSp macro="">
      <xdr:nvCxnSpPr>
        <xdr:cNvPr id="1523" name="Conector recto 12"/>
        <xdr:cNvCxnSpPr>
          <a:cxnSpLocks noChangeShapeType="1"/>
        </xdr:cNvCxnSpPr>
      </xdr:nvCxnSpPr>
      <xdr:spPr bwMode="auto">
        <a:xfrm>
          <a:off x="881858" y="114895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109539</xdr:colOff>
      <xdr:row>953</xdr:row>
      <xdr:rowOff>41276</xdr:rowOff>
    </xdr:from>
    <xdr:to>
      <xdr:col>1</xdr:col>
      <xdr:colOff>111127</xdr:colOff>
      <xdr:row>953</xdr:row>
      <xdr:rowOff>117476</xdr:rowOff>
    </xdr:to>
    <xdr:cxnSp macro="">
      <xdr:nvCxnSpPr>
        <xdr:cNvPr id="1524" name="Conector recto 13"/>
        <xdr:cNvCxnSpPr>
          <a:cxnSpLocks noChangeShapeType="1"/>
        </xdr:cNvCxnSpPr>
      </xdr:nvCxnSpPr>
      <xdr:spPr bwMode="auto">
        <a:xfrm rot="5400000">
          <a:off x="834233" y="1144190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954</xdr:row>
      <xdr:rowOff>146844</xdr:rowOff>
    </xdr:from>
    <xdr:to>
      <xdr:col>1</xdr:col>
      <xdr:colOff>712788</xdr:colOff>
      <xdr:row>954</xdr:row>
      <xdr:rowOff>148432</xdr:rowOff>
    </xdr:to>
    <xdr:cxnSp macro="">
      <xdr:nvCxnSpPr>
        <xdr:cNvPr id="1525" name="Conector recto 12"/>
        <xdr:cNvCxnSpPr>
          <a:cxnSpLocks noChangeShapeType="1"/>
        </xdr:cNvCxnSpPr>
      </xdr:nvCxnSpPr>
      <xdr:spPr bwMode="auto">
        <a:xfrm>
          <a:off x="893763" y="117006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954</xdr:row>
      <xdr:rowOff>61913</xdr:rowOff>
    </xdr:from>
    <xdr:to>
      <xdr:col>1</xdr:col>
      <xdr:colOff>123032</xdr:colOff>
      <xdr:row>954</xdr:row>
      <xdr:rowOff>138113</xdr:rowOff>
    </xdr:to>
    <xdr:cxnSp macro="">
      <xdr:nvCxnSpPr>
        <xdr:cNvPr id="1526" name="Conector recto 13"/>
        <xdr:cNvCxnSpPr>
          <a:cxnSpLocks noChangeShapeType="1"/>
        </xdr:cNvCxnSpPr>
      </xdr:nvCxnSpPr>
      <xdr:spPr bwMode="auto">
        <a:xfrm rot="5400000">
          <a:off x="846138" y="11653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955</xdr:row>
      <xdr:rowOff>71438</xdr:rowOff>
    </xdr:from>
    <xdr:to>
      <xdr:col>1</xdr:col>
      <xdr:colOff>690563</xdr:colOff>
      <xdr:row>955</xdr:row>
      <xdr:rowOff>73026</xdr:rowOff>
    </xdr:to>
    <xdr:cxnSp macro="">
      <xdr:nvCxnSpPr>
        <xdr:cNvPr id="1527" name="Conector recto 12"/>
        <xdr:cNvCxnSpPr>
          <a:cxnSpLocks noChangeShapeType="1"/>
        </xdr:cNvCxnSpPr>
      </xdr:nvCxnSpPr>
      <xdr:spPr bwMode="auto">
        <a:xfrm>
          <a:off x="871538" y="11815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956</xdr:row>
      <xdr:rowOff>71438</xdr:rowOff>
    </xdr:from>
    <xdr:to>
      <xdr:col>1</xdr:col>
      <xdr:colOff>690563</xdr:colOff>
      <xdr:row>956</xdr:row>
      <xdr:rowOff>73026</xdr:rowOff>
    </xdr:to>
    <xdr:cxnSp macro="">
      <xdr:nvCxnSpPr>
        <xdr:cNvPr id="1528" name="Conector recto 12"/>
        <xdr:cNvCxnSpPr>
          <a:cxnSpLocks noChangeShapeType="1"/>
        </xdr:cNvCxnSpPr>
      </xdr:nvCxnSpPr>
      <xdr:spPr bwMode="auto">
        <a:xfrm>
          <a:off x="871538" y="12006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957</xdr:row>
      <xdr:rowOff>71438</xdr:rowOff>
    </xdr:from>
    <xdr:to>
      <xdr:col>1</xdr:col>
      <xdr:colOff>690563</xdr:colOff>
      <xdr:row>957</xdr:row>
      <xdr:rowOff>73026</xdr:rowOff>
    </xdr:to>
    <xdr:cxnSp macro="">
      <xdr:nvCxnSpPr>
        <xdr:cNvPr id="1529" name="Conector recto 12"/>
        <xdr:cNvCxnSpPr>
          <a:cxnSpLocks noChangeShapeType="1"/>
        </xdr:cNvCxnSpPr>
      </xdr:nvCxnSpPr>
      <xdr:spPr bwMode="auto">
        <a:xfrm>
          <a:off x="871538" y="12196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958</xdr:row>
      <xdr:rowOff>52388</xdr:rowOff>
    </xdr:from>
    <xdr:to>
      <xdr:col>1</xdr:col>
      <xdr:colOff>690563</xdr:colOff>
      <xdr:row>958</xdr:row>
      <xdr:rowOff>53976</xdr:rowOff>
    </xdr:to>
    <xdr:cxnSp macro="">
      <xdr:nvCxnSpPr>
        <xdr:cNvPr id="1530" name="Conector recto 12"/>
        <xdr:cNvCxnSpPr>
          <a:cxnSpLocks noChangeShapeType="1"/>
        </xdr:cNvCxnSpPr>
      </xdr:nvCxnSpPr>
      <xdr:spPr bwMode="auto">
        <a:xfrm>
          <a:off x="871538" y="12368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959</xdr:row>
      <xdr:rowOff>52388</xdr:rowOff>
    </xdr:from>
    <xdr:to>
      <xdr:col>1</xdr:col>
      <xdr:colOff>690563</xdr:colOff>
      <xdr:row>959</xdr:row>
      <xdr:rowOff>53976</xdr:rowOff>
    </xdr:to>
    <xdr:cxnSp macro="">
      <xdr:nvCxnSpPr>
        <xdr:cNvPr id="1531" name="Conector recto 12"/>
        <xdr:cNvCxnSpPr>
          <a:cxnSpLocks noChangeShapeType="1"/>
        </xdr:cNvCxnSpPr>
      </xdr:nvCxnSpPr>
      <xdr:spPr bwMode="auto">
        <a:xfrm>
          <a:off x="871538" y="125587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960</xdr:row>
      <xdr:rowOff>52388</xdr:rowOff>
    </xdr:from>
    <xdr:to>
      <xdr:col>1</xdr:col>
      <xdr:colOff>690563</xdr:colOff>
      <xdr:row>960</xdr:row>
      <xdr:rowOff>53976</xdr:rowOff>
    </xdr:to>
    <xdr:cxnSp macro="">
      <xdr:nvCxnSpPr>
        <xdr:cNvPr id="1532" name="Conector recto 12"/>
        <xdr:cNvCxnSpPr>
          <a:cxnSpLocks noChangeShapeType="1"/>
        </xdr:cNvCxnSpPr>
      </xdr:nvCxnSpPr>
      <xdr:spPr bwMode="auto">
        <a:xfrm>
          <a:off x="871538" y="12749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961</xdr:row>
      <xdr:rowOff>88372</xdr:rowOff>
    </xdr:from>
    <xdr:to>
      <xdr:col>1</xdr:col>
      <xdr:colOff>669397</xdr:colOff>
      <xdr:row>961</xdr:row>
      <xdr:rowOff>89960</xdr:rowOff>
    </xdr:to>
    <xdr:cxnSp macro="">
      <xdr:nvCxnSpPr>
        <xdr:cNvPr id="1533" name="Conector recto 12"/>
        <xdr:cNvCxnSpPr>
          <a:cxnSpLocks noChangeShapeType="1"/>
        </xdr:cNvCxnSpPr>
      </xdr:nvCxnSpPr>
      <xdr:spPr bwMode="auto">
        <a:xfrm>
          <a:off x="850372" y="12975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963</xdr:row>
      <xdr:rowOff>88372</xdr:rowOff>
    </xdr:from>
    <xdr:to>
      <xdr:col>1</xdr:col>
      <xdr:colOff>669397</xdr:colOff>
      <xdr:row>963</xdr:row>
      <xdr:rowOff>89960</xdr:rowOff>
    </xdr:to>
    <xdr:cxnSp macro="">
      <xdr:nvCxnSpPr>
        <xdr:cNvPr id="1534" name="Conector recto 12"/>
        <xdr:cNvCxnSpPr>
          <a:cxnSpLocks noChangeShapeType="1"/>
        </xdr:cNvCxnSpPr>
      </xdr:nvCxnSpPr>
      <xdr:spPr bwMode="auto">
        <a:xfrm>
          <a:off x="850372" y="13356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964</xdr:row>
      <xdr:rowOff>88372</xdr:rowOff>
    </xdr:from>
    <xdr:to>
      <xdr:col>1</xdr:col>
      <xdr:colOff>669397</xdr:colOff>
      <xdr:row>964</xdr:row>
      <xdr:rowOff>89960</xdr:rowOff>
    </xdr:to>
    <xdr:cxnSp macro="">
      <xdr:nvCxnSpPr>
        <xdr:cNvPr id="1535" name="Conector recto 12"/>
        <xdr:cNvCxnSpPr>
          <a:cxnSpLocks noChangeShapeType="1"/>
        </xdr:cNvCxnSpPr>
      </xdr:nvCxnSpPr>
      <xdr:spPr bwMode="auto">
        <a:xfrm>
          <a:off x="850372" y="135471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965</xdr:row>
      <xdr:rowOff>82022</xdr:rowOff>
    </xdr:from>
    <xdr:to>
      <xdr:col>1</xdr:col>
      <xdr:colOff>652463</xdr:colOff>
      <xdr:row>965</xdr:row>
      <xdr:rowOff>83610</xdr:rowOff>
    </xdr:to>
    <xdr:cxnSp macro="">
      <xdr:nvCxnSpPr>
        <xdr:cNvPr id="1536" name="Conector recto 12"/>
        <xdr:cNvCxnSpPr>
          <a:cxnSpLocks noChangeShapeType="1"/>
        </xdr:cNvCxnSpPr>
      </xdr:nvCxnSpPr>
      <xdr:spPr bwMode="auto">
        <a:xfrm>
          <a:off x="833438" y="137313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966</xdr:row>
      <xdr:rowOff>83344</xdr:rowOff>
    </xdr:from>
    <xdr:to>
      <xdr:col>1</xdr:col>
      <xdr:colOff>676275</xdr:colOff>
      <xdr:row>966</xdr:row>
      <xdr:rowOff>84932</xdr:rowOff>
    </xdr:to>
    <xdr:cxnSp macro="">
      <xdr:nvCxnSpPr>
        <xdr:cNvPr id="1537" name="Conector recto 12"/>
        <xdr:cNvCxnSpPr>
          <a:cxnSpLocks noChangeShapeType="1"/>
        </xdr:cNvCxnSpPr>
      </xdr:nvCxnSpPr>
      <xdr:spPr bwMode="auto">
        <a:xfrm>
          <a:off x="857250" y="139231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962</xdr:row>
      <xdr:rowOff>116681</xdr:rowOff>
    </xdr:from>
    <xdr:to>
      <xdr:col>1</xdr:col>
      <xdr:colOff>673894</xdr:colOff>
      <xdr:row>962</xdr:row>
      <xdr:rowOff>118269</xdr:rowOff>
    </xdr:to>
    <xdr:cxnSp macro="">
      <xdr:nvCxnSpPr>
        <xdr:cNvPr id="1538" name="Conector recto 12"/>
        <xdr:cNvCxnSpPr>
          <a:cxnSpLocks noChangeShapeType="1"/>
        </xdr:cNvCxnSpPr>
      </xdr:nvCxnSpPr>
      <xdr:spPr bwMode="auto">
        <a:xfrm>
          <a:off x="854869" y="13194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969</xdr:row>
      <xdr:rowOff>76737</xdr:rowOff>
    </xdr:from>
    <xdr:to>
      <xdr:col>1</xdr:col>
      <xdr:colOff>649079</xdr:colOff>
      <xdr:row>969</xdr:row>
      <xdr:rowOff>139632</xdr:rowOff>
    </xdr:to>
    <xdr:grpSp>
      <xdr:nvGrpSpPr>
        <xdr:cNvPr id="1540" name="Grupo 273"/>
        <xdr:cNvGrpSpPr>
          <a:grpSpLocks/>
        </xdr:cNvGrpSpPr>
      </xdr:nvGrpSpPr>
      <xdr:grpSpPr bwMode="auto">
        <a:xfrm>
          <a:off x="1225870" y="17602737"/>
          <a:ext cx="534459" cy="62895"/>
          <a:chOff x="10648950" y="5124450"/>
          <a:chExt cx="1085850" cy="95250"/>
        </a:xfrm>
      </xdr:grpSpPr>
      <xdr:cxnSp macro="">
        <xdr:nvCxnSpPr>
          <xdr:cNvPr id="154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969</xdr:row>
      <xdr:rowOff>189448</xdr:rowOff>
    </xdr:from>
    <xdr:to>
      <xdr:col>1</xdr:col>
      <xdr:colOff>663895</xdr:colOff>
      <xdr:row>970</xdr:row>
      <xdr:rowOff>61843</xdr:rowOff>
    </xdr:to>
    <xdr:grpSp>
      <xdr:nvGrpSpPr>
        <xdr:cNvPr id="1544" name="Grupo 273"/>
        <xdr:cNvGrpSpPr>
          <a:grpSpLocks/>
        </xdr:cNvGrpSpPr>
      </xdr:nvGrpSpPr>
      <xdr:grpSpPr bwMode="auto">
        <a:xfrm>
          <a:off x="1240686" y="17715448"/>
          <a:ext cx="534459" cy="126395"/>
          <a:chOff x="10648950" y="5124450"/>
          <a:chExt cx="1085850" cy="95250"/>
        </a:xfrm>
      </xdr:grpSpPr>
      <xdr:cxnSp macro="">
        <xdr:nvCxnSpPr>
          <xdr:cNvPr id="154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112239</xdr:colOff>
      <xdr:row>972</xdr:row>
      <xdr:rowOff>86260</xdr:rowOff>
    </xdr:from>
    <xdr:to>
      <xdr:col>1</xdr:col>
      <xdr:colOff>646698</xdr:colOff>
      <xdr:row>972</xdr:row>
      <xdr:rowOff>149155</xdr:rowOff>
    </xdr:to>
    <xdr:grpSp>
      <xdr:nvGrpSpPr>
        <xdr:cNvPr id="1547" name="Grupo 273"/>
        <xdr:cNvGrpSpPr>
          <a:grpSpLocks/>
        </xdr:cNvGrpSpPr>
      </xdr:nvGrpSpPr>
      <xdr:grpSpPr bwMode="auto">
        <a:xfrm>
          <a:off x="1223489" y="18374260"/>
          <a:ext cx="534459" cy="62895"/>
          <a:chOff x="10648950" y="5124450"/>
          <a:chExt cx="1085850" cy="95250"/>
        </a:xfrm>
      </xdr:grpSpPr>
      <xdr:cxnSp macro="">
        <xdr:nvCxnSpPr>
          <xdr:cNvPr id="154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115149</xdr:colOff>
      <xdr:row>971</xdr:row>
      <xdr:rowOff>68004</xdr:rowOff>
    </xdr:from>
    <xdr:to>
      <xdr:col>1</xdr:col>
      <xdr:colOff>649608</xdr:colOff>
      <xdr:row>971</xdr:row>
      <xdr:rowOff>130899</xdr:rowOff>
    </xdr:to>
    <xdr:grpSp>
      <xdr:nvGrpSpPr>
        <xdr:cNvPr id="1550" name="Grupo 273"/>
        <xdr:cNvGrpSpPr>
          <a:grpSpLocks/>
        </xdr:cNvGrpSpPr>
      </xdr:nvGrpSpPr>
      <xdr:grpSpPr bwMode="auto">
        <a:xfrm>
          <a:off x="1226399" y="18102004"/>
          <a:ext cx="534459" cy="62895"/>
          <a:chOff x="10648950" y="5124450"/>
          <a:chExt cx="1085850" cy="95250"/>
        </a:xfrm>
      </xdr:grpSpPr>
      <xdr:cxnSp macro="">
        <xdr:nvCxnSpPr>
          <xdr:cNvPr id="155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119063</xdr:colOff>
      <xdr:row>973</xdr:row>
      <xdr:rowOff>47625</xdr:rowOff>
    </xdr:from>
    <xdr:to>
      <xdr:col>1</xdr:col>
      <xdr:colOff>658813</xdr:colOff>
      <xdr:row>973</xdr:row>
      <xdr:rowOff>439207</xdr:rowOff>
    </xdr:to>
    <xdr:sp macro="" textlink="">
      <xdr:nvSpPr>
        <xdr:cNvPr id="1553" name="Rectángulo redondeado 23"/>
        <xdr:cNvSpPr>
          <a:spLocks noChangeArrowheads="1"/>
        </xdr:cNvSpPr>
      </xdr:nvSpPr>
      <xdr:spPr bwMode="auto">
        <a:xfrm>
          <a:off x="881063" y="152304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127473</xdr:colOff>
      <xdr:row>974</xdr:row>
      <xdr:rowOff>22217</xdr:rowOff>
    </xdr:from>
    <xdr:to>
      <xdr:col>1</xdr:col>
      <xdr:colOff>667223</xdr:colOff>
      <xdr:row>974</xdr:row>
      <xdr:rowOff>413799</xdr:rowOff>
    </xdr:to>
    <xdr:sp macro="" textlink="">
      <xdr:nvSpPr>
        <xdr:cNvPr id="1554" name="Rectángulo redondeado 23"/>
        <xdr:cNvSpPr>
          <a:spLocks noChangeArrowheads="1"/>
        </xdr:cNvSpPr>
      </xdr:nvSpPr>
      <xdr:spPr bwMode="auto">
        <a:xfrm>
          <a:off x="889473" y="1569084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82550</xdr:colOff>
      <xdr:row>1004</xdr:row>
      <xdr:rowOff>59531</xdr:rowOff>
    </xdr:from>
    <xdr:to>
      <xdr:col>1</xdr:col>
      <xdr:colOff>664369</xdr:colOff>
      <xdr:row>1005</xdr:row>
      <xdr:rowOff>11905</xdr:rowOff>
    </xdr:to>
    <xdr:grpSp>
      <xdr:nvGrpSpPr>
        <xdr:cNvPr id="1555" name="387 Grupo"/>
        <xdr:cNvGrpSpPr/>
      </xdr:nvGrpSpPr>
      <xdr:grpSpPr>
        <a:xfrm>
          <a:off x="1193800" y="26475531"/>
          <a:ext cx="581819" cy="206374"/>
          <a:chOff x="844550" y="22336125"/>
          <a:chExt cx="581819" cy="142874"/>
        </a:xfrm>
      </xdr:grpSpPr>
      <xdr:cxnSp macro="">
        <xdr:nvCxnSpPr>
          <xdr:cNvPr id="1556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7" name="358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8" name="359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127000</xdr:colOff>
      <xdr:row>1006</xdr:row>
      <xdr:rowOff>156369</xdr:rowOff>
    </xdr:from>
    <xdr:to>
      <xdr:col>1</xdr:col>
      <xdr:colOff>727075</xdr:colOff>
      <xdr:row>1006</xdr:row>
      <xdr:rowOff>159091</xdr:rowOff>
    </xdr:to>
    <xdr:cxnSp macro="">
      <xdr:nvCxnSpPr>
        <xdr:cNvPr id="1559" name="Conector recto 16"/>
        <xdr:cNvCxnSpPr>
          <a:cxnSpLocks noChangeShapeType="1"/>
        </xdr:cNvCxnSpPr>
      </xdr:nvCxnSpPr>
      <xdr:spPr bwMode="auto">
        <a:xfrm>
          <a:off x="889000" y="2279729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126206</xdr:colOff>
      <xdr:row>1006</xdr:row>
      <xdr:rowOff>71438</xdr:rowOff>
    </xdr:from>
    <xdr:to>
      <xdr:col>1</xdr:col>
      <xdr:colOff>127794</xdr:colOff>
      <xdr:row>1006</xdr:row>
      <xdr:rowOff>147638</xdr:rowOff>
    </xdr:to>
    <xdr:cxnSp macro="">
      <xdr:nvCxnSpPr>
        <xdr:cNvPr id="1560" name="Conector recto 13"/>
        <xdr:cNvCxnSpPr>
          <a:cxnSpLocks noChangeShapeType="1"/>
        </xdr:cNvCxnSpPr>
      </xdr:nvCxnSpPr>
      <xdr:spPr bwMode="auto">
        <a:xfrm rot="5400000">
          <a:off x="850900" y="2274966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1007</xdr:row>
      <xdr:rowOff>2</xdr:rowOff>
    </xdr:from>
    <xdr:to>
      <xdr:col>1</xdr:col>
      <xdr:colOff>702469</xdr:colOff>
      <xdr:row>1007</xdr:row>
      <xdr:rowOff>166689</xdr:rowOff>
    </xdr:to>
    <xdr:grpSp>
      <xdr:nvGrpSpPr>
        <xdr:cNvPr id="1561" name="378 Grupo"/>
        <xdr:cNvGrpSpPr/>
      </xdr:nvGrpSpPr>
      <xdr:grpSpPr>
        <a:xfrm>
          <a:off x="1232694" y="27178002"/>
          <a:ext cx="581025" cy="166687"/>
          <a:chOff x="888207" y="22645689"/>
          <a:chExt cx="581025" cy="166687"/>
        </a:xfrm>
      </xdr:grpSpPr>
      <xdr:cxnSp macro="">
        <xdr:nvCxnSpPr>
          <xdr:cNvPr id="1562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3" name="380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4" name="381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119063</xdr:colOff>
      <xdr:row>1008</xdr:row>
      <xdr:rowOff>33339</xdr:rowOff>
    </xdr:from>
    <xdr:to>
      <xdr:col>1</xdr:col>
      <xdr:colOff>700088</xdr:colOff>
      <xdr:row>1009</xdr:row>
      <xdr:rowOff>9526</xdr:rowOff>
    </xdr:to>
    <xdr:grpSp>
      <xdr:nvGrpSpPr>
        <xdr:cNvPr id="1565" name="382 Grupo"/>
        <xdr:cNvGrpSpPr/>
      </xdr:nvGrpSpPr>
      <xdr:grpSpPr>
        <a:xfrm>
          <a:off x="1230313" y="27465339"/>
          <a:ext cx="581025" cy="230187"/>
          <a:chOff x="888207" y="22645689"/>
          <a:chExt cx="581025" cy="166687"/>
        </a:xfrm>
      </xdr:grpSpPr>
      <xdr:cxnSp macro="">
        <xdr:nvCxnSpPr>
          <xdr:cNvPr id="1566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7" name="384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8" name="385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150018</xdr:colOff>
      <xdr:row>1009</xdr:row>
      <xdr:rowOff>130970</xdr:rowOff>
    </xdr:from>
    <xdr:to>
      <xdr:col>1</xdr:col>
      <xdr:colOff>731043</xdr:colOff>
      <xdr:row>1009</xdr:row>
      <xdr:rowOff>132558</xdr:rowOff>
    </xdr:to>
    <xdr:cxnSp macro="">
      <xdr:nvCxnSpPr>
        <xdr:cNvPr id="1569" name="Conector recto 12"/>
        <xdr:cNvCxnSpPr>
          <a:cxnSpLocks noChangeShapeType="1"/>
        </xdr:cNvCxnSpPr>
      </xdr:nvCxnSpPr>
      <xdr:spPr bwMode="auto">
        <a:xfrm>
          <a:off x="912018" y="233433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92075</xdr:colOff>
      <xdr:row>1005</xdr:row>
      <xdr:rowOff>69056</xdr:rowOff>
    </xdr:from>
    <xdr:to>
      <xdr:col>1</xdr:col>
      <xdr:colOff>673894</xdr:colOff>
      <xdr:row>1006</xdr:row>
      <xdr:rowOff>21430</xdr:rowOff>
    </xdr:to>
    <xdr:grpSp>
      <xdr:nvGrpSpPr>
        <xdr:cNvPr id="1570" name="388 Grupo"/>
        <xdr:cNvGrpSpPr/>
      </xdr:nvGrpSpPr>
      <xdr:grpSpPr>
        <a:xfrm>
          <a:off x="1203325" y="26739056"/>
          <a:ext cx="581819" cy="206374"/>
          <a:chOff x="844550" y="22336125"/>
          <a:chExt cx="581819" cy="142874"/>
        </a:xfrm>
      </xdr:grpSpPr>
      <xdr:cxnSp macro="">
        <xdr:nvCxnSpPr>
          <xdr:cNvPr id="1571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2" name="390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3" name="391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1010</xdr:row>
      <xdr:rowOff>95250</xdr:rowOff>
    </xdr:from>
    <xdr:to>
      <xdr:col>1</xdr:col>
      <xdr:colOff>747713</xdr:colOff>
      <xdr:row>1010</xdr:row>
      <xdr:rowOff>96838</xdr:rowOff>
    </xdr:to>
    <xdr:cxnSp macro="">
      <xdr:nvCxnSpPr>
        <xdr:cNvPr id="1574" name="Conector recto 12"/>
        <xdr:cNvCxnSpPr>
          <a:cxnSpLocks noChangeShapeType="1"/>
        </xdr:cNvCxnSpPr>
      </xdr:nvCxnSpPr>
      <xdr:spPr bwMode="auto">
        <a:xfrm>
          <a:off x="928688" y="23498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339870</xdr:colOff>
      <xdr:row>1011</xdr:row>
      <xdr:rowOff>35719</xdr:rowOff>
    </xdr:from>
    <xdr:to>
      <xdr:col>1</xdr:col>
      <xdr:colOff>762000</xdr:colOff>
      <xdr:row>1011</xdr:row>
      <xdr:rowOff>329046</xdr:rowOff>
    </xdr:to>
    <xdr:sp macro="" textlink="">
      <xdr:nvSpPr>
        <xdr:cNvPr id="1575" name="Rectángulo redondeado 23"/>
        <xdr:cNvSpPr>
          <a:spLocks noChangeArrowheads="1"/>
        </xdr:cNvSpPr>
      </xdr:nvSpPr>
      <xdr:spPr bwMode="auto">
        <a:xfrm>
          <a:off x="19078143" y="28818537"/>
          <a:ext cx="422130" cy="29332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141288</xdr:colOff>
      <xdr:row>1015</xdr:row>
      <xdr:rowOff>59532</xdr:rowOff>
    </xdr:from>
    <xdr:to>
      <xdr:col>1</xdr:col>
      <xdr:colOff>722313</xdr:colOff>
      <xdr:row>1015</xdr:row>
      <xdr:rowOff>61120</xdr:rowOff>
    </xdr:to>
    <xdr:cxnSp macro="">
      <xdr:nvCxnSpPr>
        <xdr:cNvPr id="1576" name="Conector recto 4"/>
        <xdr:cNvCxnSpPr>
          <a:cxnSpLocks noChangeShapeType="1"/>
        </xdr:cNvCxnSpPr>
      </xdr:nvCxnSpPr>
      <xdr:spPr bwMode="auto">
        <a:xfrm>
          <a:off x="903288" y="24691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1015</xdr:row>
      <xdr:rowOff>60326</xdr:rowOff>
    </xdr:from>
    <xdr:to>
      <xdr:col>1</xdr:col>
      <xdr:colOff>132557</xdr:colOff>
      <xdr:row>1015</xdr:row>
      <xdr:rowOff>136526</xdr:rowOff>
    </xdr:to>
    <xdr:cxnSp macro="">
      <xdr:nvCxnSpPr>
        <xdr:cNvPr id="1577" name="Conector recto 7"/>
        <xdr:cNvCxnSpPr>
          <a:cxnSpLocks noChangeShapeType="1"/>
        </xdr:cNvCxnSpPr>
      </xdr:nvCxnSpPr>
      <xdr:spPr bwMode="auto">
        <a:xfrm rot="5400000">
          <a:off x="855663" y="24729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145521</xdr:colOff>
      <xdr:row>1016</xdr:row>
      <xdr:rowOff>53182</xdr:rowOff>
    </xdr:from>
    <xdr:to>
      <xdr:col>1</xdr:col>
      <xdr:colOff>726546</xdr:colOff>
      <xdr:row>1016</xdr:row>
      <xdr:rowOff>54770</xdr:rowOff>
    </xdr:to>
    <xdr:cxnSp macro="">
      <xdr:nvCxnSpPr>
        <xdr:cNvPr id="1578" name="Conector recto 4"/>
        <xdr:cNvCxnSpPr>
          <a:cxnSpLocks noChangeShapeType="1"/>
        </xdr:cNvCxnSpPr>
      </xdr:nvCxnSpPr>
      <xdr:spPr bwMode="auto">
        <a:xfrm>
          <a:off x="907521" y="248753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135202</xdr:colOff>
      <xdr:row>1016</xdr:row>
      <xdr:rowOff>53976</xdr:rowOff>
    </xdr:from>
    <xdr:to>
      <xdr:col>1</xdr:col>
      <xdr:colOff>136790</xdr:colOff>
      <xdr:row>1016</xdr:row>
      <xdr:rowOff>130176</xdr:rowOff>
    </xdr:to>
    <xdr:cxnSp macro="">
      <xdr:nvCxnSpPr>
        <xdr:cNvPr id="1579" name="Conector recto 7"/>
        <xdr:cNvCxnSpPr>
          <a:cxnSpLocks noChangeShapeType="1"/>
        </xdr:cNvCxnSpPr>
      </xdr:nvCxnSpPr>
      <xdr:spPr bwMode="auto">
        <a:xfrm rot="5400000">
          <a:off x="859896" y="249134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155576</xdr:colOff>
      <xdr:row>1017</xdr:row>
      <xdr:rowOff>156369</xdr:rowOff>
    </xdr:from>
    <xdr:to>
      <xdr:col>1</xdr:col>
      <xdr:colOff>755651</xdr:colOff>
      <xdr:row>1017</xdr:row>
      <xdr:rowOff>159091</xdr:rowOff>
    </xdr:to>
    <xdr:cxnSp macro="">
      <xdr:nvCxnSpPr>
        <xdr:cNvPr id="1580" name="Conector recto 16"/>
        <xdr:cNvCxnSpPr>
          <a:cxnSpLocks noChangeShapeType="1"/>
        </xdr:cNvCxnSpPr>
      </xdr:nvCxnSpPr>
      <xdr:spPr bwMode="auto">
        <a:xfrm>
          <a:off x="917576" y="251690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1017</xdr:row>
      <xdr:rowOff>71438</xdr:rowOff>
    </xdr:from>
    <xdr:to>
      <xdr:col>1</xdr:col>
      <xdr:colOff>156370</xdr:colOff>
      <xdr:row>1017</xdr:row>
      <xdr:rowOff>147638</xdr:rowOff>
    </xdr:to>
    <xdr:cxnSp macro="">
      <xdr:nvCxnSpPr>
        <xdr:cNvPr id="1581" name="Conector recto 13"/>
        <xdr:cNvCxnSpPr>
          <a:cxnSpLocks noChangeShapeType="1"/>
        </xdr:cNvCxnSpPr>
      </xdr:nvCxnSpPr>
      <xdr:spPr bwMode="auto">
        <a:xfrm rot="5400000">
          <a:off x="879476" y="251213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165101</xdr:colOff>
      <xdr:row>1018</xdr:row>
      <xdr:rowOff>118269</xdr:rowOff>
    </xdr:from>
    <xdr:to>
      <xdr:col>1</xdr:col>
      <xdr:colOff>765176</xdr:colOff>
      <xdr:row>1018</xdr:row>
      <xdr:rowOff>120991</xdr:rowOff>
    </xdr:to>
    <xdr:cxnSp macro="">
      <xdr:nvCxnSpPr>
        <xdr:cNvPr id="1582" name="Conector recto 16"/>
        <xdr:cNvCxnSpPr>
          <a:cxnSpLocks noChangeShapeType="1"/>
        </xdr:cNvCxnSpPr>
      </xdr:nvCxnSpPr>
      <xdr:spPr bwMode="auto">
        <a:xfrm>
          <a:off x="927101" y="253214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164307</xdr:colOff>
      <xdr:row>1018</xdr:row>
      <xdr:rowOff>33338</xdr:rowOff>
    </xdr:from>
    <xdr:to>
      <xdr:col>1</xdr:col>
      <xdr:colOff>165895</xdr:colOff>
      <xdr:row>1018</xdr:row>
      <xdr:rowOff>109538</xdr:rowOff>
    </xdr:to>
    <xdr:cxnSp macro="">
      <xdr:nvCxnSpPr>
        <xdr:cNvPr id="1583" name="Conector recto 13"/>
        <xdr:cNvCxnSpPr>
          <a:cxnSpLocks noChangeShapeType="1"/>
        </xdr:cNvCxnSpPr>
      </xdr:nvCxnSpPr>
      <xdr:spPr bwMode="auto">
        <a:xfrm rot="5400000">
          <a:off x="889001" y="252737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1019</xdr:row>
      <xdr:rowOff>71437</xdr:rowOff>
    </xdr:from>
    <xdr:to>
      <xdr:col>1</xdr:col>
      <xdr:colOff>740834</xdr:colOff>
      <xdr:row>1019</xdr:row>
      <xdr:rowOff>73025</xdr:rowOff>
    </xdr:to>
    <xdr:cxnSp macro="">
      <xdr:nvCxnSpPr>
        <xdr:cNvPr id="1584" name="Conector recto 12"/>
        <xdr:cNvCxnSpPr>
          <a:cxnSpLocks noChangeShapeType="1"/>
        </xdr:cNvCxnSpPr>
      </xdr:nvCxnSpPr>
      <xdr:spPr bwMode="auto">
        <a:xfrm>
          <a:off x="921809" y="25465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1020</xdr:row>
      <xdr:rowOff>71437</xdr:rowOff>
    </xdr:from>
    <xdr:to>
      <xdr:col>1</xdr:col>
      <xdr:colOff>740834</xdr:colOff>
      <xdr:row>1020</xdr:row>
      <xdr:rowOff>73025</xdr:rowOff>
    </xdr:to>
    <xdr:cxnSp macro="">
      <xdr:nvCxnSpPr>
        <xdr:cNvPr id="1585" name="Conector recto 12"/>
        <xdr:cNvCxnSpPr>
          <a:cxnSpLocks noChangeShapeType="1"/>
        </xdr:cNvCxnSpPr>
      </xdr:nvCxnSpPr>
      <xdr:spPr bwMode="auto">
        <a:xfrm>
          <a:off x="921809" y="256555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1021</xdr:row>
      <xdr:rowOff>71437</xdr:rowOff>
    </xdr:from>
    <xdr:to>
      <xdr:col>1</xdr:col>
      <xdr:colOff>740834</xdr:colOff>
      <xdr:row>1021</xdr:row>
      <xdr:rowOff>73025</xdr:rowOff>
    </xdr:to>
    <xdr:cxnSp macro="">
      <xdr:nvCxnSpPr>
        <xdr:cNvPr id="1586" name="Conector recto 12"/>
        <xdr:cNvCxnSpPr>
          <a:cxnSpLocks noChangeShapeType="1"/>
        </xdr:cNvCxnSpPr>
      </xdr:nvCxnSpPr>
      <xdr:spPr bwMode="auto">
        <a:xfrm>
          <a:off x="921809" y="25846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162245</xdr:colOff>
      <xdr:row>1024</xdr:row>
      <xdr:rowOff>38635</xdr:rowOff>
    </xdr:from>
    <xdr:to>
      <xdr:col>1</xdr:col>
      <xdr:colOff>696704</xdr:colOff>
      <xdr:row>1024</xdr:row>
      <xdr:rowOff>101530</xdr:rowOff>
    </xdr:to>
    <xdr:grpSp>
      <xdr:nvGrpSpPr>
        <xdr:cNvPr id="1588" name="Grupo 273"/>
        <xdr:cNvGrpSpPr>
          <a:grpSpLocks/>
        </xdr:cNvGrpSpPr>
      </xdr:nvGrpSpPr>
      <xdr:grpSpPr bwMode="auto">
        <a:xfrm>
          <a:off x="1273495" y="31534635"/>
          <a:ext cx="534459" cy="62895"/>
          <a:chOff x="10648950" y="5124450"/>
          <a:chExt cx="1085850" cy="95250"/>
        </a:xfrm>
      </xdr:grpSpPr>
      <xdr:cxnSp macro="">
        <xdr:nvCxnSpPr>
          <xdr:cNvPr id="158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177061</xdr:colOff>
      <xdr:row>1025</xdr:row>
      <xdr:rowOff>32284</xdr:rowOff>
    </xdr:from>
    <xdr:to>
      <xdr:col>1</xdr:col>
      <xdr:colOff>711520</xdr:colOff>
      <xdr:row>1025</xdr:row>
      <xdr:rowOff>95179</xdr:rowOff>
    </xdr:to>
    <xdr:grpSp>
      <xdr:nvGrpSpPr>
        <xdr:cNvPr id="1592" name="Grupo 273"/>
        <xdr:cNvGrpSpPr>
          <a:grpSpLocks/>
        </xdr:cNvGrpSpPr>
      </xdr:nvGrpSpPr>
      <xdr:grpSpPr bwMode="auto">
        <a:xfrm>
          <a:off x="1288311" y="31798159"/>
          <a:ext cx="534459" cy="62895"/>
          <a:chOff x="10648950" y="5124450"/>
          <a:chExt cx="1085850" cy="95250"/>
        </a:xfrm>
      </xdr:grpSpPr>
      <xdr:cxnSp macro="">
        <xdr:nvCxnSpPr>
          <xdr:cNvPr id="159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202406</xdr:colOff>
      <xdr:row>1026</xdr:row>
      <xdr:rowOff>23812</xdr:rowOff>
    </xdr:from>
    <xdr:to>
      <xdr:col>1</xdr:col>
      <xdr:colOff>742156</xdr:colOff>
      <xdr:row>1026</xdr:row>
      <xdr:rowOff>415394</xdr:rowOff>
    </xdr:to>
    <xdr:sp macro="" textlink="">
      <xdr:nvSpPr>
        <xdr:cNvPr id="1595" name="Rectángulo redondeado 23"/>
        <xdr:cNvSpPr>
          <a:spLocks noChangeArrowheads="1"/>
        </xdr:cNvSpPr>
      </xdr:nvSpPr>
      <xdr:spPr bwMode="auto">
        <a:xfrm>
          <a:off x="964406" y="2675096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154781</xdr:colOff>
      <xdr:row>1051</xdr:row>
      <xdr:rowOff>47625</xdr:rowOff>
    </xdr:from>
    <xdr:to>
      <xdr:col>1</xdr:col>
      <xdr:colOff>736600</xdr:colOff>
      <xdr:row>1051</xdr:row>
      <xdr:rowOff>171449</xdr:rowOff>
    </xdr:to>
    <xdr:grpSp>
      <xdr:nvGrpSpPr>
        <xdr:cNvPr id="1596" name="414 Grupo"/>
        <xdr:cNvGrpSpPr/>
      </xdr:nvGrpSpPr>
      <xdr:grpSpPr>
        <a:xfrm>
          <a:off x="1266031" y="38830250"/>
          <a:ext cx="581819" cy="123824"/>
          <a:chOff x="844550" y="22336125"/>
          <a:chExt cx="581819" cy="142874"/>
        </a:xfrm>
      </xdr:grpSpPr>
      <xdr:cxnSp macro="">
        <xdr:nvCxnSpPr>
          <xdr:cNvPr id="1597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8" name="416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9" name="417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164306</xdr:colOff>
      <xdr:row>1052</xdr:row>
      <xdr:rowOff>57150</xdr:rowOff>
    </xdr:from>
    <xdr:to>
      <xdr:col>1</xdr:col>
      <xdr:colOff>746125</xdr:colOff>
      <xdr:row>1053</xdr:row>
      <xdr:rowOff>9524</xdr:rowOff>
    </xdr:to>
    <xdr:grpSp>
      <xdr:nvGrpSpPr>
        <xdr:cNvPr id="1600" name="418 Grupo"/>
        <xdr:cNvGrpSpPr/>
      </xdr:nvGrpSpPr>
      <xdr:grpSpPr>
        <a:xfrm>
          <a:off x="1275556" y="39109650"/>
          <a:ext cx="581819" cy="222249"/>
          <a:chOff x="844550" y="22336125"/>
          <a:chExt cx="581819" cy="142874"/>
        </a:xfrm>
      </xdr:grpSpPr>
      <xdr:cxnSp macro="">
        <xdr:nvCxnSpPr>
          <xdr:cNvPr id="1601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2" name="420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3" name="421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166687</xdr:colOff>
      <xdr:row>1053</xdr:row>
      <xdr:rowOff>35718</xdr:rowOff>
    </xdr:from>
    <xdr:to>
      <xdr:col>1</xdr:col>
      <xdr:colOff>748506</xdr:colOff>
      <xdr:row>1053</xdr:row>
      <xdr:rowOff>169067</xdr:rowOff>
    </xdr:to>
    <xdr:grpSp>
      <xdr:nvGrpSpPr>
        <xdr:cNvPr id="1604" name="422 Grupo"/>
        <xdr:cNvGrpSpPr/>
      </xdr:nvGrpSpPr>
      <xdr:grpSpPr>
        <a:xfrm>
          <a:off x="1277937" y="39358093"/>
          <a:ext cx="581819" cy="133349"/>
          <a:chOff x="844550" y="22336125"/>
          <a:chExt cx="581819" cy="142874"/>
        </a:xfrm>
      </xdr:grpSpPr>
      <xdr:cxnSp macro="">
        <xdr:nvCxnSpPr>
          <xdr:cNvPr id="1605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6" name="424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7" name="425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145256</xdr:colOff>
      <xdr:row>1054</xdr:row>
      <xdr:rowOff>0</xdr:rowOff>
    </xdr:from>
    <xdr:to>
      <xdr:col>1</xdr:col>
      <xdr:colOff>726281</xdr:colOff>
      <xdr:row>1054</xdr:row>
      <xdr:rowOff>166687</xdr:rowOff>
    </xdr:to>
    <xdr:grpSp>
      <xdr:nvGrpSpPr>
        <xdr:cNvPr id="1608" name="434 Grupo"/>
        <xdr:cNvGrpSpPr/>
      </xdr:nvGrpSpPr>
      <xdr:grpSpPr>
        <a:xfrm>
          <a:off x="1256506" y="39592250"/>
          <a:ext cx="581025" cy="166687"/>
          <a:chOff x="888207" y="22645689"/>
          <a:chExt cx="581025" cy="166687"/>
        </a:xfrm>
      </xdr:grpSpPr>
      <xdr:cxnSp macro="">
        <xdr:nvCxnSpPr>
          <xdr:cNvPr id="1609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0" name="436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1" name="437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142875</xdr:colOff>
      <xdr:row>1055</xdr:row>
      <xdr:rowOff>33337</xdr:rowOff>
    </xdr:from>
    <xdr:to>
      <xdr:col>1</xdr:col>
      <xdr:colOff>723900</xdr:colOff>
      <xdr:row>1056</xdr:row>
      <xdr:rowOff>9524</xdr:rowOff>
    </xdr:to>
    <xdr:grpSp>
      <xdr:nvGrpSpPr>
        <xdr:cNvPr id="1612" name="438 Grupo"/>
        <xdr:cNvGrpSpPr/>
      </xdr:nvGrpSpPr>
      <xdr:grpSpPr>
        <a:xfrm>
          <a:off x="1254125" y="39895462"/>
          <a:ext cx="581025" cy="246062"/>
          <a:chOff x="888207" y="22645689"/>
          <a:chExt cx="581025" cy="166687"/>
        </a:xfrm>
      </xdr:grpSpPr>
      <xdr:cxnSp macro="">
        <xdr:nvCxnSpPr>
          <xdr:cNvPr id="1613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4" name="440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5" name="441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167481</xdr:colOff>
      <xdr:row>1056</xdr:row>
      <xdr:rowOff>120650</xdr:rowOff>
    </xdr:from>
    <xdr:to>
      <xdr:col>1</xdr:col>
      <xdr:colOff>767556</xdr:colOff>
      <xdr:row>1056</xdr:row>
      <xdr:rowOff>123372</xdr:rowOff>
    </xdr:to>
    <xdr:cxnSp macro="">
      <xdr:nvCxnSpPr>
        <xdr:cNvPr id="1616" name="Conector recto 16"/>
        <xdr:cNvCxnSpPr>
          <a:cxnSpLocks noChangeShapeType="1"/>
        </xdr:cNvCxnSpPr>
      </xdr:nvCxnSpPr>
      <xdr:spPr bwMode="auto">
        <a:xfrm>
          <a:off x="929481" y="334010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1056</xdr:row>
      <xdr:rowOff>35719</xdr:rowOff>
    </xdr:from>
    <xdr:to>
      <xdr:col>1</xdr:col>
      <xdr:colOff>168275</xdr:colOff>
      <xdr:row>1056</xdr:row>
      <xdr:rowOff>111919</xdr:rowOff>
    </xdr:to>
    <xdr:cxnSp macro="">
      <xdr:nvCxnSpPr>
        <xdr:cNvPr id="1617" name="Conector recto 13"/>
        <xdr:cNvCxnSpPr>
          <a:cxnSpLocks noChangeShapeType="1"/>
        </xdr:cNvCxnSpPr>
      </xdr:nvCxnSpPr>
      <xdr:spPr bwMode="auto">
        <a:xfrm rot="5400000">
          <a:off x="891381" y="333533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202407</xdr:colOff>
      <xdr:row>1057</xdr:row>
      <xdr:rowOff>47625</xdr:rowOff>
    </xdr:from>
    <xdr:to>
      <xdr:col>1</xdr:col>
      <xdr:colOff>736866</xdr:colOff>
      <xdr:row>1057</xdr:row>
      <xdr:rowOff>110520</xdr:rowOff>
    </xdr:to>
    <xdr:grpSp>
      <xdr:nvGrpSpPr>
        <xdr:cNvPr id="1618" name="Grupo 273"/>
        <xdr:cNvGrpSpPr>
          <a:grpSpLocks/>
        </xdr:cNvGrpSpPr>
      </xdr:nvGrpSpPr>
      <xdr:grpSpPr bwMode="auto">
        <a:xfrm>
          <a:off x="1313657" y="40449500"/>
          <a:ext cx="534459" cy="62895"/>
          <a:chOff x="10648950" y="5124450"/>
          <a:chExt cx="1085850" cy="95250"/>
        </a:xfrm>
      </xdr:grpSpPr>
      <xdr:cxnSp macro="">
        <xdr:nvCxnSpPr>
          <xdr:cNvPr id="161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1058</xdr:row>
      <xdr:rowOff>35718</xdr:rowOff>
    </xdr:from>
    <xdr:to>
      <xdr:col>1</xdr:col>
      <xdr:colOff>730250</xdr:colOff>
      <xdr:row>1058</xdr:row>
      <xdr:rowOff>427300</xdr:rowOff>
    </xdr:to>
    <xdr:sp macro="" textlink="">
      <xdr:nvSpPr>
        <xdr:cNvPr id="1621" name="Rectángulo redondeado 23"/>
        <xdr:cNvSpPr>
          <a:spLocks noChangeArrowheads="1"/>
        </xdr:cNvSpPr>
      </xdr:nvSpPr>
      <xdr:spPr bwMode="auto">
        <a:xfrm>
          <a:off x="952500" y="3369706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141287</xdr:colOff>
      <xdr:row>1062</xdr:row>
      <xdr:rowOff>71438</xdr:rowOff>
    </xdr:from>
    <xdr:to>
      <xdr:col>1</xdr:col>
      <xdr:colOff>722312</xdr:colOff>
      <xdr:row>1062</xdr:row>
      <xdr:rowOff>73026</xdr:rowOff>
    </xdr:to>
    <xdr:cxnSp macro="">
      <xdr:nvCxnSpPr>
        <xdr:cNvPr id="1622" name="Conector recto 4"/>
        <xdr:cNvCxnSpPr>
          <a:cxnSpLocks noChangeShapeType="1"/>
        </xdr:cNvCxnSpPr>
      </xdr:nvCxnSpPr>
      <xdr:spPr bwMode="auto">
        <a:xfrm>
          <a:off x="903287" y="348091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1062</xdr:row>
      <xdr:rowOff>72232</xdr:rowOff>
    </xdr:from>
    <xdr:to>
      <xdr:col>1</xdr:col>
      <xdr:colOff>132556</xdr:colOff>
      <xdr:row>1062</xdr:row>
      <xdr:rowOff>148432</xdr:rowOff>
    </xdr:to>
    <xdr:cxnSp macro="">
      <xdr:nvCxnSpPr>
        <xdr:cNvPr id="1623" name="Conector recto 7"/>
        <xdr:cNvCxnSpPr>
          <a:cxnSpLocks noChangeShapeType="1"/>
        </xdr:cNvCxnSpPr>
      </xdr:nvCxnSpPr>
      <xdr:spPr bwMode="auto">
        <a:xfrm rot="5400000">
          <a:off x="855662" y="348472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138906</xdr:colOff>
      <xdr:row>1063</xdr:row>
      <xdr:rowOff>69057</xdr:rowOff>
    </xdr:from>
    <xdr:to>
      <xdr:col>1</xdr:col>
      <xdr:colOff>719931</xdr:colOff>
      <xdr:row>1063</xdr:row>
      <xdr:rowOff>70645</xdr:rowOff>
    </xdr:to>
    <xdr:cxnSp macro="">
      <xdr:nvCxnSpPr>
        <xdr:cNvPr id="1624" name="Conector recto 4"/>
        <xdr:cNvCxnSpPr>
          <a:cxnSpLocks noChangeShapeType="1"/>
        </xdr:cNvCxnSpPr>
      </xdr:nvCxnSpPr>
      <xdr:spPr bwMode="auto">
        <a:xfrm>
          <a:off x="900906" y="349972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128587</xdr:colOff>
      <xdr:row>1063</xdr:row>
      <xdr:rowOff>69851</xdr:rowOff>
    </xdr:from>
    <xdr:to>
      <xdr:col>1</xdr:col>
      <xdr:colOff>130175</xdr:colOff>
      <xdr:row>1063</xdr:row>
      <xdr:rowOff>146051</xdr:rowOff>
    </xdr:to>
    <xdr:cxnSp macro="">
      <xdr:nvCxnSpPr>
        <xdr:cNvPr id="1625" name="Conector recto 7"/>
        <xdr:cNvCxnSpPr>
          <a:cxnSpLocks noChangeShapeType="1"/>
        </xdr:cNvCxnSpPr>
      </xdr:nvCxnSpPr>
      <xdr:spPr bwMode="auto">
        <a:xfrm rot="5400000">
          <a:off x="853281" y="35035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1064</xdr:row>
      <xdr:rowOff>42863</xdr:rowOff>
    </xdr:from>
    <xdr:to>
      <xdr:col>1</xdr:col>
      <xdr:colOff>741363</xdr:colOff>
      <xdr:row>1064</xdr:row>
      <xdr:rowOff>44451</xdr:rowOff>
    </xdr:to>
    <xdr:cxnSp macro="">
      <xdr:nvCxnSpPr>
        <xdr:cNvPr id="1626" name="Conector recto 4"/>
        <xdr:cNvCxnSpPr>
          <a:cxnSpLocks noChangeShapeType="1"/>
        </xdr:cNvCxnSpPr>
      </xdr:nvCxnSpPr>
      <xdr:spPr bwMode="auto">
        <a:xfrm>
          <a:off x="922338" y="351615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1064</xdr:row>
      <xdr:rowOff>43657</xdr:rowOff>
    </xdr:from>
    <xdr:to>
      <xdr:col>1</xdr:col>
      <xdr:colOff>151607</xdr:colOff>
      <xdr:row>1064</xdr:row>
      <xdr:rowOff>119857</xdr:rowOff>
    </xdr:to>
    <xdr:cxnSp macro="">
      <xdr:nvCxnSpPr>
        <xdr:cNvPr id="1627" name="Conector recto 7"/>
        <xdr:cNvCxnSpPr>
          <a:cxnSpLocks noChangeShapeType="1"/>
        </xdr:cNvCxnSpPr>
      </xdr:nvCxnSpPr>
      <xdr:spPr bwMode="auto">
        <a:xfrm rot="5400000">
          <a:off x="874713" y="35199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145256</xdr:colOff>
      <xdr:row>1065</xdr:row>
      <xdr:rowOff>0</xdr:rowOff>
    </xdr:from>
    <xdr:to>
      <xdr:col>1</xdr:col>
      <xdr:colOff>726281</xdr:colOff>
      <xdr:row>1065</xdr:row>
      <xdr:rowOff>166687</xdr:rowOff>
    </xdr:to>
    <xdr:grpSp>
      <xdr:nvGrpSpPr>
        <xdr:cNvPr id="1628" name="454 Grupo"/>
        <xdr:cNvGrpSpPr/>
      </xdr:nvGrpSpPr>
      <xdr:grpSpPr>
        <a:xfrm>
          <a:off x="1256506" y="42560875"/>
          <a:ext cx="581025" cy="166687"/>
          <a:chOff x="888207" y="22645689"/>
          <a:chExt cx="581025" cy="166687"/>
        </a:xfrm>
      </xdr:grpSpPr>
      <xdr:cxnSp macro="">
        <xdr:nvCxnSpPr>
          <xdr:cNvPr id="1629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0" name="456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1" name="457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126527</xdr:colOff>
      <xdr:row>1069</xdr:row>
      <xdr:rowOff>64037</xdr:rowOff>
    </xdr:from>
    <xdr:to>
      <xdr:col>1</xdr:col>
      <xdr:colOff>660986</xdr:colOff>
      <xdr:row>1069</xdr:row>
      <xdr:rowOff>126932</xdr:rowOff>
    </xdr:to>
    <xdr:grpSp>
      <xdr:nvGrpSpPr>
        <xdr:cNvPr id="1633" name="Grupo 273"/>
        <xdr:cNvGrpSpPr>
          <a:grpSpLocks/>
        </xdr:cNvGrpSpPr>
      </xdr:nvGrpSpPr>
      <xdr:grpSpPr bwMode="auto">
        <a:xfrm>
          <a:off x="1237777" y="43704412"/>
          <a:ext cx="534459" cy="62895"/>
          <a:chOff x="10648950" y="5124450"/>
          <a:chExt cx="1085850" cy="95250"/>
        </a:xfrm>
      </xdr:grpSpPr>
      <xdr:cxnSp macro="">
        <xdr:nvCxnSpPr>
          <xdr:cNvPr id="163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71437</xdr:colOff>
      <xdr:row>1070</xdr:row>
      <xdr:rowOff>95250</xdr:rowOff>
    </xdr:from>
    <xdr:to>
      <xdr:col>1</xdr:col>
      <xdr:colOff>652462</xdr:colOff>
      <xdr:row>1070</xdr:row>
      <xdr:rowOff>96838</xdr:rowOff>
    </xdr:to>
    <xdr:cxnSp macro="">
      <xdr:nvCxnSpPr>
        <xdr:cNvPr id="1637" name="Conector recto 12"/>
        <xdr:cNvCxnSpPr>
          <a:cxnSpLocks noChangeShapeType="1"/>
        </xdr:cNvCxnSpPr>
      </xdr:nvCxnSpPr>
      <xdr:spPr bwMode="auto">
        <a:xfrm>
          <a:off x="833437" y="3635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1071</xdr:row>
      <xdr:rowOff>95250</xdr:rowOff>
    </xdr:from>
    <xdr:to>
      <xdr:col>1</xdr:col>
      <xdr:colOff>652462</xdr:colOff>
      <xdr:row>1071</xdr:row>
      <xdr:rowOff>96838</xdr:rowOff>
    </xdr:to>
    <xdr:cxnSp macro="">
      <xdr:nvCxnSpPr>
        <xdr:cNvPr id="1638" name="Conector recto 12"/>
        <xdr:cNvCxnSpPr>
          <a:cxnSpLocks noChangeShapeType="1"/>
        </xdr:cNvCxnSpPr>
      </xdr:nvCxnSpPr>
      <xdr:spPr bwMode="auto">
        <a:xfrm>
          <a:off x="833437" y="36547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1072</xdr:row>
      <xdr:rowOff>71438</xdr:rowOff>
    </xdr:from>
    <xdr:to>
      <xdr:col>1</xdr:col>
      <xdr:colOff>658813</xdr:colOff>
      <xdr:row>1072</xdr:row>
      <xdr:rowOff>463020</xdr:rowOff>
    </xdr:to>
    <xdr:sp macro="" textlink="">
      <xdr:nvSpPr>
        <xdr:cNvPr id="1639" name="Rectángulo redondeado 23"/>
        <xdr:cNvSpPr>
          <a:spLocks noChangeArrowheads="1"/>
        </xdr:cNvSpPr>
      </xdr:nvSpPr>
      <xdr:spPr bwMode="auto">
        <a:xfrm>
          <a:off x="881063" y="3671411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1073</xdr:row>
      <xdr:rowOff>47625</xdr:rowOff>
    </xdr:from>
    <xdr:to>
      <xdr:col>1</xdr:col>
      <xdr:colOff>658812</xdr:colOff>
      <xdr:row>1073</xdr:row>
      <xdr:rowOff>439207</xdr:rowOff>
    </xdr:to>
    <xdr:sp macro="" textlink="">
      <xdr:nvSpPr>
        <xdr:cNvPr id="1640" name="Rectángulo redondeado 23"/>
        <xdr:cNvSpPr>
          <a:spLocks noChangeArrowheads="1"/>
        </xdr:cNvSpPr>
      </xdr:nvSpPr>
      <xdr:spPr bwMode="auto">
        <a:xfrm>
          <a:off x="881062" y="372237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130969</xdr:colOff>
      <xdr:row>1066</xdr:row>
      <xdr:rowOff>11906</xdr:rowOff>
    </xdr:from>
    <xdr:to>
      <xdr:col>1</xdr:col>
      <xdr:colOff>711994</xdr:colOff>
      <xdr:row>1066</xdr:row>
      <xdr:rowOff>169068</xdr:rowOff>
    </xdr:to>
    <xdr:grpSp>
      <xdr:nvGrpSpPr>
        <xdr:cNvPr id="1641" name="467 Grupo"/>
        <xdr:cNvGrpSpPr/>
      </xdr:nvGrpSpPr>
      <xdr:grpSpPr>
        <a:xfrm>
          <a:off x="1242219" y="42842656"/>
          <a:ext cx="581025" cy="157162"/>
          <a:chOff x="888207" y="22645689"/>
          <a:chExt cx="581025" cy="166687"/>
        </a:xfrm>
      </xdr:grpSpPr>
      <xdr:cxnSp macro="">
        <xdr:nvCxnSpPr>
          <xdr:cNvPr id="1642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43" name="469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4" name="470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1109</xdr:row>
      <xdr:rowOff>68036</xdr:rowOff>
    </xdr:from>
    <xdr:to>
      <xdr:col>1</xdr:col>
      <xdr:colOff>727415</xdr:colOff>
      <xdr:row>1109</xdr:row>
      <xdr:rowOff>69624</xdr:rowOff>
    </xdr:to>
    <xdr:cxnSp macro="">
      <xdr:nvCxnSpPr>
        <xdr:cNvPr id="1645" name="Conector recto 4"/>
        <xdr:cNvCxnSpPr>
          <a:cxnSpLocks noChangeShapeType="1"/>
        </xdr:cNvCxnSpPr>
      </xdr:nvCxnSpPr>
      <xdr:spPr bwMode="auto">
        <a:xfrm>
          <a:off x="908390" y="450260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1109</xdr:row>
      <xdr:rowOff>68830</xdr:rowOff>
    </xdr:from>
    <xdr:to>
      <xdr:col>1</xdr:col>
      <xdr:colOff>137659</xdr:colOff>
      <xdr:row>1109</xdr:row>
      <xdr:rowOff>145030</xdr:rowOff>
    </xdr:to>
    <xdr:cxnSp macro="">
      <xdr:nvCxnSpPr>
        <xdr:cNvPr id="1646" name="Conector recto 7"/>
        <xdr:cNvCxnSpPr>
          <a:cxnSpLocks noChangeShapeType="1"/>
        </xdr:cNvCxnSpPr>
      </xdr:nvCxnSpPr>
      <xdr:spPr bwMode="auto">
        <a:xfrm rot="5400000">
          <a:off x="860765" y="450641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1110</xdr:row>
      <xdr:rowOff>139360</xdr:rowOff>
    </xdr:from>
    <xdr:to>
      <xdr:col>1</xdr:col>
      <xdr:colOff>762453</xdr:colOff>
      <xdr:row>1110</xdr:row>
      <xdr:rowOff>142082</xdr:rowOff>
    </xdr:to>
    <xdr:cxnSp macro="">
      <xdr:nvCxnSpPr>
        <xdr:cNvPr id="1647" name="Conector recto 16"/>
        <xdr:cNvCxnSpPr>
          <a:cxnSpLocks noChangeShapeType="1"/>
        </xdr:cNvCxnSpPr>
      </xdr:nvCxnSpPr>
      <xdr:spPr bwMode="auto">
        <a:xfrm>
          <a:off x="924378" y="452878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1110</xdr:row>
      <xdr:rowOff>54429</xdr:rowOff>
    </xdr:from>
    <xdr:to>
      <xdr:col>1</xdr:col>
      <xdr:colOff>163172</xdr:colOff>
      <xdr:row>1110</xdr:row>
      <xdr:rowOff>130629</xdr:rowOff>
    </xdr:to>
    <xdr:cxnSp macro="">
      <xdr:nvCxnSpPr>
        <xdr:cNvPr id="1648" name="Conector recto 13"/>
        <xdr:cNvCxnSpPr>
          <a:cxnSpLocks noChangeShapeType="1"/>
        </xdr:cNvCxnSpPr>
      </xdr:nvCxnSpPr>
      <xdr:spPr bwMode="auto">
        <a:xfrm rot="5400000">
          <a:off x="886278" y="452402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1111</xdr:row>
      <xdr:rowOff>127453</xdr:rowOff>
    </xdr:from>
    <xdr:to>
      <xdr:col>1</xdr:col>
      <xdr:colOff>750547</xdr:colOff>
      <xdr:row>1111</xdr:row>
      <xdr:rowOff>130175</xdr:rowOff>
    </xdr:to>
    <xdr:cxnSp macro="">
      <xdr:nvCxnSpPr>
        <xdr:cNvPr id="1649" name="Conector recto 16"/>
        <xdr:cNvCxnSpPr>
          <a:cxnSpLocks noChangeShapeType="1"/>
        </xdr:cNvCxnSpPr>
      </xdr:nvCxnSpPr>
      <xdr:spPr bwMode="auto">
        <a:xfrm>
          <a:off x="912472" y="45466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1111</xdr:row>
      <xdr:rowOff>42522</xdr:rowOff>
    </xdr:from>
    <xdr:to>
      <xdr:col>1</xdr:col>
      <xdr:colOff>151266</xdr:colOff>
      <xdr:row>1111</xdr:row>
      <xdr:rowOff>118722</xdr:rowOff>
    </xdr:to>
    <xdr:cxnSp macro="">
      <xdr:nvCxnSpPr>
        <xdr:cNvPr id="1650" name="Conector recto 13"/>
        <xdr:cNvCxnSpPr>
          <a:cxnSpLocks noChangeShapeType="1"/>
        </xdr:cNvCxnSpPr>
      </xdr:nvCxnSpPr>
      <xdr:spPr bwMode="auto">
        <a:xfrm rot="5400000">
          <a:off x="874372" y="45418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1108</xdr:row>
      <xdr:rowOff>95250</xdr:rowOff>
    </xdr:from>
    <xdr:to>
      <xdr:col>1</xdr:col>
      <xdr:colOff>713808</xdr:colOff>
      <xdr:row>1108</xdr:row>
      <xdr:rowOff>96838</xdr:rowOff>
    </xdr:to>
    <xdr:cxnSp macro="">
      <xdr:nvCxnSpPr>
        <xdr:cNvPr id="1651" name="Conector recto 4"/>
        <xdr:cNvCxnSpPr>
          <a:cxnSpLocks noChangeShapeType="1"/>
        </xdr:cNvCxnSpPr>
      </xdr:nvCxnSpPr>
      <xdr:spPr bwMode="auto">
        <a:xfrm>
          <a:off x="894783" y="4486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1108</xdr:row>
      <xdr:rowOff>96044</xdr:rowOff>
    </xdr:from>
    <xdr:to>
      <xdr:col>1</xdr:col>
      <xdr:colOff>124052</xdr:colOff>
      <xdr:row>1108</xdr:row>
      <xdr:rowOff>172244</xdr:rowOff>
    </xdr:to>
    <xdr:cxnSp macro="">
      <xdr:nvCxnSpPr>
        <xdr:cNvPr id="1652" name="Conector recto 7"/>
        <xdr:cNvCxnSpPr>
          <a:cxnSpLocks noChangeShapeType="1"/>
        </xdr:cNvCxnSpPr>
      </xdr:nvCxnSpPr>
      <xdr:spPr bwMode="auto">
        <a:xfrm rot="5400000">
          <a:off x="847158" y="449008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751114</xdr:colOff>
      <xdr:row>1111</xdr:row>
      <xdr:rowOff>45244</xdr:rowOff>
    </xdr:from>
    <xdr:to>
      <xdr:col>1</xdr:col>
      <xdr:colOff>752702</xdr:colOff>
      <xdr:row>1111</xdr:row>
      <xdr:rowOff>121444</xdr:rowOff>
    </xdr:to>
    <xdr:cxnSp macro="">
      <xdr:nvCxnSpPr>
        <xdr:cNvPr id="1653" name="Conector recto 13"/>
        <xdr:cNvCxnSpPr>
          <a:cxnSpLocks noChangeShapeType="1"/>
        </xdr:cNvCxnSpPr>
      </xdr:nvCxnSpPr>
      <xdr:spPr bwMode="auto">
        <a:xfrm rot="5400000">
          <a:off x="1475808" y="45421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1114</xdr:row>
      <xdr:rowOff>68036</xdr:rowOff>
    </xdr:from>
    <xdr:to>
      <xdr:col>1</xdr:col>
      <xdr:colOff>643316</xdr:colOff>
      <xdr:row>1114</xdr:row>
      <xdr:rowOff>130931</xdr:rowOff>
    </xdr:to>
    <xdr:grpSp>
      <xdr:nvGrpSpPr>
        <xdr:cNvPr id="1656" name="Grupo 273"/>
        <xdr:cNvGrpSpPr>
          <a:grpSpLocks/>
        </xdr:cNvGrpSpPr>
      </xdr:nvGrpSpPr>
      <xdr:grpSpPr bwMode="auto">
        <a:xfrm>
          <a:off x="1220107" y="2286000"/>
          <a:ext cx="534459" cy="0"/>
          <a:chOff x="10648950" y="5124450"/>
          <a:chExt cx="1085850" cy="95250"/>
        </a:xfrm>
      </xdr:grpSpPr>
      <xdr:cxnSp macro="">
        <xdr:nvCxnSpPr>
          <xdr:cNvPr id="165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5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1115</xdr:row>
      <xdr:rowOff>95250</xdr:rowOff>
    </xdr:from>
    <xdr:to>
      <xdr:col>1</xdr:col>
      <xdr:colOff>695325</xdr:colOff>
      <xdr:row>1115</xdr:row>
      <xdr:rowOff>97972</xdr:rowOff>
    </xdr:to>
    <xdr:cxnSp macro="">
      <xdr:nvCxnSpPr>
        <xdr:cNvPr id="1659" name="Conector recto 16"/>
        <xdr:cNvCxnSpPr>
          <a:cxnSpLocks noChangeShapeType="1"/>
        </xdr:cNvCxnSpPr>
      </xdr:nvCxnSpPr>
      <xdr:spPr bwMode="auto">
        <a:xfrm>
          <a:off x="857250" y="46196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1116</xdr:row>
      <xdr:rowOff>111579</xdr:rowOff>
    </xdr:from>
    <xdr:to>
      <xdr:col>1</xdr:col>
      <xdr:colOff>738867</xdr:colOff>
      <xdr:row>1116</xdr:row>
      <xdr:rowOff>114301</xdr:rowOff>
    </xdr:to>
    <xdr:cxnSp macro="">
      <xdr:nvCxnSpPr>
        <xdr:cNvPr id="1660" name="Conector recto 16"/>
        <xdr:cNvCxnSpPr>
          <a:cxnSpLocks noChangeShapeType="1"/>
        </xdr:cNvCxnSpPr>
      </xdr:nvCxnSpPr>
      <xdr:spPr bwMode="auto">
        <a:xfrm>
          <a:off x="900792" y="464030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1117</xdr:row>
      <xdr:rowOff>114300</xdr:rowOff>
    </xdr:from>
    <xdr:to>
      <xdr:col>1</xdr:col>
      <xdr:colOff>700767</xdr:colOff>
      <xdr:row>1117</xdr:row>
      <xdr:rowOff>117022</xdr:rowOff>
    </xdr:to>
    <xdr:cxnSp macro="">
      <xdr:nvCxnSpPr>
        <xdr:cNvPr id="1661" name="Conector recto 16"/>
        <xdr:cNvCxnSpPr>
          <a:cxnSpLocks noChangeShapeType="1"/>
        </xdr:cNvCxnSpPr>
      </xdr:nvCxnSpPr>
      <xdr:spPr bwMode="auto">
        <a:xfrm>
          <a:off x="862692" y="465963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1118</xdr:row>
      <xdr:rowOff>27214</xdr:rowOff>
    </xdr:from>
    <xdr:to>
      <xdr:col>1</xdr:col>
      <xdr:colOff>689429</xdr:colOff>
      <xdr:row>1118</xdr:row>
      <xdr:rowOff>418796</xdr:rowOff>
    </xdr:to>
    <xdr:sp macro="" textlink="">
      <xdr:nvSpPr>
        <xdr:cNvPr id="1662" name="Rectángulo redondeado 23"/>
        <xdr:cNvSpPr>
          <a:spLocks noChangeArrowheads="1"/>
        </xdr:cNvSpPr>
      </xdr:nvSpPr>
      <xdr:spPr bwMode="auto">
        <a:xfrm>
          <a:off x="911679" y="466997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163285</xdr:colOff>
      <xdr:row>1119</xdr:row>
      <xdr:rowOff>54428</xdr:rowOff>
    </xdr:from>
    <xdr:to>
      <xdr:col>1</xdr:col>
      <xdr:colOff>703035</xdr:colOff>
      <xdr:row>1119</xdr:row>
      <xdr:rowOff>446010</xdr:rowOff>
    </xdr:to>
    <xdr:sp macro="" textlink="">
      <xdr:nvSpPr>
        <xdr:cNvPr id="1663" name="Rectángulo redondeado 23"/>
        <xdr:cNvSpPr>
          <a:spLocks noChangeArrowheads="1"/>
        </xdr:cNvSpPr>
      </xdr:nvSpPr>
      <xdr:spPr bwMode="auto">
        <a:xfrm>
          <a:off x="925285" y="4719365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1123</xdr:row>
      <xdr:rowOff>125752</xdr:rowOff>
    </xdr:from>
    <xdr:to>
      <xdr:col>1</xdr:col>
      <xdr:colOff>709726</xdr:colOff>
      <xdr:row>1123</xdr:row>
      <xdr:rowOff>128474</xdr:rowOff>
    </xdr:to>
    <xdr:cxnSp macro="">
      <xdr:nvCxnSpPr>
        <xdr:cNvPr id="1664" name="Conector recto 16"/>
        <xdr:cNvCxnSpPr>
          <a:cxnSpLocks noChangeShapeType="1"/>
        </xdr:cNvCxnSpPr>
      </xdr:nvCxnSpPr>
      <xdr:spPr bwMode="auto">
        <a:xfrm>
          <a:off x="871651" y="483127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1123</xdr:row>
      <xdr:rowOff>40821</xdr:rowOff>
    </xdr:from>
    <xdr:to>
      <xdr:col>1</xdr:col>
      <xdr:colOff>110445</xdr:colOff>
      <xdr:row>1123</xdr:row>
      <xdr:rowOff>117021</xdr:rowOff>
    </xdr:to>
    <xdr:cxnSp macro="">
      <xdr:nvCxnSpPr>
        <xdr:cNvPr id="1665" name="Conector recto 13"/>
        <xdr:cNvCxnSpPr>
          <a:cxnSpLocks noChangeShapeType="1"/>
        </xdr:cNvCxnSpPr>
      </xdr:nvCxnSpPr>
      <xdr:spPr bwMode="auto">
        <a:xfrm rot="5400000">
          <a:off x="833551" y="482651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1123</xdr:row>
      <xdr:rowOff>43543</xdr:rowOff>
    </xdr:from>
    <xdr:to>
      <xdr:col>1</xdr:col>
      <xdr:colOff>711881</xdr:colOff>
      <xdr:row>1123</xdr:row>
      <xdr:rowOff>119743</xdr:rowOff>
    </xdr:to>
    <xdr:cxnSp macro="">
      <xdr:nvCxnSpPr>
        <xdr:cNvPr id="1666" name="Conector recto 13"/>
        <xdr:cNvCxnSpPr>
          <a:cxnSpLocks noChangeShapeType="1"/>
        </xdr:cNvCxnSpPr>
      </xdr:nvCxnSpPr>
      <xdr:spPr bwMode="auto">
        <a:xfrm rot="5400000">
          <a:off x="1434987" y="482678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1124</xdr:row>
      <xdr:rowOff>136071</xdr:rowOff>
    </xdr:from>
    <xdr:to>
      <xdr:col>1</xdr:col>
      <xdr:colOff>708932</xdr:colOff>
      <xdr:row>1124</xdr:row>
      <xdr:rowOff>138793</xdr:rowOff>
    </xdr:to>
    <xdr:cxnSp macro="">
      <xdr:nvCxnSpPr>
        <xdr:cNvPr id="1667" name="Conector recto 16"/>
        <xdr:cNvCxnSpPr>
          <a:cxnSpLocks noChangeShapeType="1"/>
        </xdr:cNvCxnSpPr>
      </xdr:nvCxnSpPr>
      <xdr:spPr bwMode="auto">
        <a:xfrm>
          <a:off x="870857" y="485135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1125</xdr:row>
      <xdr:rowOff>40822</xdr:rowOff>
    </xdr:from>
    <xdr:to>
      <xdr:col>1</xdr:col>
      <xdr:colOff>689429</xdr:colOff>
      <xdr:row>1125</xdr:row>
      <xdr:rowOff>432404</xdr:rowOff>
    </xdr:to>
    <xdr:sp macro="" textlink="">
      <xdr:nvSpPr>
        <xdr:cNvPr id="1668" name="Rectángulo redondeado 23"/>
        <xdr:cNvSpPr>
          <a:spLocks noChangeArrowheads="1"/>
        </xdr:cNvSpPr>
      </xdr:nvSpPr>
      <xdr:spPr bwMode="auto">
        <a:xfrm>
          <a:off x="911679" y="486087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119176</xdr:colOff>
      <xdr:row>1129</xdr:row>
      <xdr:rowOff>54428</xdr:rowOff>
    </xdr:from>
    <xdr:to>
      <xdr:col>1</xdr:col>
      <xdr:colOff>700201</xdr:colOff>
      <xdr:row>1129</xdr:row>
      <xdr:rowOff>56016</xdr:rowOff>
    </xdr:to>
    <xdr:cxnSp macro="">
      <xdr:nvCxnSpPr>
        <xdr:cNvPr id="1669" name="Conector recto 4"/>
        <xdr:cNvCxnSpPr>
          <a:cxnSpLocks noChangeShapeType="1"/>
        </xdr:cNvCxnSpPr>
      </xdr:nvCxnSpPr>
      <xdr:spPr bwMode="auto">
        <a:xfrm>
          <a:off x="881176" y="4966062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1129</xdr:row>
      <xdr:rowOff>55222</xdr:rowOff>
    </xdr:from>
    <xdr:to>
      <xdr:col>1</xdr:col>
      <xdr:colOff>110445</xdr:colOff>
      <xdr:row>1129</xdr:row>
      <xdr:rowOff>131422</xdr:rowOff>
    </xdr:to>
    <xdr:cxnSp macro="">
      <xdr:nvCxnSpPr>
        <xdr:cNvPr id="1670" name="Conector recto 7"/>
        <xdr:cNvCxnSpPr>
          <a:cxnSpLocks noChangeShapeType="1"/>
        </xdr:cNvCxnSpPr>
      </xdr:nvCxnSpPr>
      <xdr:spPr bwMode="auto">
        <a:xfrm rot="5400000">
          <a:off x="833551" y="496987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1130</xdr:row>
      <xdr:rowOff>125752</xdr:rowOff>
    </xdr:from>
    <xdr:to>
      <xdr:col>1</xdr:col>
      <xdr:colOff>735239</xdr:colOff>
      <xdr:row>1130</xdr:row>
      <xdr:rowOff>128474</xdr:rowOff>
    </xdr:to>
    <xdr:cxnSp macro="">
      <xdr:nvCxnSpPr>
        <xdr:cNvPr id="1671" name="Conector recto 16"/>
        <xdr:cNvCxnSpPr>
          <a:cxnSpLocks noChangeShapeType="1"/>
        </xdr:cNvCxnSpPr>
      </xdr:nvCxnSpPr>
      <xdr:spPr bwMode="auto">
        <a:xfrm>
          <a:off x="897164" y="499224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1130</xdr:row>
      <xdr:rowOff>40821</xdr:rowOff>
    </xdr:from>
    <xdr:to>
      <xdr:col>1</xdr:col>
      <xdr:colOff>135958</xdr:colOff>
      <xdr:row>1130</xdr:row>
      <xdr:rowOff>117021</xdr:rowOff>
    </xdr:to>
    <xdr:cxnSp macro="">
      <xdr:nvCxnSpPr>
        <xdr:cNvPr id="1672" name="Conector recto 13"/>
        <xdr:cNvCxnSpPr>
          <a:cxnSpLocks noChangeShapeType="1"/>
        </xdr:cNvCxnSpPr>
      </xdr:nvCxnSpPr>
      <xdr:spPr bwMode="auto">
        <a:xfrm rot="5400000">
          <a:off x="859064" y="498748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1131</xdr:row>
      <xdr:rowOff>113845</xdr:rowOff>
    </xdr:from>
    <xdr:to>
      <xdr:col>1</xdr:col>
      <xdr:colOff>723333</xdr:colOff>
      <xdr:row>1131</xdr:row>
      <xdr:rowOff>116567</xdr:rowOff>
    </xdr:to>
    <xdr:cxnSp macro="">
      <xdr:nvCxnSpPr>
        <xdr:cNvPr id="1673" name="Conector recto 16"/>
        <xdr:cNvCxnSpPr>
          <a:cxnSpLocks noChangeShapeType="1"/>
        </xdr:cNvCxnSpPr>
      </xdr:nvCxnSpPr>
      <xdr:spPr bwMode="auto">
        <a:xfrm>
          <a:off x="885258" y="50101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1131</xdr:row>
      <xdr:rowOff>28914</xdr:rowOff>
    </xdr:from>
    <xdr:to>
      <xdr:col>1</xdr:col>
      <xdr:colOff>124052</xdr:colOff>
      <xdr:row>1131</xdr:row>
      <xdr:rowOff>105114</xdr:rowOff>
    </xdr:to>
    <xdr:cxnSp macro="">
      <xdr:nvCxnSpPr>
        <xdr:cNvPr id="1674" name="Conector recto 13"/>
        <xdr:cNvCxnSpPr>
          <a:cxnSpLocks noChangeShapeType="1"/>
        </xdr:cNvCxnSpPr>
      </xdr:nvCxnSpPr>
      <xdr:spPr bwMode="auto">
        <a:xfrm rot="5400000">
          <a:off x="847158" y="50053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1131</xdr:row>
      <xdr:rowOff>31636</xdr:rowOff>
    </xdr:from>
    <xdr:to>
      <xdr:col>1</xdr:col>
      <xdr:colOff>725488</xdr:colOff>
      <xdr:row>1131</xdr:row>
      <xdr:rowOff>107836</xdr:rowOff>
    </xdr:to>
    <xdr:cxnSp macro="">
      <xdr:nvCxnSpPr>
        <xdr:cNvPr id="1675" name="Conector recto 13"/>
        <xdr:cNvCxnSpPr>
          <a:cxnSpLocks noChangeShapeType="1"/>
        </xdr:cNvCxnSpPr>
      </xdr:nvCxnSpPr>
      <xdr:spPr bwMode="auto">
        <a:xfrm rot="5400000">
          <a:off x="1448594" y="500561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1132</xdr:row>
      <xdr:rowOff>81643</xdr:rowOff>
    </xdr:from>
    <xdr:to>
      <xdr:col>1</xdr:col>
      <xdr:colOff>695325</xdr:colOff>
      <xdr:row>1132</xdr:row>
      <xdr:rowOff>84365</xdr:rowOff>
    </xdr:to>
    <xdr:cxnSp macro="">
      <xdr:nvCxnSpPr>
        <xdr:cNvPr id="1676" name="Conector recto 16"/>
        <xdr:cNvCxnSpPr>
          <a:cxnSpLocks noChangeShapeType="1"/>
        </xdr:cNvCxnSpPr>
      </xdr:nvCxnSpPr>
      <xdr:spPr bwMode="auto">
        <a:xfrm>
          <a:off x="857250" y="502593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1133</xdr:row>
      <xdr:rowOff>97972</xdr:rowOff>
    </xdr:from>
    <xdr:to>
      <xdr:col>1</xdr:col>
      <xdr:colOff>738867</xdr:colOff>
      <xdr:row>1133</xdr:row>
      <xdr:rowOff>100694</xdr:rowOff>
    </xdr:to>
    <xdr:cxnSp macro="">
      <xdr:nvCxnSpPr>
        <xdr:cNvPr id="1677" name="Conector recto 16"/>
        <xdr:cNvCxnSpPr>
          <a:cxnSpLocks noChangeShapeType="1"/>
        </xdr:cNvCxnSpPr>
      </xdr:nvCxnSpPr>
      <xdr:spPr bwMode="auto">
        <a:xfrm>
          <a:off x="900792" y="5046617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1134</xdr:row>
      <xdr:rowOff>13607</xdr:rowOff>
    </xdr:from>
    <xdr:to>
      <xdr:col>1</xdr:col>
      <xdr:colOff>675821</xdr:colOff>
      <xdr:row>1134</xdr:row>
      <xdr:rowOff>405189</xdr:rowOff>
    </xdr:to>
    <xdr:sp macro="" textlink="">
      <xdr:nvSpPr>
        <xdr:cNvPr id="1678" name="Rectángulo redondeado 23"/>
        <xdr:cNvSpPr>
          <a:spLocks noChangeArrowheads="1"/>
        </xdr:cNvSpPr>
      </xdr:nvSpPr>
      <xdr:spPr bwMode="auto">
        <a:xfrm>
          <a:off x="898071" y="505723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149677</xdr:colOff>
      <xdr:row>1135</xdr:row>
      <xdr:rowOff>68036</xdr:rowOff>
    </xdr:from>
    <xdr:to>
      <xdr:col>1</xdr:col>
      <xdr:colOff>689427</xdr:colOff>
      <xdr:row>1136</xdr:row>
      <xdr:rowOff>10582</xdr:rowOff>
    </xdr:to>
    <xdr:sp macro="" textlink="">
      <xdr:nvSpPr>
        <xdr:cNvPr id="1679" name="Rectángulo redondeado 23"/>
        <xdr:cNvSpPr>
          <a:spLocks noChangeArrowheads="1"/>
        </xdr:cNvSpPr>
      </xdr:nvSpPr>
      <xdr:spPr bwMode="auto">
        <a:xfrm>
          <a:off x="911677" y="51064886"/>
          <a:ext cx="539750" cy="3902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136865</xdr:colOff>
      <xdr:row>1139</xdr:row>
      <xdr:rowOff>139359</xdr:rowOff>
    </xdr:from>
    <xdr:to>
      <xdr:col>1</xdr:col>
      <xdr:colOff>736940</xdr:colOff>
      <xdr:row>1139</xdr:row>
      <xdr:rowOff>142081</xdr:rowOff>
    </xdr:to>
    <xdr:cxnSp macro="">
      <xdr:nvCxnSpPr>
        <xdr:cNvPr id="1680" name="Conector recto 16"/>
        <xdr:cNvCxnSpPr>
          <a:cxnSpLocks noChangeShapeType="1"/>
        </xdr:cNvCxnSpPr>
      </xdr:nvCxnSpPr>
      <xdr:spPr bwMode="auto">
        <a:xfrm>
          <a:off x="898865" y="5215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1139</xdr:row>
      <xdr:rowOff>54428</xdr:rowOff>
    </xdr:from>
    <xdr:to>
      <xdr:col>1</xdr:col>
      <xdr:colOff>137659</xdr:colOff>
      <xdr:row>1139</xdr:row>
      <xdr:rowOff>130628</xdr:rowOff>
    </xdr:to>
    <xdr:cxnSp macro="">
      <xdr:nvCxnSpPr>
        <xdr:cNvPr id="1681" name="Conector recto 13"/>
        <xdr:cNvCxnSpPr>
          <a:cxnSpLocks noChangeShapeType="1"/>
        </xdr:cNvCxnSpPr>
      </xdr:nvCxnSpPr>
      <xdr:spPr bwMode="auto">
        <a:xfrm rot="5400000">
          <a:off x="860765" y="5210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1139</xdr:row>
      <xdr:rowOff>57150</xdr:rowOff>
    </xdr:from>
    <xdr:to>
      <xdr:col>1</xdr:col>
      <xdr:colOff>739095</xdr:colOff>
      <xdr:row>1139</xdr:row>
      <xdr:rowOff>133350</xdr:rowOff>
    </xdr:to>
    <xdr:cxnSp macro="">
      <xdr:nvCxnSpPr>
        <xdr:cNvPr id="1682" name="Conector recto 13"/>
        <xdr:cNvCxnSpPr>
          <a:cxnSpLocks noChangeShapeType="1"/>
        </xdr:cNvCxnSpPr>
      </xdr:nvCxnSpPr>
      <xdr:spPr bwMode="auto">
        <a:xfrm rot="5400000">
          <a:off x="1462201" y="521104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1140</xdr:row>
      <xdr:rowOff>107157</xdr:rowOff>
    </xdr:from>
    <xdr:to>
      <xdr:col>1</xdr:col>
      <xdr:colOff>708932</xdr:colOff>
      <xdr:row>1140</xdr:row>
      <xdr:rowOff>109879</xdr:rowOff>
    </xdr:to>
    <xdr:cxnSp macro="">
      <xdr:nvCxnSpPr>
        <xdr:cNvPr id="1683" name="Conector recto 16"/>
        <xdr:cNvCxnSpPr>
          <a:cxnSpLocks noChangeShapeType="1"/>
        </xdr:cNvCxnSpPr>
      </xdr:nvCxnSpPr>
      <xdr:spPr bwMode="auto">
        <a:xfrm>
          <a:off x="870857" y="523136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1141</xdr:row>
      <xdr:rowOff>27215</xdr:rowOff>
    </xdr:from>
    <xdr:to>
      <xdr:col>1</xdr:col>
      <xdr:colOff>703036</xdr:colOff>
      <xdr:row>1141</xdr:row>
      <xdr:rowOff>418797</xdr:rowOff>
    </xdr:to>
    <xdr:sp macro="" textlink="">
      <xdr:nvSpPr>
        <xdr:cNvPr id="1684" name="Rectángulo redondeado 23"/>
        <xdr:cNvSpPr>
          <a:spLocks noChangeArrowheads="1"/>
        </xdr:cNvSpPr>
      </xdr:nvSpPr>
      <xdr:spPr bwMode="auto">
        <a:xfrm>
          <a:off x="925286" y="524242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1145</xdr:row>
      <xdr:rowOff>125752</xdr:rowOff>
    </xdr:from>
    <xdr:to>
      <xdr:col>1</xdr:col>
      <xdr:colOff>709726</xdr:colOff>
      <xdr:row>1145</xdr:row>
      <xdr:rowOff>128474</xdr:rowOff>
    </xdr:to>
    <xdr:cxnSp macro="">
      <xdr:nvCxnSpPr>
        <xdr:cNvPr id="1685" name="Conector recto 16"/>
        <xdr:cNvCxnSpPr>
          <a:cxnSpLocks noChangeShapeType="1"/>
        </xdr:cNvCxnSpPr>
      </xdr:nvCxnSpPr>
      <xdr:spPr bwMode="auto">
        <a:xfrm>
          <a:off x="871651" y="535419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1145</xdr:row>
      <xdr:rowOff>40821</xdr:rowOff>
    </xdr:from>
    <xdr:to>
      <xdr:col>1</xdr:col>
      <xdr:colOff>110445</xdr:colOff>
      <xdr:row>1145</xdr:row>
      <xdr:rowOff>117021</xdr:rowOff>
    </xdr:to>
    <xdr:cxnSp macro="">
      <xdr:nvCxnSpPr>
        <xdr:cNvPr id="1686" name="Conector recto 13"/>
        <xdr:cNvCxnSpPr>
          <a:cxnSpLocks noChangeShapeType="1"/>
        </xdr:cNvCxnSpPr>
      </xdr:nvCxnSpPr>
      <xdr:spPr bwMode="auto">
        <a:xfrm rot="5400000">
          <a:off x="833551" y="534943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1145</xdr:row>
      <xdr:rowOff>43543</xdr:rowOff>
    </xdr:from>
    <xdr:to>
      <xdr:col>1</xdr:col>
      <xdr:colOff>711881</xdr:colOff>
      <xdr:row>1145</xdr:row>
      <xdr:rowOff>119743</xdr:rowOff>
    </xdr:to>
    <xdr:cxnSp macro="">
      <xdr:nvCxnSpPr>
        <xdr:cNvPr id="1687" name="Conector recto 13"/>
        <xdr:cNvCxnSpPr>
          <a:cxnSpLocks noChangeShapeType="1"/>
        </xdr:cNvCxnSpPr>
      </xdr:nvCxnSpPr>
      <xdr:spPr bwMode="auto">
        <a:xfrm rot="5400000">
          <a:off x="1434987" y="534970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1146</xdr:row>
      <xdr:rowOff>93550</xdr:rowOff>
    </xdr:from>
    <xdr:to>
      <xdr:col>1</xdr:col>
      <xdr:colOff>681718</xdr:colOff>
      <xdr:row>1146</xdr:row>
      <xdr:rowOff>96272</xdr:rowOff>
    </xdr:to>
    <xdr:cxnSp macro="">
      <xdr:nvCxnSpPr>
        <xdr:cNvPr id="1688" name="Conector recto 16"/>
        <xdr:cNvCxnSpPr>
          <a:cxnSpLocks noChangeShapeType="1"/>
        </xdr:cNvCxnSpPr>
      </xdr:nvCxnSpPr>
      <xdr:spPr bwMode="auto">
        <a:xfrm>
          <a:off x="843643" y="53700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1150</xdr:row>
      <xdr:rowOff>125753</xdr:rowOff>
    </xdr:from>
    <xdr:to>
      <xdr:col>1</xdr:col>
      <xdr:colOff>720838</xdr:colOff>
      <xdr:row>1150</xdr:row>
      <xdr:rowOff>128475</xdr:rowOff>
    </xdr:to>
    <xdr:cxnSp macro="">
      <xdr:nvCxnSpPr>
        <xdr:cNvPr id="1689" name="Conector recto 16"/>
        <xdr:cNvCxnSpPr>
          <a:cxnSpLocks noChangeShapeType="1"/>
        </xdr:cNvCxnSpPr>
      </xdr:nvCxnSpPr>
      <xdr:spPr bwMode="auto">
        <a:xfrm>
          <a:off x="882763" y="54494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119969</xdr:colOff>
      <xdr:row>1150</xdr:row>
      <xdr:rowOff>40822</xdr:rowOff>
    </xdr:from>
    <xdr:to>
      <xdr:col>1</xdr:col>
      <xdr:colOff>121557</xdr:colOff>
      <xdr:row>1150</xdr:row>
      <xdr:rowOff>117022</xdr:rowOff>
    </xdr:to>
    <xdr:cxnSp macro="">
      <xdr:nvCxnSpPr>
        <xdr:cNvPr id="1690" name="Conector recto 13"/>
        <xdr:cNvCxnSpPr>
          <a:cxnSpLocks noChangeShapeType="1"/>
        </xdr:cNvCxnSpPr>
      </xdr:nvCxnSpPr>
      <xdr:spPr bwMode="auto">
        <a:xfrm rot="5400000">
          <a:off x="844663" y="54446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1151</xdr:row>
      <xdr:rowOff>113846</xdr:rowOff>
    </xdr:from>
    <xdr:to>
      <xdr:col>1</xdr:col>
      <xdr:colOff>708932</xdr:colOff>
      <xdr:row>1151</xdr:row>
      <xdr:rowOff>116568</xdr:rowOff>
    </xdr:to>
    <xdr:cxnSp macro="">
      <xdr:nvCxnSpPr>
        <xdr:cNvPr id="1691" name="Conector recto 16"/>
        <xdr:cNvCxnSpPr>
          <a:cxnSpLocks noChangeShapeType="1"/>
        </xdr:cNvCxnSpPr>
      </xdr:nvCxnSpPr>
      <xdr:spPr bwMode="auto">
        <a:xfrm>
          <a:off x="870857" y="546730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1151</xdr:row>
      <xdr:rowOff>31637</xdr:rowOff>
    </xdr:from>
    <xdr:to>
      <xdr:col>1</xdr:col>
      <xdr:colOff>711087</xdr:colOff>
      <xdr:row>1151</xdr:row>
      <xdr:rowOff>107837</xdr:rowOff>
    </xdr:to>
    <xdr:cxnSp macro="">
      <xdr:nvCxnSpPr>
        <xdr:cNvPr id="1692" name="Conector recto 13"/>
        <xdr:cNvCxnSpPr>
          <a:cxnSpLocks noChangeShapeType="1"/>
        </xdr:cNvCxnSpPr>
      </xdr:nvCxnSpPr>
      <xdr:spPr bwMode="auto">
        <a:xfrm rot="5400000">
          <a:off x="1434193" y="546281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1152</xdr:row>
      <xdr:rowOff>68035</xdr:rowOff>
    </xdr:from>
    <xdr:to>
      <xdr:col>1</xdr:col>
      <xdr:colOff>681718</xdr:colOff>
      <xdr:row>1152</xdr:row>
      <xdr:rowOff>70757</xdr:rowOff>
    </xdr:to>
    <xdr:cxnSp macro="">
      <xdr:nvCxnSpPr>
        <xdr:cNvPr id="1693" name="Conector recto 16"/>
        <xdr:cNvCxnSpPr>
          <a:cxnSpLocks noChangeShapeType="1"/>
        </xdr:cNvCxnSpPr>
      </xdr:nvCxnSpPr>
      <xdr:spPr bwMode="auto">
        <a:xfrm>
          <a:off x="843643" y="54817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125185</xdr:colOff>
      <xdr:row>1153</xdr:row>
      <xdr:rowOff>84364</xdr:rowOff>
    </xdr:from>
    <xdr:to>
      <xdr:col>1</xdr:col>
      <xdr:colOff>725260</xdr:colOff>
      <xdr:row>1153</xdr:row>
      <xdr:rowOff>87086</xdr:rowOff>
    </xdr:to>
    <xdr:cxnSp macro="">
      <xdr:nvCxnSpPr>
        <xdr:cNvPr id="1694" name="Conector recto 16"/>
        <xdr:cNvCxnSpPr>
          <a:cxnSpLocks noChangeShapeType="1"/>
        </xdr:cNvCxnSpPr>
      </xdr:nvCxnSpPr>
      <xdr:spPr bwMode="auto">
        <a:xfrm>
          <a:off x="887185" y="5502456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87085</xdr:colOff>
      <xdr:row>1154</xdr:row>
      <xdr:rowOff>87085</xdr:rowOff>
    </xdr:from>
    <xdr:to>
      <xdr:col>1</xdr:col>
      <xdr:colOff>687160</xdr:colOff>
      <xdr:row>1154</xdr:row>
      <xdr:rowOff>89807</xdr:rowOff>
    </xdr:to>
    <xdr:cxnSp macro="">
      <xdr:nvCxnSpPr>
        <xdr:cNvPr id="1695" name="Conector recto 16"/>
        <xdr:cNvCxnSpPr>
          <a:cxnSpLocks noChangeShapeType="1"/>
        </xdr:cNvCxnSpPr>
      </xdr:nvCxnSpPr>
      <xdr:spPr bwMode="auto">
        <a:xfrm>
          <a:off x="849085" y="552177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106136</xdr:colOff>
      <xdr:row>1155</xdr:row>
      <xdr:rowOff>95250</xdr:rowOff>
    </xdr:from>
    <xdr:to>
      <xdr:col>1</xdr:col>
      <xdr:colOff>706211</xdr:colOff>
      <xdr:row>1155</xdr:row>
      <xdr:rowOff>97972</xdr:rowOff>
    </xdr:to>
    <xdr:cxnSp macro="">
      <xdr:nvCxnSpPr>
        <xdr:cNvPr id="1696" name="Conector recto 16"/>
        <xdr:cNvCxnSpPr>
          <a:cxnSpLocks noChangeShapeType="1"/>
        </xdr:cNvCxnSpPr>
      </xdr:nvCxnSpPr>
      <xdr:spPr bwMode="auto">
        <a:xfrm>
          <a:off x="868136" y="554164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1156</xdr:row>
      <xdr:rowOff>97971</xdr:rowOff>
    </xdr:from>
    <xdr:to>
      <xdr:col>1</xdr:col>
      <xdr:colOff>668111</xdr:colOff>
      <xdr:row>1156</xdr:row>
      <xdr:rowOff>100693</xdr:rowOff>
    </xdr:to>
    <xdr:cxnSp macro="">
      <xdr:nvCxnSpPr>
        <xdr:cNvPr id="1697" name="Conector recto 16"/>
        <xdr:cNvCxnSpPr>
          <a:cxnSpLocks noChangeShapeType="1"/>
        </xdr:cNvCxnSpPr>
      </xdr:nvCxnSpPr>
      <xdr:spPr bwMode="auto">
        <a:xfrm>
          <a:off x="830036" y="556096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1157</xdr:row>
      <xdr:rowOff>13607</xdr:rowOff>
    </xdr:from>
    <xdr:to>
      <xdr:col>1</xdr:col>
      <xdr:colOff>635000</xdr:colOff>
      <xdr:row>1157</xdr:row>
      <xdr:rowOff>405189</xdr:rowOff>
    </xdr:to>
    <xdr:sp macro="" textlink="">
      <xdr:nvSpPr>
        <xdr:cNvPr id="1698" name="Rectángulo redondeado 23"/>
        <xdr:cNvSpPr>
          <a:spLocks noChangeArrowheads="1"/>
        </xdr:cNvSpPr>
      </xdr:nvSpPr>
      <xdr:spPr bwMode="auto">
        <a:xfrm>
          <a:off x="857250" y="557158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1162</xdr:row>
      <xdr:rowOff>127452</xdr:rowOff>
    </xdr:from>
    <xdr:to>
      <xdr:col>1</xdr:col>
      <xdr:colOff>696119</xdr:colOff>
      <xdr:row>1162</xdr:row>
      <xdr:rowOff>130174</xdr:rowOff>
    </xdr:to>
    <xdr:cxnSp macro="">
      <xdr:nvCxnSpPr>
        <xdr:cNvPr id="1699" name="Conector recto 16"/>
        <xdr:cNvCxnSpPr>
          <a:cxnSpLocks noChangeShapeType="1"/>
        </xdr:cNvCxnSpPr>
      </xdr:nvCxnSpPr>
      <xdr:spPr bwMode="auto">
        <a:xfrm>
          <a:off x="858044" y="570393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1162</xdr:row>
      <xdr:rowOff>42521</xdr:rowOff>
    </xdr:from>
    <xdr:to>
      <xdr:col>1</xdr:col>
      <xdr:colOff>96838</xdr:colOff>
      <xdr:row>1162</xdr:row>
      <xdr:rowOff>118721</xdr:rowOff>
    </xdr:to>
    <xdr:cxnSp macro="">
      <xdr:nvCxnSpPr>
        <xdr:cNvPr id="1700" name="Conector recto 13"/>
        <xdr:cNvCxnSpPr>
          <a:cxnSpLocks noChangeShapeType="1"/>
        </xdr:cNvCxnSpPr>
      </xdr:nvCxnSpPr>
      <xdr:spPr bwMode="auto">
        <a:xfrm rot="5400000">
          <a:off x="819944" y="569917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1163</xdr:row>
      <xdr:rowOff>152967</xdr:rowOff>
    </xdr:from>
    <xdr:to>
      <xdr:col>1</xdr:col>
      <xdr:colOff>696119</xdr:colOff>
      <xdr:row>1163</xdr:row>
      <xdr:rowOff>155689</xdr:rowOff>
    </xdr:to>
    <xdr:cxnSp macro="">
      <xdr:nvCxnSpPr>
        <xdr:cNvPr id="1701" name="Conector recto 16"/>
        <xdr:cNvCxnSpPr>
          <a:cxnSpLocks noChangeShapeType="1"/>
        </xdr:cNvCxnSpPr>
      </xdr:nvCxnSpPr>
      <xdr:spPr bwMode="auto">
        <a:xfrm>
          <a:off x="858044" y="572553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1163</xdr:row>
      <xdr:rowOff>68036</xdr:rowOff>
    </xdr:from>
    <xdr:to>
      <xdr:col>1</xdr:col>
      <xdr:colOff>96838</xdr:colOff>
      <xdr:row>1163</xdr:row>
      <xdr:rowOff>144236</xdr:rowOff>
    </xdr:to>
    <xdr:cxnSp macro="">
      <xdr:nvCxnSpPr>
        <xdr:cNvPr id="1702" name="Conector recto 13"/>
        <xdr:cNvCxnSpPr>
          <a:cxnSpLocks noChangeShapeType="1"/>
        </xdr:cNvCxnSpPr>
      </xdr:nvCxnSpPr>
      <xdr:spPr bwMode="auto">
        <a:xfrm rot="5400000">
          <a:off x="819944" y="572077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1164</xdr:row>
      <xdr:rowOff>139360</xdr:rowOff>
    </xdr:from>
    <xdr:to>
      <xdr:col>1</xdr:col>
      <xdr:colOff>682512</xdr:colOff>
      <xdr:row>1164</xdr:row>
      <xdr:rowOff>142082</xdr:rowOff>
    </xdr:to>
    <xdr:cxnSp macro="">
      <xdr:nvCxnSpPr>
        <xdr:cNvPr id="1703" name="Conector recto 16"/>
        <xdr:cNvCxnSpPr>
          <a:cxnSpLocks noChangeShapeType="1"/>
        </xdr:cNvCxnSpPr>
      </xdr:nvCxnSpPr>
      <xdr:spPr bwMode="auto">
        <a:xfrm>
          <a:off x="844437" y="574322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1164</xdr:row>
      <xdr:rowOff>54429</xdr:rowOff>
    </xdr:from>
    <xdr:to>
      <xdr:col>1</xdr:col>
      <xdr:colOff>83231</xdr:colOff>
      <xdr:row>1164</xdr:row>
      <xdr:rowOff>130629</xdr:rowOff>
    </xdr:to>
    <xdr:cxnSp macro="">
      <xdr:nvCxnSpPr>
        <xdr:cNvPr id="1704" name="Conector recto 13"/>
        <xdr:cNvCxnSpPr>
          <a:cxnSpLocks noChangeShapeType="1"/>
        </xdr:cNvCxnSpPr>
      </xdr:nvCxnSpPr>
      <xdr:spPr bwMode="auto">
        <a:xfrm rot="5400000">
          <a:off x="806337" y="573846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1164</xdr:row>
      <xdr:rowOff>57151</xdr:rowOff>
    </xdr:from>
    <xdr:to>
      <xdr:col>1</xdr:col>
      <xdr:colOff>684667</xdr:colOff>
      <xdr:row>1164</xdr:row>
      <xdr:rowOff>133351</xdr:rowOff>
    </xdr:to>
    <xdr:cxnSp macro="">
      <xdr:nvCxnSpPr>
        <xdr:cNvPr id="1705" name="Conector recto 13"/>
        <xdr:cNvCxnSpPr>
          <a:cxnSpLocks noChangeShapeType="1"/>
        </xdr:cNvCxnSpPr>
      </xdr:nvCxnSpPr>
      <xdr:spPr bwMode="auto">
        <a:xfrm rot="5400000">
          <a:off x="1407773" y="57387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1166</xdr:row>
      <xdr:rowOff>97971</xdr:rowOff>
    </xdr:from>
    <xdr:to>
      <xdr:col>1</xdr:col>
      <xdr:colOff>695325</xdr:colOff>
      <xdr:row>1166</xdr:row>
      <xdr:rowOff>100693</xdr:rowOff>
    </xdr:to>
    <xdr:cxnSp macro="">
      <xdr:nvCxnSpPr>
        <xdr:cNvPr id="1706" name="Conector recto 16"/>
        <xdr:cNvCxnSpPr>
          <a:cxnSpLocks noChangeShapeType="1"/>
        </xdr:cNvCxnSpPr>
      </xdr:nvCxnSpPr>
      <xdr:spPr bwMode="auto">
        <a:xfrm>
          <a:off x="857250" y="577718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114301</xdr:colOff>
      <xdr:row>1167</xdr:row>
      <xdr:rowOff>106136</xdr:rowOff>
    </xdr:from>
    <xdr:to>
      <xdr:col>1</xdr:col>
      <xdr:colOff>714376</xdr:colOff>
      <xdr:row>1167</xdr:row>
      <xdr:rowOff>108858</xdr:rowOff>
    </xdr:to>
    <xdr:cxnSp macro="">
      <xdr:nvCxnSpPr>
        <xdr:cNvPr id="1707" name="Conector recto 16"/>
        <xdr:cNvCxnSpPr>
          <a:cxnSpLocks noChangeShapeType="1"/>
        </xdr:cNvCxnSpPr>
      </xdr:nvCxnSpPr>
      <xdr:spPr bwMode="auto">
        <a:xfrm>
          <a:off x="876301" y="579705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1161</xdr:row>
      <xdr:rowOff>68036</xdr:rowOff>
    </xdr:from>
    <xdr:to>
      <xdr:col>1</xdr:col>
      <xdr:colOff>672987</xdr:colOff>
      <xdr:row>1161</xdr:row>
      <xdr:rowOff>69624</xdr:rowOff>
    </xdr:to>
    <xdr:cxnSp macro="">
      <xdr:nvCxnSpPr>
        <xdr:cNvPr id="1708" name="Conector recto 4"/>
        <xdr:cNvCxnSpPr>
          <a:cxnSpLocks noChangeShapeType="1"/>
        </xdr:cNvCxnSpPr>
      </xdr:nvCxnSpPr>
      <xdr:spPr bwMode="auto">
        <a:xfrm>
          <a:off x="853962" y="5678941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1161</xdr:row>
      <xdr:rowOff>68830</xdr:rowOff>
    </xdr:from>
    <xdr:to>
      <xdr:col>1</xdr:col>
      <xdr:colOff>83231</xdr:colOff>
      <xdr:row>1161</xdr:row>
      <xdr:rowOff>145030</xdr:rowOff>
    </xdr:to>
    <xdr:cxnSp macro="">
      <xdr:nvCxnSpPr>
        <xdr:cNvPr id="1709" name="Conector recto 7"/>
        <xdr:cNvCxnSpPr>
          <a:cxnSpLocks noChangeShapeType="1"/>
        </xdr:cNvCxnSpPr>
      </xdr:nvCxnSpPr>
      <xdr:spPr bwMode="auto">
        <a:xfrm rot="5400000">
          <a:off x="806337" y="5682751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1165</xdr:row>
      <xdr:rowOff>139360</xdr:rowOff>
    </xdr:from>
    <xdr:to>
      <xdr:col>1</xdr:col>
      <xdr:colOff>696119</xdr:colOff>
      <xdr:row>1165</xdr:row>
      <xdr:rowOff>142082</xdr:rowOff>
    </xdr:to>
    <xdr:cxnSp macro="">
      <xdr:nvCxnSpPr>
        <xdr:cNvPr id="1710" name="Conector recto 16"/>
        <xdr:cNvCxnSpPr>
          <a:cxnSpLocks noChangeShapeType="1"/>
        </xdr:cNvCxnSpPr>
      </xdr:nvCxnSpPr>
      <xdr:spPr bwMode="auto">
        <a:xfrm>
          <a:off x="858044" y="57622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1165</xdr:row>
      <xdr:rowOff>54429</xdr:rowOff>
    </xdr:from>
    <xdr:to>
      <xdr:col>1</xdr:col>
      <xdr:colOff>96838</xdr:colOff>
      <xdr:row>1165</xdr:row>
      <xdr:rowOff>130629</xdr:rowOff>
    </xdr:to>
    <xdr:cxnSp macro="">
      <xdr:nvCxnSpPr>
        <xdr:cNvPr id="1711" name="Conector recto 13"/>
        <xdr:cNvCxnSpPr>
          <a:cxnSpLocks noChangeShapeType="1"/>
        </xdr:cNvCxnSpPr>
      </xdr:nvCxnSpPr>
      <xdr:spPr bwMode="auto">
        <a:xfrm rot="5400000">
          <a:off x="819944" y="575751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1165</xdr:row>
      <xdr:rowOff>57151</xdr:rowOff>
    </xdr:from>
    <xdr:to>
      <xdr:col>1</xdr:col>
      <xdr:colOff>698274</xdr:colOff>
      <xdr:row>1165</xdr:row>
      <xdr:rowOff>133351</xdr:rowOff>
    </xdr:to>
    <xdr:cxnSp macro="">
      <xdr:nvCxnSpPr>
        <xdr:cNvPr id="1712" name="Conector recto 13"/>
        <xdr:cNvCxnSpPr>
          <a:cxnSpLocks noChangeShapeType="1"/>
        </xdr:cNvCxnSpPr>
      </xdr:nvCxnSpPr>
      <xdr:spPr bwMode="auto">
        <a:xfrm rot="5400000">
          <a:off x="1421380" y="575778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1168</xdr:row>
      <xdr:rowOff>122465</xdr:rowOff>
    </xdr:from>
    <xdr:to>
      <xdr:col>1</xdr:col>
      <xdr:colOff>708932</xdr:colOff>
      <xdr:row>1168</xdr:row>
      <xdr:rowOff>125187</xdr:rowOff>
    </xdr:to>
    <xdr:cxnSp macro="">
      <xdr:nvCxnSpPr>
        <xdr:cNvPr id="1713" name="Conector recto 16"/>
        <xdr:cNvCxnSpPr>
          <a:cxnSpLocks noChangeShapeType="1"/>
        </xdr:cNvCxnSpPr>
      </xdr:nvCxnSpPr>
      <xdr:spPr bwMode="auto">
        <a:xfrm>
          <a:off x="870857" y="5817734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1169</xdr:row>
      <xdr:rowOff>27214</xdr:rowOff>
    </xdr:from>
    <xdr:to>
      <xdr:col>1</xdr:col>
      <xdr:colOff>689428</xdr:colOff>
      <xdr:row>1169</xdr:row>
      <xdr:rowOff>418796</xdr:rowOff>
    </xdr:to>
    <xdr:sp macro="" textlink="">
      <xdr:nvSpPr>
        <xdr:cNvPr id="1714" name="Rectángulo redondeado 23"/>
        <xdr:cNvSpPr>
          <a:spLocks noChangeArrowheads="1"/>
        </xdr:cNvSpPr>
      </xdr:nvSpPr>
      <xdr:spPr bwMode="auto">
        <a:xfrm>
          <a:off x="911678" y="5827258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1174</xdr:row>
      <xdr:rowOff>113845</xdr:rowOff>
    </xdr:from>
    <xdr:to>
      <xdr:col>1</xdr:col>
      <xdr:colOff>696119</xdr:colOff>
      <xdr:row>1174</xdr:row>
      <xdr:rowOff>116567</xdr:rowOff>
    </xdr:to>
    <xdr:cxnSp macro="">
      <xdr:nvCxnSpPr>
        <xdr:cNvPr id="1715" name="Conector recto 16"/>
        <xdr:cNvCxnSpPr>
          <a:cxnSpLocks noChangeShapeType="1"/>
        </xdr:cNvCxnSpPr>
      </xdr:nvCxnSpPr>
      <xdr:spPr bwMode="auto">
        <a:xfrm>
          <a:off x="858044" y="595593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1174</xdr:row>
      <xdr:rowOff>28914</xdr:rowOff>
    </xdr:from>
    <xdr:to>
      <xdr:col>1</xdr:col>
      <xdr:colOff>96838</xdr:colOff>
      <xdr:row>1174</xdr:row>
      <xdr:rowOff>105114</xdr:rowOff>
    </xdr:to>
    <xdr:cxnSp macro="">
      <xdr:nvCxnSpPr>
        <xdr:cNvPr id="1716" name="Conector recto 13"/>
        <xdr:cNvCxnSpPr>
          <a:cxnSpLocks noChangeShapeType="1"/>
        </xdr:cNvCxnSpPr>
      </xdr:nvCxnSpPr>
      <xdr:spPr bwMode="auto">
        <a:xfrm rot="5400000">
          <a:off x="819944" y="595117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1175</xdr:row>
      <xdr:rowOff>139360</xdr:rowOff>
    </xdr:from>
    <xdr:to>
      <xdr:col>1</xdr:col>
      <xdr:colOff>696119</xdr:colOff>
      <xdr:row>1175</xdr:row>
      <xdr:rowOff>142082</xdr:rowOff>
    </xdr:to>
    <xdr:cxnSp macro="">
      <xdr:nvCxnSpPr>
        <xdr:cNvPr id="1717" name="Conector recto 16"/>
        <xdr:cNvCxnSpPr>
          <a:cxnSpLocks noChangeShapeType="1"/>
        </xdr:cNvCxnSpPr>
      </xdr:nvCxnSpPr>
      <xdr:spPr bwMode="auto">
        <a:xfrm>
          <a:off x="858044" y="597753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1175</xdr:row>
      <xdr:rowOff>54429</xdr:rowOff>
    </xdr:from>
    <xdr:to>
      <xdr:col>1</xdr:col>
      <xdr:colOff>96838</xdr:colOff>
      <xdr:row>1175</xdr:row>
      <xdr:rowOff>130629</xdr:rowOff>
    </xdr:to>
    <xdr:cxnSp macro="">
      <xdr:nvCxnSpPr>
        <xdr:cNvPr id="1718" name="Conector recto 13"/>
        <xdr:cNvCxnSpPr>
          <a:cxnSpLocks noChangeShapeType="1"/>
        </xdr:cNvCxnSpPr>
      </xdr:nvCxnSpPr>
      <xdr:spPr bwMode="auto">
        <a:xfrm rot="5400000">
          <a:off x="819944" y="59727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1173</xdr:row>
      <xdr:rowOff>54429</xdr:rowOff>
    </xdr:from>
    <xdr:to>
      <xdr:col>1</xdr:col>
      <xdr:colOff>672987</xdr:colOff>
      <xdr:row>1173</xdr:row>
      <xdr:rowOff>56017</xdr:rowOff>
    </xdr:to>
    <xdr:cxnSp macro="">
      <xdr:nvCxnSpPr>
        <xdr:cNvPr id="1719" name="Conector recto 4"/>
        <xdr:cNvCxnSpPr>
          <a:cxnSpLocks noChangeShapeType="1"/>
        </xdr:cNvCxnSpPr>
      </xdr:nvCxnSpPr>
      <xdr:spPr bwMode="auto">
        <a:xfrm>
          <a:off x="853962" y="59309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1173</xdr:row>
      <xdr:rowOff>55223</xdr:rowOff>
    </xdr:from>
    <xdr:to>
      <xdr:col>1</xdr:col>
      <xdr:colOff>83231</xdr:colOff>
      <xdr:row>1173</xdr:row>
      <xdr:rowOff>131423</xdr:rowOff>
    </xdr:to>
    <xdr:cxnSp macro="">
      <xdr:nvCxnSpPr>
        <xdr:cNvPr id="1720" name="Conector recto 7"/>
        <xdr:cNvCxnSpPr>
          <a:cxnSpLocks noChangeShapeType="1"/>
        </xdr:cNvCxnSpPr>
      </xdr:nvCxnSpPr>
      <xdr:spPr bwMode="auto">
        <a:xfrm rot="5400000">
          <a:off x="806337" y="59347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1176</xdr:row>
      <xdr:rowOff>95250</xdr:rowOff>
    </xdr:from>
    <xdr:to>
      <xdr:col>1</xdr:col>
      <xdr:colOff>681717</xdr:colOff>
      <xdr:row>1176</xdr:row>
      <xdr:rowOff>97972</xdr:rowOff>
    </xdr:to>
    <xdr:cxnSp macro="">
      <xdr:nvCxnSpPr>
        <xdr:cNvPr id="1721" name="Conector recto 16"/>
        <xdr:cNvCxnSpPr>
          <a:cxnSpLocks noChangeShapeType="1"/>
        </xdr:cNvCxnSpPr>
      </xdr:nvCxnSpPr>
      <xdr:spPr bwMode="auto">
        <a:xfrm>
          <a:off x="843642" y="599217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125184</xdr:colOff>
      <xdr:row>1177</xdr:row>
      <xdr:rowOff>111579</xdr:rowOff>
    </xdr:from>
    <xdr:to>
      <xdr:col>1</xdr:col>
      <xdr:colOff>725259</xdr:colOff>
      <xdr:row>1177</xdr:row>
      <xdr:rowOff>114301</xdr:rowOff>
    </xdr:to>
    <xdr:cxnSp macro="">
      <xdr:nvCxnSpPr>
        <xdr:cNvPr id="1722" name="Conector recto 16"/>
        <xdr:cNvCxnSpPr>
          <a:cxnSpLocks noChangeShapeType="1"/>
        </xdr:cNvCxnSpPr>
      </xdr:nvCxnSpPr>
      <xdr:spPr bwMode="auto">
        <a:xfrm>
          <a:off x="887184" y="6012860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87084</xdr:colOff>
      <xdr:row>1178</xdr:row>
      <xdr:rowOff>114300</xdr:rowOff>
    </xdr:from>
    <xdr:to>
      <xdr:col>1</xdr:col>
      <xdr:colOff>687159</xdr:colOff>
      <xdr:row>1178</xdr:row>
      <xdr:rowOff>117022</xdr:rowOff>
    </xdr:to>
    <xdr:cxnSp macro="">
      <xdr:nvCxnSpPr>
        <xdr:cNvPr id="1723" name="Conector recto 16"/>
        <xdr:cNvCxnSpPr>
          <a:cxnSpLocks noChangeShapeType="1"/>
        </xdr:cNvCxnSpPr>
      </xdr:nvCxnSpPr>
      <xdr:spPr bwMode="auto">
        <a:xfrm>
          <a:off x="849084" y="603218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106135</xdr:colOff>
      <xdr:row>1179</xdr:row>
      <xdr:rowOff>122465</xdr:rowOff>
    </xdr:from>
    <xdr:to>
      <xdr:col>1</xdr:col>
      <xdr:colOff>706210</xdr:colOff>
      <xdr:row>1179</xdr:row>
      <xdr:rowOff>125187</xdr:rowOff>
    </xdr:to>
    <xdr:cxnSp macro="">
      <xdr:nvCxnSpPr>
        <xdr:cNvPr id="1724" name="Conector recto 16"/>
        <xdr:cNvCxnSpPr>
          <a:cxnSpLocks noChangeShapeType="1"/>
        </xdr:cNvCxnSpPr>
      </xdr:nvCxnSpPr>
      <xdr:spPr bwMode="auto">
        <a:xfrm>
          <a:off x="868135" y="6052049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1180</xdr:row>
      <xdr:rowOff>125186</xdr:rowOff>
    </xdr:from>
    <xdr:to>
      <xdr:col>1</xdr:col>
      <xdr:colOff>668110</xdr:colOff>
      <xdr:row>1180</xdr:row>
      <xdr:rowOff>127908</xdr:rowOff>
    </xdr:to>
    <xdr:cxnSp macro="">
      <xdr:nvCxnSpPr>
        <xdr:cNvPr id="1725" name="Conector recto 16"/>
        <xdr:cNvCxnSpPr>
          <a:cxnSpLocks noChangeShapeType="1"/>
        </xdr:cNvCxnSpPr>
      </xdr:nvCxnSpPr>
      <xdr:spPr bwMode="auto">
        <a:xfrm>
          <a:off x="830035" y="607137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1181</xdr:row>
      <xdr:rowOff>136638</xdr:rowOff>
    </xdr:from>
    <xdr:to>
      <xdr:col>1</xdr:col>
      <xdr:colOff>668111</xdr:colOff>
      <xdr:row>1181</xdr:row>
      <xdr:rowOff>139360</xdr:rowOff>
    </xdr:to>
    <xdr:cxnSp macro="">
      <xdr:nvCxnSpPr>
        <xdr:cNvPr id="1726" name="Conector recto 16"/>
        <xdr:cNvCxnSpPr>
          <a:cxnSpLocks noChangeShapeType="1"/>
        </xdr:cNvCxnSpPr>
      </xdr:nvCxnSpPr>
      <xdr:spPr bwMode="auto">
        <a:xfrm>
          <a:off x="830036" y="609156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668678</xdr:colOff>
      <xdr:row>1181</xdr:row>
      <xdr:rowOff>54429</xdr:rowOff>
    </xdr:from>
    <xdr:to>
      <xdr:col>1</xdr:col>
      <xdr:colOff>670266</xdr:colOff>
      <xdr:row>1181</xdr:row>
      <xdr:rowOff>130629</xdr:rowOff>
    </xdr:to>
    <xdr:cxnSp macro="">
      <xdr:nvCxnSpPr>
        <xdr:cNvPr id="1727" name="Conector recto 13"/>
        <xdr:cNvCxnSpPr>
          <a:cxnSpLocks noChangeShapeType="1"/>
        </xdr:cNvCxnSpPr>
      </xdr:nvCxnSpPr>
      <xdr:spPr bwMode="auto">
        <a:xfrm rot="5400000">
          <a:off x="1393372" y="60870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1182</xdr:row>
      <xdr:rowOff>13608</xdr:rowOff>
    </xdr:from>
    <xdr:to>
      <xdr:col>1</xdr:col>
      <xdr:colOff>675822</xdr:colOff>
      <xdr:row>1182</xdr:row>
      <xdr:rowOff>405190</xdr:rowOff>
    </xdr:to>
    <xdr:sp macro="" textlink="">
      <xdr:nvSpPr>
        <xdr:cNvPr id="1728" name="Rectángulo redondeado 23"/>
        <xdr:cNvSpPr>
          <a:spLocks noChangeArrowheads="1"/>
        </xdr:cNvSpPr>
      </xdr:nvSpPr>
      <xdr:spPr bwMode="auto">
        <a:xfrm>
          <a:off x="898072" y="609831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1186</xdr:row>
      <xdr:rowOff>139360</xdr:rowOff>
    </xdr:from>
    <xdr:to>
      <xdr:col>1</xdr:col>
      <xdr:colOff>709726</xdr:colOff>
      <xdr:row>1186</xdr:row>
      <xdr:rowOff>142082</xdr:rowOff>
    </xdr:to>
    <xdr:cxnSp macro="">
      <xdr:nvCxnSpPr>
        <xdr:cNvPr id="1729" name="Conector recto 16"/>
        <xdr:cNvCxnSpPr>
          <a:cxnSpLocks noChangeShapeType="1"/>
        </xdr:cNvCxnSpPr>
      </xdr:nvCxnSpPr>
      <xdr:spPr bwMode="auto">
        <a:xfrm>
          <a:off x="871651" y="620994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1186</xdr:row>
      <xdr:rowOff>54429</xdr:rowOff>
    </xdr:from>
    <xdr:to>
      <xdr:col>1</xdr:col>
      <xdr:colOff>110445</xdr:colOff>
      <xdr:row>1186</xdr:row>
      <xdr:rowOff>130629</xdr:rowOff>
    </xdr:to>
    <xdr:cxnSp macro="">
      <xdr:nvCxnSpPr>
        <xdr:cNvPr id="1730" name="Conector recto 13"/>
        <xdr:cNvCxnSpPr>
          <a:cxnSpLocks noChangeShapeType="1"/>
        </xdr:cNvCxnSpPr>
      </xdr:nvCxnSpPr>
      <xdr:spPr bwMode="auto">
        <a:xfrm rot="5400000">
          <a:off x="833551" y="620518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1186</xdr:row>
      <xdr:rowOff>57151</xdr:rowOff>
    </xdr:from>
    <xdr:to>
      <xdr:col>1</xdr:col>
      <xdr:colOff>711881</xdr:colOff>
      <xdr:row>1186</xdr:row>
      <xdr:rowOff>133351</xdr:rowOff>
    </xdr:to>
    <xdr:cxnSp macro="">
      <xdr:nvCxnSpPr>
        <xdr:cNvPr id="1731" name="Conector recto 13"/>
        <xdr:cNvCxnSpPr>
          <a:cxnSpLocks noChangeShapeType="1"/>
        </xdr:cNvCxnSpPr>
      </xdr:nvCxnSpPr>
      <xdr:spPr bwMode="auto">
        <a:xfrm rot="5400000">
          <a:off x="1434987" y="620545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1187</xdr:row>
      <xdr:rowOff>81643</xdr:rowOff>
    </xdr:from>
    <xdr:to>
      <xdr:col>1</xdr:col>
      <xdr:colOff>695325</xdr:colOff>
      <xdr:row>1187</xdr:row>
      <xdr:rowOff>84365</xdr:rowOff>
    </xdr:to>
    <xdr:cxnSp macro="">
      <xdr:nvCxnSpPr>
        <xdr:cNvPr id="1732" name="Conector recto 16"/>
        <xdr:cNvCxnSpPr>
          <a:cxnSpLocks noChangeShapeType="1"/>
        </xdr:cNvCxnSpPr>
      </xdr:nvCxnSpPr>
      <xdr:spPr bwMode="auto">
        <a:xfrm>
          <a:off x="857250" y="622322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1188</xdr:row>
      <xdr:rowOff>27214</xdr:rowOff>
    </xdr:from>
    <xdr:to>
      <xdr:col>1</xdr:col>
      <xdr:colOff>675821</xdr:colOff>
      <xdr:row>1188</xdr:row>
      <xdr:rowOff>418796</xdr:rowOff>
    </xdr:to>
    <xdr:sp macro="" textlink="">
      <xdr:nvSpPr>
        <xdr:cNvPr id="1733" name="Rectángulo redondeado 23"/>
        <xdr:cNvSpPr>
          <a:spLocks noChangeArrowheads="1"/>
        </xdr:cNvSpPr>
      </xdr:nvSpPr>
      <xdr:spPr bwMode="auto">
        <a:xfrm>
          <a:off x="898071" y="623683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1192</xdr:row>
      <xdr:rowOff>139360</xdr:rowOff>
    </xdr:from>
    <xdr:to>
      <xdr:col>1</xdr:col>
      <xdr:colOff>709726</xdr:colOff>
      <xdr:row>1192</xdr:row>
      <xdr:rowOff>142082</xdr:rowOff>
    </xdr:to>
    <xdr:cxnSp macro="">
      <xdr:nvCxnSpPr>
        <xdr:cNvPr id="1734" name="Conector recto 16"/>
        <xdr:cNvCxnSpPr>
          <a:cxnSpLocks noChangeShapeType="1"/>
        </xdr:cNvCxnSpPr>
      </xdr:nvCxnSpPr>
      <xdr:spPr bwMode="auto">
        <a:xfrm>
          <a:off x="871651" y="634996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1192</xdr:row>
      <xdr:rowOff>54429</xdr:rowOff>
    </xdr:from>
    <xdr:to>
      <xdr:col>1</xdr:col>
      <xdr:colOff>110445</xdr:colOff>
      <xdr:row>1192</xdr:row>
      <xdr:rowOff>130629</xdr:rowOff>
    </xdr:to>
    <xdr:cxnSp macro="">
      <xdr:nvCxnSpPr>
        <xdr:cNvPr id="1735" name="Conector recto 13"/>
        <xdr:cNvCxnSpPr>
          <a:cxnSpLocks noChangeShapeType="1"/>
        </xdr:cNvCxnSpPr>
      </xdr:nvCxnSpPr>
      <xdr:spPr bwMode="auto">
        <a:xfrm rot="5400000">
          <a:off x="833551" y="634520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1192</xdr:row>
      <xdr:rowOff>57151</xdr:rowOff>
    </xdr:from>
    <xdr:to>
      <xdr:col>1</xdr:col>
      <xdr:colOff>711881</xdr:colOff>
      <xdr:row>1192</xdr:row>
      <xdr:rowOff>133351</xdr:rowOff>
    </xdr:to>
    <xdr:cxnSp macro="">
      <xdr:nvCxnSpPr>
        <xdr:cNvPr id="1736" name="Conector recto 13"/>
        <xdr:cNvCxnSpPr>
          <a:cxnSpLocks noChangeShapeType="1"/>
        </xdr:cNvCxnSpPr>
      </xdr:nvCxnSpPr>
      <xdr:spPr bwMode="auto">
        <a:xfrm rot="5400000">
          <a:off x="1434987" y="6345475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1193</xdr:row>
      <xdr:rowOff>81643</xdr:rowOff>
    </xdr:from>
    <xdr:to>
      <xdr:col>1</xdr:col>
      <xdr:colOff>695325</xdr:colOff>
      <xdr:row>1193</xdr:row>
      <xdr:rowOff>84365</xdr:rowOff>
    </xdr:to>
    <xdr:cxnSp macro="">
      <xdr:nvCxnSpPr>
        <xdr:cNvPr id="1737" name="Conector recto 16"/>
        <xdr:cNvCxnSpPr>
          <a:cxnSpLocks noChangeShapeType="1"/>
        </xdr:cNvCxnSpPr>
      </xdr:nvCxnSpPr>
      <xdr:spPr bwMode="auto">
        <a:xfrm>
          <a:off x="857250" y="636324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1194</xdr:row>
      <xdr:rowOff>27214</xdr:rowOff>
    </xdr:from>
    <xdr:to>
      <xdr:col>1</xdr:col>
      <xdr:colOff>675821</xdr:colOff>
      <xdr:row>1194</xdr:row>
      <xdr:rowOff>418796</xdr:rowOff>
    </xdr:to>
    <xdr:sp macro="" textlink="">
      <xdr:nvSpPr>
        <xdr:cNvPr id="1738" name="Rectángulo redondeado 23"/>
        <xdr:cNvSpPr>
          <a:spLocks noChangeArrowheads="1"/>
        </xdr:cNvSpPr>
      </xdr:nvSpPr>
      <xdr:spPr bwMode="auto">
        <a:xfrm>
          <a:off x="898071" y="637685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1198</xdr:row>
      <xdr:rowOff>139360</xdr:rowOff>
    </xdr:from>
    <xdr:to>
      <xdr:col>1</xdr:col>
      <xdr:colOff>709726</xdr:colOff>
      <xdr:row>1198</xdr:row>
      <xdr:rowOff>142082</xdr:rowOff>
    </xdr:to>
    <xdr:cxnSp macro="">
      <xdr:nvCxnSpPr>
        <xdr:cNvPr id="1739" name="Conector recto 16"/>
        <xdr:cNvCxnSpPr>
          <a:cxnSpLocks noChangeShapeType="1"/>
        </xdr:cNvCxnSpPr>
      </xdr:nvCxnSpPr>
      <xdr:spPr bwMode="auto">
        <a:xfrm>
          <a:off x="871651" y="64918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1198</xdr:row>
      <xdr:rowOff>54429</xdr:rowOff>
    </xdr:from>
    <xdr:to>
      <xdr:col>1</xdr:col>
      <xdr:colOff>110445</xdr:colOff>
      <xdr:row>1198</xdr:row>
      <xdr:rowOff>130629</xdr:rowOff>
    </xdr:to>
    <xdr:cxnSp macro="">
      <xdr:nvCxnSpPr>
        <xdr:cNvPr id="1740" name="Conector recto 13"/>
        <xdr:cNvCxnSpPr>
          <a:cxnSpLocks noChangeShapeType="1"/>
        </xdr:cNvCxnSpPr>
      </xdr:nvCxnSpPr>
      <xdr:spPr bwMode="auto">
        <a:xfrm rot="5400000">
          <a:off x="833551" y="64871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1198</xdr:row>
      <xdr:rowOff>57151</xdr:rowOff>
    </xdr:from>
    <xdr:to>
      <xdr:col>1</xdr:col>
      <xdr:colOff>711881</xdr:colOff>
      <xdr:row>1198</xdr:row>
      <xdr:rowOff>133351</xdr:rowOff>
    </xdr:to>
    <xdr:cxnSp macro="">
      <xdr:nvCxnSpPr>
        <xdr:cNvPr id="1741" name="Conector recto 13"/>
        <xdr:cNvCxnSpPr>
          <a:cxnSpLocks noChangeShapeType="1"/>
        </xdr:cNvCxnSpPr>
      </xdr:nvCxnSpPr>
      <xdr:spPr bwMode="auto">
        <a:xfrm rot="5400000">
          <a:off x="1434987" y="648739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1200</xdr:row>
      <xdr:rowOff>81643</xdr:rowOff>
    </xdr:from>
    <xdr:to>
      <xdr:col>1</xdr:col>
      <xdr:colOff>695325</xdr:colOff>
      <xdr:row>1200</xdr:row>
      <xdr:rowOff>84365</xdr:rowOff>
    </xdr:to>
    <xdr:cxnSp macro="">
      <xdr:nvCxnSpPr>
        <xdr:cNvPr id="1742" name="Conector recto 16"/>
        <xdr:cNvCxnSpPr>
          <a:cxnSpLocks noChangeShapeType="1"/>
        </xdr:cNvCxnSpPr>
      </xdr:nvCxnSpPr>
      <xdr:spPr bwMode="auto">
        <a:xfrm>
          <a:off x="857250" y="652421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1201</xdr:row>
      <xdr:rowOff>27214</xdr:rowOff>
    </xdr:from>
    <xdr:to>
      <xdr:col>1</xdr:col>
      <xdr:colOff>675821</xdr:colOff>
      <xdr:row>1201</xdr:row>
      <xdr:rowOff>418796</xdr:rowOff>
    </xdr:to>
    <xdr:sp macro="" textlink="">
      <xdr:nvSpPr>
        <xdr:cNvPr id="1743" name="Rectángulo redondeado 23"/>
        <xdr:cNvSpPr>
          <a:spLocks noChangeArrowheads="1"/>
        </xdr:cNvSpPr>
      </xdr:nvSpPr>
      <xdr:spPr bwMode="auto">
        <a:xfrm>
          <a:off x="898071" y="653782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91962</xdr:colOff>
      <xdr:row>1199</xdr:row>
      <xdr:rowOff>54429</xdr:rowOff>
    </xdr:from>
    <xdr:to>
      <xdr:col>1</xdr:col>
      <xdr:colOff>672987</xdr:colOff>
      <xdr:row>1199</xdr:row>
      <xdr:rowOff>56017</xdr:rowOff>
    </xdr:to>
    <xdr:cxnSp macro="">
      <xdr:nvCxnSpPr>
        <xdr:cNvPr id="1744" name="Conector recto 4"/>
        <xdr:cNvCxnSpPr>
          <a:cxnSpLocks noChangeShapeType="1"/>
        </xdr:cNvCxnSpPr>
      </xdr:nvCxnSpPr>
      <xdr:spPr bwMode="auto">
        <a:xfrm>
          <a:off x="853962" y="65024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1199</xdr:row>
      <xdr:rowOff>55223</xdr:rowOff>
    </xdr:from>
    <xdr:to>
      <xdr:col>1</xdr:col>
      <xdr:colOff>83231</xdr:colOff>
      <xdr:row>1199</xdr:row>
      <xdr:rowOff>131423</xdr:rowOff>
    </xdr:to>
    <xdr:cxnSp macro="">
      <xdr:nvCxnSpPr>
        <xdr:cNvPr id="1745" name="Conector recto 7"/>
        <xdr:cNvCxnSpPr>
          <a:cxnSpLocks noChangeShapeType="1"/>
        </xdr:cNvCxnSpPr>
      </xdr:nvCxnSpPr>
      <xdr:spPr bwMode="auto">
        <a:xfrm rot="5400000">
          <a:off x="806337" y="65062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1205</xdr:row>
      <xdr:rowOff>139360</xdr:rowOff>
    </xdr:from>
    <xdr:to>
      <xdr:col>1</xdr:col>
      <xdr:colOff>709726</xdr:colOff>
      <xdr:row>1205</xdr:row>
      <xdr:rowOff>142082</xdr:rowOff>
    </xdr:to>
    <xdr:cxnSp macro="">
      <xdr:nvCxnSpPr>
        <xdr:cNvPr id="1746" name="Conector recto 16"/>
        <xdr:cNvCxnSpPr>
          <a:cxnSpLocks noChangeShapeType="1"/>
        </xdr:cNvCxnSpPr>
      </xdr:nvCxnSpPr>
      <xdr:spPr bwMode="auto">
        <a:xfrm>
          <a:off x="871651" y="665190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1206</xdr:row>
      <xdr:rowOff>81643</xdr:rowOff>
    </xdr:from>
    <xdr:to>
      <xdr:col>1</xdr:col>
      <xdr:colOff>695325</xdr:colOff>
      <xdr:row>1206</xdr:row>
      <xdr:rowOff>84365</xdr:rowOff>
    </xdr:to>
    <xdr:cxnSp macro="">
      <xdr:nvCxnSpPr>
        <xdr:cNvPr id="1747" name="Conector recto 16"/>
        <xdr:cNvCxnSpPr>
          <a:cxnSpLocks noChangeShapeType="1"/>
        </xdr:cNvCxnSpPr>
      </xdr:nvCxnSpPr>
      <xdr:spPr bwMode="auto">
        <a:xfrm>
          <a:off x="857250" y="666518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1207</xdr:row>
      <xdr:rowOff>27214</xdr:rowOff>
    </xdr:from>
    <xdr:to>
      <xdr:col>1</xdr:col>
      <xdr:colOff>675821</xdr:colOff>
      <xdr:row>1207</xdr:row>
      <xdr:rowOff>418796</xdr:rowOff>
    </xdr:to>
    <xdr:sp macro="" textlink="">
      <xdr:nvSpPr>
        <xdr:cNvPr id="1748" name="Rectángulo redondeado 23"/>
        <xdr:cNvSpPr>
          <a:spLocks noChangeArrowheads="1"/>
        </xdr:cNvSpPr>
      </xdr:nvSpPr>
      <xdr:spPr bwMode="auto">
        <a:xfrm>
          <a:off x="898071" y="667879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82437</xdr:colOff>
      <xdr:row>1211</xdr:row>
      <xdr:rowOff>125752</xdr:rowOff>
    </xdr:from>
    <xdr:to>
      <xdr:col>1</xdr:col>
      <xdr:colOff>682512</xdr:colOff>
      <xdr:row>1211</xdr:row>
      <xdr:rowOff>128474</xdr:rowOff>
    </xdr:to>
    <xdr:cxnSp macro="">
      <xdr:nvCxnSpPr>
        <xdr:cNvPr id="1749" name="Conector recto 16"/>
        <xdr:cNvCxnSpPr>
          <a:cxnSpLocks noChangeShapeType="1"/>
        </xdr:cNvCxnSpPr>
      </xdr:nvCxnSpPr>
      <xdr:spPr bwMode="auto">
        <a:xfrm>
          <a:off x="844437" y="679056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1211</xdr:row>
      <xdr:rowOff>40821</xdr:rowOff>
    </xdr:from>
    <xdr:to>
      <xdr:col>1</xdr:col>
      <xdr:colOff>83231</xdr:colOff>
      <xdr:row>1211</xdr:row>
      <xdr:rowOff>117021</xdr:rowOff>
    </xdr:to>
    <xdr:cxnSp macro="">
      <xdr:nvCxnSpPr>
        <xdr:cNvPr id="1750" name="Conector recto 13"/>
        <xdr:cNvCxnSpPr>
          <a:cxnSpLocks noChangeShapeType="1"/>
        </xdr:cNvCxnSpPr>
      </xdr:nvCxnSpPr>
      <xdr:spPr bwMode="auto">
        <a:xfrm rot="5400000">
          <a:off x="806337" y="678580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1212</xdr:row>
      <xdr:rowOff>123031</xdr:rowOff>
    </xdr:from>
    <xdr:to>
      <xdr:col>1</xdr:col>
      <xdr:colOff>681718</xdr:colOff>
      <xdr:row>1212</xdr:row>
      <xdr:rowOff>125753</xdr:rowOff>
    </xdr:to>
    <xdr:cxnSp macro="">
      <xdr:nvCxnSpPr>
        <xdr:cNvPr id="1751" name="Conector recto 16"/>
        <xdr:cNvCxnSpPr>
          <a:cxnSpLocks noChangeShapeType="1"/>
        </xdr:cNvCxnSpPr>
      </xdr:nvCxnSpPr>
      <xdr:spPr bwMode="auto">
        <a:xfrm>
          <a:off x="843643" y="680934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682285</xdr:colOff>
      <xdr:row>1212</xdr:row>
      <xdr:rowOff>40822</xdr:rowOff>
    </xdr:from>
    <xdr:to>
      <xdr:col>1</xdr:col>
      <xdr:colOff>683873</xdr:colOff>
      <xdr:row>1212</xdr:row>
      <xdr:rowOff>117022</xdr:rowOff>
    </xdr:to>
    <xdr:cxnSp macro="">
      <xdr:nvCxnSpPr>
        <xdr:cNvPr id="1752" name="Conector recto 13"/>
        <xdr:cNvCxnSpPr>
          <a:cxnSpLocks noChangeShapeType="1"/>
        </xdr:cNvCxnSpPr>
      </xdr:nvCxnSpPr>
      <xdr:spPr bwMode="auto">
        <a:xfrm rot="5400000">
          <a:off x="1406979" y="680485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138791</xdr:colOff>
      <xdr:row>1213</xdr:row>
      <xdr:rowOff>68036</xdr:rowOff>
    </xdr:from>
    <xdr:to>
      <xdr:col>1</xdr:col>
      <xdr:colOff>738866</xdr:colOff>
      <xdr:row>1213</xdr:row>
      <xdr:rowOff>70758</xdr:rowOff>
    </xdr:to>
    <xdr:cxnSp macro="">
      <xdr:nvCxnSpPr>
        <xdr:cNvPr id="1753" name="Conector recto 16"/>
        <xdr:cNvCxnSpPr>
          <a:cxnSpLocks noChangeShapeType="1"/>
        </xdr:cNvCxnSpPr>
      </xdr:nvCxnSpPr>
      <xdr:spPr bwMode="auto">
        <a:xfrm>
          <a:off x="900791" y="6822893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100691</xdr:colOff>
      <xdr:row>1214</xdr:row>
      <xdr:rowOff>70757</xdr:rowOff>
    </xdr:from>
    <xdr:to>
      <xdr:col>1</xdr:col>
      <xdr:colOff>700766</xdr:colOff>
      <xdr:row>1214</xdr:row>
      <xdr:rowOff>73479</xdr:rowOff>
    </xdr:to>
    <xdr:cxnSp macro="">
      <xdr:nvCxnSpPr>
        <xdr:cNvPr id="1754" name="Conector recto 16"/>
        <xdr:cNvCxnSpPr>
          <a:cxnSpLocks noChangeShapeType="1"/>
        </xdr:cNvCxnSpPr>
      </xdr:nvCxnSpPr>
      <xdr:spPr bwMode="auto">
        <a:xfrm>
          <a:off x="862691" y="684221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119742</xdr:colOff>
      <xdr:row>1215</xdr:row>
      <xdr:rowOff>78922</xdr:rowOff>
    </xdr:from>
    <xdr:to>
      <xdr:col>1</xdr:col>
      <xdr:colOff>719817</xdr:colOff>
      <xdr:row>1215</xdr:row>
      <xdr:rowOff>81644</xdr:rowOff>
    </xdr:to>
    <xdr:cxnSp macro="">
      <xdr:nvCxnSpPr>
        <xdr:cNvPr id="1755" name="Conector recto 16"/>
        <xdr:cNvCxnSpPr>
          <a:cxnSpLocks noChangeShapeType="1"/>
        </xdr:cNvCxnSpPr>
      </xdr:nvCxnSpPr>
      <xdr:spPr bwMode="auto">
        <a:xfrm>
          <a:off x="881742" y="686208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1216</xdr:row>
      <xdr:rowOff>81643</xdr:rowOff>
    </xdr:from>
    <xdr:to>
      <xdr:col>1</xdr:col>
      <xdr:colOff>681717</xdr:colOff>
      <xdr:row>1216</xdr:row>
      <xdr:rowOff>84365</xdr:rowOff>
    </xdr:to>
    <xdr:cxnSp macro="">
      <xdr:nvCxnSpPr>
        <xdr:cNvPr id="1756" name="Conector recto 16"/>
        <xdr:cNvCxnSpPr>
          <a:cxnSpLocks noChangeShapeType="1"/>
        </xdr:cNvCxnSpPr>
      </xdr:nvCxnSpPr>
      <xdr:spPr bwMode="auto">
        <a:xfrm>
          <a:off x="843642" y="688140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1217</xdr:row>
      <xdr:rowOff>27214</xdr:rowOff>
    </xdr:from>
    <xdr:to>
      <xdr:col>1</xdr:col>
      <xdr:colOff>648607</xdr:colOff>
      <xdr:row>1217</xdr:row>
      <xdr:rowOff>418796</xdr:rowOff>
    </xdr:to>
    <xdr:sp macro="" textlink="">
      <xdr:nvSpPr>
        <xdr:cNvPr id="1757" name="Rectángulo redondeado 23"/>
        <xdr:cNvSpPr>
          <a:spLocks noChangeArrowheads="1"/>
        </xdr:cNvSpPr>
      </xdr:nvSpPr>
      <xdr:spPr bwMode="auto">
        <a:xfrm>
          <a:off x="870857" y="689501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1218</xdr:row>
      <xdr:rowOff>0</xdr:rowOff>
    </xdr:from>
    <xdr:to>
      <xdr:col>1</xdr:col>
      <xdr:colOff>648607</xdr:colOff>
      <xdr:row>1218</xdr:row>
      <xdr:rowOff>391582</xdr:rowOff>
    </xdr:to>
    <xdr:sp macro="" textlink="">
      <xdr:nvSpPr>
        <xdr:cNvPr id="1758" name="Rectángulo redondeado 23"/>
        <xdr:cNvSpPr>
          <a:spLocks noChangeArrowheads="1"/>
        </xdr:cNvSpPr>
      </xdr:nvSpPr>
      <xdr:spPr bwMode="auto">
        <a:xfrm>
          <a:off x="870857" y="693705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1223</xdr:row>
      <xdr:rowOff>139359</xdr:rowOff>
    </xdr:from>
    <xdr:to>
      <xdr:col>1</xdr:col>
      <xdr:colOff>696119</xdr:colOff>
      <xdr:row>1223</xdr:row>
      <xdr:rowOff>142081</xdr:rowOff>
    </xdr:to>
    <xdr:cxnSp macro="">
      <xdr:nvCxnSpPr>
        <xdr:cNvPr id="1759" name="Conector recto 16"/>
        <xdr:cNvCxnSpPr>
          <a:cxnSpLocks noChangeShapeType="1"/>
        </xdr:cNvCxnSpPr>
      </xdr:nvCxnSpPr>
      <xdr:spPr bwMode="auto">
        <a:xfrm>
          <a:off x="858044" y="70710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1223</xdr:row>
      <xdr:rowOff>54428</xdr:rowOff>
    </xdr:from>
    <xdr:to>
      <xdr:col>1</xdr:col>
      <xdr:colOff>96838</xdr:colOff>
      <xdr:row>1223</xdr:row>
      <xdr:rowOff>130628</xdr:rowOff>
    </xdr:to>
    <xdr:cxnSp macro="">
      <xdr:nvCxnSpPr>
        <xdr:cNvPr id="1760" name="Conector recto 13"/>
        <xdr:cNvCxnSpPr>
          <a:cxnSpLocks noChangeShapeType="1"/>
        </xdr:cNvCxnSpPr>
      </xdr:nvCxnSpPr>
      <xdr:spPr bwMode="auto">
        <a:xfrm rot="5400000">
          <a:off x="819944" y="70662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1224</xdr:row>
      <xdr:rowOff>136638</xdr:rowOff>
    </xdr:from>
    <xdr:to>
      <xdr:col>1</xdr:col>
      <xdr:colOff>695325</xdr:colOff>
      <xdr:row>1224</xdr:row>
      <xdr:rowOff>139360</xdr:rowOff>
    </xdr:to>
    <xdr:cxnSp macro="">
      <xdr:nvCxnSpPr>
        <xdr:cNvPr id="1761" name="Conector recto 16"/>
        <xdr:cNvCxnSpPr>
          <a:cxnSpLocks noChangeShapeType="1"/>
        </xdr:cNvCxnSpPr>
      </xdr:nvCxnSpPr>
      <xdr:spPr bwMode="auto">
        <a:xfrm>
          <a:off x="857250" y="708978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152398</xdr:colOff>
      <xdr:row>1225</xdr:row>
      <xdr:rowOff>81643</xdr:rowOff>
    </xdr:from>
    <xdr:to>
      <xdr:col>1</xdr:col>
      <xdr:colOff>752473</xdr:colOff>
      <xdr:row>1225</xdr:row>
      <xdr:rowOff>84365</xdr:rowOff>
    </xdr:to>
    <xdr:cxnSp macro="">
      <xdr:nvCxnSpPr>
        <xdr:cNvPr id="1762" name="Conector recto 16"/>
        <xdr:cNvCxnSpPr>
          <a:cxnSpLocks noChangeShapeType="1"/>
        </xdr:cNvCxnSpPr>
      </xdr:nvCxnSpPr>
      <xdr:spPr bwMode="auto">
        <a:xfrm>
          <a:off x="914398" y="710333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114298</xdr:colOff>
      <xdr:row>1226</xdr:row>
      <xdr:rowOff>84364</xdr:rowOff>
    </xdr:from>
    <xdr:to>
      <xdr:col>1</xdr:col>
      <xdr:colOff>714373</xdr:colOff>
      <xdr:row>1226</xdr:row>
      <xdr:rowOff>87086</xdr:rowOff>
    </xdr:to>
    <xdr:cxnSp macro="">
      <xdr:nvCxnSpPr>
        <xdr:cNvPr id="1763" name="Conector recto 16"/>
        <xdr:cNvCxnSpPr>
          <a:cxnSpLocks noChangeShapeType="1"/>
        </xdr:cNvCxnSpPr>
      </xdr:nvCxnSpPr>
      <xdr:spPr bwMode="auto">
        <a:xfrm>
          <a:off x="876298" y="712265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1222</xdr:row>
      <xdr:rowOff>139359</xdr:rowOff>
    </xdr:from>
    <xdr:to>
      <xdr:col>1</xdr:col>
      <xdr:colOff>696119</xdr:colOff>
      <xdr:row>1222</xdr:row>
      <xdr:rowOff>142081</xdr:rowOff>
    </xdr:to>
    <xdr:cxnSp macro="">
      <xdr:nvCxnSpPr>
        <xdr:cNvPr id="1764" name="Conector recto 16"/>
        <xdr:cNvCxnSpPr>
          <a:cxnSpLocks noChangeShapeType="1"/>
        </xdr:cNvCxnSpPr>
      </xdr:nvCxnSpPr>
      <xdr:spPr bwMode="auto">
        <a:xfrm>
          <a:off x="858044" y="705195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1222</xdr:row>
      <xdr:rowOff>54428</xdr:rowOff>
    </xdr:from>
    <xdr:to>
      <xdr:col>1</xdr:col>
      <xdr:colOff>96838</xdr:colOff>
      <xdr:row>1222</xdr:row>
      <xdr:rowOff>130628</xdr:rowOff>
    </xdr:to>
    <xdr:cxnSp macro="">
      <xdr:nvCxnSpPr>
        <xdr:cNvPr id="1765" name="Conector recto 13"/>
        <xdr:cNvCxnSpPr>
          <a:cxnSpLocks noChangeShapeType="1"/>
        </xdr:cNvCxnSpPr>
      </xdr:nvCxnSpPr>
      <xdr:spPr bwMode="auto">
        <a:xfrm rot="5400000">
          <a:off x="819944" y="704719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1227</xdr:row>
      <xdr:rowOff>13607</xdr:rowOff>
    </xdr:from>
    <xdr:to>
      <xdr:col>1</xdr:col>
      <xdr:colOff>675822</xdr:colOff>
      <xdr:row>1227</xdr:row>
      <xdr:rowOff>405189</xdr:rowOff>
    </xdr:to>
    <xdr:sp macro="" textlink="">
      <xdr:nvSpPr>
        <xdr:cNvPr id="1766" name="Rectángulo redondeado 23"/>
        <xdr:cNvSpPr>
          <a:spLocks noChangeArrowheads="1"/>
        </xdr:cNvSpPr>
      </xdr:nvSpPr>
      <xdr:spPr bwMode="auto">
        <a:xfrm>
          <a:off x="898072" y="71346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82438</xdr:colOff>
      <xdr:row>1231</xdr:row>
      <xdr:rowOff>125753</xdr:rowOff>
    </xdr:from>
    <xdr:to>
      <xdr:col>1</xdr:col>
      <xdr:colOff>682513</xdr:colOff>
      <xdr:row>1231</xdr:row>
      <xdr:rowOff>128475</xdr:rowOff>
    </xdr:to>
    <xdr:cxnSp macro="">
      <xdr:nvCxnSpPr>
        <xdr:cNvPr id="1767" name="Conector recto 16"/>
        <xdr:cNvCxnSpPr>
          <a:cxnSpLocks noChangeShapeType="1"/>
        </xdr:cNvCxnSpPr>
      </xdr:nvCxnSpPr>
      <xdr:spPr bwMode="auto">
        <a:xfrm>
          <a:off x="844438" y="7246812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1231</xdr:row>
      <xdr:rowOff>40822</xdr:rowOff>
    </xdr:from>
    <xdr:to>
      <xdr:col>1</xdr:col>
      <xdr:colOff>83232</xdr:colOff>
      <xdr:row>1231</xdr:row>
      <xdr:rowOff>117022</xdr:rowOff>
    </xdr:to>
    <xdr:cxnSp macro="">
      <xdr:nvCxnSpPr>
        <xdr:cNvPr id="1768" name="Conector recto 13"/>
        <xdr:cNvCxnSpPr>
          <a:cxnSpLocks noChangeShapeType="1"/>
        </xdr:cNvCxnSpPr>
      </xdr:nvCxnSpPr>
      <xdr:spPr bwMode="auto">
        <a:xfrm rot="5400000">
          <a:off x="806338" y="72420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1232</xdr:row>
      <xdr:rowOff>123032</xdr:rowOff>
    </xdr:from>
    <xdr:to>
      <xdr:col>1</xdr:col>
      <xdr:colOff>681719</xdr:colOff>
      <xdr:row>1232</xdr:row>
      <xdr:rowOff>125754</xdr:rowOff>
    </xdr:to>
    <xdr:cxnSp macro="">
      <xdr:nvCxnSpPr>
        <xdr:cNvPr id="1769" name="Conector recto 16"/>
        <xdr:cNvCxnSpPr>
          <a:cxnSpLocks noChangeShapeType="1"/>
        </xdr:cNvCxnSpPr>
      </xdr:nvCxnSpPr>
      <xdr:spPr bwMode="auto">
        <a:xfrm>
          <a:off x="843644" y="726559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682286</xdr:colOff>
      <xdr:row>1232</xdr:row>
      <xdr:rowOff>40823</xdr:rowOff>
    </xdr:from>
    <xdr:to>
      <xdr:col>1</xdr:col>
      <xdr:colOff>683874</xdr:colOff>
      <xdr:row>1232</xdr:row>
      <xdr:rowOff>117023</xdr:rowOff>
    </xdr:to>
    <xdr:cxnSp macro="">
      <xdr:nvCxnSpPr>
        <xdr:cNvPr id="1770" name="Conector recto 13"/>
        <xdr:cNvCxnSpPr>
          <a:cxnSpLocks noChangeShapeType="1"/>
        </xdr:cNvCxnSpPr>
      </xdr:nvCxnSpPr>
      <xdr:spPr bwMode="auto">
        <a:xfrm rot="5400000">
          <a:off x="1406980" y="726110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1234</xdr:row>
      <xdr:rowOff>70758</xdr:rowOff>
    </xdr:from>
    <xdr:to>
      <xdr:col>1</xdr:col>
      <xdr:colOff>700767</xdr:colOff>
      <xdr:row>1234</xdr:row>
      <xdr:rowOff>73480</xdr:rowOff>
    </xdr:to>
    <xdr:cxnSp macro="">
      <xdr:nvCxnSpPr>
        <xdr:cNvPr id="1771" name="Conector recto 16"/>
        <xdr:cNvCxnSpPr>
          <a:cxnSpLocks noChangeShapeType="1"/>
        </xdr:cNvCxnSpPr>
      </xdr:nvCxnSpPr>
      <xdr:spPr bwMode="auto">
        <a:xfrm>
          <a:off x="862692" y="7298463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119743</xdr:colOff>
      <xdr:row>1235</xdr:row>
      <xdr:rowOff>78923</xdr:rowOff>
    </xdr:from>
    <xdr:to>
      <xdr:col>1</xdr:col>
      <xdr:colOff>719818</xdr:colOff>
      <xdr:row>1235</xdr:row>
      <xdr:rowOff>81645</xdr:rowOff>
    </xdr:to>
    <xdr:cxnSp macro="">
      <xdr:nvCxnSpPr>
        <xdr:cNvPr id="1772" name="Conector recto 16"/>
        <xdr:cNvCxnSpPr>
          <a:cxnSpLocks noChangeShapeType="1"/>
        </xdr:cNvCxnSpPr>
      </xdr:nvCxnSpPr>
      <xdr:spPr bwMode="auto">
        <a:xfrm>
          <a:off x="881743" y="731832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1236</xdr:row>
      <xdr:rowOff>81644</xdr:rowOff>
    </xdr:from>
    <xdr:to>
      <xdr:col>1</xdr:col>
      <xdr:colOff>681718</xdr:colOff>
      <xdr:row>1236</xdr:row>
      <xdr:rowOff>84366</xdr:rowOff>
    </xdr:to>
    <xdr:cxnSp macro="">
      <xdr:nvCxnSpPr>
        <xdr:cNvPr id="1773" name="Conector recto 16"/>
        <xdr:cNvCxnSpPr>
          <a:cxnSpLocks noChangeShapeType="1"/>
        </xdr:cNvCxnSpPr>
      </xdr:nvCxnSpPr>
      <xdr:spPr bwMode="auto">
        <a:xfrm>
          <a:off x="843643" y="733765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1233</xdr:row>
      <xdr:rowOff>123031</xdr:rowOff>
    </xdr:from>
    <xdr:to>
      <xdr:col>1</xdr:col>
      <xdr:colOff>695325</xdr:colOff>
      <xdr:row>1233</xdr:row>
      <xdr:rowOff>125753</xdr:rowOff>
    </xdr:to>
    <xdr:cxnSp macro="">
      <xdr:nvCxnSpPr>
        <xdr:cNvPr id="1774" name="Conector recto 16"/>
        <xdr:cNvCxnSpPr>
          <a:cxnSpLocks noChangeShapeType="1"/>
        </xdr:cNvCxnSpPr>
      </xdr:nvCxnSpPr>
      <xdr:spPr bwMode="auto">
        <a:xfrm>
          <a:off x="857250" y="728464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695892</xdr:colOff>
      <xdr:row>1233</xdr:row>
      <xdr:rowOff>40822</xdr:rowOff>
    </xdr:from>
    <xdr:to>
      <xdr:col>1</xdr:col>
      <xdr:colOff>697480</xdr:colOff>
      <xdr:row>1233</xdr:row>
      <xdr:rowOff>117022</xdr:rowOff>
    </xdr:to>
    <xdr:cxnSp macro="">
      <xdr:nvCxnSpPr>
        <xdr:cNvPr id="1775" name="Conector recto 13"/>
        <xdr:cNvCxnSpPr>
          <a:cxnSpLocks noChangeShapeType="1"/>
        </xdr:cNvCxnSpPr>
      </xdr:nvCxnSpPr>
      <xdr:spPr bwMode="auto">
        <a:xfrm rot="5400000">
          <a:off x="1420586" y="72801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1237</xdr:row>
      <xdr:rowOff>95250</xdr:rowOff>
    </xdr:from>
    <xdr:to>
      <xdr:col>1</xdr:col>
      <xdr:colOff>681718</xdr:colOff>
      <xdr:row>1237</xdr:row>
      <xdr:rowOff>97972</xdr:rowOff>
    </xdr:to>
    <xdr:cxnSp macro="">
      <xdr:nvCxnSpPr>
        <xdr:cNvPr id="1776" name="Conector recto 16"/>
        <xdr:cNvCxnSpPr>
          <a:cxnSpLocks noChangeShapeType="1"/>
        </xdr:cNvCxnSpPr>
      </xdr:nvCxnSpPr>
      <xdr:spPr bwMode="auto">
        <a:xfrm>
          <a:off x="843643" y="735806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1238</xdr:row>
      <xdr:rowOff>13607</xdr:rowOff>
    </xdr:from>
    <xdr:to>
      <xdr:col>1</xdr:col>
      <xdr:colOff>662214</xdr:colOff>
      <xdr:row>1238</xdr:row>
      <xdr:rowOff>405189</xdr:rowOff>
    </xdr:to>
    <xdr:sp macro="" textlink="">
      <xdr:nvSpPr>
        <xdr:cNvPr id="1777" name="Rectángulo redondeado 23"/>
        <xdr:cNvSpPr>
          <a:spLocks noChangeArrowheads="1"/>
        </xdr:cNvSpPr>
      </xdr:nvSpPr>
      <xdr:spPr bwMode="auto">
        <a:xfrm>
          <a:off x="884464" y="736894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1243</xdr:row>
      <xdr:rowOff>139359</xdr:rowOff>
    </xdr:from>
    <xdr:to>
      <xdr:col>1</xdr:col>
      <xdr:colOff>723333</xdr:colOff>
      <xdr:row>1243</xdr:row>
      <xdr:rowOff>142081</xdr:rowOff>
    </xdr:to>
    <xdr:cxnSp macro="">
      <xdr:nvCxnSpPr>
        <xdr:cNvPr id="1778" name="Conector recto 16"/>
        <xdr:cNvCxnSpPr>
          <a:cxnSpLocks noChangeShapeType="1"/>
        </xdr:cNvCxnSpPr>
      </xdr:nvCxnSpPr>
      <xdr:spPr bwMode="auto">
        <a:xfrm>
          <a:off x="885258" y="7501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1243</xdr:row>
      <xdr:rowOff>54428</xdr:rowOff>
    </xdr:from>
    <xdr:to>
      <xdr:col>1</xdr:col>
      <xdr:colOff>124052</xdr:colOff>
      <xdr:row>1243</xdr:row>
      <xdr:rowOff>130628</xdr:rowOff>
    </xdr:to>
    <xdr:cxnSp macro="">
      <xdr:nvCxnSpPr>
        <xdr:cNvPr id="1779" name="Conector recto 13"/>
        <xdr:cNvCxnSpPr>
          <a:cxnSpLocks noChangeShapeType="1"/>
        </xdr:cNvCxnSpPr>
      </xdr:nvCxnSpPr>
      <xdr:spPr bwMode="auto">
        <a:xfrm rot="5400000">
          <a:off x="847158" y="7496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1244</xdr:row>
      <xdr:rowOff>136638</xdr:rowOff>
    </xdr:from>
    <xdr:to>
      <xdr:col>1</xdr:col>
      <xdr:colOff>722539</xdr:colOff>
      <xdr:row>1244</xdr:row>
      <xdr:rowOff>139360</xdr:rowOff>
    </xdr:to>
    <xdr:cxnSp macro="">
      <xdr:nvCxnSpPr>
        <xdr:cNvPr id="1780" name="Conector recto 16"/>
        <xdr:cNvCxnSpPr>
          <a:cxnSpLocks noChangeShapeType="1"/>
        </xdr:cNvCxnSpPr>
      </xdr:nvCxnSpPr>
      <xdr:spPr bwMode="auto">
        <a:xfrm>
          <a:off x="884464" y="752031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1246</xdr:row>
      <xdr:rowOff>84364</xdr:rowOff>
    </xdr:from>
    <xdr:to>
      <xdr:col>1</xdr:col>
      <xdr:colOff>741587</xdr:colOff>
      <xdr:row>1246</xdr:row>
      <xdr:rowOff>87086</xdr:rowOff>
    </xdr:to>
    <xdr:cxnSp macro="">
      <xdr:nvCxnSpPr>
        <xdr:cNvPr id="1781" name="Conector recto 16"/>
        <xdr:cNvCxnSpPr>
          <a:cxnSpLocks noChangeShapeType="1"/>
        </xdr:cNvCxnSpPr>
      </xdr:nvCxnSpPr>
      <xdr:spPr bwMode="auto">
        <a:xfrm>
          <a:off x="903512" y="755318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1245</xdr:row>
      <xdr:rowOff>136637</xdr:rowOff>
    </xdr:from>
    <xdr:to>
      <xdr:col>1</xdr:col>
      <xdr:colOff>736145</xdr:colOff>
      <xdr:row>1245</xdr:row>
      <xdr:rowOff>139359</xdr:rowOff>
    </xdr:to>
    <xdr:cxnSp macro="">
      <xdr:nvCxnSpPr>
        <xdr:cNvPr id="1782" name="Conector recto 16"/>
        <xdr:cNvCxnSpPr>
          <a:cxnSpLocks noChangeShapeType="1"/>
        </xdr:cNvCxnSpPr>
      </xdr:nvCxnSpPr>
      <xdr:spPr bwMode="auto">
        <a:xfrm>
          <a:off x="898070" y="75393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1242</xdr:row>
      <xdr:rowOff>139360</xdr:rowOff>
    </xdr:from>
    <xdr:to>
      <xdr:col>1</xdr:col>
      <xdr:colOff>723333</xdr:colOff>
      <xdr:row>1242</xdr:row>
      <xdr:rowOff>142082</xdr:rowOff>
    </xdr:to>
    <xdr:cxnSp macro="">
      <xdr:nvCxnSpPr>
        <xdr:cNvPr id="1783" name="Conector recto 16"/>
        <xdr:cNvCxnSpPr>
          <a:cxnSpLocks noChangeShapeType="1"/>
        </xdr:cNvCxnSpPr>
      </xdr:nvCxnSpPr>
      <xdr:spPr bwMode="auto">
        <a:xfrm>
          <a:off x="885258" y="74824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1242</xdr:row>
      <xdr:rowOff>54429</xdr:rowOff>
    </xdr:from>
    <xdr:to>
      <xdr:col>1</xdr:col>
      <xdr:colOff>124052</xdr:colOff>
      <xdr:row>1242</xdr:row>
      <xdr:rowOff>130629</xdr:rowOff>
    </xdr:to>
    <xdr:cxnSp macro="">
      <xdr:nvCxnSpPr>
        <xdr:cNvPr id="1784" name="Conector recto 13"/>
        <xdr:cNvCxnSpPr>
          <a:cxnSpLocks noChangeShapeType="1"/>
        </xdr:cNvCxnSpPr>
      </xdr:nvCxnSpPr>
      <xdr:spPr bwMode="auto">
        <a:xfrm rot="5400000">
          <a:off x="847158" y="74777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1247</xdr:row>
      <xdr:rowOff>95250</xdr:rowOff>
    </xdr:from>
    <xdr:to>
      <xdr:col>1</xdr:col>
      <xdr:colOff>681718</xdr:colOff>
      <xdr:row>1247</xdr:row>
      <xdr:rowOff>97972</xdr:rowOff>
    </xdr:to>
    <xdr:cxnSp macro="">
      <xdr:nvCxnSpPr>
        <xdr:cNvPr id="1785" name="Conector recto 16"/>
        <xdr:cNvCxnSpPr>
          <a:cxnSpLocks noChangeShapeType="1"/>
        </xdr:cNvCxnSpPr>
      </xdr:nvCxnSpPr>
      <xdr:spPr bwMode="auto">
        <a:xfrm>
          <a:off x="843643" y="757332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1248</xdr:row>
      <xdr:rowOff>40822</xdr:rowOff>
    </xdr:from>
    <xdr:to>
      <xdr:col>1</xdr:col>
      <xdr:colOff>675822</xdr:colOff>
      <xdr:row>1248</xdr:row>
      <xdr:rowOff>432404</xdr:rowOff>
    </xdr:to>
    <xdr:sp macro="" textlink="">
      <xdr:nvSpPr>
        <xdr:cNvPr id="1786" name="Rectángulo redondeado 23"/>
        <xdr:cNvSpPr>
          <a:spLocks noChangeArrowheads="1"/>
        </xdr:cNvSpPr>
      </xdr:nvSpPr>
      <xdr:spPr bwMode="auto">
        <a:xfrm>
          <a:off x="898072" y="7586934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1252</xdr:row>
      <xdr:rowOff>125752</xdr:rowOff>
    </xdr:from>
    <xdr:to>
      <xdr:col>1</xdr:col>
      <xdr:colOff>709726</xdr:colOff>
      <xdr:row>1252</xdr:row>
      <xdr:rowOff>128474</xdr:rowOff>
    </xdr:to>
    <xdr:cxnSp macro="">
      <xdr:nvCxnSpPr>
        <xdr:cNvPr id="1787" name="Conector recto 16"/>
        <xdr:cNvCxnSpPr>
          <a:cxnSpLocks noChangeShapeType="1"/>
        </xdr:cNvCxnSpPr>
      </xdr:nvCxnSpPr>
      <xdr:spPr bwMode="auto">
        <a:xfrm>
          <a:off x="871651" y="769925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1252</xdr:row>
      <xdr:rowOff>40821</xdr:rowOff>
    </xdr:from>
    <xdr:to>
      <xdr:col>1</xdr:col>
      <xdr:colOff>110445</xdr:colOff>
      <xdr:row>1252</xdr:row>
      <xdr:rowOff>117021</xdr:rowOff>
    </xdr:to>
    <xdr:cxnSp macro="">
      <xdr:nvCxnSpPr>
        <xdr:cNvPr id="1788" name="Conector recto 13"/>
        <xdr:cNvCxnSpPr>
          <a:cxnSpLocks noChangeShapeType="1"/>
        </xdr:cNvCxnSpPr>
      </xdr:nvCxnSpPr>
      <xdr:spPr bwMode="auto">
        <a:xfrm rot="5400000">
          <a:off x="833551" y="769448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1253</xdr:row>
      <xdr:rowOff>123031</xdr:rowOff>
    </xdr:from>
    <xdr:to>
      <xdr:col>1</xdr:col>
      <xdr:colOff>708932</xdr:colOff>
      <xdr:row>1253</xdr:row>
      <xdr:rowOff>125753</xdr:rowOff>
    </xdr:to>
    <xdr:cxnSp macro="">
      <xdr:nvCxnSpPr>
        <xdr:cNvPr id="1789" name="Conector recto 16"/>
        <xdr:cNvCxnSpPr>
          <a:cxnSpLocks noChangeShapeType="1"/>
        </xdr:cNvCxnSpPr>
      </xdr:nvCxnSpPr>
      <xdr:spPr bwMode="auto">
        <a:xfrm>
          <a:off x="870857" y="771802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1253</xdr:row>
      <xdr:rowOff>40822</xdr:rowOff>
    </xdr:from>
    <xdr:to>
      <xdr:col>1</xdr:col>
      <xdr:colOff>711087</xdr:colOff>
      <xdr:row>1253</xdr:row>
      <xdr:rowOff>117022</xdr:rowOff>
    </xdr:to>
    <xdr:cxnSp macro="">
      <xdr:nvCxnSpPr>
        <xdr:cNvPr id="1790" name="Conector recto 13"/>
        <xdr:cNvCxnSpPr>
          <a:cxnSpLocks noChangeShapeType="1"/>
        </xdr:cNvCxnSpPr>
      </xdr:nvCxnSpPr>
      <xdr:spPr bwMode="auto">
        <a:xfrm rot="5400000">
          <a:off x="1434193" y="771353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1258</xdr:row>
      <xdr:rowOff>40822</xdr:rowOff>
    </xdr:from>
    <xdr:to>
      <xdr:col>1</xdr:col>
      <xdr:colOff>672987</xdr:colOff>
      <xdr:row>1258</xdr:row>
      <xdr:rowOff>42410</xdr:rowOff>
    </xdr:to>
    <xdr:cxnSp macro="">
      <xdr:nvCxnSpPr>
        <xdr:cNvPr id="1792" name="Conector recto 4"/>
        <xdr:cNvCxnSpPr>
          <a:cxnSpLocks noChangeShapeType="1"/>
        </xdr:cNvCxnSpPr>
      </xdr:nvCxnSpPr>
      <xdr:spPr bwMode="auto">
        <a:xfrm>
          <a:off x="853962" y="7805057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1258</xdr:row>
      <xdr:rowOff>41616</xdr:rowOff>
    </xdr:from>
    <xdr:to>
      <xdr:col>1</xdr:col>
      <xdr:colOff>83231</xdr:colOff>
      <xdr:row>1258</xdr:row>
      <xdr:rowOff>117816</xdr:rowOff>
    </xdr:to>
    <xdr:cxnSp macro="">
      <xdr:nvCxnSpPr>
        <xdr:cNvPr id="1793" name="Conector recto 7"/>
        <xdr:cNvCxnSpPr>
          <a:cxnSpLocks noChangeShapeType="1"/>
        </xdr:cNvCxnSpPr>
      </xdr:nvCxnSpPr>
      <xdr:spPr bwMode="auto">
        <a:xfrm rot="5400000">
          <a:off x="806337" y="7808867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1260</xdr:row>
      <xdr:rowOff>139359</xdr:rowOff>
    </xdr:from>
    <xdr:to>
      <xdr:col>1</xdr:col>
      <xdr:colOff>709726</xdr:colOff>
      <xdr:row>1260</xdr:row>
      <xdr:rowOff>142081</xdr:rowOff>
    </xdr:to>
    <xdr:cxnSp macro="">
      <xdr:nvCxnSpPr>
        <xdr:cNvPr id="1794" name="Conector recto 16"/>
        <xdr:cNvCxnSpPr>
          <a:cxnSpLocks noChangeShapeType="1"/>
        </xdr:cNvCxnSpPr>
      </xdr:nvCxnSpPr>
      <xdr:spPr bwMode="auto">
        <a:xfrm>
          <a:off x="871651" y="78530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1260</xdr:row>
      <xdr:rowOff>54428</xdr:rowOff>
    </xdr:from>
    <xdr:to>
      <xdr:col>1</xdr:col>
      <xdr:colOff>110445</xdr:colOff>
      <xdr:row>1260</xdr:row>
      <xdr:rowOff>130628</xdr:rowOff>
    </xdr:to>
    <xdr:cxnSp macro="">
      <xdr:nvCxnSpPr>
        <xdr:cNvPr id="1795" name="Conector recto 13"/>
        <xdr:cNvCxnSpPr>
          <a:cxnSpLocks noChangeShapeType="1"/>
        </xdr:cNvCxnSpPr>
      </xdr:nvCxnSpPr>
      <xdr:spPr bwMode="auto">
        <a:xfrm rot="5400000">
          <a:off x="833551" y="78482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1259</xdr:row>
      <xdr:rowOff>68036</xdr:rowOff>
    </xdr:from>
    <xdr:to>
      <xdr:col>1</xdr:col>
      <xdr:colOff>686594</xdr:colOff>
      <xdr:row>1259</xdr:row>
      <xdr:rowOff>69624</xdr:rowOff>
    </xdr:to>
    <xdr:cxnSp macro="">
      <xdr:nvCxnSpPr>
        <xdr:cNvPr id="1796" name="Conector recto 4"/>
        <xdr:cNvCxnSpPr>
          <a:cxnSpLocks noChangeShapeType="1"/>
        </xdr:cNvCxnSpPr>
      </xdr:nvCxnSpPr>
      <xdr:spPr bwMode="auto">
        <a:xfrm>
          <a:off x="867569" y="7826828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1259</xdr:row>
      <xdr:rowOff>68830</xdr:rowOff>
    </xdr:from>
    <xdr:to>
      <xdr:col>1</xdr:col>
      <xdr:colOff>96838</xdr:colOff>
      <xdr:row>1259</xdr:row>
      <xdr:rowOff>145030</xdr:rowOff>
    </xdr:to>
    <xdr:cxnSp macro="">
      <xdr:nvCxnSpPr>
        <xdr:cNvPr id="1797" name="Conector recto 7"/>
        <xdr:cNvCxnSpPr>
          <a:cxnSpLocks noChangeShapeType="1"/>
        </xdr:cNvCxnSpPr>
      </xdr:nvCxnSpPr>
      <xdr:spPr bwMode="auto">
        <a:xfrm rot="5400000">
          <a:off x="819944" y="7830638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1261</xdr:row>
      <xdr:rowOff>125752</xdr:rowOff>
    </xdr:from>
    <xdr:to>
      <xdr:col>1</xdr:col>
      <xdr:colOff>682512</xdr:colOff>
      <xdr:row>1261</xdr:row>
      <xdr:rowOff>128474</xdr:rowOff>
    </xdr:to>
    <xdr:cxnSp macro="">
      <xdr:nvCxnSpPr>
        <xdr:cNvPr id="1798" name="Conector recto 16"/>
        <xdr:cNvCxnSpPr>
          <a:cxnSpLocks noChangeShapeType="1"/>
        </xdr:cNvCxnSpPr>
      </xdr:nvCxnSpPr>
      <xdr:spPr bwMode="auto">
        <a:xfrm>
          <a:off x="844437" y="787070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1261</xdr:row>
      <xdr:rowOff>40821</xdr:rowOff>
    </xdr:from>
    <xdr:to>
      <xdr:col>1</xdr:col>
      <xdr:colOff>83231</xdr:colOff>
      <xdr:row>1261</xdr:row>
      <xdr:rowOff>117021</xdr:rowOff>
    </xdr:to>
    <xdr:cxnSp macro="">
      <xdr:nvCxnSpPr>
        <xdr:cNvPr id="1799" name="Conector recto 13"/>
        <xdr:cNvCxnSpPr>
          <a:cxnSpLocks noChangeShapeType="1"/>
        </xdr:cNvCxnSpPr>
      </xdr:nvCxnSpPr>
      <xdr:spPr bwMode="auto">
        <a:xfrm rot="5400000">
          <a:off x="806337" y="786593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1261</xdr:row>
      <xdr:rowOff>43543</xdr:rowOff>
    </xdr:from>
    <xdr:to>
      <xdr:col>1</xdr:col>
      <xdr:colOff>684667</xdr:colOff>
      <xdr:row>1261</xdr:row>
      <xdr:rowOff>119743</xdr:rowOff>
    </xdr:to>
    <xdr:cxnSp macro="">
      <xdr:nvCxnSpPr>
        <xdr:cNvPr id="1800" name="Conector recto 13"/>
        <xdr:cNvCxnSpPr>
          <a:cxnSpLocks noChangeShapeType="1"/>
        </xdr:cNvCxnSpPr>
      </xdr:nvCxnSpPr>
      <xdr:spPr bwMode="auto">
        <a:xfrm rot="5400000">
          <a:off x="1407773" y="7866209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1262</xdr:row>
      <xdr:rowOff>139359</xdr:rowOff>
    </xdr:from>
    <xdr:to>
      <xdr:col>1</xdr:col>
      <xdr:colOff>696119</xdr:colOff>
      <xdr:row>1262</xdr:row>
      <xdr:rowOff>142081</xdr:rowOff>
    </xdr:to>
    <xdr:cxnSp macro="">
      <xdr:nvCxnSpPr>
        <xdr:cNvPr id="1801" name="Conector recto 16"/>
        <xdr:cNvCxnSpPr>
          <a:cxnSpLocks noChangeShapeType="1"/>
        </xdr:cNvCxnSpPr>
      </xdr:nvCxnSpPr>
      <xdr:spPr bwMode="auto">
        <a:xfrm>
          <a:off x="858044" y="78911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1262</xdr:row>
      <xdr:rowOff>54428</xdr:rowOff>
    </xdr:from>
    <xdr:to>
      <xdr:col>1</xdr:col>
      <xdr:colOff>96838</xdr:colOff>
      <xdr:row>1262</xdr:row>
      <xdr:rowOff>130628</xdr:rowOff>
    </xdr:to>
    <xdr:cxnSp macro="">
      <xdr:nvCxnSpPr>
        <xdr:cNvPr id="1802" name="Conector recto 13"/>
        <xdr:cNvCxnSpPr>
          <a:cxnSpLocks noChangeShapeType="1"/>
        </xdr:cNvCxnSpPr>
      </xdr:nvCxnSpPr>
      <xdr:spPr bwMode="auto">
        <a:xfrm rot="5400000">
          <a:off x="819944" y="78863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1262</xdr:row>
      <xdr:rowOff>57150</xdr:rowOff>
    </xdr:from>
    <xdr:to>
      <xdr:col>1</xdr:col>
      <xdr:colOff>698274</xdr:colOff>
      <xdr:row>1262</xdr:row>
      <xdr:rowOff>133350</xdr:rowOff>
    </xdr:to>
    <xdr:cxnSp macro="">
      <xdr:nvCxnSpPr>
        <xdr:cNvPr id="1803" name="Conector recto 13"/>
        <xdr:cNvCxnSpPr>
          <a:cxnSpLocks noChangeShapeType="1"/>
        </xdr:cNvCxnSpPr>
      </xdr:nvCxnSpPr>
      <xdr:spPr bwMode="auto">
        <a:xfrm rot="5400000">
          <a:off x="1421380" y="788662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155119</xdr:colOff>
      <xdr:row>1263</xdr:row>
      <xdr:rowOff>81643</xdr:rowOff>
    </xdr:from>
    <xdr:to>
      <xdr:col>1</xdr:col>
      <xdr:colOff>755194</xdr:colOff>
      <xdr:row>1263</xdr:row>
      <xdr:rowOff>84365</xdr:rowOff>
    </xdr:to>
    <xdr:cxnSp macro="">
      <xdr:nvCxnSpPr>
        <xdr:cNvPr id="1804" name="Conector recto 16"/>
        <xdr:cNvCxnSpPr>
          <a:cxnSpLocks noChangeShapeType="1"/>
        </xdr:cNvCxnSpPr>
      </xdr:nvCxnSpPr>
      <xdr:spPr bwMode="auto">
        <a:xfrm>
          <a:off x="917119" y="790438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1264</xdr:row>
      <xdr:rowOff>92529</xdr:rowOff>
    </xdr:from>
    <xdr:to>
      <xdr:col>1</xdr:col>
      <xdr:colOff>695325</xdr:colOff>
      <xdr:row>1264</xdr:row>
      <xdr:rowOff>95251</xdr:rowOff>
    </xdr:to>
    <xdr:cxnSp macro="">
      <xdr:nvCxnSpPr>
        <xdr:cNvPr id="1805" name="Conector recto 16"/>
        <xdr:cNvCxnSpPr>
          <a:cxnSpLocks noChangeShapeType="1"/>
        </xdr:cNvCxnSpPr>
      </xdr:nvCxnSpPr>
      <xdr:spPr bwMode="auto">
        <a:xfrm>
          <a:off x="857250" y="792452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1265</xdr:row>
      <xdr:rowOff>38101</xdr:rowOff>
    </xdr:from>
    <xdr:to>
      <xdr:col>1</xdr:col>
      <xdr:colOff>689429</xdr:colOff>
      <xdr:row>1265</xdr:row>
      <xdr:rowOff>462643</xdr:rowOff>
    </xdr:to>
    <xdr:sp macro="" textlink="">
      <xdr:nvSpPr>
        <xdr:cNvPr id="1806" name="Rectángulo redondeado 23"/>
        <xdr:cNvSpPr>
          <a:spLocks noChangeArrowheads="1"/>
        </xdr:cNvSpPr>
      </xdr:nvSpPr>
      <xdr:spPr bwMode="auto">
        <a:xfrm>
          <a:off x="911679" y="79381351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1270</xdr:row>
      <xdr:rowOff>166573</xdr:rowOff>
    </xdr:from>
    <xdr:to>
      <xdr:col>1</xdr:col>
      <xdr:colOff>696119</xdr:colOff>
      <xdr:row>1270</xdr:row>
      <xdr:rowOff>169295</xdr:rowOff>
    </xdr:to>
    <xdr:cxnSp macro="">
      <xdr:nvCxnSpPr>
        <xdr:cNvPr id="1807" name="Conector recto 16"/>
        <xdr:cNvCxnSpPr>
          <a:cxnSpLocks noChangeShapeType="1"/>
        </xdr:cNvCxnSpPr>
      </xdr:nvCxnSpPr>
      <xdr:spPr bwMode="auto">
        <a:xfrm>
          <a:off x="858044" y="80776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1270</xdr:row>
      <xdr:rowOff>81642</xdr:rowOff>
    </xdr:from>
    <xdr:to>
      <xdr:col>1</xdr:col>
      <xdr:colOff>96838</xdr:colOff>
      <xdr:row>1270</xdr:row>
      <xdr:rowOff>157842</xdr:rowOff>
    </xdr:to>
    <xdr:cxnSp macro="">
      <xdr:nvCxnSpPr>
        <xdr:cNvPr id="1808" name="Conector recto 13"/>
        <xdr:cNvCxnSpPr>
          <a:cxnSpLocks noChangeShapeType="1"/>
        </xdr:cNvCxnSpPr>
      </xdr:nvCxnSpPr>
      <xdr:spPr bwMode="auto">
        <a:xfrm rot="5400000">
          <a:off x="819944" y="8072902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1269</xdr:row>
      <xdr:rowOff>95250</xdr:rowOff>
    </xdr:from>
    <xdr:to>
      <xdr:col>1</xdr:col>
      <xdr:colOff>672987</xdr:colOff>
      <xdr:row>1269</xdr:row>
      <xdr:rowOff>96838</xdr:rowOff>
    </xdr:to>
    <xdr:cxnSp macro="">
      <xdr:nvCxnSpPr>
        <xdr:cNvPr id="1809" name="Conector recto 4"/>
        <xdr:cNvCxnSpPr>
          <a:cxnSpLocks noChangeShapeType="1"/>
        </xdr:cNvCxnSpPr>
      </xdr:nvCxnSpPr>
      <xdr:spPr bwMode="auto">
        <a:xfrm>
          <a:off x="853962" y="805148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1269</xdr:row>
      <xdr:rowOff>96044</xdr:rowOff>
    </xdr:from>
    <xdr:to>
      <xdr:col>1</xdr:col>
      <xdr:colOff>83231</xdr:colOff>
      <xdr:row>1269</xdr:row>
      <xdr:rowOff>172244</xdr:rowOff>
    </xdr:to>
    <xdr:cxnSp macro="">
      <xdr:nvCxnSpPr>
        <xdr:cNvPr id="1810" name="Conector recto 7"/>
        <xdr:cNvCxnSpPr>
          <a:cxnSpLocks noChangeShapeType="1"/>
        </xdr:cNvCxnSpPr>
      </xdr:nvCxnSpPr>
      <xdr:spPr bwMode="auto">
        <a:xfrm rot="5400000">
          <a:off x="806337" y="805529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1271</xdr:row>
      <xdr:rowOff>152966</xdr:rowOff>
    </xdr:from>
    <xdr:to>
      <xdr:col>1</xdr:col>
      <xdr:colOff>668905</xdr:colOff>
      <xdr:row>1271</xdr:row>
      <xdr:rowOff>155688</xdr:rowOff>
    </xdr:to>
    <xdr:cxnSp macro="">
      <xdr:nvCxnSpPr>
        <xdr:cNvPr id="1811" name="Conector recto 16"/>
        <xdr:cNvCxnSpPr>
          <a:cxnSpLocks noChangeShapeType="1"/>
        </xdr:cNvCxnSpPr>
      </xdr:nvCxnSpPr>
      <xdr:spPr bwMode="auto">
        <a:xfrm>
          <a:off x="830830" y="8095354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1271</xdr:row>
      <xdr:rowOff>68035</xdr:rowOff>
    </xdr:from>
    <xdr:to>
      <xdr:col>1</xdr:col>
      <xdr:colOff>69624</xdr:colOff>
      <xdr:row>1271</xdr:row>
      <xdr:rowOff>144235</xdr:rowOff>
    </xdr:to>
    <xdr:cxnSp macro="">
      <xdr:nvCxnSpPr>
        <xdr:cNvPr id="1812" name="Conector recto 13"/>
        <xdr:cNvCxnSpPr>
          <a:cxnSpLocks noChangeShapeType="1"/>
        </xdr:cNvCxnSpPr>
      </xdr:nvCxnSpPr>
      <xdr:spPr bwMode="auto">
        <a:xfrm rot="5400000">
          <a:off x="792730" y="8090591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669472</xdr:colOff>
      <xdr:row>1271</xdr:row>
      <xdr:rowOff>70757</xdr:rowOff>
    </xdr:from>
    <xdr:to>
      <xdr:col>1</xdr:col>
      <xdr:colOff>671060</xdr:colOff>
      <xdr:row>1271</xdr:row>
      <xdr:rowOff>146957</xdr:rowOff>
    </xdr:to>
    <xdr:cxnSp macro="">
      <xdr:nvCxnSpPr>
        <xdr:cNvPr id="1813" name="Conector recto 13"/>
        <xdr:cNvCxnSpPr>
          <a:cxnSpLocks noChangeShapeType="1"/>
        </xdr:cNvCxnSpPr>
      </xdr:nvCxnSpPr>
      <xdr:spPr bwMode="auto">
        <a:xfrm rot="5400000">
          <a:off x="1394166" y="80908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1272</xdr:row>
      <xdr:rowOff>166573</xdr:rowOff>
    </xdr:from>
    <xdr:to>
      <xdr:col>1</xdr:col>
      <xdr:colOff>682512</xdr:colOff>
      <xdr:row>1272</xdr:row>
      <xdr:rowOff>169295</xdr:rowOff>
    </xdr:to>
    <xdr:cxnSp macro="">
      <xdr:nvCxnSpPr>
        <xdr:cNvPr id="1814" name="Conector recto 16"/>
        <xdr:cNvCxnSpPr>
          <a:cxnSpLocks noChangeShapeType="1"/>
        </xdr:cNvCxnSpPr>
      </xdr:nvCxnSpPr>
      <xdr:spPr bwMode="auto">
        <a:xfrm>
          <a:off x="844437" y="81157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1273</xdr:row>
      <xdr:rowOff>108857</xdr:rowOff>
    </xdr:from>
    <xdr:to>
      <xdr:col>1</xdr:col>
      <xdr:colOff>741587</xdr:colOff>
      <xdr:row>1273</xdr:row>
      <xdr:rowOff>111579</xdr:rowOff>
    </xdr:to>
    <xdr:cxnSp macro="">
      <xdr:nvCxnSpPr>
        <xdr:cNvPr id="1815" name="Conector recto 16"/>
        <xdr:cNvCxnSpPr>
          <a:cxnSpLocks noChangeShapeType="1"/>
        </xdr:cNvCxnSpPr>
      </xdr:nvCxnSpPr>
      <xdr:spPr bwMode="auto">
        <a:xfrm>
          <a:off x="903512" y="8129043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1274</xdr:row>
      <xdr:rowOff>0</xdr:rowOff>
    </xdr:from>
    <xdr:to>
      <xdr:col>1</xdr:col>
      <xdr:colOff>675821</xdr:colOff>
      <xdr:row>1275</xdr:row>
      <xdr:rowOff>2721</xdr:rowOff>
    </xdr:to>
    <xdr:sp macro="" textlink="">
      <xdr:nvSpPr>
        <xdr:cNvPr id="1816" name="Rectángulo redondeado 23"/>
        <xdr:cNvSpPr>
          <a:spLocks noChangeArrowheads="1"/>
        </xdr:cNvSpPr>
      </xdr:nvSpPr>
      <xdr:spPr bwMode="auto">
        <a:xfrm>
          <a:off x="898071" y="81372075"/>
          <a:ext cx="539750" cy="4218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108856</xdr:colOff>
      <xdr:row>1278</xdr:row>
      <xdr:rowOff>98539</xdr:rowOff>
    </xdr:from>
    <xdr:to>
      <xdr:col>1</xdr:col>
      <xdr:colOff>708931</xdr:colOff>
      <xdr:row>1278</xdr:row>
      <xdr:rowOff>101261</xdr:rowOff>
    </xdr:to>
    <xdr:cxnSp macro="">
      <xdr:nvCxnSpPr>
        <xdr:cNvPr id="1817" name="Conector recto 16"/>
        <xdr:cNvCxnSpPr>
          <a:cxnSpLocks noChangeShapeType="1"/>
        </xdr:cNvCxnSpPr>
      </xdr:nvCxnSpPr>
      <xdr:spPr bwMode="auto">
        <a:xfrm>
          <a:off x="870856" y="82461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108062</xdr:colOff>
      <xdr:row>1278</xdr:row>
      <xdr:rowOff>13608</xdr:rowOff>
    </xdr:from>
    <xdr:to>
      <xdr:col>1</xdr:col>
      <xdr:colOff>109650</xdr:colOff>
      <xdr:row>1278</xdr:row>
      <xdr:rowOff>89808</xdr:rowOff>
    </xdr:to>
    <xdr:cxnSp macro="">
      <xdr:nvCxnSpPr>
        <xdr:cNvPr id="1818" name="Conector recto 13"/>
        <xdr:cNvCxnSpPr>
          <a:cxnSpLocks noChangeShapeType="1"/>
        </xdr:cNvCxnSpPr>
      </xdr:nvCxnSpPr>
      <xdr:spPr bwMode="auto">
        <a:xfrm rot="5400000">
          <a:off x="832756" y="82413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1279</xdr:row>
      <xdr:rowOff>84932</xdr:rowOff>
    </xdr:from>
    <xdr:to>
      <xdr:col>1</xdr:col>
      <xdr:colOff>681717</xdr:colOff>
      <xdr:row>1279</xdr:row>
      <xdr:rowOff>87654</xdr:rowOff>
    </xdr:to>
    <xdr:cxnSp macro="">
      <xdr:nvCxnSpPr>
        <xdr:cNvPr id="1819" name="Conector recto 16"/>
        <xdr:cNvCxnSpPr>
          <a:cxnSpLocks noChangeShapeType="1"/>
        </xdr:cNvCxnSpPr>
      </xdr:nvCxnSpPr>
      <xdr:spPr bwMode="auto">
        <a:xfrm>
          <a:off x="843642" y="826381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1280</xdr:row>
      <xdr:rowOff>98539</xdr:rowOff>
    </xdr:from>
    <xdr:to>
      <xdr:col>1</xdr:col>
      <xdr:colOff>695324</xdr:colOff>
      <xdr:row>1280</xdr:row>
      <xdr:rowOff>101261</xdr:rowOff>
    </xdr:to>
    <xdr:cxnSp macro="">
      <xdr:nvCxnSpPr>
        <xdr:cNvPr id="1820" name="Conector recto 16"/>
        <xdr:cNvCxnSpPr>
          <a:cxnSpLocks noChangeShapeType="1"/>
        </xdr:cNvCxnSpPr>
      </xdr:nvCxnSpPr>
      <xdr:spPr bwMode="auto">
        <a:xfrm>
          <a:off x="857249" y="82842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154324</xdr:colOff>
      <xdr:row>1281</xdr:row>
      <xdr:rowOff>40823</xdr:rowOff>
    </xdr:from>
    <xdr:to>
      <xdr:col>1</xdr:col>
      <xdr:colOff>754399</xdr:colOff>
      <xdr:row>1281</xdr:row>
      <xdr:rowOff>43545</xdr:rowOff>
    </xdr:to>
    <xdr:cxnSp macro="">
      <xdr:nvCxnSpPr>
        <xdr:cNvPr id="1821" name="Conector recto 16"/>
        <xdr:cNvCxnSpPr>
          <a:cxnSpLocks noChangeShapeType="1"/>
        </xdr:cNvCxnSpPr>
      </xdr:nvCxnSpPr>
      <xdr:spPr bwMode="auto">
        <a:xfrm>
          <a:off x="916324" y="829749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1285</xdr:row>
      <xdr:rowOff>112145</xdr:rowOff>
    </xdr:from>
    <xdr:to>
      <xdr:col>1</xdr:col>
      <xdr:colOff>723333</xdr:colOff>
      <xdr:row>1285</xdr:row>
      <xdr:rowOff>114867</xdr:rowOff>
    </xdr:to>
    <xdr:cxnSp macro="">
      <xdr:nvCxnSpPr>
        <xdr:cNvPr id="1822" name="Conector recto 16"/>
        <xdr:cNvCxnSpPr>
          <a:cxnSpLocks noChangeShapeType="1"/>
        </xdr:cNvCxnSpPr>
      </xdr:nvCxnSpPr>
      <xdr:spPr bwMode="auto">
        <a:xfrm>
          <a:off x="885258" y="838083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1285</xdr:row>
      <xdr:rowOff>27214</xdr:rowOff>
    </xdr:from>
    <xdr:to>
      <xdr:col>1</xdr:col>
      <xdr:colOff>124052</xdr:colOff>
      <xdr:row>1285</xdr:row>
      <xdr:rowOff>103414</xdr:rowOff>
    </xdr:to>
    <xdr:cxnSp macro="">
      <xdr:nvCxnSpPr>
        <xdr:cNvPr id="1823" name="Conector recto 13"/>
        <xdr:cNvCxnSpPr>
          <a:cxnSpLocks noChangeShapeType="1"/>
        </xdr:cNvCxnSpPr>
      </xdr:nvCxnSpPr>
      <xdr:spPr bwMode="auto">
        <a:xfrm rot="5400000">
          <a:off x="847158" y="837606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1285</xdr:row>
      <xdr:rowOff>29936</xdr:rowOff>
    </xdr:from>
    <xdr:to>
      <xdr:col>1</xdr:col>
      <xdr:colOff>725488</xdr:colOff>
      <xdr:row>1285</xdr:row>
      <xdr:rowOff>106136</xdr:rowOff>
    </xdr:to>
    <xdr:cxnSp macro="">
      <xdr:nvCxnSpPr>
        <xdr:cNvPr id="1824" name="Conector recto 13"/>
        <xdr:cNvCxnSpPr>
          <a:cxnSpLocks noChangeShapeType="1"/>
        </xdr:cNvCxnSpPr>
      </xdr:nvCxnSpPr>
      <xdr:spPr bwMode="auto">
        <a:xfrm rot="5400000">
          <a:off x="1448594" y="83763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136865</xdr:colOff>
      <xdr:row>1287</xdr:row>
      <xdr:rowOff>125752</xdr:rowOff>
    </xdr:from>
    <xdr:to>
      <xdr:col>1</xdr:col>
      <xdr:colOff>736940</xdr:colOff>
      <xdr:row>1287</xdr:row>
      <xdr:rowOff>128474</xdr:rowOff>
    </xdr:to>
    <xdr:cxnSp macro="">
      <xdr:nvCxnSpPr>
        <xdr:cNvPr id="1825" name="Conector recto 16"/>
        <xdr:cNvCxnSpPr>
          <a:cxnSpLocks noChangeShapeType="1"/>
        </xdr:cNvCxnSpPr>
      </xdr:nvCxnSpPr>
      <xdr:spPr bwMode="auto">
        <a:xfrm>
          <a:off x="898865" y="842029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1287</xdr:row>
      <xdr:rowOff>43543</xdr:rowOff>
    </xdr:from>
    <xdr:to>
      <xdr:col>1</xdr:col>
      <xdr:colOff>739095</xdr:colOff>
      <xdr:row>1287</xdr:row>
      <xdr:rowOff>119743</xdr:rowOff>
    </xdr:to>
    <xdr:cxnSp macro="">
      <xdr:nvCxnSpPr>
        <xdr:cNvPr id="1826" name="Conector recto 13"/>
        <xdr:cNvCxnSpPr>
          <a:cxnSpLocks noChangeShapeType="1"/>
        </xdr:cNvCxnSpPr>
      </xdr:nvCxnSpPr>
      <xdr:spPr bwMode="auto">
        <a:xfrm rot="5400000">
          <a:off x="1462201" y="841580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1289</xdr:row>
      <xdr:rowOff>95250</xdr:rowOff>
    </xdr:from>
    <xdr:to>
      <xdr:col>1</xdr:col>
      <xdr:colOff>681718</xdr:colOff>
      <xdr:row>1289</xdr:row>
      <xdr:rowOff>97972</xdr:rowOff>
    </xdr:to>
    <xdr:cxnSp macro="">
      <xdr:nvCxnSpPr>
        <xdr:cNvPr id="1828" name="Conector recto 16"/>
        <xdr:cNvCxnSpPr>
          <a:cxnSpLocks noChangeShapeType="1"/>
        </xdr:cNvCxnSpPr>
      </xdr:nvCxnSpPr>
      <xdr:spPr bwMode="auto">
        <a:xfrm>
          <a:off x="843643" y="8455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1290</xdr:row>
      <xdr:rowOff>0</xdr:rowOff>
    </xdr:from>
    <xdr:to>
      <xdr:col>1</xdr:col>
      <xdr:colOff>662214</xdr:colOff>
      <xdr:row>1290</xdr:row>
      <xdr:rowOff>424542</xdr:rowOff>
    </xdr:to>
    <xdr:sp macro="" textlink="">
      <xdr:nvSpPr>
        <xdr:cNvPr id="1829" name="Rectángulo redondeado 23"/>
        <xdr:cNvSpPr>
          <a:spLocks noChangeArrowheads="1"/>
        </xdr:cNvSpPr>
      </xdr:nvSpPr>
      <xdr:spPr bwMode="auto">
        <a:xfrm>
          <a:off x="884464" y="84648675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1286</xdr:row>
      <xdr:rowOff>139360</xdr:rowOff>
    </xdr:from>
    <xdr:to>
      <xdr:col>1</xdr:col>
      <xdr:colOff>696119</xdr:colOff>
      <xdr:row>1286</xdr:row>
      <xdr:rowOff>142082</xdr:rowOff>
    </xdr:to>
    <xdr:cxnSp macro="">
      <xdr:nvCxnSpPr>
        <xdr:cNvPr id="1830" name="Conector recto 16"/>
        <xdr:cNvCxnSpPr>
          <a:cxnSpLocks noChangeShapeType="1"/>
        </xdr:cNvCxnSpPr>
      </xdr:nvCxnSpPr>
      <xdr:spPr bwMode="auto">
        <a:xfrm>
          <a:off x="858044" y="840260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1286</xdr:row>
      <xdr:rowOff>54429</xdr:rowOff>
    </xdr:from>
    <xdr:to>
      <xdr:col>1</xdr:col>
      <xdr:colOff>96838</xdr:colOff>
      <xdr:row>1286</xdr:row>
      <xdr:rowOff>130629</xdr:rowOff>
    </xdr:to>
    <xdr:cxnSp macro="">
      <xdr:nvCxnSpPr>
        <xdr:cNvPr id="1831" name="Conector recto 13"/>
        <xdr:cNvCxnSpPr>
          <a:cxnSpLocks noChangeShapeType="1"/>
        </xdr:cNvCxnSpPr>
      </xdr:nvCxnSpPr>
      <xdr:spPr bwMode="auto">
        <a:xfrm rot="5400000">
          <a:off x="819944" y="839784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1286</xdr:row>
      <xdr:rowOff>57151</xdr:rowOff>
    </xdr:from>
    <xdr:to>
      <xdr:col>1</xdr:col>
      <xdr:colOff>698274</xdr:colOff>
      <xdr:row>1286</xdr:row>
      <xdr:rowOff>133351</xdr:rowOff>
    </xdr:to>
    <xdr:cxnSp macro="">
      <xdr:nvCxnSpPr>
        <xdr:cNvPr id="1832" name="Conector recto 13"/>
        <xdr:cNvCxnSpPr>
          <a:cxnSpLocks noChangeShapeType="1"/>
        </xdr:cNvCxnSpPr>
      </xdr:nvCxnSpPr>
      <xdr:spPr bwMode="auto">
        <a:xfrm rot="5400000">
          <a:off x="1421380" y="839811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1290</xdr:row>
      <xdr:rowOff>0</xdr:rowOff>
    </xdr:from>
    <xdr:to>
      <xdr:col>1</xdr:col>
      <xdr:colOff>675821</xdr:colOff>
      <xdr:row>1291</xdr:row>
      <xdr:rowOff>2721</xdr:rowOff>
    </xdr:to>
    <xdr:sp macro="" textlink="">
      <xdr:nvSpPr>
        <xdr:cNvPr id="1833" name="Rectángulo redondeado 23"/>
        <xdr:cNvSpPr>
          <a:spLocks noChangeArrowheads="1"/>
        </xdr:cNvSpPr>
      </xdr:nvSpPr>
      <xdr:spPr bwMode="auto">
        <a:xfrm>
          <a:off x="898071" y="84648675"/>
          <a:ext cx="539750" cy="44087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1295</xdr:row>
      <xdr:rowOff>98537</xdr:rowOff>
    </xdr:from>
    <xdr:to>
      <xdr:col>1</xdr:col>
      <xdr:colOff>723333</xdr:colOff>
      <xdr:row>1295</xdr:row>
      <xdr:rowOff>101259</xdr:rowOff>
    </xdr:to>
    <xdr:cxnSp macro="">
      <xdr:nvCxnSpPr>
        <xdr:cNvPr id="1834" name="Conector recto 16"/>
        <xdr:cNvCxnSpPr>
          <a:cxnSpLocks noChangeShapeType="1"/>
        </xdr:cNvCxnSpPr>
      </xdr:nvCxnSpPr>
      <xdr:spPr bwMode="auto">
        <a:xfrm>
          <a:off x="885258" y="859473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1294</xdr:row>
      <xdr:rowOff>112145</xdr:rowOff>
    </xdr:from>
    <xdr:to>
      <xdr:col>1</xdr:col>
      <xdr:colOff>682512</xdr:colOff>
      <xdr:row>1294</xdr:row>
      <xdr:rowOff>114867</xdr:rowOff>
    </xdr:to>
    <xdr:cxnSp macro="">
      <xdr:nvCxnSpPr>
        <xdr:cNvPr id="1835" name="Conector recto 16"/>
        <xdr:cNvCxnSpPr>
          <a:cxnSpLocks noChangeShapeType="1"/>
        </xdr:cNvCxnSpPr>
      </xdr:nvCxnSpPr>
      <xdr:spPr bwMode="auto">
        <a:xfrm>
          <a:off x="844437" y="85770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1294</xdr:row>
      <xdr:rowOff>27214</xdr:rowOff>
    </xdr:from>
    <xdr:to>
      <xdr:col>1</xdr:col>
      <xdr:colOff>83231</xdr:colOff>
      <xdr:row>1294</xdr:row>
      <xdr:rowOff>103414</xdr:rowOff>
    </xdr:to>
    <xdr:cxnSp macro="">
      <xdr:nvCxnSpPr>
        <xdr:cNvPr id="1836" name="Conector recto 13"/>
        <xdr:cNvCxnSpPr>
          <a:cxnSpLocks noChangeShapeType="1"/>
        </xdr:cNvCxnSpPr>
      </xdr:nvCxnSpPr>
      <xdr:spPr bwMode="auto">
        <a:xfrm rot="5400000">
          <a:off x="806337" y="85722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1296</xdr:row>
      <xdr:rowOff>122464</xdr:rowOff>
    </xdr:from>
    <xdr:to>
      <xdr:col>1</xdr:col>
      <xdr:colOff>654503</xdr:colOff>
      <xdr:row>1296</xdr:row>
      <xdr:rowOff>125186</xdr:rowOff>
    </xdr:to>
    <xdr:cxnSp macro="">
      <xdr:nvCxnSpPr>
        <xdr:cNvPr id="1837" name="Conector recto 16"/>
        <xdr:cNvCxnSpPr>
          <a:cxnSpLocks noChangeShapeType="1"/>
        </xdr:cNvCxnSpPr>
      </xdr:nvCxnSpPr>
      <xdr:spPr bwMode="auto">
        <a:xfrm>
          <a:off x="816428" y="861617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1297</xdr:row>
      <xdr:rowOff>64748</xdr:rowOff>
    </xdr:from>
    <xdr:to>
      <xdr:col>1</xdr:col>
      <xdr:colOff>713578</xdr:colOff>
      <xdr:row>1297</xdr:row>
      <xdr:rowOff>67470</xdr:rowOff>
    </xdr:to>
    <xdr:cxnSp macro="">
      <xdr:nvCxnSpPr>
        <xdr:cNvPr id="1838" name="Conector recto 16"/>
        <xdr:cNvCxnSpPr>
          <a:cxnSpLocks noChangeShapeType="1"/>
        </xdr:cNvCxnSpPr>
      </xdr:nvCxnSpPr>
      <xdr:spPr bwMode="auto">
        <a:xfrm>
          <a:off x="875503" y="8629457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96043</xdr:colOff>
      <xdr:row>1302</xdr:row>
      <xdr:rowOff>112145</xdr:rowOff>
    </xdr:from>
    <xdr:to>
      <xdr:col>1</xdr:col>
      <xdr:colOff>696118</xdr:colOff>
      <xdr:row>1302</xdr:row>
      <xdr:rowOff>114867</xdr:rowOff>
    </xdr:to>
    <xdr:cxnSp macro="">
      <xdr:nvCxnSpPr>
        <xdr:cNvPr id="1839" name="Conector recto 16"/>
        <xdr:cNvCxnSpPr>
          <a:cxnSpLocks noChangeShapeType="1"/>
        </xdr:cNvCxnSpPr>
      </xdr:nvCxnSpPr>
      <xdr:spPr bwMode="auto">
        <a:xfrm>
          <a:off x="858043" y="87294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1302</xdr:row>
      <xdr:rowOff>27214</xdr:rowOff>
    </xdr:from>
    <xdr:to>
      <xdr:col>1</xdr:col>
      <xdr:colOff>96837</xdr:colOff>
      <xdr:row>1302</xdr:row>
      <xdr:rowOff>103414</xdr:rowOff>
    </xdr:to>
    <xdr:cxnSp macro="">
      <xdr:nvCxnSpPr>
        <xdr:cNvPr id="1840" name="Conector recto 13"/>
        <xdr:cNvCxnSpPr>
          <a:cxnSpLocks noChangeShapeType="1"/>
        </xdr:cNvCxnSpPr>
      </xdr:nvCxnSpPr>
      <xdr:spPr bwMode="auto">
        <a:xfrm rot="5400000">
          <a:off x="819943" y="87246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91961</xdr:colOff>
      <xdr:row>1301</xdr:row>
      <xdr:rowOff>40822</xdr:rowOff>
    </xdr:from>
    <xdr:to>
      <xdr:col>1</xdr:col>
      <xdr:colOff>672986</xdr:colOff>
      <xdr:row>1301</xdr:row>
      <xdr:rowOff>42410</xdr:rowOff>
    </xdr:to>
    <xdr:cxnSp macro="">
      <xdr:nvCxnSpPr>
        <xdr:cNvPr id="1841" name="Conector recto 4"/>
        <xdr:cNvCxnSpPr>
          <a:cxnSpLocks noChangeShapeType="1"/>
        </xdr:cNvCxnSpPr>
      </xdr:nvCxnSpPr>
      <xdr:spPr bwMode="auto">
        <a:xfrm>
          <a:off x="853961" y="870326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1301</xdr:row>
      <xdr:rowOff>41616</xdr:rowOff>
    </xdr:from>
    <xdr:to>
      <xdr:col>1</xdr:col>
      <xdr:colOff>83230</xdr:colOff>
      <xdr:row>1301</xdr:row>
      <xdr:rowOff>117816</xdr:rowOff>
    </xdr:to>
    <xdr:cxnSp macro="">
      <xdr:nvCxnSpPr>
        <xdr:cNvPr id="1842" name="Conector recto 7"/>
        <xdr:cNvCxnSpPr>
          <a:cxnSpLocks noChangeShapeType="1"/>
        </xdr:cNvCxnSpPr>
      </xdr:nvCxnSpPr>
      <xdr:spPr bwMode="auto">
        <a:xfrm rot="5400000">
          <a:off x="806336" y="8707074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68829</xdr:colOff>
      <xdr:row>1303</xdr:row>
      <xdr:rowOff>98538</xdr:rowOff>
    </xdr:from>
    <xdr:to>
      <xdr:col>1</xdr:col>
      <xdr:colOff>668904</xdr:colOff>
      <xdr:row>1303</xdr:row>
      <xdr:rowOff>101260</xdr:rowOff>
    </xdr:to>
    <xdr:cxnSp macro="">
      <xdr:nvCxnSpPr>
        <xdr:cNvPr id="1843" name="Conector recto 16"/>
        <xdr:cNvCxnSpPr>
          <a:cxnSpLocks noChangeShapeType="1"/>
        </xdr:cNvCxnSpPr>
      </xdr:nvCxnSpPr>
      <xdr:spPr bwMode="auto">
        <a:xfrm>
          <a:off x="830829" y="874713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1303</xdr:row>
      <xdr:rowOff>13607</xdr:rowOff>
    </xdr:from>
    <xdr:to>
      <xdr:col>1</xdr:col>
      <xdr:colOff>69623</xdr:colOff>
      <xdr:row>1303</xdr:row>
      <xdr:rowOff>89807</xdr:rowOff>
    </xdr:to>
    <xdr:cxnSp macro="">
      <xdr:nvCxnSpPr>
        <xdr:cNvPr id="1844" name="Conector recto 13"/>
        <xdr:cNvCxnSpPr>
          <a:cxnSpLocks noChangeShapeType="1"/>
        </xdr:cNvCxnSpPr>
      </xdr:nvCxnSpPr>
      <xdr:spPr bwMode="auto">
        <a:xfrm rot="5400000">
          <a:off x="792729" y="874237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1304</xdr:row>
      <xdr:rowOff>112145</xdr:rowOff>
    </xdr:from>
    <xdr:to>
      <xdr:col>1</xdr:col>
      <xdr:colOff>682511</xdr:colOff>
      <xdr:row>1304</xdr:row>
      <xdr:rowOff>114867</xdr:rowOff>
    </xdr:to>
    <xdr:cxnSp macro="">
      <xdr:nvCxnSpPr>
        <xdr:cNvPr id="1845" name="Conector recto 16"/>
        <xdr:cNvCxnSpPr>
          <a:cxnSpLocks noChangeShapeType="1"/>
        </xdr:cNvCxnSpPr>
      </xdr:nvCxnSpPr>
      <xdr:spPr bwMode="auto">
        <a:xfrm>
          <a:off x="844436" y="87675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141511</xdr:colOff>
      <xdr:row>1305</xdr:row>
      <xdr:rowOff>54429</xdr:rowOff>
    </xdr:from>
    <xdr:to>
      <xdr:col>1</xdr:col>
      <xdr:colOff>741586</xdr:colOff>
      <xdr:row>1305</xdr:row>
      <xdr:rowOff>57151</xdr:rowOff>
    </xdr:to>
    <xdr:cxnSp macro="">
      <xdr:nvCxnSpPr>
        <xdr:cNvPr id="1846" name="Conector recto 16"/>
        <xdr:cNvCxnSpPr>
          <a:cxnSpLocks noChangeShapeType="1"/>
        </xdr:cNvCxnSpPr>
      </xdr:nvCxnSpPr>
      <xdr:spPr bwMode="auto">
        <a:xfrm>
          <a:off x="903511" y="8780825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1306</xdr:row>
      <xdr:rowOff>0</xdr:rowOff>
    </xdr:from>
    <xdr:to>
      <xdr:col>1</xdr:col>
      <xdr:colOff>648607</xdr:colOff>
      <xdr:row>1306</xdr:row>
      <xdr:rowOff>438150</xdr:rowOff>
    </xdr:to>
    <xdr:sp macro="" textlink="">
      <xdr:nvSpPr>
        <xdr:cNvPr id="1847" name="Rectángulo redondeado 23"/>
        <xdr:cNvSpPr>
          <a:spLocks noChangeArrowheads="1"/>
        </xdr:cNvSpPr>
      </xdr:nvSpPr>
      <xdr:spPr bwMode="auto">
        <a:xfrm>
          <a:off x="870857" y="8794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164079</xdr:colOff>
      <xdr:row>1311</xdr:row>
      <xdr:rowOff>112144</xdr:rowOff>
    </xdr:from>
    <xdr:to>
      <xdr:col>1</xdr:col>
      <xdr:colOff>764154</xdr:colOff>
      <xdr:row>1311</xdr:row>
      <xdr:rowOff>114866</xdr:rowOff>
    </xdr:to>
    <xdr:cxnSp macro="">
      <xdr:nvCxnSpPr>
        <xdr:cNvPr id="1848" name="Conector recto 16"/>
        <xdr:cNvCxnSpPr>
          <a:cxnSpLocks noChangeShapeType="1"/>
        </xdr:cNvCxnSpPr>
      </xdr:nvCxnSpPr>
      <xdr:spPr bwMode="auto">
        <a:xfrm>
          <a:off x="926079" y="8926614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1310</xdr:row>
      <xdr:rowOff>125752</xdr:rowOff>
    </xdr:from>
    <xdr:to>
      <xdr:col>1</xdr:col>
      <xdr:colOff>723333</xdr:colOff>
      <xdr:row>1310</xdr:row>
      <xdr:rowOff>128474</xdr:rowOff>
    </xdr:to>
    <xdr:cxnSp macro="">
      <xdr:nvCxnSpPr>
        <xdr:cNvPr id="1849" name="Conector recto 16"/>
        <xdr:cNvCxnSpPr>
          <a:cxnSpLocks noChangeShapeType="1"/>
        </xdr:cNvCxnSpPr>
      </xdr:nvCxnSpPr>
      <xdr:spPr bwMode="auto">
        <a:xfrm>
          <a:off x="885258" y="890892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1310</xdr:row>
      <xdr:rowOff>40821</xdr:rowOff>
    </xdr:from>
    <xdr:to>
      <xdr:col>1</xdr:col>
      <xdr:colOff>124052</xdr:colOff>
      <xdr:row>1310</xdr:row>
      <xdr:rowOff>117021</xdr:rowOff>
    </xdr:to>
    <xdr:cxnSp macro="">
      <xdr:nvCxnSpPr>
        <xdr:cNvPr id="1850" name="Conector recto 13"/>
        <xdr:cNvCxnSpPr>
          <a:cxnSpLocks noChangeShapeType="1"/>
        </xdr:cNvCxnSpPr>
      </xdr:nvCxnSpPr>
      <xdr:spPr bwMode="auto">
        <a:xfrm rot="5400000">
          <a:off x="847158" y="890416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1310</xdr:row>
      <xdr:rowOff>43543</xdr:rowOff>
    </xdr:from>
    <xdr:to>
      <xdr:col>1</xdr:col>
      <xdr:colOff>725488</xdr:colOff>
      <xdr:row>1310</xdr:row>
      <xdr:rowOff>119743</xdr:rowOff>
    </xdr:to>
    <xdr:cxnSp macro="">
      <xdr:nvCxnSpPr>
        <xdr:cNvPr id="1851" name="Conector recto 13"/>
        <xdr:cNvCxnSpPr>
          <a:cxnSpLocks noChangeShapeType="1"/>
        </xdr:cNvCxnSpPr>
      </xdr:nvCxnSpPr>
      <xdr:spPr bwMode="auto">
        <a:xfrm rot="5400000">
          <a:off x="1448594" y="890443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1315</xdr:row>
      <xdr:rowOff>125752</xdr:rowOff>
    </xdr:from>
    <xdr:to>
      <xdr:col>1</xdr:col>
      <xdr:colOff>696119</xdr:colOff>
      <xdr:row>1315</xdr:row>
      <xdr:rowOff>128474</xdr:rowOff>
    </xdr:to>
    <xdr:cxnSp macro="">
      <xdr:nvCxnSpPr>
        <xdr:cNvPr id="1852" name="Conector recto 16"/>
        <xdr:cNvCxnSpPr>
          <a:cxnSpLocks noChangeShapeType="1"/>
        </xdr:cNvCxnSpPr>
      </xdr:nvCxnSpPr>
      <xdr:spPr bwMode="auto">
        <a:xfrm>
          <a:off x="858044" y="900417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1315</xdr:row>
      <xdr:rowOff>40821</xdr:rowOff>
    </xdr:from>
    <xdr:to>
      <xdr:col>1</xdr:col>
      <xdr:colOff>96838</xdr:colOff>
      <xdr:row>1315</xdr:row>
      <xdr:rowOff>117021</xdr:rowOff>
    </xdr:to>
    <xdr:cxnSp macro="">
      <xdr:nvCxnSpPr>
        <xdr:cNvPr id="1853" name="Conector recto 13"/>
        <xdr:cNvCxnSpPr>
          <a:cxnSpLocks noChangeShapeType="1"/>
        </xdr:cNvCxnSpPr>
      </xdr:nvCxnSpPr>
      <xdr:spPr bwMode="auto">
        <a:xfrm rot="5400000">
          <a:off x="819944" y="899941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1316</xdr:row>
      <xdr:rowOff>136637</xdr:rowOff>
    </xdr:from>
    <xdr:to>
      <xdr:col>1</xdr:col>
      <xdr:colOff>708932</xdr:colOff>
      <xdr:row>1316</xdr:row>
      <xdr:rowOff>139359</xdr:rowOff>
    </xdr:to>
    <xdr:cxnSp macro="">
      <xdr:nvCxnSpPr>
        <xdr:cNvPr id="1854" name="Conector recto 16"/>
        <xdr:cNvCxnSpPr>
          <a:cxnSpLocks noChangeShapeType="1"/>
        </xdr:cNvCxnSpPr>
      </xdr:nvCxnSpPr>
      <xdr:spPr bwMode="auto">
        <a:xfrm>
          <a:off x="870857" y="9024313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1316</xdr:row>
      <xdr:rowOff>54428</xdr:rowOff>
    </xdr:from>
    <xdr:to>
      <xdr:col>1</xdr:col>
      <xdr:colOff>711087</xdr:colOff>
      <xdr:row>1316</xdr:row>
      <xdr:rowOff>130628</xdr:rowOff>
    </xdr:to>
    <xdr:cxnSp macro="">
      <xdr:nvCxnSpPr>
        <xdr:cNvPr id="1855" name="Conector recto 13"/>
        <xdr:cNvCxnSpPr>
          <a:cxnSpLocks noChangeShapeType="1"/>
        </xdr:cNvCxnSpPr>
      </xdr:nvCxnSpPr>
      <xdr:spPr bwMode="auto">
        <a:xfrm rot="5400000">
          <a:off x="1434193" y="9019823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1318</xdr:row>
      <xdr:rowOff>95250</xdr:rowOff>
    </xdr:from>
    <xdr:to>
      <xdr:col>1</xdr:col>
      <xdr:colOff>723333</xdr:colOff>
      <xdr:row>1318</xdr:row>
      <xdr:rowOff>97972</xdr:rowOff>
    </xdr:to>
    <xdr:cxnSp macro="">
      <xdr:nvCxnSpPr>
        <xdr:cNvPr id="1857" name="Conector recto 16"/>
        <xdr:cNvCxnSpPr>
          <a:cxnSpLocks noChangeShapeType="1"/>
        </xdr:cNvCxnSpPr>
      </xdr:nvCxnSpPr>
      <xdr:spPr bwMode="auto">
        <a:xfrm>
          <a:off x="885258" y="905827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1319</xdr:row>
      <xdr:rowOff>119177</xdr:rowOff>
    </xdr:from>
    <xdr:to>
      <xdr:col>1</xdr:col>
      <xdr:colOff>654503</xdr:colOff>
      <xdr:row>1319</xdr:row>
      <xdr:rowOff>121899</xdr:rowOff>
    </xdr:to>
    <xdr:cxnSp macro="">
      <xdr:nvCxnSpPr>
        <xdr:cNvPr id="1858" name="Conector recto 16"/>
        <xdr:cNvCxnSpPr>
          <a:cxnSpLocks noChangeShapeType="1"/>
        </xdr:cNvCxnSpPr>
      </xdr:nvCxnSpPr>
      <xdr:spPr bwMode="auto">
        <a:xfrm>
          <a:off x="816428" y="90797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1320</xdr:row>
      <xdr:rowOff>61461</xdr:rowOff>
    </xdr:from>
    <xdr:to>
      <xdr:col>1</xdr:col>
      <xdr:colOff>713578</xdr:colOff>
      <xdr:row>1320</xdr:row>
      <xdr:rowOff>64183</xdr:rowOff>
    </xdr:to>
    <xdr:cxnSp macro="">
      <xdr:nvCxnSpPr>
        <xdr:cNvPr id="1859" name="Conector recto 16"/>
        <xdr:cNvCxnSpPr>
          <a:cxnSpLocks noChangeShapeType="1"/>
        </xdr:cNvCxnSpPr>
      </xdr:nvCxnSpPr>
      <xdr:spPr bwMode="auto">
        <a:xfrm>
          <a:off x="875503" y="9092996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1321</xdr:row>
      <xdr:rowOff>108857</xdr:rowOff>
    </xdr:from>
    <xdr:to>
      <xdr:col>1</xdr:col>
      <xdr:colOff>709727</xdr:colOff>
      <xdr:row>1321</xdr:row>
      <xdr:rowOff>111579</xdr:rowOff>
    </xdr:to>
    <xdr:cxnSp macro="">
      <xdr:nvCxnSpPr>
        <xdr:cNvPr id="1860" name="Conector recto 16"/>
        <xdr:cNvCxnSpPr>
          <a:cxnSpLocks noChangeShapeType="1"/>
        </xdr:cNvCxnSpPr>
      </xdr:nvCxnSpPr>
      <xdr:spPr bwMode="auto">
        <a:xfrm>
          <a:off x="871652" y="911678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1322</xdr:row>
      <xdr:rowOff>132784</xdr:rowOff>
    </xdr:from>
    <xdr:to>
      <xdr:col>1</xdr:col>
      <xdr:colOff>640897</xdr:colOff>
      <xdr:row>1322</xdr:row>
      <xdr:rowOff>135506</xdr:rowOff>
    </xdr:to>
    <xdr:cxnSp macro="">
      <xdr:nvCxnSpPr>
        <xdr:cNvPr id="1861" name="Conector recto 16"/>
        <xdr:cNvCxnSpPr>
          <a:cxnSpLocks noChangeShapeType="1"/>
        </xdr:cNvCxnSpPr>
      </xdr:nvCxnSpPr>
      <xdr:spPr bwMode="auto">
        <a:xfrm>
          <a:off x="802822" y="913822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99897</xdr:colOff>
      <xdr:row>1323</xdr:row>
      <xdr:rowOff>75068</xdr:rowOff>
    </xdr:from>
    <xdr:to>
      <xdr:col>1</xdr:col>
      <xdr:colOff>699972</xdr:colOff>
      <xdr:row>1323</xdr:row>
      <xdr:rowOff>77790</xdr:rowOff>
    </xdr:to>
    <xdr:cxnSp macro="">
      <xdr:nvCxnSpPr>
        <xdr:cNvPr id="1862" name="Conector recto 16"/>
        <xdr:cNvCxnSpPr>
          <a:cxnSpLocks noChangeShapeType="1"/>
        </xdr:cNvCxnSpPr>
      </xdr:nvCxnSpPr>
      <xdr:spPr bwMode="auto">
        <a:xfrm>
          <a:off x="861897" y="915150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1324</xdr:row>
      <xdr:rowOff>13607</xdr:rowOff>
    </xdr:from>
    <xdr:to>
      <xdr:col>1</xdr:col>
      <xdr:colOff>662215</xdr:colOff>
      <xdr:row>1324</xdr:row>
      <xdr:rowOff>451757</xdr:rowOff>
    </xdr:to>
    <xdr:sp macro="" textlink="">
      <xdr:nvSpPr>
        <xdr:cNvPr id="1863" name="Rectángulo redondeado 23"/>
        <xdr:cNvSpPr>
          <a:spLocks noChangeArrowheads="1"/>
        </xdr:cNvSpPr>
      </xdr:nvSpPr>
      <xdr:spPr bwMode="auto">
        <a:xfrm>
          <a:off x="884465" y="91644107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108858</xdr:colOff>
      <xdr:row>1325</xdr:row>
      <xdr:rowOff>0</xdr:rowOff>
    </xdr:from>
    <xdr:to>
      <xdr:col>1</xdr:col>
      <xdr:colOff>648608</xdr:colOff>
      <xdr:row>1325</xdr:row>
      <xdr:rowOff>438150</xdr:rowOff>
    </xdr:to>
    <xdr:sp macro="" textlink="">
      <xdr:nvSpPr>
        <xdr:cNvPr id="1864" name="Rectángulo redondeado 23"/>
        <xdr:cNvSpPr>
          <a:spLocks noChangeArrowheads="1"/>
        </xdr:cNvSpPr>
      </xdr:nvSpPr>
      <xdr:spPr bwMode="auto">
        <a:xfrm>
          <a:off x="870858" y="921067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1326</xdr:row>
      <xdr:rowOff>27214</xdr:rowOff>
    </xdr:from>
    <xdr:to>
      <xdr:col>1</xdr:col>
      <xdr:colOff>648607</xdr:colOff>
      <xdr:row>1326</xdr:row>
      <xdr:rowOff>465364</xdr:rowOff>
    </xdr:to>
    <xdr:sp macro="" textlink="">
      <xdr:nvSpPr>
        <xdr:cNvPr id="1865" name="Rectángulo redondeado 23"/>
        <xdr:cNvSpPr>
          <a:spLocks noChangeArrowheads="1"/>
        </xdr:cNvSpPr>
      </xdr:nvSpPr>
      <xdr:spPr bwMode="auto">
        <a:xfrm>
          <a:off x="870857" y="92600689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1330</xdr:row>
      <xdr:rowOff>112145</xdr:rowOff>
    </xdr:from>
    <xdr:to>
      <xdr:col>1</xdr:col>
      <xdr:colOff>696119</xdr:colOff>
      <xdr:row>1330</xdr:row>
      <xdr:rowOff>114867</xdr:rowOff>
    </xdr:to>
    <xdr:cxnSp macro="">
      <xdr:nvCxnSpPr>
        <xdr:cNvPr id="1866" name="Conector recto 16"/>
        <xdr:cNvCxnSpPr>
          <a:cxnSpLocks noChangeShapeType="1"/>
        </xdr:cNvCxnSpPr>
      </xdr:nvCxnSpPr>
      <xdr:spPr bwMode="auto">
        <a:xfrm>
          <a:off x="858044" y="937905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1330</xdr:row>
      <xdr:rowOff>27214</xdr:rowOff>
    </xdr:from>
    <xdr:to>
      <xdr:col>1</xdr:col>
      <xdr:colOff>96838</xdr:colOff>
      <xdr:row>1330</xdr:row>
      <xdr:rowOff>103414</xdr:rowOff>
    </xdr:to>
    <xdr:cxnSp macro="">
      <xdr:nvCxnSpPr>
        <xdr:cNvPr id="1867" name="Conector recto 13"/>
        <xdr:cNvCxnSpPr>
          <a:cxnSpLocks noChangeShapeType="1"/>
        </xdr:cNvCxnSpPr>
      </xdr:nvCxnSpPr>
      <xdr:spPr bwMode="auto">
        <a:xfrm rot="5400000">
          <a:off x="819944" y="937428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1332</xdr:row>
      <xdr:rowOff>68036</xdr:rowOff>
    </xdr:from>
    <xdr:to>
      <xdr:col>1</xdr:col>
      <xdr:colOff>709726</xdr:colOff>
      <xdr:row>1332</xdr:row>
      <xdr:rowOff>70758</xdr:rowOff>
    </xdr:to>
    <xdr:cxnSp macro="">
      <xdr:nvCxnSpPr>
        <xdr:cNvPr id="1869" name="Conector recto 16"/>
        <xdr:cNvCxnSpPr>
          <a:cxnSpLocks noChangeShapeType="1"/>
        </xdr:cNvCxnSpPr>
      </xdr:nvCxnSpPr>
      <xdr:spPr bwMode="auto">
        <a:xfrm>
          <a:off x="871651" y="941274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40821</xdr:colOff>
      <xdr:row>1333</xdr:row>
      <xdr:rowOff>91963</xdr:rowOff>
    </xdr:from>
    <xdr:to>
      <xdr:col>1</xdr:col>
      <xdr:colOff>640896</xdr:colOff>
      <xdr:row>1333</xdr:row>
      <xdr:rowOff>94685</xdr:rowOff>
    </xdr:to>
    <xdr:cxnSp macro="">
      <xdr:nvCxnSpPr>
        <xdr:cNvPr id="1870" name="Conector recto 16"/>
        <xdr:cNvCxnSpPr>
          <a:cxnSpLocks noChangeShapeType="1"/>
        </xdr:cNvCxnSpPr>
      </xdr:nvCxnSpPr>
      <xdr:spPr bwMode="auto">
        <a:xfrm>
          <a:off x="802821" y="943418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99896</xdr:colOff>
      <xdr:row>1334</xdr:row>
      <xdr:rowOff>34247</xdr:rowOff>
    </xdr:from>
    <xdr:to>
      <xdr:col>1</xdr:col>
      <xdr:colOff>699971</xdr:colOff>
      <xdr:row>1334</xdr:row>
      <xdr:rowOff>36969</xdr:rowOff>
    </xdr:to>
    <xdr:cxnSp macro="">
      <xdr:nvCxnSpPr>
        <xdr:cNvPr id="1871" name="Conector recto 16"/>
        <xdr:cNvCxnSpPr>
          <a:cxnSpLocks noChangeShapeType="1"/>
        </xdr:cNvCxnSpPr>
      </xdr:nvCxnSpPr>
      <xdr:spPr bwMode="auto">
        <a:xfrm>
          <a:off x="861896" y="944746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93663</xdr:colOff>
      <xdr:row>1375</xdr:row>
      <xdr:rowOff>59531</xdr:rowOff>
    </xdr:from>
    <xdr:to>
      <xdr:col>1</xdr:col>
      <xdr:colOff>674688</xdr:colOff>
      <xdr:row>1375</xdr:row>
      <xdr:rowOff>61119</xdr:rowOff>
    </xdr:to>
    <xdr:cxnSp macro="">
      <xdr:nvCxnSpPr>
        <xdr:cNvPr id="1872" name="Conector recto 4"/>
        <xdr:cNvCxnSpPr>
          <a:cxnSpLocks noChangeShapeType="1"/>
        </xdr:cNvCxnSpPr>
      </xdr:nvCxnSpPr>
      <xdr:spPr bwMode="auto">
        <a:xfrm>
          <a:off x="855663" y="6405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1375</xdr:row>
      <xdr:rowOff>60325</xdr:rowOff>
    </xdr:from>
    <xdr:to>
      <xdr:col>1</xdr:col>
      <xdr:colOff>84932</xdr:colOff>
      <xdr:row>1375</xdr:row>
      <xdr:rowOff>136525</xdr:rowOff>
    </xdr:to>
    <xdr:cxnSp macro="">
      <xdr:nvCxnSpPr>
        <xdr:cNvPr id="1873" name="Conector recto 7"/>
        <xdr:cNvCxnSpPr>
          <a:cxnSpLocks noChangeShapeType="1"/>
        </xdr:cNvCxnSpPr>
      </xdr:nvCxnSpPr>
      <xdr:spPr bwMode="auto">
        <a:xfrm rot="5400000">
          <a:off x="808038" y="6786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115094</xdr:colOff>
      <xdr:row>1376</xdr:row>
      <xdr:rowOff>57150</xdr:rowOff>
    </xdr:from>
    <xdr:to>
      <xdr:col>1</xdr:col>
      <xdr:colOff>696119</xdr:colOff>
      <xdr:row>1376</xdr:row>
      <xdr:rowOff>58738</xdr:rowOff>
    </xdr:to>
    <xdr:cxnSp macro="">
      <xdr:nvCxnSpPr>
        <xdr:cNvPr id="1874" name="Conector recto 4"/>
        <xdr:cNvCxnSpPr>
          <a:cxnSpLocks noChangeShapeType="1"/>
        </xdr:cNvCxnSpPr>
      </xdr:nvCxnSpPr>
      <xdr:spPr bwMode="auto">
        <a:xfrm>
          <a:off x="877094" y="828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1376</xdr:row>
      <xdr:rowOff>57944</xdr:rowOff>
    </xdr:from>
    <xdr:to>
      <xdr:col>1</xdr:col>
      <xdr:colOff>106363</xdr:colOff>
      <xdr:row>1376</xdr:row>
      <xdr:rowOff>134144</xdr:rowOff>
    </xdr:to>
    <xdr:cxnSp macro="">
      <xdr:nvCxnSpPr>
        <xdr:cNvPr id="1875" name="Conector recto 7"/>
        <xdr:cNvCxnSpPr>
          <a:cxnSpLocks noChangeShapeType="1"/>
        </xdr:cNvCxnSpPr>
      </xdr:nvCxnSpPr>
      <xdr:spPr bwMode="auto">
        <a:xfrm rot="5400000">
          <a:off x="829469" y="8667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100807</xdr:colOff>
      <xdr:row>1377</xdr:row>
      <xdr:rowOff>54769</xdr:rowOff>
    </xdr:from>
    <xdr:to>
      <xdr:col>1</xdr:col>
      <xdr:colOff>681832</xdr:colOff>
      <xdr:row>1377</xdr:row>
      <xdr:rowOff>56357</xdr:rowOff>
    </xdr:to>
    <xdr:cxnSp macro="">
      <xdr:nvCxnSpPr>
        <xdr:cNvPr id="1876" name="Conector recto 4"/>
        <xdr:cNvCxnSpPr>
          <a:cxnSpLocks noChangeShapeType="1"/>
        </xdr:cNvCxnSpPr>
      </xdr:nvCxnSpPr>
      <xdr:spPr bwMode="auto">
        <a:xfrm>
          <a:off x="862807" y="10167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90488</xdr:colOff>
      <xdr:row>1377</xdr:row>
      <xdr:rowOff>55563</xdr:rowOff>
    </xdr:from>
    <xdr:to>
      <xdr:col>1</xdr:col>
      <xdr:colOff>92076</xdr:colOff>
      <xdr:row>1377</xdr:row>
      <xdr:rowOff>131763</xdr:rowOff>
    </xdr:to>
    <xdr:cxnSp macro="">
      <xdr:nvCxnSpPr>
        <xdr:cNvPr id="1877" name="Conector recto 7"/>
        <xdr:cNvCxnSpPr>
          <a:cxnSpLocks noChangeShapeType="1"/>
        </xdr:cNvCxnSpPr>
      </xdr:nvCxnSpPr>
      <xdr:spPr bwMode="auto">
        <a:xfrm rot="5400000">
          <a:off x="815182" y="10548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1378</xdr:row>
      <xdr:rowOff>120650</xdr:rowOff>
    </xdr:from>
    <xdr:to>
      <xdr:col>1</xdr:col>
      <xdr:colOff>702469</xdr:colOff>
      <xdr:row>1378</xdr:row>
      <xdr:rowOff>123372</xdr:rowOff>
    </xdr:to>
    <xdr:cxnSp macro="">
      <xdr:nvCxnSpPr>
        <xdr:cNvPr id="1878" name="Conector recto 16"/>
        <xdr:cNvCxnSpPr>
          <a:cxnSpLocks noChangeShapeType="1"/>
        </xdr:cNvCxnSpPr>
      </xdr:nvCxnSpPr>
      <xdr:spPr bwMode="auto">
        <a:xfrm>
          <a:off x="864394" y="12731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101600</xdr:colOff>
      <xdr:row>1378</xdr:row>
      <xdr:rowOff>35719</xdr:rowOff>
    </xdr:from>
    <xdr:to>
      <xdr:col>1</xdr:col>
      <xdr:colOff>103188</xdr:colOff>
      <xdr:row>1378</xdr:row>
      <xdr:rowOff>111919</xdr:rowOff>
    </xdr:to>
    <xdr:cxnSp macro="">
      <xdr:nvCxnSpPr>
        <xdr:cNvPr id="1879" name="Conector recto 13"/>
        <xdr:cNvCxnSpPr>
          <a:cxnSpLocks noChangeShapeType="1"/>
        </xdr:cNvCxnSpPr>
      </xdr:nvCxnSpPr>
      <xdr:spPr bwMode="auto">
        <a:xfrm rot="5400000">
          <a:off x="826294" y="1225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1379</xdr:row>
      <xdr:rowOff>114300</xdr:rowOff>
    </xdr:from>
    <xdr:to>
      <xdr:col>1</xdr:col>
      <xdr:colOff>696119</xdr:colOff>
      <xdr:row>1379</xdr:row>
      <xdr:rowOff>117022</xdr:rowOff>
    </xdr:to>
    <xdr:cxnSp macro="">
      <xdr:nvCxnSpPr>
        <xdr:cNvPr id="1880" name="Conector recto 16"/>
        <xdr:cNvCxnSpPr>
          <a:cxnSpLocks noChangeShapeType="1"/>
        </xdr:cNvCxnSpPr>
      </xdr:nvCxnSpPr>
      <xdr:spPr bwMode="auto">
        <a:xfrm>
          <a:off x="858044" y="14573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1379</xdr:row>
      <xdr:rowOff>29369</xdr:rowOff>
    </xdr:from>
    <xdr:to>
      <xdr:col>1</xdr:col>
      <xdr:colOff>96838</xdr:colOff>
      <xdr:row>1379</xdr:row>
      <xdr:rowOff>105569</xdr:rowOff>
    </xdr:to>
    <xdr:cxnSp macro="">
      <xdr:nvCxnSpPr>
        <xdr:cNvPr id="1881" name="Conector recto 13"/>
        <xdr:cNvCxnSpPr>
          <a:cxnSpLocks noChangeShapeType="1"/>
        </xdr:cNvCxnSpPr>
      </xdr:nvCxnSpPr>
      <xdr:spPr bwMode="auto">
        <a:xfrm rot="5400000">
          <a:off x="819944" y="14097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1380</xdr:row>
      <xdr:rowOff>95251</xdr:rowOff>
    </xdr:from>
    <xdr:to>
      <xdr:col>1</xdr:col>
      <xdr:colOff>729191</xdr:colOff>
      <xdr:row>1389</xdr:row>
      <xdr:rowOff>144464</xdr:rowOff>
    </xdr:to>
    <xdr:grpSp>
      <xdr:nvGrpSpPr>
        <xdr:cNvPr id="1882" name="195 Grupo"/>
        <xdr:cNvGrpSpPr/>
      </xdr:nvGrpSpPr>
      <xdr:grpSpPr>
        <a:xfrm>
          <a:off x="1206500" y="3365500"/>
          <a:ext cx="633941" cy="0"/>
          <a:chOff x="857250" y="19145251"/>
          <a:chExt cx="633941" cy="1763713"/>
        </a:xfrm>
      </xdr:grpSpPr>
      <xdr:cxnSp macro="">
        <xdr:nvCxnSpPr>
          <xdr:cNvPr id="1883" name="Conector recto 1882"/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4" name="Conector recto 12"/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5" name="Conector recto 12"/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6" name="Conector recto 12"/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7" name="Conector recto 12"/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8" name="Conector recto 12"/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9" name="Conector recto 12"/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0" name="Conector recto 12"/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1" name="Conector recto 12"/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2" name="Conector recto 12"/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1390</xdr:row>
      <xdr:rowOff>142876</xdr:rowOff>
    </xdr:from>
    <xdr:to>
      <xdr:col>1</xdr:col>
      <xdr:colOff>676275</xdr:colOff>
      <xdr:row>1390</xdr:row>
      <xdr:rowOff>144464</xdr:rowOff>
    </xdr:to>
    <xdr:cxnSp macro="">
      <xdr:nvCxnSpPr>
        <xdr:cNvPr id="1893" name="Conector recto 12"/>
        <xdr:cNvCxnSpPr>
          <a:cxnSpLocks noChangeShapeType="1"/>
        </xdr:cNvCxnSpPr>
      </xdr:nvCxnSpPr>
      <xdr:spPr bwMode="auto">
        <a:xfrm>
          <a:off x="857250" y="358140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1391</xdr:row>
      <xdr:rowOff>104777</xdr:rowOff>
    </xdr:from>
    <xdr:to>
      <xdr:col>1</xdr:col>
      <xdr:colOff>738716</xdr:colOff>
      <xdr:row>1391</xdr:row>
      <xdr:rowOff>106365</xdr:rowOff>
    </xdr:to>
    <xdr:cxnSp macro="">
      <xdr:nvCxnSpPr>
        <xdr:cNvPr id="1894" name="Conector recto 12"/>
        <xdr:cNvCxnSpPr>
          <a:cxnSpLocks noChangeShapeType="1"/>
        </xdr:cNvCxnSpPr>
      </xdr:nvCxnSpPr>
      <xdr:spPr bwMode="auto">
        <a:xfrm>
          <a:off x="919691" y="3733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1392</xdr:row>
      <xdr:rowOff>104777</xdr:rowOff>
    </xdr:from>
    <xdr:to>
      <xdr:col>1</xdr:col>
      <xdr:colOff>738716</xdr:colOff>
      <xdr:row>1392</xdr:row>
      <xdr:rowOff>106365</xdr:rowOff>
    </xdr:to>
    <xdr:cxnSp macro="">
      <xdr:nvCxnSpPr>
        <xdr:cNvPr id="1895" name="Conector recto 12"/>
        <xdr:cNvCxnSpPr>
          <a:cxnSpLocks noChangeShapeType="1"/>
        </xdr:cNvCxnSpPr>
      </xdr:nvCxnSpPr>
      <xdr:spPr bwMode="auto">
        <a:xfrm>
          <a:off x="919691" y="3924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1393</xdr:row>
      <xdr:rowOff>104777</xdr:rowOff>
    </xdr:from>
    <xdr:to>
      <xdr:col>1</xdr:col>
      <xdr:colOff>738716</xdr:colOff>
      <xdr:row>1393</xdr:row>
      <xdr:rowOff>106365</xdr:rowOff>
    </xdr:to>
    <xdr:cxnSp macro="">
      <xdr:nvCxnSpPr>
        <xdr:cNvPr id="1896" name="Conector recto 12"/>
        <xdr:cNvCxnSpPr>
          <a:cxnSpLocks noChangeShapeType="1"/>
        </xdr:cNvCxnSpPr>
      </xdr:nvCxnSpPr>
      <xdr:spPr bwMode="auto">
        <a:xfrm>
          <a:off x="919691" y="4114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1394</xdr:row>
      <xdr:rowOff>85727</xdr:rowOff>
    </xdr:from>
    <xdr:to>
      <xdr:col>1</xdr:col>
      <xdr:colOff>738716</xdr:colOff>
      <xdr:row>1394</xdr:row>
      <xdr:rowOff>87315</xdr:rowOff>
    </xdr:to>
    <xdr:cxnSp macro="">
      <xdr:nvCxnSpPr>
        <xdr:cNvPr id="1897" name="Conector recto 12"/>
        <xdr:cNvCxnSpPr>
          <a:cxnSpLocks noChangeShapeType="1"/>
        </xdr:cNvCxnSpPr>
      </xdr:nvCxnSpPr>
      <xdr:spPr bwMode="auto">
        <a:xfrm>
          <a:off x="919691" y="4286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1395</xdr:row>
      <xdr:rowOff>85727</xdr:rowOff>
    </xdr:from>
    <xdr:to>
      <xdr:col>1</xdr:col>
      <xdr:colOff>738716</xdr:colOff>
      <xdr:row>1395</xdr:row>
      <xdr:rowOff>87315</xdr:rowOff>
    </xdr:to>
    <xdr:cxnSp macro="">
      <xdr:nvCxnSpPr>
        <xdr:cNvPr id="1898" name="Conector recto 12"/>
        <xdr:cNvCxnSpPr>
          <a:cxnSpLocks noChangeShapeType="1"/>
        </xdr:cNvCxnSpPr>
      </xdr:nvCxnSpPr>
      <xdr:spPr bwMode="auto">
        <a:xfrm>
          <a:off x="919691" y="44767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1396</xdr:row>
      <xdr:rowOff>85727</xdr:rowOff>
    </xdr:from>
    <xdr:to>
      <xdr:col>1</xdr:col>
      <xdr:colOff>738716</xdr:colOff>
      <xdr:row>1396</xdr:row>
      <xdr:rowOff>87315</xdr:rowOff>
    </xdr:to>
    <xdr:cxnSp macro="">
      <xdr:nvCxnSpPr>
        <xdr:cNvPr id="1899" name="Conector recto 12"/>
        <xdr:cNvCxnSpPr>
          <a:cxnSpLocks noChangeShapeType="1"/>
        </xdr:cNvCxnSpPr>
      </xdr:nvCxnSpPr>
      <xdr:spPr bwMode="auto">
        <a:xfrm>
          <a:off x="919691" y="4667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1397</xdr:row>
      <xdr:rowOff>121711</xdr:rowOff>
    </xdr:from>
    <xdr:to>
      <xdr:col>1</xdr:col>
      <xdr:colOff>717550</xdr:colOff>
      <xdr:row>1397</xdr:row>
      <xdr:rowOff>123299</xdr:rowOff>
    </xdr:to>
    <xdr:cxnSp macro="">
      <xdr:nvCxnSpPr>
        <xdr:cNvPr id="1900" name="Conector recto 12"/>
        <xdr:cNvCxnSpPr>
          <a:cxnSpLocks noChangeShapeType="1"/>
        </xdr:cNvCxnSpPr>
      </xdr:nvCxnSpPr>
      <xdr:spPr bwMode="auto">
        <a:xfrm>
          <a:off x="898525" y="48937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1398</xdr:row>
      <xdr:rowOff>121711</xdr:rowOff>
    </xdr:from>
    <xdr:to>
      <xdr:col>1</xdr:col>
      <xdr:colOff>717550</xdr:colOff>
      <xdr:row>1398</xdr:row>
      <xdr:rowOff>123299</xdr:rowOff>
    </xdr:to>
    <xdr:cxnSp macro="">
      <xdr:nvCxnSpPr>
        <xdr:cNvPr id="1901" name="Conector recto 12"/>
        <xdr:cNvCxnSpPr>
          <a:cxnSpLocks noChangeShapeType="1"/>
        </xdr:cNvCxnSpPr>
      </xdr:nvCxnSpPr>
      <xdr:spPr bwMode="auto">
        <a:xfrm>
          <a:off x="898525" y="50842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1402</xdr:row>
      <xdr:rowOff>76737</xdr:rowOff>
    </xdr:from>
    <xdr:to>
      <xdr:col>1</xdr:col>
      <xdr:colOff>649079</xdr:colOff>
      <xdr:row>1402</xdr:row>
      <xdr:rowOff>139632</xdr:rowOff>
    </xdr:to>
    <xdr:grpSp>
      <xdr:nvGrpSpPr>
        <xdr:cNvPr id="1903" name="Grupo 273"/>
        <xdr:cNvGrpSpPr>
          <a:grpSpLocks/>
        </xdr:cNvGrpSpPr>
      </xdr:nvGrpSpPr>
      <xdr:grpSpPr bwMode="auto">
        <a:xfrm>
          <a:off x="1225870" y="3365500"/>
          <a:ext cx="534459" cy="0"/>
          <a:chOff x="10648950" y="5124450"/>
          <a:chExt cx="1085850" cy="95250"/>
        </a:xfrm>
      </xdr:grpSpPr>
      <xdr:cxnSp macro="">
        <xdr:nvCxnSpPr>
          <xdr:cNvPr id="190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1403</xdr:row>
      <xdr:rowOff>70386</xdr:rowOff>
    </xdr:from>
    <xdr:to>
      <xdr:col>1</xdr:col>
      <xdr:colOff>663895</xdr:colOff>
      <xdr:row>1403</xdr:row>
      <xdr:rowOff>133281</xdr:rowOff>
    </xdr:to>
    <xdr:grpSp>
      <xdr:nvGrpSpPr>
        <xdr:cNvPr id="1907" name="Grupo 273"/>
        <xdr:cNvGrpSpPr>
          <a:grpSpLocks/>
        </xdr:cNvGrpSpPr>
      </xdr:nvGrpSpPr>
      <xdr:grpSpPr bwMode="auto">
        <a:xfrm>
          <a:off x="1240686" y="3365500"/>
          <a:ext cx="534459" cy="0"/>
          <a:chOff x="10648950" y="5124450"/>
          <a:chExt cx="1085850" cy="95250"/>
        </a:xfrm>
      </xdr:grpSpPr>
      <xdr:cxnSp macro="">
        <xdr:nvCxnSpPr>
          <xdr:cNvPr id="190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138961</xdr:colOff>
      <xdr:row>1404</xdr:row>
      <xdr:rowOff>48161</xdr:rowOff>
    </xdr:from>
    <xdr:to>
      <xdr:col>1</xdr:col>
      <xdr:colOff>673420</xdr:colOff>
      <xdr:row>1404</xdr:row>
      <xdr:rowOff>111056</xdr:rowOff>
    </xdr:to>
    <xdr:grpSp>
      <xdr:nvGrpSpPr>
        <xdr:cNvPr id="1910" name="Grupo 273"/>
        <xdr:cNvGrpSpPr>
          <a:grpSpLocks/>
        </xdr:cNvGrpSpPr>
      </xdr:nvGrpSpPr>
      <xdr:grpSpPr bwMode="auto">
        <a:xfrm>
          <a:off x="1250211" y="3365500"/>
          <a:ext cx="534459" cy="0"/>
          <a:chOff x="10648950" y="5124450"/>
          <a:chExt cx="1085850" cy="95250"/>
        </a:xfrm>
      </xdr:grpSpPr>
      <xdr:cxnSp macro="">
        <xdr:nvCxnSpPr>
          <xdr:cNvPr id="191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1405</xdr:row>
      <xdr:rowOff>59532</xdr:rowOff>
    </xdr:from>
    <xdr:to>
      <xdr:col>1</xdr:col>
      <xdr:colOff>670719</xdr:colOff>
      <xdr:row>1405</xdr:row>
      <xdr:rowOff>451114</xdr:rowOff>
    </xdr:to>
    <xdr:sp macro="" textlink="">
      <xdr:nvSpPr>
        <xdr:cNvPr id="1914" name="Rectángulo redondeado 23"/>
        <xdr:cNvSpPr>
          <a:spLocks noChangeArrowheads="1"/>
        </xdr:cNvSpPr>
      </xdr:nvSpPr>
      <xdr:spPr bwMode="auto">
        <a:xfrm>
          <a:off x="892969" y="63555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1406</xdr:row>
      <xdr:rowOff>71438</xdr:rowOff>
    </xdr:from>
    <xdr:to>
      <xdr:col>1</xdr:col>
      <xdr:colOff>402431</xdr:colOff>
      <xdr:row>1406</xdr:row>
      <xdr:rowOff>338138</xdr:rowOff>
    </xdr:to>
    <xdr:sp macro="" textlink="">
      <xdr:nvSpPr>
        <xdr:cNvPr id="1915" name="Forma libre 6"/>
        <xdr:cNvSpPr>
          <a:spLocks/>
        </xdr:cNvSpPr>
      </xdr:nvSpPr>
      <xdr:spPr bwMode="auto">
        <a:xfrm>
          <a:off x="1107281" y="685323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1410</xdr:row>
      <xdr:rowOff>83344</xdr:rowOff>
    </xdr:from>
    <xdr:to>
      <xdr:col>1</xdr:col>
      <xdr:colOff>731837</xdr:colOff>
      <xdr:row>1412</xdr:row>
      <xdr:rowOff>155576</xdr:rowOff>
    </xdr:to>
    <xdr:grpSp>
      <xdr:nvGrpSpPr>
        <xdr:cNvPr id="1916" name="220 Grupo"/>
        <xdr:cNvGrpSpPr/>
      </xdr:nvGrpSpPr>
      <xdr:grpSpPr>
        <a:xfrm>
          <a:off x="1230312" y="3365500"/>
          <a:ext cx="612775" cy="0"/>
          <a:chOff x="881062" y="25324594"/>
          <a:chExt cx="612775" cy="453232"/>
        </a:xfrm>
      </xdr:grpSpPr>
      <xdr:cxnSp macro="">
        <xdr:nvCxnSpPr>
          <xdr:cNvPr id="1917" name="Conector recto 4"/>
          <xdr:cNvCxnSpPr>
            <a:cxnSpLocks noChangeShapeType="1"/>
          </xdr:cNvCxnSpPr>
        </xdr:nvCxnSpPr>
        <xdr:spPr bwMode="auto">
          <a:xfrm>
            <a:off x="891381" y="2532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8" name="Conector recto 7"/>
          <xdr:cNvCxnSpPr>
            <a:cxnSpLocks noChangeShapeType="1"/>
          </xdr:cNvCxnSpPr>
        </xdr:nvCxnSpPr>
        <xdr:spPr bwMode="auto">
          <a:xfrm rot="5400000">
            <a:off x="843756" y="25362694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9" name="Conector recto 4"/>
          <xdr:cNvCxnSpPr>
            <a:cxnSpLocks noChangeShapeType="1"/>
          </xdr:cNvCxnSpPr>
        </xdr:nvCxnSpPr>
        <xdr:spPr bwMode="auto">
          <a:xfrm>
            <a:off x="912812" y="255127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0" name="Conector recto 7"/>
          <xdr:cNvCxnSpPr>
            <a:cxnSpLocks noChangeShapeType="1"/>
          </xdr:cNvCxnSpPr>
        </xdr:nvCxnSpPr>
        <xdr:spPr bwMode="auto">
          <a:xfrm rot="5400000">
            <a:off x="865187" y="255508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1" name="Conector recto 4"/>
          <xdr:cNvCxnSpPr>
            <a:cxnSpLocks noChangeShapeType="1"/>
          </xdr:cNvCxnSpPr>
        </xdr:nvCxnSpPr>
        <xdr:spPr bwMode="auto">
          <a:xfrm>
            <a:off x="898525" y="25700832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2" name="Conector recto 7"/>
          <xdr:cNvCxnSpPr>
            <a:cxnSpLocks noChangeShapeType="1"/>
          </xdr:cNvCxnSpPr>
        </xdr:nvCxnSpPr>
        <xdr:spPr bwMode="auto">
          <a:xfrm rot="5400000">
            <a:off x="850900" y="257389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138112</xdr:colOff>
      <xdr:row>1413</xdr:row>
      <xdr:rowOff>144463</xdr:rowOff>
    </xdr:from>
    <xdr:to>
      <xdr:col>1</xdr:col>
      <xdr:colOff>738187</xdr:colOff>
      <xdr:row>1413</xdr:row>
      <xdr:rowOff>147185</xdr:rowOff>
    </xdr:to>
    <xdr:cxnSp macro="">
      <xdr:nvCxnSpPr>
        <xdr:cNvPr id="1923" name="Conector recto 16"/>
        <xdr:cNvCxnSpPr>
          <a:cxnSpLocks noChangeShapeType="1"/>
        </xdr:cNvCxnSpPr>
      </xdr:nvCxnSpPr>
      <xdr:spPr bwMode="auto">
        <a:xfrm>
          <a:off x="900112" y="8440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137318</xdr:colOff>
      <xdr:row>1413</xdr:row>
      <xdr:rowOff>59532</xdr:rowOff>
    </xdr:from>
    <xdr:to>
      <xdr:col>1</xdr:col>
      <xdr:colOff>138906</xdr:colOff>
      <xdr:row>1413</xdr:row>
      <xdr:rowOff>135732</xdr:rowOff>
    </xdr:to>
    <xdr:cxnSp macro="">
      <xdr:nvCxnSpPr>
        <xdr:cNvPr id="1924" name="Conector recto 13"/>
        <xdr:cNvCxnSpPr>
          <a:cxnSpLocks noChangeShapeType="1"/>
        </xdr:cNvCxnSpPr>
      </xdr:nvCxnSpPr>
      <xdr:spPr bwMode="auto">
        <a:xfrm rot="5400000">
          <a:off x="862012" y="8393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131762</xdr:colOff>
      <xdr:row>1414</xdr:row>
      <xdr:rowOff>138113</xdr:rowOff>
    </xdr:from>
    <xdr:to>
      <xdr:col>1</xdr:col>
      <xdr:colOff>731837</xdr:colOff>
      <xdr:row>1414</xdr:row>
      <xdr:rowOff>140835</xdr:rowOff>
    </xdr:to>
    <xdr:cxnSp macro="">
      <xdr:nvCxnSpPr>
        <xdr:cNvPr id="1925" name="Conector recto 16"/>
        <xdr:cNvCxnSpPr>
          <a:cxnSpLocks noChangeShapeType="1"/>
        </xdr:cNvCxnSpPr>
      </xdr:nvCxnSpPr>
      <xdr:spPr bwMode="auto">
        <a:xfrm>
          <a:off x="893762" y="86248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1414</xdr:row>
      <xdr:rowOff>53182</xdr:rowOff>
    </xdr:from>
    <xdr:to>
      <xdr:col>1</xdr:col>
      <xdr:colOff>132556</xdr:colOff>
      <xdr:row>1414</xdr:row>
      <xdr:rowOff>129382</xdr:rowOff>
    </xdr:to>
    <xdr:cxnSp macro="">
      <xdr:nvCxnSpPr>
        <xdr:cNvPr id="1926" name="Conector recto 13"/>
        <xdr:cNvCxnSpPr>
          <a:cxnSpLocks noChangeShapeType="1"/>
        </xdr:cNvCxnSpPr>
      </xdr:nvCxnSpPr>
      <xdr:spPr bwMode="auto">
        <a:xfrm rot="5400000">
          <a:off x="855662" y="85772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1415</xdr:row>
      <xdr:rowOff>144463</xdr:rowOff>
    </xdr:from>
    <xdr:to>
      <xdr:col>1</xdr:col>
      <xdr:colOff>743744</xdr:colOff>
      <xdr:row>1415</xdr:row>
      <xdr:rowOff>147185</xdr:rowOff>
    </xdr:to>
    <xdr:cxnSp macro="">
      <xdr:nvCxnSpPr>
        <xdr:cNvPr id="1927" name="Conector recto 16"/>
        <xdr:cNvCxnSpPr>
          <a:cxnSpLocks noChangeShapeType="1"/>
        </xdr:cNvCxnSpPr>
      </xdr:nvCxnSpPr>
      <xdr:spPr bwMode="auto">
        <a:xfrm>
          <a:off x="905669" y="8821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1415</xdr:row>
      <xdr:rowOff>59532</xdr:rowOff>
    </xdr:from>
    <xdr:to>
      <xdr:col>1</xdr:col>
      <xdr:colOff>144463</xdr:colOff>
      <xdr:row>1415</xdr:row>
      <xdr:rowOff>135732</xdr:rowOff>
    </xdr:to>
    <xdr:cxnSp macro="">
      <xdr:nvCxnSpPr>
        <xdr:cNvPr id="1928" name="Conector recto 13"/>
        <xdr:cNvCxnSpPr>
          <a:cxnSpLocks noChangeShapeType="1"/>
        </xdr:cNvCxnSpPr>
      </xdr:nvCxnSpPr>
      <xdr:spPr bwMode="auto">
        <a:xfrm rot="5400000">
          <a:off x="867569" y="8774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1416</xdr:row>
      <xdr:rowOff>132556</xdr:rowOff>
    </xdr:from>
    <xdr:to>
      <xdr:col>1</xdr:col>
      <xdr:colOff>731838</xdr:colOff>
      <xdr:row>1416</xdr:row>
      <xdr:rowOff>135278</xdr:rowOff>
    </xdr:to>
    <xdr:cxnSp macro="">
      <xdr:nvCxnSpPr>
        <xdr:cNvPr id="1929" name="Conector recto 16"/>
        <xdr:cNvCxnSpPr>
          <a:cxnSpLocks noChangeShapeType="1"/>
        </xdr:cNvCxnSpPr>
      </xdr:nvCxnSpPr>
      <xdr:spPr bwMode="auto">
        <a:xfrm>
          <a:off x="893763" y="90003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1416</xdr:row>
      <xdr:rowOff>47625</xdr:rowOff>
    </xdr:from>
    <xdr:to>
      <xdr:col>1</xdr:col>
      <xdr:colOff>132557</xdr:colOff>
      <xdr:row>1416</xdr:row>
      <xdr:rowOff>123825</xdr:rowOff>
    </xdr:to>
    <xdr:cxnSp macro="">
      <xdr:nvCxnSpPr>
        <xdr:cNvPr id="1930" name="Conector recto 13"/>
        <xdr:cNvCxnSpPr>
          <a:cxnSpLocks noChangeShapeType="1"/>
        </xdr:cNvCxnSpPr>
      </xdr:nvCxnSpPr>
      <xdr:spPr bwMode="auto">
        <a:xfrm rot="5400000">
          <a:off x="855663" y="89527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1417</xdr:row>
      <xdr:rowOff>71437</xdr:rowOff>
    </xdr:from>
    <xdr:to>
      <xdr:col>1</xdr:col>
      <xdr:colOff>705378</xdr:colOff>
      <xdr:row>1426</xdr:row>
      <xdr:rowOff>120650</xdr:rowOff>
    </xdr:to>
    <xdr:grpSp>
      <xdr:nvGrpSpPr>
        <xdr:cNvPr id="1931" name="196 Grupo"/>
        <xdr:cNvGrpSpPr/>
      </xdr:nvGrpSpPr>
      <xdr:grpSpPr>
        <a:xfrm>
          <a:off x="1182687" y="3365500"/>
          <a:ext cx="633941" cy="0"/>
          <a:chOff x="857250" y="19145251"/>
          <a:chExt cx="633941" cy="1763713"/>
        </a:xfrm>
      </xdr:grpSpPr>
      <xdr:cxnSp macro="">
        <xdr:nvCxnSpPr>
          <xdr:cNvPr id="1932" name="Conector recto 12"/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3" name="Conector recto 12"/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4" name="Conector recto 12"/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5" name="Conector recto 12"/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6" name="Conector recto 12"/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7" name="Conector recto 12"/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8" name="Conector recto 12"/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9" name="Conector recto 12"/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0" name="Conector recto 12"/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1" name="Conector recto 12"/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35718</xdr:colOff>
      <xdr:row>1427</xdr:row>
      <xdr:rowOff>71437</xdr:rowOff>
    </xdr:from>
    <xdr:to>
      <xdr:col>1</xdr:col>
      <xdr:colOff>669659</xdr:colOff>
      <xdr:row>1436</xdr:row>
      <xdr:rowOff>120650</xdr:rowOff>
    </xdr:to>
    <xdr:grpSp>
      <xdr:nvGrpSpPr>
        <xdr:cNvPr id="1942" name="207 Grupo"/>
        <xdr:cNvGrpSpPr/>
      </xdr:nvGrpSpPr>
      <xdr:grpSpPr>
        <a:xfrm>
          <a:off x="1146968" y="3365500"/>
          <a:ext cx="633941" cy="0"/>
          <a:chOff x="857250" y="19145251"/>
          <a:chExt cx="633941" cy="1763713"/>
        </a:xfrm>
      </xdr:grpSpPr>
      <xdr:cxnSp macro="">
        <xdr:nvCxnSpPr>
          <xdr:cNvPr id="1943" name="Conector recto 12"/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4" name="Conector recto 12"/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5" name="Conector recto 12"/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6" name="Conector recto 12"/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7" name="Conector recto 12"/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8" name="Conector recto 12"/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9" name="Conector recto 12"/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0" name="Conector recto 12"/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1" name="Conector recto 12"/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2" name="Conector recto 12"/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1437</xdr:row>
      <xdr:rowOff>23812</xdr:rowOff>
    </xdr:from>
    <xdr:to>
      <xdr:col>1</xdr:col>
      <xdr:colOff>670719</xdr:colOff>
      <xdr:row>1437</xdr:row>
      <xdr:rowOff>415394</xdr:rowOff>
    </xdr:to>
    <xdr:sp macro="" textlink="">
      <xdr:nvSpPr>
        <xdr:cNvPr id="1953" name="Rectángulo redondeado 23"/>
        <xdr:cNvSpPr>
          <a:spLocks noChangeArrowheads="1"/>
        </xdr:cNvSpPr>
      </xdr:nvSpPr>
      <xdr:spPr bwMode="auto">
        <a:xfrm>
          <a:off x="892969" y="1289208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1438</xdr:row>
      <xdr:rowOff>83343</xdr:rowOff>
    </xdr:from>
    <xdr:to>
      <xdr:col>1</xdr:col>
      <xdr:colOff>402431</xdr:colOff>
      <xdr:row>1438</xdr:row>
      <xdr:rowOff>350043</xdr:rowOff>
    </xdr:to>
    <xdr:sp macro="" textlink="">
      <xdr:nvSpPr>
        <xdr:cNvPr id="1954" name="Forma libre 6"/>
        <xdr:cNvSpPr>
          <a:spLocks/>
        </xdr:cNvSpPr>
      </xdr:nvSpPr>
      <xdr:spPr bwMode="auto">
        <a:xfrm>
          <a:off x="1107281" y="1338976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138906</xdr:colOff>
      <xdr:row>1443</xdr:row>
      <xdr:rowOff>57151</xdr:rowOff>
    </xdr:from>
    <xdr:to>
      <xdr:col>1</xdr:col>
      <xdr:colOff>719931</xdr:colOff>
      <xdr:row>1443</xdr:row>
      <xdr:rowOff>58739</xdr:rowOff>
    </xdr:to>
    <xdr:cxnSp macro="">
      <xdr:nvCxnSpPr>
        <xdr:cNvPr id="1955" name="Conector recto 4"/>
        <xdr:cNvCxnSpPr>
          <a:cxnSpLocks noChangeShapeType="1"/>
        </xdr:cNvCxnSpPr>
      </xdr:nvCxnSpPr>
      <xdr:spPr bwMode="auto">
        <a:xfrm>
          <a:off x="900906" y="1450657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1442</xdr:row>
      <xdr:rowOff>59532</xdr:rowOff>
    </xdr:from>
    <xdr:to>
      <xdr:col>1</xdr:col>
      <xdr:colOff>698500</xdr:colOff>
      <xdr:row>1443</xdr:row>
      <xdr:rowOff>134145</xdr:rowOff>
    </xdr:to>
    <xdr:grpSp>
      <xdr:nvGrpSpPr>
        <xdr:cNvPr id="1956" name="527 Grupo"/>
        <xdr:cNvGrpSpPr/>
      </xdr:nvGrpSpPr>
      <xdr:grpSpPr>
        <a:xfrm>
          <a:off x="1218406" y="3365500"/>
          <a:ext cx="591344" cy="0"/>
          <a:chOff x="869156" y="58507313"/>
          <a:chExt cx="591344" cy="265113"/>
        </a:xfrm>
      </xdr:grpSpPr>
      <xdr:cxnSp macro="">
        <xdr:nvCxnSpPr>
          <xdr:cNvPr id="1957" name="Conector recto 4"/>
          <xdr:cNvCxnSpPr>
            <a:cxnSpLocks noChangeShapeType="1"/>
          </xdr:cNvCxnSpPr>
        </xdr:nvCxnSpPr>
        <xdr:spPr bwMode="auto">
          <a:xfrm>
            <a:off x="879475" y="585073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8" name="Conector recto 7"/>
          <xdr:cNvCxnSpPr>
            <a:cxnSpLocks noChangeShapeType="1"/>
          </xdr:cNvCxnSpPr>
        </xdr:nvCxnSpPr>
        <xdr:spPr bwMode="auto">
          <a:xfrm rot="5400000">
            <a:off x="831850" y="585454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9" name="Conector recto 7"/>
          <xdr:cNvCxnSpPr>
            <a:cxnSpLocks noChangeShapeType="1"/>
          </xdr:cNvCxnSpPr>
        </xdr:nvCxnSpPr>
        <xdr:spPr bwMode="auto">
          <a:xfrm rot="5400000">
            <a:off x="853281" y="587335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124619</xdr:colOff>
      <xdr:row>1444</xdr:row>
      <xdr:rowOff>54770</xdr:rowOff>
    </xdr:from>
    <xdr:to>
      <xdr:col>1</xdr:col>
      <xdr:colOff>705644</xdr:colOff>
      <xdr:row>1444</xdr:row>
      <xdr:rowOff>56358</xdr:rowOff>
    </xdr:to>
    <xdr:cxnSp macro="">
      <xdr:nvCxnSpPr>
        <xdr:cNvPr id="1960" name="Conector recto 4"/>
        <xdr:cNvCxnSpPr>
          <a:cxnSpLocks noChangeShapeType="1"/>
        </xdr:cNvCxnSpPr>
      </xdr:nvCxnSpPr>
      <xdr:spPr bwMode="auto">
        <a:xfrm>
          <a:off x="886619" y="146946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1444</xdr:row>
      <xdr:rowOff>55564</xdr:rowOff>
    </xdr:from>
    <xdr:to>
      <xdr:col>1</xdr:col>
      <xdr:colOff>115888</xdr:colOff>
      <xdr:row>1444</xdr:row>
      <xdr:rowOff>131764</xdr:rowOff>
    </xdr:to>
    <xdr:cxnSp macro="">
      <xdr:nvCxnSpPr>
        <xdr:cNvPr id="1961" name="Conector recto 7"/>
        <xdr:cNvCxnSpPr>
          <a:cxnSpLocks noChangeShapeType="1"/>
        </xdr:cNvCxnSpPr>
      </xdr:nvCxnSpPr>
      <xdr:spPr bwMode="auto">
        <a:xfrm rot="5400000">
          <a:off x="838994" y="147327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1445</xdr:row>
      <xdr:rowOff>71437</xdr:rowOff>
    </xdr:from>
    <xdr:to>
      <xdr:col>1</xdr:col>
      <xdr:colOff>734219</xdr:colOff>
      <xdr:row>1445</xdr:row>
      <xdr:rowOff>73025</xdr:rowOff>
    </xdr:to>
    <xdr:cxnSp macro="">
      <xdr:nvCxnSpPr>
        <xdr:cNvPr id="1962" name="Conector recto 4"/>
        <xdr:cNvCxnSpPr>
          <a:cxnSpLocks noChangeShapeType="1"/>
        </xdr:cNvCxnSpPr>
      </xdr:nvCxnSpPr>
      <xdr:spPr bwMode="auto">
        <a:xfrm>
          <a:off x="915194" y="14901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1445</xdr:row>
      <xdr:rowOff>72231</xdr:rowOff>
    </xdr:from>
    <xdr:to>
      <xdr:col>1</xdr:col>
      <xdr:colOff>144463</xdr:colOff>
      <xdr:row>1445</xdr:row>
      <xdr:rowOff>148431</xdr:rowOff>
    </xdr:to>
    <xdr:cxnSp macro="">
      <xdr:nvCxnSpPr>
        <xdr:cNvPr id="1963" name="Conector recto 7"/>
        <xdr:cNvCxnSpPr>
          <a:cxnSpLocks noChangeShapeType="1"/>
        </xdr:cNvCxnSpPr>
      </xdr:nvCxnSpPr>
      <xdr:spPr bwMode="auto">
        <a:xfrm rot="5400000">
          <a:off x="867569" y="1493996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1564</xdr:row>
      <xdr:rowOff>122464</xdr:rowOff>
    </xdr:from>
    <xdr:to>
      <xdr:col>1</xdr:col>
      <xdr:colOff>1249136</xdr:colOff>
      <xdr:row>1564</xdr:row>
      <xdr:rowOff>122464</xdr:rowOff>
    </xdr:to>
    <xdr:cxnSp macro="">
      <xdr:nvCxnSpPr>
        <xdr:cNvPr id="1964" name="Conector recto 39"/>
        <xdr:cNvCxnSpPr>
          <a:cxnSpLocks noChangeShapeType="1"/>
        </xdr:cNvCxnSpPr>
      </xdr:nvCxnSpPr>
      <xdr:spPr bwMode="auto">
        <a:xfrm>
          <a:off x="925286" y="40375114"/>
          <a:ext cx="6000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1565</xdr:row>
      <xdr:rowOff>136071</xdr:rowOff>
    </xdr:from>
    <xdr:to>
      <xdr:col>1</xdr:col>
      <xdr:colOff>1208314</xdr:colOff>
      <xdr:row>1565</xdr:row>
      <xdr:rowOff>136071</xdr:rowOff>
    </xdr:to>
    <xdr:cxnSp macro="">
      <xdr:nvCxnSpPr>
        <xdr:cNvPr id="1965" name="Conector recto 39"/>
        <xdr:cNvCxnSpPr>
          <a:cxnSpLocks noChangeShapeType="1"/>
        </xdr:cNvCxnSpPr>
      </xdr:nvCxnSpPr>
      <xdr:spPr bwMode="auto">
        <a:xfrm>
          <a:off x="884464" y="4057922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1566</xdr:row>
      <xdr:rowOff>136072</xdr:rowOff>
    </xdr:from>
    <xdr:to>
      <xdr:col>1</xdr:col>
      <xdr:colOff>1235528</xdr:colOff>
      <xdr:row>1566</xdr:row>
      <xdr:rowOff>136072</xdr:rowOff>
    </xdr:to>
    <xdr:cxnSp macro="">
      <xdr:nvCxnSpPr>
        <xdr:cNvPr id="1966" name="Conector recto 39"/>
        <xdr:cNvCxnSpPr>
          <a:cxnSpLocks noChangeShapeType="1"/>
        </xdr:cNvCxnSpPr>
      </xdr:nvCxnSpPr>
      <xdr:spPr bwMode="auto">
        <a:xfrm>
          <a:off x="911678" y="40769722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1567</xdr:row>
      <xdr:rowOff>108857</xdr:rowOff>
    </xdr:from>
    <xdr:to>
      <xdr:col>1</xdr:col>
      <xdr:colOff>1235529</xdr:colOff>
      <xdr:row>1567</xdr:row>
      <xdr:rowOff>108857</xdr:rowOff>
    </xdr:to>
    <xdr:cxnSp macro="">
      <xdr:nvCxnSpPr>
        <xdr:cNvPr id="1967" name="Conector recto 39"/>
        <xdr:cNvCxnSpPr>
          <a:cxnSpLocks noChangeShapeType="1"/>
        </xdr:cNvCxnSpPr>
      </xdr:nvCxnSpPr>
      <xdr:spPr bwMode="auto">
        <a:xfrm>
          <a:off x="911679" y="40933007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1446</xdr:row>
      <xdr:rowOff>108744</xdr:rowOff>
    </xdr:from>
    <xdr:to>
      <xdr:col>1</xdr:col>
      <xdr:colOff>750094</xdr:colOff>
      <xdr:row>1446</xdr:row>
      <xdr:rowOff>111466</xdr:rowOff>
    </xdr:to>
    <xdr:cxnSp macro="">
      <xdr:nvCxnSpPr>
        <xdr:cNvPr id="1968" name="Conector recto 16"/>
        <xdr:cNvCxnSpPr>
          <a:cxnSpLocks noChangeShapeType="1"/>
        </xdr:cNvCxnSpPr>
      </xdr:nvCxnSpPr>
      <xdr:spPr bwMode="auto">
        <a:xfrm>
          <a:off x="912019" y="1512966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149225</xdr:colOff>
      <xdr:row>1446</xdr:row>
      <xdr:rowOff>23813</xdr:rowOff>
    </xdr:from>
    <xdr:to>
      <xdr:col>1</xdr:col>
      <xdr:colOff>150813</xdr:colOff>
      <xdr:row>1446</xdr:row>
      <xdr:rowOff>100013</xdr:rowOff>
    </xdr:to>
    <xdr:cxnSp macro="">
      <xdr:nvCxnSpPr>
        <xdr:cNvPr id="1969" name="Conector recto 13"/>
        <xdr:cNvCxnSpPr>
          <a:cxnSpLocks noChangeShapeType="1"/>
        </xdr:cNvCxnSpPr>
      </xdr:nvCxnSpPr>
      <xdr:spPr bwMode="auto">
        <a:xfrm rot="5400000">
          <a:off x="873919" y="15082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1447</xdr:row>
      <xdr:rowOff>102394</xdr:rowOff>
    </xdr:from>
    <xdr:to>
      <xdr:col>1</xdr:col>
      <xdr:colOff>743744</xdr:colOff>
      <xdr:row>1447</xdr:row>
      <xdr:rowOff>105116</xdr:rowOff>
    </xdr:to>
    <xdr:cxnSp macro="">
      <xdr:nvCxnSpPr>
        <xdr:cNvPr id="1970" name="Conector recto 16"/>
        <xdr:cNvCxnSpPr>
          <a:cxnSpLocks noChangeShapeType="1"/>
        </xdr:cNvCxnSpPr>
      </xdr:nvCxnSpPr>
      <xdr:spPr bwMode="auto">
        <a:xfrm>
          <a:off x="905669" y="153138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1447</xdr:row>
      <xdr:rowOff>17463</xdr:rowOff>
    </xdr:from>
    <xdr:to>
      <xdr:col>1</xdr:col>
      <xdr:colOff>144463</xdr:colOff>
      <xdr:row>1447</xdr:row>
      <xdr:rowOff>93663</xdr:rowOff>
    </xdr:to>
    <xdr:cxnSp macro="">
      <xdr:nvCxnSpPr>
        <xdr:cNvPr id="1971" name="Conector recto 13"/>
        <xdr:cNvCxnSpPr>
          <a:cxnSpLocks noChangeShapeType="1"/>
        </xdr:cNvCxnSpPr>
      </xdr:nvCxnSpPr>
      <xdr:spPr bwMode="auto">
        <a:xfrm rot="5400000">
          <a:off x="867569" y="152661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142876</xdr:colOff>
      <xdr:row>1448</xdr:row>
      <xdr:rowOff>23813</xdr:rowOff>
    </xdr:from>
    <xdr:to>
      <xdr:col>1</xdr:col>
      <xdr:colOff>755651</xdr:colOff>
      <xdr:row>1449</xdr:row>
      <xdr:rowOff>99559</xdr:rowOff>
    </xdr:to>
    <xdr:grpSp>
      <xdr:nvGrpSpPr>
        <xdr:cNvPr id="1972" name="541 Grupo"/>
        <xdr:cNvGrpSpPr/>
      </xdr:nvGrpSpPr>
      <xdr:grpSpPr>
        <a:xfrm>
          <a:off x="1254126" y="3365500"/>
          <a:ext cx="612775" cy="0"/>
          <a:chOff x="904876" y="59614594"/>
          <a:chExt cx="612775" cy="266246"/>
        </a:xfrm>
      </xdr:grpSpPr>
      <xdr:cxnSp macro="">
        <xdr:nvCxnSpPr>
          <xdr:cNvPr id="1973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1974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1975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6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7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59531</xdr:colOff>
      <xdr:row>1450</xdr:row>
      <xdr:rowOff>95250</xdr:rowOff>
    </xdr:from>
    <xdr:to>
      <xdr:col>1</xdr:col>
      <xdr:colOff>693472</xdr:colOff>
      <xdr:row>1459</xdr:row>
      <xdr:rowOff>144463</xdr:rowOff>
    </xdr:to>
    <xdr:grpSp>
      <xdr:nvGrpSpPr>
        <xdr:cNvPr id="1978" name="479 Grupo"/>
        <xdr:cNvGrpSpPr/>
      </xdr:nvGrpSpPr>
      <xdr:grpSpPr>
        <a:xfrm>
          <a:off x="1170781" y="3365500"/>
          <a:ext cx="633941" cy="0"/>
          <a:chOff x="857250" y="19145251"/>
          <a:chExt cx="633941" cy="1763713"/>
        </a:xfrm>
      </xdr:grpSpPr>
      <xdr:cxnSp macro="">
        <xdr:nvCxnSpPr>
          <xdr:cNvPr id="1979" name="Conector recto 12"/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0" name="Conector recto 12"/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1" name="Conector recto 12"/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2" name="Conector recto 12"/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3" name="Conector recto 12"/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4" name="Conector recto 12"/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5" name="Conector recto 12"/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6" name="Conector recto 12"/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7" name="Conector recto 12"/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8" name="Conector recto 12"/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104510</xdr:colOff>
      <xdr:row>1460</xdr:row>
      <xdr:rowOff>71438</xdr:rowOff>
    </xdr:from>
    <xdr:to>
      <xdr:col>1</xdr:col>
      <xdr:colOff>685535</xdr:colOff>
      <xdr:row>1460</xdr:row>
      <xdr:rowOff>73026</xdr:rowOff>
    </xdr:to>
    <xdr:cxnSp macro="">
      <xdr:nvCxnSpPr>
        <xdr:cNvPr id="1989" name="Conector recto 12"/>
        <xdr:cNvCxnSpPr>
          <a:cxnSpLocks noChangeShapeType="1"/>
        </xdr:cNvCxnSpPr>
      </xdr:nvCxnSpPr>
      <xdr:spPr bwMode="auto">
        <a:xfrm>
          <a:off x="866510" y="177593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104510</xdr:colOff>
      <xdr:row>1461</xdr:row>
      <xdr:rowOff>71438</xdr:rowOff>
    </xdr:from>
    <xdr:to>
      <xdr:col>1</xdr:col>
      <xdr:colOff>685535</xdr:colOff>
      <xdr:row>1461</xdr:row>
      <xdr:rowOff>73026</xdr:rowOff>
    </xdr:to>
    <xdr:cxnSp macro="">
      <xdr:nvCxnSpPr>
        <xdr:cNvPr id="1990" name="Conector recto 12"/>
        <xdr:cNvCxnSpPr>
          <a:cxnSpLocks noChangeShapeType="1"/>
        </xdr:cNvCxnSpPr>
      </xdr:nvCxnSpPr>
      <xdr:spPr bwMode="auto">
        <a:xfrm>
          <a:off x="866510" y="179498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1462</xdr:row>
      <xdr:rowOff>71438</xdr:rowOff>
    </xdr:from>
    <xdr:to>
      <xdr:col>1</xdr:col>
      <xdr:colOff>688181</xdr:colOff>
      <xdr:row>1465</xdr:row>
      <xdr:rowOff>84932</xdr:rowOff>
    </xdr:to>
    <xdr:grpSp>
      <xdr:nvGrpSpPr>
        <xdr:cNvPr id="1991" name="580 Grupo"/>
        <xdr:cNvGrpSpPr/>
      </xdr:nvGrpSpPr>
      <xdr:grpSpPr>
        <a:xfrm>
          <a:off x="1194594" y="3365500"/>
          <a:ext cx="604837" cy="0"/>
          <a:chOff x="845344" y="62329219"/>
          <a:chExt cx="604837" cy="584994"/>
        </a:xfrm>
      </xdr:grpSpPr>
      <xdr:cxnSp macro="">
        <xdr:nvCxnSpPr>
          <xdr:cNvPr id="1992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3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4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5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87369</xdr:colOff>
      <xdr:row>1472</xdr:row>
      <xdr:rowOff>91025</xdr:rowOff>
    </xdr:from>
    <xdr:to>
      <xdr:col>1</xdr:col>
      <xdr:colOff>621828</xdr:colOff>
      <xdr:row>1472</xdr:row>
      <xdr:rowOff>153920</xdr:rowOff>
    </xdr:to>
    <xdr:grpSp>
      <xdr:nvGrpSpPr>
        <xdr:cNvPr id="1997" name="Grupo 273"/>
        <xdr:cNvGrpSpPr>
          <a:grpSpLocks/>
        </xdr:cNvGrpSpPr>
      </xdr:nvGrpSpPr>
      <xdr:grpSpPr bwMode="auto">
        <a:xfrm>
          <a:off x="1198619" y="3365500"/>
          <a:ext cx="534459" cy="0"/>
          <a:chOff x="10648950" y="5124450"/>
          <a:chExt cx="1085850" cy="95250"/>
        </a:xfrm>
      </xdr:grpSpPr>
      <xdr:cxnSp macro="">
        <xdr:nvCxnSpPr>
          <xdr:cNvPr id="199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102185</xdr:colOff>
      <xdr:row>1470</xdr:row>
      <xdr:rowOff>60861</xdr:rowOff>
    </xdr:from>
    <xdr:to>
      <xdr:col>1</xdr:col>
      <xdr:colOff>636644</xdr:colOff>
      <xdr:row>1470</xdr:row>
      <xdr:rowOff>123756</xdr:rowOff>
    </xdr:to>
    <xdr:grpSp>
      <xdr:nvGrpSpPr>
        <xdr:cNvPr id="2001" name="Grupo 273"/>
        <xdr:cNvGrpSpPr>
          <a:grpSpLocks/>
        </xdr:cNvGrpSpPr>
      </xdr:nvGrpSpPr>
      <xdr:grpSpPr bwMode="auto">
        <a:xfrm>
          <a:off x="1213435" y="3365500"/>
          <a:ext cx="534459" cy="0"/>
          <a:chOff x="10648950" y="5124450"/>
          <a:chExt cx="1085850" cy="95250"/>
        </a:xfrm>
      </xdr:grpSpPr>
      <xdr:cxnSp macro="">
        <xdr:nvCxnSpPr>
          <xdr:cNvPr id="200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111710</xdr:colOff>
      <xdr:row>1471</xdr:row>
      <xdr:rowOff>38636</xdr:rowOff>
    </xdr:from>
    <xdr:to>
      <xdr:col>1</xdr:col>
      <xdr:colOff>646169</xdr:colOff>
      <xdr:row>1471</xdr:row>
      <xdr:rowOff>101531</xdr:rowOff>
    </xdr:to>
    <xdr:grpSp>
      <xdr:nvGrpSpPr>
        <xdr:cNvPr id="2004" name="Grupo 273"/>
        <xdr:cNvGrpSpPr>
          <a:grpSpLocks/>
        </xdr:cNvGrpSpPr>
      </xdr:nvGrpSpPr>
      <xdr:grpSpPr bwMode="auto">
        <a:xfrm>
          <a:off x="1222960" y="3365500"/>
          <a:ext cx="534459" cy="0"/>
          <a:chOff x="10648950" y="5124450"/>
          <a:chExt cx="1085850" cy="95250"/>
        </a:xfrm>
      </xdr:grpSpPr>
      <xdr:cxnSp macro="">
        <xdr:nvCxnSpPr>
          <xdr:cNvPr id="200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96894</xdr:colOff>
      <xdr:row>1473</xdr:row>
      <xdr:rowOff>64831</xdr:rowOff>
    </xdr:from>
    <xdr:to>
      <xdr:col>1</xdr:col>
      <xdr:colOff>631353</xdr:colOff>
      <xdr:row>1473</xdr:row>
      <xdr:rowOff>127726</xdr:rowOff>
    </xdr:to>
    <xdr:grpSp>
      <xdr:nvGrpSpPr>
        <xdr:cNvPr id="2009" name="Grupo 273"/>
        <xdr:cNvGrpSpPr>
          <a:grpSpLocks/>
        </xdr:cNvGrpSpPr>
      </xdr:nvGrpSpPr>
      <xdr:grpSpPr bwMode="auto">
        <a:xfrm>
          <a:off x="1208144" y="3365500"/>
          <a:ext cx="534459" cy="0"/>
          <a:chOff x="10648950" y="5124450"/>
          <a:chExt cx="1085850" cy="95250"/>
        </a:xfrm>
      </xdr:grpSpPr>
      <xdr:cxnSp macro="">
        <xdr:nvCxnSpPr>
          <xdr:cNvPr id="201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1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119062</xdr:colOff>
      <xdr:row>1474</xdr:row>
      <xdr:rowOff>59531</xdr:rowOff>
    </xdr:from>
    <xdr:to>
      <xdr:col>1</xdr:col>
      <xdr:colOff>658812</xdr:colOff>
      <xdr:row>1474</xdr:row>
      <xdr:rowOff>451113</xdr:rowOff>
    </xdr:to>
    <xdr:sp macro="" textlink="">
      <xdr:nvSpPr>
        <xdr:cNvPr id="2012" name="Rectángulo redondeado 23"/>
        <xdr:cNvSpPr>
          <a:spLocks noChangeArrowheads="1"/>
        </xdr:cNvSpPr>
      </xdr:nvSpPr>
      <xdr:spPr bwMode="auto">
        <a:xfrm>
          <a:off x="881062" y="204144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333374</xdr:colOff>
      <xdr:row>1475</xdr:row>
      <xdr:rowOff>47624</xdr:rowOff>
    </xdr:from>
    <xdr:to>
      <xdr:col>1</xdr:col>
      <xdr:colOff>390524</xdr:colOff>
      <xdr:row>1475</xdr:row>
      <xdr:rowOff>314324</xdr:rowOff>
    </xdr:to>
    <xdr:sp macro="" textlink="">
      <xdr:nvSpPr>
        <xdr:cNvPr id="2013" name="Forma libre 6"/>
        <xdr:cNvSpPr>
          <a:spLocks/>
        </xdr:cNvSpPr>
      </xdr:nvSpPr>
      <xdr:spPr bwMode="auto">
        <a:xfrm>
          <a:off x="1095374" y="209168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1476</xdr:row>
      <xdr:rowOff>83343</xdr:rowOff>
    </xdr:from>
    <xdr:to>
      <xdr:col>1</xdr:col>
      <xdr:colOff>658812</xdr:colOff>
      <xdr:row>1476</xdr:row>
      <xdr:rowOff>474925</xdr:rowOff>
    </xdr:to>
    <xdr:sp macro="" textlink="">
      <xdr:nvSpPr>
        <xdr:cNvPr id="2014" name="Rectángulo redondeado 23"/>
        <xdr:cNvSpPr>
          <a:spLocks noChangeArrowheads="1"/>
        </xdr:cNvSpPr>
      </xdr:nvSpPr>
      <xdr:spPr bwMode="auto">
        <a:xfrm>
          <a:off x="881062" y="2140981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1477</xdr:row>
      <xdr:rowOff>95249</xdr:rowOff>
    </xdr:from>
    <xdr:to>
      <xdr:col>1</xdr:col>
      <xdr:colOff>450056</xdr:colOff>
      <xdr:row>1477</xdr:row>
      <xdr:rowOff>361949</xdr:rowOff>
    </xdr:to>
    <xdr:sp macro="" textlink="">
      <xdr:nvSpPr>
        <xdr:cNvPr id="2015" name="Forma libre 6"/>
        <xdr:cNvSpPr>
          <a:spLocks/>
        </xdr:cNvSpPr>
      </xdr:nvSpPr>
      <xdr:spPr bwMode="auto">
        <a:xfrm>
          <a:off x="1154906" y="2193607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65088</xdr:colOff>
      <xdr:row>1483</xdr:row>
      <xdr:rowOff>42863</xdr:rowOff>
    </xdr:from>
    <xdr:to>
      <xdr:col>1</xdr:col>
      <xdr:colOff>646113</xdr:colOff>
      <xdr:row>1483</xdr:row>
      <xdr:rowOff>44451</xdr:rowOff>
    </xdr:to>
    <xdr:cxnSp macro="">
      <xdr:nvCxnSpPr>
        <xdr:cNvPr id="2016" name="Conector recto 4"/>
        <xdr:cNvCxnSpPr>
          <a:cxnSpLocks noChangeShapeType="1"/>
        </xdr:cNvCxnSpPr>
      </xdr:nvCxnSpPr>
      <xdr:spPr bwMode="auto">
        <a:xfrm>
          <a:off x="827088" y="2325528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54769</xdr:colOff>
      <xdr:row>1483</xdr:row>
      <xdr:rowOff>43657</xdr:rowOff>
    </xdr:from>
    <xdr:to>
      <xdr:col>1</xdr:col>
      <xdr:colOff>56357</xdr:colOff>
      <xdr:row>1483</xdr:row>
      <xdr:rowOff>119857</xdr:rowOff>
    </xdr:to>
    <xdr:cxnSp macro="">
      <xdr:nvCxnSpPr>
        <xdr:cNvPr id="2017" name="Conector recto 7"/>
        <xdr:cNvCxnSpPr>
          <a:cxnSpLocks noChangeShapeType="1"/>
        </xdr:cNvCxnSpPr>
      </xdr:nvCxnSpPr>
      <xdr:spPr bwMode="auto">
        <a:xfrm rot="5400000">
          <a:off x="779463" y="2329338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47625</xdr:colOff>
      <xdr:row>1481</xdr:row>
      <xdr:rowOff>47625</xdr:rowOff>
    </xdr:from>
    <xdr:to>
      <xdr:col>1</xdr:col>
      <xdr:colOff>652462</xdr:colOff>
      <xdr:row>1482</xdr:row>
      <xdr:rowOff>122238</xdr:rowOff>
    </xdr:to>
    <xdr:grpSp>
      <xdr:nvGrpSpPr>
        <xdr:cNvPr id="2018" name="535 Grupo"/>
        <xdr:cNvGrpSpPr/>
      </xdr:nvGrpSpPr>
      <xdr:grpSpPr>
        <a:xfrm>
          <a:off x="1158875" y="3365500"/>
          <a:ext cx="604837" cy="0"/>
          <a:chOff x="809625" y="67056000"/>
          <a:chExt cx="604837" cy="265113"/>
        </a:xfrm>
      </xdr:grpSpPr>
      <xdr:grpSp>
        <xdr:nvGrpSpPr>
          <xdr:cNvPr id="2019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21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2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3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20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1484</xdr:row>
      <xdr:rowOff>11906</xdr:rowOff>
    </xdr:from>
    <xdr:to>
      <xdr:col>1</xdr:col>
      <xdr:colOff>696119</xdr:colOff>
      <xdr:row>1485</xdr:row>
      <xdr:rowOff>87652</xdr:rowOff>
    </xdr:to>
    <xdr:grpSp>
      <xdr:nvGrpSpPr>
        <xdr:cNvPr id="2024" name="542 Grupo"/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025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26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27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8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9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80962</xdr:colOff>
      <xdr:row>1486</xdr:row>
      <xdr:rowOff>21431</xdr:rowOff>
    </xdr:from>
    <xdr:to>
      <xdr:col>1</xdr:col>
      <xdr:colOff>693737</xdr:colOff>
      <xdr:row>1487</xdr:row>
      <xdr:rowOff>97177</xdr:rowOff>
    </xdr:to>
    <xdr:grpSp>
      <xdr:nvGrpSpPr>
        <xdr:cNvPr id="2030" name="548 Grupo"/>
        <xdr:cNvGrpSpPr/>
      </xdr:nvGrpSpPr>
      <xdr:grpSpPr>
        <a:xfrm>
          <a:off x="1192212" y="3365500"/>
          <a:ext cx="612775" cy="0"/>
          <a:chOff x="904876" y="59614594"/>
          <a:chExt cx="612775" cy="266246"/>
        </a:xfrm>
      </xdr:grpSpPr>
      <xdr:cxnSp macro="">
        <xdr:nvCxnSpPr>
          <xdr:cNvPr id="2031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32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33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4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5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108800</xdr:colOff>
      <xdr:row>1501</xdr:row>
      <xdr:rowOff>76737</xdr:rowOff>
    </xdr:from>
    <xdr:to>
      <xdr:col>1</xdr:col>
      <xdr:colOff>643259</xdr:colOff>
      <xdr:row>1501</xdr:row>
      <xdr:rowOff>139632</xdr:rowOff>
    </xdr:to>
    <xdr:grpSp>
      <xdr:nvGrpSpPr>
        <xdr:cNvPr id="2037" name="Grupo 273"/>
        <xdr:cNvGrpSpPr>
          <a:grpSpLocks/>
        </xdr:cNvGrpSpPr>
      </xdr:nvGrpSpPr>
      <xdr:grpSpPr bwMode="auto">
        <a:xfrm>
          <a:off x="1220050" y="3365500"/>
          <a:ext cx="534459" cy="0"/>
          <a:chOff x="10648950" y="5124450"/>
          <a:chExt cx="1085850" cy="95250"/>
        </a:xfrm>
      </xdr:grpSpPr>
      <xdr:cxnSp macro="">
        <xdr:nvCxnSpPr>
          <xdr:cNvPr id="203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3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123616</xdr:colOff>
      <xdr:row>1499</xdr:row>
      <xdr:rowOff>46573</xdr:rowOff>
    </xdr:from>
    <xdr:to>
      <xdr:col>1</xdr:col>
      <xdr:colOff>658075</xdr:colOff>
      <xdr:row>1499</xdr:row>
      <xdr:rowOff>109468</xdr:rowOff>
    </xdr:to>
    <xdr:grpSp>
      <xdr:nvGrpSpPr>
        <xdr:cNvPr id="2041" name="Grupo 273"/>
        <xdr:cNvGrpSpPr>
          <a:grpSpLocks/>
        </xdr:cNvGrpSpPr>
      </xdr:nvGrpSpPr>
      <xdr:grpSpPr bwMode="auto">
        <a:xfrm>
          <a:off x="1234866" y="3365500"/>
          <a:ext cx="534459" cy="0"/>
          <a:chOff x="10648950" y="5124450"/>
          <a:chExt cx="1085850" cy="95250"/>
        </a:xfrm>
      </xdr:grpSpPr>
      <xdr:cxnSp macro="">
        <xdr:nvCxnSpPr>
          <xdr:cNvPr id="204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133141</xdr:colOff>
      <xdr:row>1500</xdr:row>
      <xdr:rowOff>24348</xdr:rowOff>
    </xdr:from>
    <xdr:to>
      <xdr:col>1</xdr:col>
      <xdr:colOff>667600</xdr:colOff>
      <xdr:row>1500</xdr:row>
      <xdr:rowOff>87243</xdr:rowOff>
    </xdr:to>
    <xdr:grpSp>
      <xdr:nvGrpSpPr>
        <xdr:cNvPr id="2044" name="Grupo 273"/>
        <xdr:cNvGrpSpPr>
          <a:grpSpLocks/>
        </xdr:cNvGrpSpPr>
      </xdr:nvGrpSpPr>
      <xdr:grpSpPr bwMode="auto">
        <a:xfrm>
          <a:off x="1244391" y="3365500"/>
          <a:ext cx="534459" cy="0"/>
          <a:chOff x="10648950" y="5124450"/>
          <a:chExt cx="1085850" cy="95250"/>
        </a:xfrm>
      </xdr:grpSpPr>
      <xdr:cxnSp macro="">
        <xdr:nvCxnSpPr>
          <xdr:cNvPr id="204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118325</xdr:colOff>
      <xdr:row>1502</xdr:row>
      <xdr:rowOff>50543</xdr:rowOff>
    </xdr:from>
    <xdr:to>
      <xdr:col>1</xdr:col>
      <xdr:colOff>652784</xdr:colOff>
      <xdr:row>1502</xdr:row>
      <xdr:rowOff>113438</xdr:rowOff>
    </xdr:to>
    <xdr:grpSp>
      <xdr:nvGrpSpPr>
        <xdr:cNvPr id="2048" name="Grupo 273"/>
        <xdr:cNvGrpSpPr>
          <a:grpSpLocks/>
        </xdr:cNvGrpSpPr>
      </xdr:nvGrpSpPr>
      <xdr:grpSpPr bwMode="auto">
        <a:xfrm>
          <a:off x="1229575" y="3365500"/>
          <a:ext cx="534459" cy="0"/>
          <a:chOff x="10648950" y="5124450"/>
          <a:chExt cx="1085850" cy="95250"/>
        </a:xfrm>
      </xdr:grpSpPr>
      <xdr:cxnSp macro="">
        <xdr:nvCxnSpPr>
          <xdr:cNvPr id="204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83343</xdr:colOff>
      <xdr:row>1488</xdr:row>
      <xdr:rowOff>71437</xdr:rowOff>
    </xdr:from>
    <xdr:to>
      <xdr:col>1</xdr:col>
      <xdr:colOff>688180</xdr:colOff>
      <xdr:row>1491</xdr:row>
      <xdr:rowOff>84931</xdr:rowOff>
    </xdr:to>
    <xdr:grpSp>
      <xdr:nvGrpSpPr>
        <xdr:cNvPr id="2051" name="581 Grupo"/>
        <xdr:cNvGrpSpPr/>
      </xdr:nvGrpSpPr>
      <xdr:grpSpPr>
        <a:xfrm>
          <a:off x="1194593" y="3365500"/>
          <a:ext cx="604837" cy="0"/>
          <a:chOff x="845344" y="62329219"/>
          <a:chExt cx="604837" cy="584994"/>
        </a:xfrm>
      </xdr:grpSpPr>
      <xdr:cxnSp macro="">
        <xdr:nvCxnSpPr>
          <xdr:cNvPr id="2052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3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4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5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1492</xdr:row>
      <xdr:rowOff>119062</xdr:rowOff>
    </xdr:from>
    <xdr:to>
      <xdr:col>1</xdr:col>
      <xdr:colOff>711993</xdr:colOff>
      <xdr:row>1495</xdr:row>
      <xdr:rowOff>132556</xdr:rowOff>
    </xdr:to>
    <xdr:grpSp>
      <xdr:nvGrpSpPr>
        <xdr:cNvPr id="2056" name="586 Grupo"/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057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8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9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60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1503</xdr:row>
      <xdr:rowOff>11907</xdr:rowOff>
    </xdr:from>
    <xdr:to>
      <xdr:col>1</xdr:col>
      <xdr:colOff>682625</xdr:colOff>
      <xdr:row>1503</xdr:row>
      <xdr:rowOff>403489</xdr:rowOff>
    </xdr:to>
    <xdr:sp macro="" textlink="">
      <xdr:nvSpPr>
        <xdr:cNvPr id="2061" name="Rectángulo redondeado 23"/>
        <xdr:cNvSpPr>
          <a:spLocks noChangeArrowheads="1"/>
        </xdr:cNvSpPr>
      </xdr:nvSpPr>
      <xdr:spPr bwMode="auto">
        <a:xfrm>
          <a:off x="904875" y="27034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416719</xdr:colOff>
      <xdr:row>1504</xdr:row>
      <xdr:rowOff>107156</xdr:rowOff>
    </xdr:from>
    <xdr:to>
      <xdr:col>1</xdr:col>
      <xdr:colOff>473869</xdr:colOff>
      <xdr:row>1504</xdr:row>
      <xdr:rowOff>373856</xdr:rowOff>
    </xdr:to>
    <xdr:sp macro="" textlink="">
      <xdr:nvSpPr>
        <xdr:cNvPr id="2062" name="Forma libre 6"/>
        <xdr:cNvSpPr>
          <a:spLocks/>
        </xdr:cNvSpPr>
      </xdr:nvSpPr>
      <xdr:spPr bwMode="auto">
        <a:xfrm>
          <a:off x="1178719" y="275582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154782</xdr:colOff>
      <xdr:row>1508</xdr:row>
      <xdr:rowOff>83343</xdr:rowOff>
    </xdr:from>
    <xdr:to>
      <xdr:col>1</xdr:col>
      <xdr:colOff>759619</xdr:colOff>
      <xdr:row>1509</xdr:row>
      <xdr:rowOff>157956</xdr:rowOff>
    </xdr:to>
    <xdr:grpSp>
      <xdr:nvGrpSpPr>
        <xdr:cNvPr id="2063" name="593 Grupo"/>
        <xdr:cNvGrpSpPr/>
      </xdr:nvGrpSpPr>
      <xdr:grpSpPr>
        <a:xfrm>
          <a:off x="1266032" y="3365500"/>
          <a:ext cx="604837" cy="0"/>
          <a:chOff x="809625" y="67056000"/>
          <a:chExt cx="604837" cy="265113"/>
        </a:xfrm>
      </xdr:grpSpPr>
      <xdr:grpSp>
        <xdr:nvGrpSpPr>
          <xdr:cNvPr id="2064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66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7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8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65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1510</xdr:row>
      <xdr:rowOff>23813</xdr:rowOff>
    </xdr:from>
    <xdr:to>
      <xdr:col>1</xdr:col>
      <xdr:colOff>743743</xdr:colOff>
      <xdr:row>1511</xdr:row>
      <xdr:rowOff>99559</xdr:rowOff>
    </xdr:to>
    <xdr:grpSp>
      <xdr:nvGrpSpPr>
        <xdr:cNvPr id="2069" name="599 Grupo"/>
        <xdr:cNvGrpSpPr/>
      </xdr:nvGrpSpPr>
      <xdr:grpSpPr>
        <a:xfrm>
          <a:off x="1242218" y="3365500"/>
          <a:ext cx="612775" cy="0"/>
          <a:chOff x="904876" y="59614594"/>
          <a:chExt cx="612775" cy="266246"/>
        </a:xfrm>
      </xdr:grpSpPr>
      <xdr:cxnSp macro="">
        <xdr:nvCxnSpPr>
          <xdr:cNvPr id="2070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71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72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3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4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1512</xdr:row>
      <xdr:rowOff>59531</xdr:rowOff>
    </xdr:from>
    <xdr:to>
      <xdr:col>1</xdr:col>
      <xdr:colOff>735806</xdr:colOff>
      <xdr:row>1515</xdr:row>
      <xdr:rowOff>73025</xdr:rowOff>
    </xdr:to>
    <xdr:grpSp>
      <xdr:nvGrpSpPr>
        <xdr:cNvPr id="2075" name="605 Grupo"/>
        <xdr:cNvGrpSpPr/>
      </xdr:nvGrpSpPr>
      <xdr:grpSpPr>
        <a:xfrm>
          <a:off x="1242219" y="3365500"/>
          <a:ext cx="604837" cy="0"/>
          <a:chOff x="845344" y="62329219"/>
          <a:chExt cx="604837" cy="584994"/>
        </a:xfrm>
      </xdr:grpSpPr>
      <xdr:cxnSp macro="">
        <xdr:nvCxnSpPr>
          <xdr:cNvPr id="2076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7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8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9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1516</xdr:row>
      <xdr:rowOff>95250</xdr:rowOff>
    </xdr:from>
    <xdr:to>
      <xdr:col>1</xdr:col>
      <xdr:colOff>735806</xdr:colOff>
      <xdr:row>1516</xdr:row>
      <xdr:rowOff>96838</xdr:rowOff>
    </xdr:to>
    <xdr:cxnSp macro="">
      <xdr:nvCxnSpPr>
        <xdr:cNvPr id="2080" name="Conector recto 12"/>
        <xdr:cNvCxnSpPr>
          <a:cxnSpLocks noChangeShapeType="1"/>
        </xdr:cNvCxnSpPr>
      </xdr:nvCxnSpPr>
      <xdr:spPr bwMode="auto">
        <a:xfrm>
          <a:off x="916781" y="30060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154781</xdr:colOff>
      <xdr:row>1517</xdr:row>
      <xdr:rowOff>95250</xdr:rowOff>
    </xdr:from>
    <xdr:to>
      <xdr:col>1</xdr:col>
      <xdr:colOff>735806</xdr:colOff>
      <xdr:row>1517</xdr:row>
      <xdr:rowOff>96838</xdr:rowOff>
    </xdr:to>
    <xdr:cxnSp macro="">
      <xdr:nvCxnSpPr>
        <xdr:cNvPr id="2081" name="Conector recto 12"/>
        <xdr:cNvCxnSpPr>
          <a:cxnSpLocks noChangeShapeType="1"/>
        </xdr:cNvCxnSpPr>
      </xdr:nvCxnSpPr>
      <xdr:spPr bwMode="auto">
        <a:xfrm>
          <a:off x="916781" y="302514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153249</xdr:colOff>
      <xdr:row>1521</xdr:row>
      <xdr:rowOff>69591</xdr:rowOff>
    </xdr:from>
    <xdr:to>
      <xdr:col>1</xdr:col>
      <xdr:colOff>687708</xdr:colOff>
      <xdr:row>1521</xdr:row>
      <xdr:rowOff>132486</xdr:rowOff>
    </xdr:to>
    <xdr:grpSp>
      <xdr:nvGrpSpPr>
        <xdr:cNvPr id="2083" name="Grupo 273"/>
        <xdr:cNvGrpSpPr>
          <a:grpSpLocks/>
        </xdr:cNvGrpSpPr>
      </xdr:nvGrpSpPr>
      <xdr:grpSpPr bwMode="auto">
        <a:xfrm>
          <a:off x="1264499" y="3365500"/>
          <a:ext cx="534459" cy="0"/>
          <a:chOff x="10648950" y="5124450"/>
          <a:chExt cx="1085850" cy="95250"/>
        </a:xfrm>
      </xdr:grpSpPr>
      <xdr:cxnSp macro="">
        <xdr:nvCxnSpPr>
          <xdr:cNvPr id="208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162774</xdr:colOff>
      <xdr:row>1522</xdr:row>
      <xdr:rowOff>47366</xdr:rowOff>
    </xdr:from>
    <xdr:to>
      <xdr:col>1</xdr:col>
      <xdr:colOff>697233</xdr:colOff>
      <xdr:row>1522</xdr:row>
      <xdr:rowOff>110261</xdr:rowOff>
    </xdr:to>
    <xdr:grpSp>
      <xdr:nvGrpSpPr>
        <xdr:cNvPr id="2086" name="Grupo 273"/>
        <xdr:cNvGrpSpPr>
          <a:grpSpLocks/>
        </xdr:cNvGrpSpPr>
      </xdr:nvGrpSpPr>
      <xdr:grpSpPr bwMode="auto">
        <a:xfrm>
          <a:off x="1274024" y="3365500"/>
          <a:ext cx="534459" cy="0"/>
          <a:chOff x="10648950" y="5124450"/>
          <a:chExt cx="1085850" cy="95250"/>
        </a:xfrm>
      </xdr:grpSpPr>
      <xdr:cxnSp macro="">
        <xdr:nvCxnSpPr>
          <xdr:cNvPr id="208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1518</xdr:row>
      <xdr:rowOff>95250</xdr:rowOff>
    </xdr:from>
    <xdr:to>
      <xdr:col>1</xdr:col>
      <xdr:colOff>711994</xdr:colOff>
      <xdr:row>1518</xdr:row>
      <xdr:rowOff>96838</xdr:rowOff>
    </xdr:to>
    <xdr:cxnSp macro="">
      <xdr:nvCxnSpPr>
        <xdr:cNvPr id="2090" name="Conector recto 12"/>
        <xdr:cNvCxnSpPr>
          <a:cxnSpLocks noChangeShapeType="1"/>
        </xdr:cNvCxnSpPr>
      </xdr:nvCxnSpPr>
      <xdr:spPr bwMode="auto">
        <a:xfrm>
          <a:off x="892969" y="30441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1523</xdr:row>
      <xdr:rowOff>59532</xdr:rowOff>
    </xdr:from>
    <xdr:to>
      <xdr:col>1</xdr:col>
      <xdr:colOff>658813</xdr:colOff>
      <xdr:row>1523</xdr:row>
      <xdr:rowOff>451114</xdr:rowOff>
    </xdr:to>
    <xdr:sp macro="" textlink="">
      <xdr:nvSpPr>
        <xdr:cNvPr id="2091" name="Rectángulo redondeado 23"/>
        <xdr:cNvSpPr>
          <a:spLocks noChangeArrowheads="1"/>
        </xdr:cNvSpPr>
      </xdr:nvSpPr>
      <xdr:spPr bwMode="auto">
        <a:xfrm>
          <a:off x="881063" y="313586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1524</xdr:row>
      <xdr:rowOff>95250</xdr:rowOff>
    </xdr:from>
    <xdr:to>
      <xdr:col>1</xdr:col>
      <xdr:colOff>450057</xdr:colOff>
      <xdr:row>1524</xdr:row>
      <xdr:rowOff>361950</xdr:rowOff>
    </xdr:to>
    <xdr:sp macro="" textlink="">
      <xdr:nvSpPr>
        <xdr:cNvPr id="2092" name="Forma libre 6"/>
        <xdr:cNvSpPr>
          <a:spLocks/>
        </xdr:cNvSpPr>
      </xdr:nvSpPr>
      <xdr:spPr bwMode="auto">
        <a:xfrm>
          <a:off x="1154907" y="318801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1528</xdr:row>
      <xdr:rowOff>83344</xdr:rowOff>
    </xdr:from>
    <xdr:to>
      <xdr:col>1</xdr:col>
      <xdr:colOff>700087</xdr:colOff>
      <xdr:row>1529</xdr:row>
      <xdr:rowOff>157957</xdr:rowOff>
    </xdr:to>
    <xdr:grpSp>
      <xdr:nvGrpSpPr>
        <xdr:cNvPr id="2093" name="623 Grupo"/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094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96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7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8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95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1530</xdr:row>
      <xdr:rowOff>23813</xdr:rowOff>
    </xdr:from>
    <xdr:to>
      <xdr:col>1</xdr:col>
      <xdr:colOff>696119</xdr:colOff>
      <xdr:row>1531</xdr:row>
      <xdr:rowOff>99559</xdr:rowOff>
    </xdr:to>
    <xdr:grpSp>
      <xdr:nvGrpSpPr>
        <xdr:cNvPr id="2099" name="629 Grupo"/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0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1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2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3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4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83344</xdr:colOff>
      <xdr:row>1532</xdr:row>
      <xdr:rowOff>11906</xdr:rowOff>
    </xdr:from>
    <xdr:to>
      <xdr:col>1</xdr:col>
      <xdr:colOff>696119</xdr:colOff>
      <xdr:row>1533</xdr:row>
      <xdr:rowOff>87652</xdr:rowOff>
    </xdr:to>
    <xdr:grpSp>
      <xdr:nvGrpSpPr>
        <xdr:cNvPr id="2105" name="635 Grupo"/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6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7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8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9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10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95250</xdr:colOff>
      <xdr:row>1534</xdr:row>
      <xdr:rowOff>95250</xdr:rowOff>
    </xdr:from>
    <xdr:to>
      <xdr:col>1</xdr:col>
      <xdr:colOff>700087</xdr:colOff>
      <xdr:row>1537</xdr:row>
      <xdr:rowOff>108744</xdr:rowOff>
    </xdr:to>
    <xdr:grpSp>
      <xdr:nvGrpSpPr>
        <xdr:cNvPr id="2111" name="683 Grupo"/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2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3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4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5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1538</xdr:row>
      <xdr:rowOff>47625</xdr:rowOff>
    </xdr:from>
    <xdr:to>
      <xdr:col>1</xdr:col>
      <xdr:colOff>700087</xdr:colOff>
      <xdr:row>1541</xdr:row>
      <xdr:rowOff>61119</xdr:rowOff>
    </xdr:to>
    <xdr:grpSp>
      <xdr:nvGrpSpPr>
        <xdr:cNvPr id="2116" name="688 Grupo"/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7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8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9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0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1542</xdr:row>
      <xdr:rowOff>95250</xdr:rowOff>
    </xdr:from>
    <xdr:to>
      <xdr:col>1</xdr:col>
      <xdr:colOff>723900</xdr:colOff>
      <xdr:row>1542</xdr:row>
      <xdr:rowOff>96838</xdr:rowOff>
    </xdr:to>
    <xdr:cxnSp macro="">
      <xdr:nvCxnSpPr>
        <xdr:cNvPr id="2121" name="Conector recto 12"/>
        <xdr:cNvCxnSpPr>
          <a:cxnSpLocks noChangeShapeType="1"/>
        </xdr:cNvCxnSpPr>
      </xdr:nvCxnSpPr>
      <xdr:spPr bwMode="auto">
        <a:xfrm>
          <a:off x="904875" y="355377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1543</xdr:row>
      <xdr:rowOff>95250</xdr:rowOff>
    </xdr:from>
    <xdr:to>
      <xdr:col>1</xdr:col>
      <xdr:colOff>700088</xdr:colOff>
      <xdr:row>1543</xdr:row>
      <xdr:rowOff>96838</xdr:rowOff>
    </xdr:to>
    <xdr:cxnSp macro="">
      <xdr:nvCxnSpPr>
        <xdr:cNvPr id="2122" name="Conector recto 12"/>
        <xdr:cNvCxnSpPr>
          <a:cxnSpLocks noChangeShapeType="1"/>
        </xdr:cNvCxnSpPr>
      </xdr:nvCxnSpPr>
      <xdr:spPr bwMode="auto">
        <a:xfrm>
          <a:off x="881063" y="357282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1547</xdr:row>
      <xdr:rowOff>71438</xdr:rowOff>
    </xdr:from>
    <xdr:to>
      <xdr:col>1</xdr:col>
      <xdr:colOff>677334</xdr:colOff>
      <xdr:row>1547</xdr:row>
      <xdr:rowOff>134333</xdr:rowOff>
    </xdr:to>
    <xdr:grpSp>
      <xdr:nvGrpSpPr>
        <xdr:cNvPr id="2126" name="Grupo 273"/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12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1548</xdr:row>
      <xdr:rowOff>49213</xdr:rowOff>
    </xdr:from>
    <xdr:to>
      <xdr:col>1</xdr:col>
      <xdr:colOff>686859</xdr:colOff>
      <xdr:row>1548</xdr:row>
      <xdr:rowOff>112108</xdr:rowOff>
    </xdr:to>
    <xdr:grpSp>
      <xdr:nvGrpSpPr>
        <xdr:cNvPr id="2129" name="Grupo 273"/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13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164306</xdr:colOff>
      <xdr:row>1549</xdr:row>
      <xdr:rowOff>92869</xdr:rowOff>
    </xdr:from>
    <xdr:to>
      <xdr:col>1</xdr:col>
      <xdr:colOff>698765</xdr:colOff>
      <xdr:row>1549</xdr:row>
      <xdr:rowOff>155764</xdr:rowOff>
    </xdr:to>
    <xdr:grpSp>
      <xdr:nvGrpSpPr>
        <xdr:cNvPr id="2132" name="Grupo 273"/>
        <xdr:cNvGrpSpPr>
          <a:grpSpLocks/>
        </xdr:cNvGrpSpPr>
      </xdr:nvGrpSpPr>
      <xdr:grpSpPr bwMode="auto">
        <a:xfrm>
          <a:off x="1275556" y="3365500"/>
          <a:ext cx="534459" cy="0"/>
          <a:chOff x="10648950" y="5124450"/>
          <a:chExt cx="1085850" cy="95250"/>
        </a:xfrm>
      </xdr:grpSpPr>
      <xdr:cxnSp macro="">
        <xdr:nvCxnSpPr>
          <xdr:cNvPr id="213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173831</xdr:colOff>
      <xdr:row>1550</xdr:row>
      <xdr:rowOff>70644</xdr:rowOff>
    </xdr:from>
    <xdr:to>
      <xdr:col>1</xdr:col>
      <xdr:colOff>708290</xdr:colOff>
      <xdr:row>1550</xdr:row>
      <xdr:rowOff>133539</xdr:rowOff>
    </xdr:to>
    <xdr:grpSp>
      <xdr:nvGrpSpPr>
        <xdr:cNvPr id="2135" name="Grupo 273"/>
        <xdr:cNvGrpSpPr>
          <a:grpSpLocks/>
        </xdr:cNvGrpSpPr>
      </xdr:nvGrpSpPr>
      <xdr:grpSpPr bwMode="auto">
        <a:xfrm>
          <a:off x="1285081" y="3365500"/>
          <a:ext cx="534459" cy="0"/>
          <a:chOff x="10648950" y="5124450"/>
          <a:chExt cx="1085850" cy="95250"/>
        </a:xfrm>
      </xdr:grpSpPr>
      <xdr:cxnSp macro="">
        <xdr:nvCxnSpPr>
          <xdr:cNvPr id="213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1551</xdr:row>
      <xdr:rowOff>35719</xdr:rowOff>
    </xdr:from>
    <xdr:to>
      <xdr:col>1</xdr:col>
      <xdr:colOff>635000</xdr:colOff>
      <xdr:row>1551</xdr:row>
      <xdr:rowOff>427301</xdr:rowOff>
    </xdr:to>
    <xdr:sp macro="" textlink="">
      <xdr:nvSpPr>
        <xdr:cNvPr id="2138" name="Rectángulo redondeado 23"/>
        <xdr:cNvSpPr>
          <a:spLocks noChangeArrowheads="1"/>
        </xdr:cNvSpPr>
      </xdr:nvSpPr>
      <xdr:spPr bwMode="auto">
        <a:xfrm>
          <a:off x="857250" y="3719274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369094</xdr:colOff>
      <xdr:row>1552</xdr:row>
      <xdr:rowOff>47624</xdr:rowOff>
    </xdr:from>
    <xdr:to>
      <xdr:col>1</xdr:col>
      <xdr:colOff>426244</xdr:colOff>
      <xdr:row>1552</xdr:row>
      <xdr:rowOff>314324</xdr:rowOff>
    </xdr:to>
    <xdr:sp macro="" textlink="">
      <xdr:nvSpPr>
        <xdr:cNvPr id="2139" name="Forma libre 6"/>
        <xdr:cNvSpPr>
          <a:spLocks/>
        </xdr:cNvSpPr>
      </xdr:nvSpPr>
      <xdr:spPr bwMode="auto">
        <a:xfrm>
          <a:off x="1131094" y="377189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1556</xdr:row>
      <xdr:rowOff>95250</xdr:rowOff>
    </xdr:from>
    <xdr:to>
      <xdr:col>2</xdr:col>
      <xdr:colOff>0</xdr:colOff>
      <xdr:row>1557</xdr:row>
      <xdr:rowOff>169863</xdr:rowOff>
    </xdr:to>
    <xdr:grpSp>
      <xdr:nvGrpSpPr>
        <xdr:cNvPr id="2140" name="712 Grupo"/>
        <xdr:cNvGrpSpPr/>
      </xdr:nvGrpSpPr>
      <xdr:grpSpPr>
        <a:xfrm>
          <a:off x="1277938" y="3365500"/>
          <a:ext cx="1277937" cy="0"/>
          <a:chOff x="809625" y="67056000"/>
          <a:chExt cx="604837" cy="265113"/>
        </a:xfrm>
      </xdr:grpSpPr>
      <xdr:grpSp>
        <xdr:nvGrpSpPr>
          <xdr:cNvPr id="2141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143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4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5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142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1558</xdr:row>
      <xdr:rowOff>23812</xdr:rowOff>
    </xdr:from>
    <xdr:to>
      <xdr:col>1</xdr:col>
      <xdr:colOff>758032</xdr:colOff>
      <xdr:row>1559</xdr:row>
      <xdr:rowOff>99558</xdr:rowOff>
    </xdr:to>
    <xdr:grpSp>
      <xdr:nvGrpSpPr>
        <xdr:cNvPr id="2146" name="718 Grupo"/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47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48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49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0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1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154782</xdr:colOff>
      <xdr:row>1560</xdr:row>
      <xdr:rowOff>11905</xdr:rowOff>
    </xdr:from>
    <xdr:to>
      <xdr:col>1</xdr:col>
      <xdr:colOff>758032</xdr:colOff>
      <xdr:row>1561</xdr:row>
      <xdr:rowOff>87651</xdr:rowOff>
    </xdr:to>
    <xdr:grpSp>
      <xdr:nvGrpSpPr>
        <xdr:cNvPr id="2152" name="724 Grupo"/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53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54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55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6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7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159885</xdr:colOff>
      <xdr:row>1562</xdr:row>
      <xdr:rowOff>130969</xdr:rowOff>
    </xdr:from>
    <xdr:to>
      <xdr:col>2</xdr:col>
      <xdr:colOff>341</xdr:colOff>
      <xdr:row>1562</xdr:row>
      <xdr:rowOff>130969</xdr:rowOff>
    </xdr:to>
    <xdr:cxnSp macro="">
      <xdr:nvCxnSpPr>
        <xdr:cNvPr id="2158" name="Conector recto 39"/>
        <xdr:cNvCxnSpPr>
          <a:cxnSpLocks noChangeShapeType="1"/>
        </xdr:cNvCxnSpPr>
      </xdr:nvCxnSpPr>
      <xdr:spPr bwMode="auto">
        <a:xfrm>
          <a:off x="921885" y="39993094"/>
          <a:ext cx="602456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1563</xdr:row>
      <xdr:rowOff>144576</xdr:rowOff>
    </xdr:from>
    <xdr:to>
      <xdr:col>1</xdr:col>
      <xdr:colOff>842963</xdr:colOff>
      <xdr:row>1563</xdr:row>
      <xdr:rowOff>144576</xdr:rowOff>
    </xdr:to>
    <xdr:cxnSp macro="">
      <xdr:nvCxnSpPr>
        <xdr:cNvPr id="2159" name="Conector recto 39"/>
        <xdr:cNvCxnSpPr>
          <a:cxnSpLocks noChangeShapeType="1"/>
        </xdr:cNvCxnSpPr>
      </xdr:nvCxnSpPr>
      <xdr:spPr bwMode="auto">
        <a:xfrm>
          <a:off x="881063" y="4019720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175154</xdr:colOff>
      <xdr:row>1570</xdr:row>
      <xdr:rowOff>38896</xdr:rowOff>
    </xdr:from>
    <xdr:to>
      <xdr:col>1</xdr:col>
      <xdr:colOff>709613</xdr:colOff>
      <xdr:row>1570</xdr:row>
      <xdr:rowOff>101791</xdr:rowOff>
    </xdr:to>
    <xdr:grpSp>
      <xdr:nvGrpSpPr>
        <xdr:cNvPr id="2162" name="Grupo 273"/>
        <xdr:cNvGrpSpPr>
          <a:grpSpLocks/>
        </xdr:cNvGrpSpPr>
      </xdr:nvGrpSpPr>
      <xdr:grpSpPr bwMode="auto">
        <a:xfrm>
          <a:off x="1286404" y="3365500"/>
          <a:ext cx="534459" cy="0"/>
          <a:chOff x="10648950" y="5124450"/>
          <a:chExt cx="1085850" cy="95250"/>
        </a:xfrm>
      </xdr:grpSpPr>
      <xdr:cxnSp macro="">
        <xdr:nvCxnSpPr>
          <xdr:cNvPr id="216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184679</xdr:colOff>
      <xdr:row>1571</xdr:row>
      <xdr:rowOff>16671</xdr:rowOff>
    </xdr:from>
    <xdr:to>
      <xdr:col>1</xdr:col>
      <xdr:colOff>719138</xdr:colOff>
      <xdr:row>1571</xdr:row>
      <xdr:rowOff>79566</xdr:rowOff>
    </xdr:to>
    <xdr:grpSp>
      <xdr:nvGrpSpPr>
        <xdr:cNvPr id="2165" name="Grupo 273"/>
        <xdr:cNvGrpSpPr>
          <a:grpSpLocks/>
        </xdr:cNvGrpSpPr>
      </xdr:nvGrpSpPr>
      <xdr:grpSpPr bwMode="auto">
        <a:xfrm>
          <a:off x="1295929" y="3365500"/>
          <a:ext cx="534459" cy="0"/>
          <a:chOff x="10648950" y="5124450"/>
          <a:chExt cx="1085850" cy="95250"/>
        </a:xfrm>
      </xdr:grpSpPr>
      <xdr:cxnSp macro="">
        <xdr:nvCxnSpPr>
          <xdr:cNvPr id="216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196585</xdr:colOff>
      <xdr:row>1572</xdr:row>
      <xdr:rowOff>60327</xdr:rowOff>
    </xdr:from>
    <xdr:to>
      <xdr:col>1</xdr:col>
      <xdr:colOff>731044</xdr:colOff>
      <xdr:row>1572</xdr:row>
      <xdr:rowOff>123222</xdr:rowOff>
    </xdr:to>
    <xdr:grpSp>
      <xdr:nvGrpSpPr>
        <xdr:cNvPr id="2168" name="Grupo 273"/>
        <xdr:cNvGrpSpPr>
          <a:grpSpLocks/>
        </xdr:cNvGrpSpPr>
      </xdr:nvGrpSpPr>
      <xdr:grpSpPr bwMode="auto">
        <a:xfrm>
          <a:off x="1307835" y="3365500"/>
          <a:ext cx="534459" cy="0"/>
          <a:chOff x="10648950" y="5124450"/>
          <a:chExt cx="1085850" cy="95250"/>
        </a:xfrm>
      </xdr:grpSpPr>
      <xdr:cxnSp macro="">
        <xdr:nvCxnSpPr>
          <xdr:cNvPr id="216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166687</xdr:colOff>
      <xdr:row>1573</xdr:row>
      <xdr:rowOff>35719</xdr:rowOff>
    </xdr:from>
    <xdr:to>
      <xdr:col>1</xdr:col>
      <xdr:colOff>706437</xdr:colOff>
      <xdr:row>1573</xdr:row>
      <xdr:rowOff>427301</xdr:rowOff>
    </xdr:to>
    <xdr:sp macro="" textlink="">
      <xdr:nvSpPr>
        <xdr:cNvPr id="2171" name="Rectángulo redondeado 23"/>
        <xdr:cNvSpPr>
          <a:spLocks noChangeArrowheads="1"/>
        </xdr:cNvSpPr>
      </xdr:nvSpPr>
      <xdr:spPr bwMode="auto">
        <a:xfrm>
          <a:off x="928687" y="4200286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440531</xdr:colOff>
      <xdr:row>1574</xdr:row>
      <xdr:rowOff>107156</xdr:rowOff>
    </xdr:from>
    <xdr:to>
      <xdr:col>1</xdr:col>
      <xdr:colOff>497681</xdr:colOff>
      <xdr:row>1574</xdr:row>
      <xdr:rowOff>373856</xdr:rowOff>
    </xdr:to>
    <xdr:sp macro="" textlink="">
      <xdr:nvSpPr>
        <xdr:cNvPr id="2172" name="Forma libre 6"/>
        <xdr:cNvSpPr>
          <a:spLocks/>
        </xdr:cNvSpPr>
      </xdr:nvSpPr>
      <xdr:spPr bwMode="auto">
        <a:xfrm>
          <a:off x="1202531" y="42521981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83343</xdr:colOff>
      <xdr:row>1579</xdr:row>
      <xdr:rowOff>71438</xdr:rowOff>
    </xdr:from>
    <xdr:to>
      <xdr:col>1</xdr:col>
      <xdr:colOff>665162</xdr:colOff>
      <xdr:row>1580</xdr:row>
      <xdr:rowOff>23812</xdr:rowOff>
    </xdr:to>
    <xdr:grpSp>
      <xdr:nvGrpSpPr>
        <xdr:cNvPr id="2173" name="745 Grupo"/>
        <xdr:cNvGrpSpPr/>
      </xdr:nvGrpSpPr>
      <xdr:grpSpPr>
        <a:xfrm>
          <a:off x="1194593" y="3365500"/>
          <a:ext cx="581819" cy="0"/>
          <a:chOff x="844550" y="22336125"/>
          <a:chExt cx="581819" cy="142874"/>
        </a:xfrm>
      </xdr:grpSpPr>
      <xdr:cxnSp macro="">
        <xdr:nvCxnSpPr>
          <xdr:cNvPr id="2174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5" name="747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6" name="748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112713</xdr:colOff>
      <xdr:row>1578</xdr:row>
      <xdr:rowOff>54770</xdr:rowOff>
    </xdr:from>
    <xdr:to>
      <xdr:col>1</xdr:col>
      <xdr:colOff>693738</xdr:colOff>
      <xdr:row>1578</xdr:row>
      <xdr:rowOff>56358</xdr:rowOff>
    </xdr:to>
    <xdr:cxnSp macro="">
      <xdr:nvCxnSpPr>
        <xdr:cNvPr id="2177" name="Conector recto 4"/>
        <xdr:cNvCxnSpPr>
          <a:cxnSpLocks noChangeShapeType="1"/>
        </xdr:cNvCxnSpPr>
      </xdr:nvCxnSpPr>
      <xdr:spPr bwMode="auto">
        <a:xfrm>
          <a:off x="874713" y="434601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1578</xdr:row>
      <xdr:rowOff>55564</xdr:rowOff>
    </xdr:from>
    <xdr:to>
      <xdr:col>1</xdr:col>
      <xdr:colOff>103982</xdr:colOff>
      <xdr:row>1578</xdr:row>
      <xdr:rowOff>131764</xdr:rowOff>
    </xdr:to>
    <xdr:cxnSp macro="">
      <xdr:nvCxnSpPr>
        <xdr:cNvPr id="2178" name="Conector recto 7"/>
        <xdr:cNvCxnSpPr>
          <a:cxnSpLocks noChangeShapeType="1"/>
        </xdr:cNvCxnSpPr>
      </xdr:nvCxnSpPr>
      <xdr:spPr bwMode="auto">
        <a:xfrm rot="5400000">
          <a:off x="827088" y="434982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119856</xdr:colOff>
      <xdr:row>1581</xdr:row>
      <xdr:rowOff>120649</xdr:rowOff>
    </xdr:from>
    <xdr:to>
      <xdr:col>1</xdr:col>
      <xdr:colOff>719931</xdr:colOff>
      <xdr:row>1581</xdr:row>
      <xdr:rowOff>123371</xdr:rowOff>
    </xdr:to>
    <xdr:cxnSp macro="">
      <xdr:nvCxnSpPr>
        <xdr:cNvPr id="2180" name="Conector recto 16"/>
        <xdr:cNvCxnSpPr>
          <a:cxnSpLocks noChangeShapeType="1"/>
        </xdr:cNvCxnSpPr>
      </xdr:nvCxnSpPr>
      <xdr:spPr bwMode="auto">
        <a:xfrm>
          <a:off x="881856" y="4409757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1581</xdr:row>
      <xdr:rowOff>35718</xdr:rowOff>
    </xdr:from>
    <xdr:to>
      <xdr:col>1</xdr:col>
      <xdr:colOff>120650</xdr:colOff>
      <xdr:row>1581</xdr:row>
      <xdr:rowOff>111918</xdr:rowOff>
    </xdr:to>
    <xdr:cxnSp macro="">
      <xdr:nvCxnSpPr>
        <xdr:cNvPr id="2181" name="Conector recto 13"/>
        <xdr:cNvCxnSpPr>
          <a:cxnSpLocks noChangeShapeType="1"/>
        </xdr:cNvCxnSpPr>
      </xdr:nvCxnSpPr>
      <xdr:spPr bwMode="auto">
        <a:xfrm rot="5400000">
          <a:off x="843756" y="440499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1582</xdr:row>
      <xdr:rowOff>108742</xdr:rowOff>
    </xdr:from>
    <xdr:to>
      <xdr:col>1</xdr:col>
      <xdr:colOff>708025</xdr:colOff>
      <xdr:row>1582</xdr:row>
      <xdr:rowOff>111464</xdr:rowOff>
    </xdr:to>
    <xdr:cxnSp macro="">
      <xdr:nvCxnSpPr>
        <xdr:cNvPr id="2182" name="Conector recto 16"/>
        <xdr:cNvCxnSpPr>
          <a:cxnSpLocks noChangeShapeType="1"/>
        </xdr:cNvCxnSpPr>
      </xdr:nvCxnSpPr>
      <xdr:spPr bwMode="auto">
        <a:xfrm>
          <a:off x="869950" y="442761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1582</xdr:row>
      <xdr:rowOff>23811</xdr:rowOff>
    </xdr:from>
    <xdr:to>
      <xdr:col>1</xdr:col>
      <xdr:colOff>108744</xdr:colOff>
      <xdr:row>1582</xdr:row>
      <xdr:rowOff>100011</xdr:rowOff>
    </xdr:to>
    <xdr:cxnSp macro="">
      <xdr:nvCxnSpPr>
        <xdr:cNvPr id="2183" name="Conector recto 13"/>
        <xdr:cNvCxnSpPr>
          <a:cxnSpLocks noChangeShapeType="1"/>
        </xdr:cNvCxnSpPr>
      </xdr:nvCxnSpPr>
      <xdr:spPr bwMode="auto">
        <a:xfrm rot="5400000">
          <a:off x="831850" y="442285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1583</xdr:row>
      <xdr:rowOff>132556</xdr:rowOff>
    </xdr:from>
    <xdr:to>
      <xdr:col>1</xdr:col>
      <xdr:colOff>731838</xdr:colOff>
      <xdr:row>1583</xdr:row>
      <xdr:rowOff>135278</xdr:rowOff>
    </xdr:to>
    <xdr:cxnSp macro="">
      <xdr:nvCxnSpPr>
        <xdr:cNvPr id="2184" name="Conector recto 16"/>
        <xdr:cNvCxnSpPr>
          <a:cxnSpLocks noChangeShapeType="1"/>
        </xdr:cNvCxnSpPr>
      </xdr:nvCxnSpPr>
      <xdr:spPr bwMode="auto">
        <a:xfrm>
          <a:off x="893763" y="444904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1583</xdr:row>
      <xdr:rowOff>47625</xdr:rowOff>
    </xdr:from>
    <xdr:to>
      <xdr:col>1</xdr:col>
      <xdr:colOff>132557</xdr:colOff>
      <xdr:row>1583</xdr:row>
      <xdr:rowOff>123825</xdr:rowOff>
    </xdr:to>
    <xdr:cxnSp macro="">
      <xdr:nvCxnSpPr>
        <xdr:cNvPr id="2185" name="Conector recto 13"/>
        <xdr:cNvCxnSpPr>
          <a:cxnSpLocks noChangeShapeType="1"/>
        </xdr:cNvCxnSpPr>
      </xdr:nvCxnSpPr>
      <xdr:spPr bwMode="auto">
        <a:xfrm rot="5400000">
          <a:off x="855663" y="444428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1584</xdr:row>
      <xdr:rowOff>35719</xdr:rowOff>
    </xdr:from>
    <xdr:to>
      <xdr:col>1</xdr:col>
      <xdr:colOff>665427</xdr:colOff>
      <xdr:row>1584</xdr:row>
      <xdr:rowOff>98614</xdr:rowOff>
    </xdr:to>
    <xdr:grpSp>
      <xdr:nvGrpSpPr>
        <xdr:cNvPr id="2186" name="Grupo 273"/>
        <xdr:cNvGrpSpPr>
          <a:grpSpLocks/>
        </xdr:cNvGrpSpPr>
      </xdr:nvGrpSpPr>
      <xdr:grpSpPr bwMode="auto">
        <a:xfrm>
          <a:off x="1242218" y="3365500"/>
          <a:ext cx="534459" cy="0"/>
          <a:chOff x="10648950" y="5124450"/>
          <a:chExt cx="1085850" cy="95250"/>
        </a:xfrm>
      </xdr:grpSpPr>
      <xdr:cxnSp macro="">
        <xdr:nvCxnSpPr>
          <xdr:cNvPr id="218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8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1585</xdr:row>
      <xdr:rowOff>13494</xdr:rowOff>
    </xdr:from>
    <xdr:to>
      <xdr:col>1</xdr:col>
      <xdr:colOff>674952</xdr:colOff>
      <xdr:row>1585</xdr:row>
      <xdr:rowOff>76389</xdr:rowOff>
    </xdr:to>
    <xdr:grpSp>
      <xdr:nvGrpSpPr>
        <xdr:cNvPr id="2189" name="Grupo 273"/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19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152399</xdr:colOff>
      <xdr:row>1586</xdr:row>
      <xdr:rowOff>57150</xdr:rowOff>
    </xdr:from>
    <xdr:to>
      <xdr:col>1</xdr:col>
      <xdr:colOff>686858</xdr:colOff>
      <xdr:row>1586</xdr:row>
      <xdr:rowOff>120045</xdr:rowOff>
    </xdr:to>
    <xdr:grpSp>
      <xdr:nvGrpSpPr>
        <xdr:cNvPr id="2192" name="Grupo 273"/>
        <xdr:cNvGrpSpPr>
          <a:grpSpLocks/>
        </xdr:cNvGrpSpPr>
      </xdr:nvGrpSpPr>
      <xdr:grpSpPr bwMode="auto">
        <a:xfrm>
          <a:off x="1263649" y="3365500"/>
          <a:ext cx="534459" cy="0"/>
          <a:chOff x="10648950" y="5124450"/>
          <a:chExt cx="1085850" cy="95250"/>
        </a:xfrm>
      </xdr:grpSpPr>
      <xdr:cxnSp macro="">
        <xdr:nvCxnSpPr>
          <xdr:cNvPr id="219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1587</xdr:row>
      <xdr:rowOff>23813</xdr:rowOff>
    </xdr:from>
    <xdr:to>
      <xdr:col>1</xdr:col>
      <xdr:colOff>670719</xdr:colOff>
      <xdr:row>1587</xdr:row>
      <xdr:rowOff>415395</xdr:rowOff>
    </xdr:to>
    <xdr:sp macro="" textlink="">
      <xdr:nvSpPr>
        <xdr:cNvPr id="2195" name="Rectángulo redondeado 23"/>
        <xdr:cNvSpPr>
          <a:spLocks noChangeArrowheads="1"/>
        </xdr:cNvSpPr>
      </xdr:nvSpPr>
      <xdr:spPr bwMode="auto">
        <a:xfrm>
          <a:off x="892969" y="4514373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404813</xdr:colOff>
      <xdr:row>1588</xdr:row>
      <xdr:rowOff>83343</xdr:rowOff>
    </xdr:from>
    <xdr:to>
      <xdr:col>1</xdr:col>
      <xdr:colOff>461963</xdr:colOff>
      <xdr:row>1588</xdr:row>
      <xdr:rowOff>350043</xdr:rowOff>
    </xdr:to>
    <xdr:sp macro="" textlink="">
      <xdr:nvSpPr>
        <xdr:cNvPr id="2196" name="Forma libre 6"/>
        <xdr:cNvSpPr>
          <a:spLocks/>
        </xdr:cNvSpPr>
      </xdr:nvSpPr>
      <xdr:spPr bwMode="auto">
        <a:xfrm>
          <a:off x="1166813" y="4566999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176212</xdr:colOff>
      <xdr:row>1592</xdr:row>
      <xdr:rowOff>35719</xdr:rowOff>
    </xdr:from>
    <xdr:to>
      <xdr:col>1</xdr:col>
      <xdr:colOff>758031</xdr:colOff>
      <xdr:row>1592</xdr:row>
      <xdr:rowOff>178593</xdr:rowOff>
    </xdr:to>
    <xdr:grpSp>
      <xdr:nvGrpSpPr>
        <xdr:cNvPr id="2197" name="779 Grupo"/>
        <xdr:cNvGrpSpPr/>
      </xdr:nvGrpSpPr>
      <xdr:grpSpPr>
        <a:xfrm>
          <a:off x="1287462" y="3365500"/>
          <a:ext cx="581819" cy="0"/>
          <a:chOff x="844550" y="22336125"/>
          <a:chExt cx="581819" cy="142874"/>
        </a:xfrm>
      </xdr:grpSpPr>
      <xdr:cxnSp macro="">
        <xdr:nvCxnSpPr>
          <xdr:cNvPr id="2198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9" name="781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0" name="782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154781</xdr:colOff>
      <xdr:row>1592</xdr:row>
      <xdr:rowOff>166688</xdr:rowOff>
    </xdr:from>
    <xdr:to>
      <xdr:col>1</xdr:col>
      <xdr:colOff>735806</xdr:colOff>
      <xdr:row>1593</xdr:row>
      <xdr:rowOff>142875</xdr:rowOff>
    </xdr:to>
    <xdr:grpSp>
      <xdr:nvGrpSpPr>
        <xdr:cNvPr id="2201" name="783 Grupo"/>
        <xdr:cNvGrpSpPr/>
      </xdr:nvGrpSpPr>
      <xdr:grpSpPr>
        <a:xfrm>
          <a:off x="1266031" y="3365500"/>
          <a:ext cx="581025" cy="0"/>
          <a:chOff x="888207" y="22645689"/>
          <a:chExt cx="581025" cy="166687"/>
        </a:xfrm>
      </xdr:grpSpPr>
      <xdr:cxnSp macro="">
        <xdr:nvCxnSpPr>
          <xdr:cNvPr id="2202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3" name="785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4" name="786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190500</xdr:colOff>
      <xdr:row>1594</xdr:row>
      <xdr:rowOff>11907</xdr:rowOff>
    </xdr:from>
    <xdr:to>
      <xdr:col>2</xdr:col>
      <xdr:colOff>0</xdr:colOff>
      <xdr:row>1594</xdr:row>
      <xdr:rowOff>178594</xdr:rowOff>
    </xdr:to>
    <xdr:grpSp>
      <xdr:nvGrpSpPr>
        <xdr:cNvPr id="2205" name="787 Grupo"/>
        <xdr:cNvGrpSpPr/>
      </xdr:nvGrpSpPr>
      <xdr:grpSpPr>
        <a:xfrm>
          <a:off x="1301750" y="3365500"/>
          <a:ext cx="1254125" cy="0"/>
          <a:chOff x="888207" y="22645689"/>
          <a:chExt cx="581025" cy="166687"/>
        </a:xfrm>
      </xdr:grpSpPr>
      <xdr:cxnSp macro="">
        <xdr:nvCxnSpPr>
          <xdr:cNvPr id="2206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7" name="789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8" name="790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1595</xdr:row>
      <xdr:rowOff>71437</xdr:rowOff>
    </xdr:from>
    <xdr:to>
      <xdr:col>1</xdr:col>
      <xdr:colOff>706438</xdr:colOff>
      <xdr:row>1595</xdr:row>
      <xdr:rowOff>463019</xdr:rowOff>
    </xdr:to>
    <xdr:sp macro="" textlink="">
      <xdr:nvSpPr>
        <xdr:cNvPr id="2209" name="Rectángulo redondeado 23"/>
        <xdr:cNvSpPr>
          <a:spLocks noChangeArrowheads="1"/>
        </xdr:cNvSpPr>
      </xdr:nvSpPr>
      <xdr:spPr bwMode="auto">
        <a:xfrm>
          <a:off x="928688" y="4723923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392907</xdr:colOff>
      <xdr:row>1596</xdr:row>
      <xdr:rowOff>95249</xdr:rowOff>
    </xdr:from>
    <xdr:to>
      <xdr:col>1</xdr:col>
      <xdr:colOff>450057</xdr:colOff>
      <xdr:row>1596</xdr:row>
      <xdr:rowOff>361949</xdr:rowOff>
    </xdr:to>
    <xdr:sp macro="" textlink="">
      <xdr:nvSpPr>
        <xdr:cNvPr id="2210" name="Forma libre 6"/>
        <xdr:cNvSpPr>
          <a:spLocks/>
        </xdr:cNvSpPr>
      </xdr:nvSpPr>
      <xdr:spPr bwMode="auto">
        <a:xfrm>
          <a:off x="1154907" y="4774882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1600</xdr:row>
      <xdr:rowOff>59532</xdr:rowOff>
    </xdr:from>
    <xdr:to>
      <xdr:col>1</xdr:col>
      <xdr:colOff>700087</xdr:colOff>
      <xdr:row>1601</xdr:row>
      <xdr:rowOff>134145</xdr:rowOff>
    </xdr:to>
    <xdr:grpSp>
      <xdr:nvGrpSpPr>
        <xdr:cNvPr id="2211" name="793 Grupo"/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12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14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5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6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13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71438</xdr:colOff>
      <xdr:row>1603</xdr:row>
      <xdr:rowOff>11907</xdr:rowOff>
    </xdr:from>
    <xdr:to>
      <xdr:col>1</xdr:col>
      <xdr:colOff>684213</xdr:colOff>
      <xdr:row>1604</xdr:row>
      <xdr:rowOff>87653</xdr:rowOff>
    </xdr:to>
    <xdr:grpSp>
      <xdr:nvGrpSpPr>
        <xdr:cNvPr id="2217" name="799 Grupo"/>
        <xdr:cNvGrpSpPr/>
      </xdr:nvGrpSpPr>
      <xdr:grpSpPr>
        <a:xfrm>
          <a:off x="1182688" y="3365500"/>
          <a:ext cx="612775" cy="0"/>
          <a:chOff x="904876" y="59614594"/>
          <a:chExt cx="612775" cy="266246"/>
        </a:xfrm>
      </xdr:grpSpPr>
      <xdr:cxnSp macro="">
        <xdr:nvCxnSpPr>
          <xdr:cNvPr id="2218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19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20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1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2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141288</xdr:colOff>
      <xdr:row>1602</xdr:row>
      <xdr:rowOff>59532</xdr:rowOff>
    </xdr:from>
    <xdr:to>
      <xdr:col>1</xdr:col>
      <xdr:colOff>722313</xdr:colOff>
      <xdr:row>1602</xdr:row>
      <xdr:rowOff>61120</xdr:rowOff>
    </xdr:to>
    <xdr:cxnSp macro="">
      <xdr:nvCxnSpPr>
        <xdr:cNvPr id="2223" name="Conector recto 4"/>
        <xdr:cNvCxnSpPr>
          <a:cxnSpLocks noChangeShapeType="1"/>
        </xdr:cNvCxnSpPr>
      </xdr:nvCxnSpPr>
      <xdr:spPr bwMode="auto">
        <a:xfrm>
          <a:off x="903288" y="49075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1602</xdr:row>
      <xdr:rowOff>60326</xdr:rowOff>
    </xdr:from>
    <xdr:to>
      <xdr:col>1</xdr:col>
      <xdr:colOff>132557</xdr:colOff>
      <xdr:row>1602</xdr:row>
      <xdr:rowOff>136526</xdr:rowOff>
    </xdr:to>
    <xdr:cxnSp macro="">
      <xdr:nvCxnSpPr>
        <xdr:cNvPr id="2224" name="Conector recto 7"/>
        <xdr:cNvCxnSpPr>
          <a:cxnSpLocks noChangeShapeType="1"/>
        </xdr:cNvCxnSpPr>
      </xdr:nvCxnSpPr>
      <xdr:spPr bwMode="auto">
        <a:xfrm rot="5400000">
          <a:off x="855663" y="49113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1605</xdr:row>
      <xdr:rowOff>107156</xdr:rowOff>
    </xdr:from>
    <xdr:to>
      <xdr:col>1</xdr:col>
      <xdr:colOff>711993</xdr:colOff>
      <xdr:row>1608</xdr:row>
      <xdr:rowOff>120650</xdr:rowOff>
    </xdr:to>
    <xdr:grpSp>
      <xdr:nvGrpSpPr>
        <xdr:cNvPr id="2225" name="807 Grupo"/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226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7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8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9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103717</xdr:colOff>
      <xdr:row>1612</xdr:row>
      <xdr:rowOff>38895</xdr:rowOff>
    </xdr:from>
    <xdr:to>
      <xdr:col>1</xdr:col>
      <xdr:colOff>638176</xdr:colOff>
      <xdr:row>1612</xdr:row>
      <xdr:rowOff>101790</xdr:rowOff>
    </xdr:to>
    <xdr:grpSp>
      <xdr:nvGrpSpPr>
        <xdr:cNvPr id="2232" name="Grupo 273"/>
        <xdr:cNvGrpSpPr>
          <a:grpSpLocks/>
        </xdr:cNvGrpSpPr>
      </xdr:nvGrpSpPr>
      <xdr:grpSpPr bwMode="auto">
        <a:xfrm>
          <a:off x="1214967" y="3365500"/>
          <a:ext cx="534459" cy="0"/>
          <a:chOff x="10648950" y="5124450"/>
          <a:chExt cx="1085850" cy="95250"/>
        </a:xfrm>
      </xdr:grpSpPr>
      <xdr:cxnSp macro="">
        <xdr:nvCxnSpPr>
          <xdr:cNvPr id="223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113242</xdr:colOff>
      <xdr:row>1613</xdr:row>
      <xdr:rowOff>16670</xdr:rowOff>
    </xdr:from>
    <xdr:to>
      <xdr:col>1</xdr:col>
      <xdr:colOff>647701</xdr:colOff>
      <xdr:row>1613</xdr:row>
      <xdr:rowOff>79565</xdr:rowOff>
    </xdr:to>
    <xdr:grpSp>
      <xdr:nvGrpSpPr>
        <xdr:cNvPr id="2235" name="Grupo 273"/>
        <xdr:cNvGrpSpPr>
          <a:grpSpLocks/>
        </xdr:cNvGrpSpPr>
      </xdr:nvGrpSpPr>
      <xdr:grpSpPr bwMode="auto">
        <a:xfrm>
          <a:off x="1224492" y="3365500"/>
          <a:ext cx="534459" cy="0"/>
          <a:chOff x="10648950" y="5124450"/>
          <a:chExt cx="1085850" cy="95250"/>
        </a:xfrm>
      </xdr:grpSpPr>
      <xdr:cxnSp macro="">
        <xdr:nvCxnSpPr>
          <xdr:cNvPr id="223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125148</xdr:colOff>
      <xdr:row>1614</xdr:row>
      <xdr:rowOff>60326</xdr:rowOff>
    </xdr:from>
    <xdr:to>
      <xdr:col>1</xdr:col>
      <xdr:colOff>659607</xdr:colOff>
      <xdr:row>1614</xdr:row>
      <xdr:rowOff>123221</xdr:rowOff>
    </xdr:to>
    <xdr:grpSp>
      <xdr:nvGrpSpPr>
        <xdr:cNvPr id="2238" name="Grupo 273"/>
        <xdr:cNvGrpSpPr>
          <a:grpSpLocks/>
        </xdr:cNvGrpSpPr>
      </xdr:nvGrpSpPr>
      <xdr:grpSpPr bwMode="auto">
        <a:xfrm>
          <a:off x="1236398" y="3365500"/>
          <a:ext cx="534459" cy="0"/>
          <a:chOff x="10648950" y="5124450"/>
          <a:chExt cx="1085850" cy="95250"/>
        </a:xfrm>
      </xdr:grpSpPr>
      <xdr:cxnSp macro="">
        <xdr:nvCxnSpPr>
          <xdr:cNvPr id="223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1615</xdr:row>
      <xdr:rowOff>35719</xdr:rowOff>
    </xdr:from>
    <xdr:to>
      <xdr:col>1</xdr:col>
      <xdr:colOff>665428</xdr:colOff>
      <xdr:row>1615</xdr:row>
      <xdr:rowOff>98614</xdr:rowOff>
    </xdr:to>
    <xdr:grpSp>
      <xdr:nvGrpSpPr>
        <xdr:cNvPr id="2242" name="Grupo 273"/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4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1616</xdr:row>
      <xdr:rowOff>11906</xdr:rowOff>
    </xdr:from>
    <xdr:to>
      <xdr:col>1</xdr:col>
      <xdr:colOff>646906</xdr:colOff>
      <xdr:row>1616</xdr:row>
      <xdr:rowOff>403488</xdr:rowOff>
    </xdr:to>
    <xdr:sp macro="" textlink="">
      <xdr:nvSpPr>
        <xdr:cNvPr id="2245" name="Rectángulo redondeado 23"/>
        <xdr:cNvSpPr>
          <a:spLocks noChangeArrowheads="1"/>
        </xdr:cNvSpPr>
      </xdr:nvSpPr>
      <xdr:spPr bwMode="auto">
        <a:xfrm>
          <a:off x="869156" y="516945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1617</xdr:row>
      <xdr:rowOff>71437</xdr:rowOff>
    </xdr:from>
    <xdr:to>
      <xdr:col>1</xdr:col>
      <xdr:colOff>390525</xdr:colOff>
      <xdr:row>1617</xdr:row>
      <xdr:rowOff>338137</xdr:rowOff>
    </xdr:to>
    <xdr:sp macro="" textlink="">
      <xdr:nvSpPr>
        <xdr:cNvPr id="2246" name="Forma libre 6"/>
        <xdr:cNvSpPr>
          <a:spLocks/>
        </xdr:cNvSpPr>
      </xdr:nvSpPr>
      <xdr:spPr bwMode="auto">
        <a:xfrm>
          <a:off x="1095375" y="522112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</xdr:colOff>
      <xdr:row>1622</xdr:row>
      <xdr:rowOff>47625</xdr:rowOff>
    </xdr:from>
    <xdr:to>
      <xdr:col>1</xdr:col>
      <xdr:colOff>660400</xdr:colOff>
      <xdr:row>1623</xdr:row>
      <xdr:rowOff>123371</xdr:rowOff>
    </xdr:to>
    <xdr:grpSp>
      <xdr:nvGrpSpPr>
        <xdr:cNvPr id="2247" name="829 Grupo"/>
        <xdr:cNvGrpSpPr/>
      </xdr:nvGrpSpPr>
      <xdr:grpSpPr>
        <a:xfrm>
          <a:off x="1158875" y="3365500"/>
          <a:ext cx="612775" cy="0"/>
          <a:chOff x="904876" y="59614594"/>
          <a:chExt cx="612775" cy="266246"/>
        </a:xfrm>
      </xdr:grpSpPr>
      <xdr:cxnSp macro="">
        <xdr:nvCxnSpPr>
          <xdr:cNvPr id="2248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49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0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1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2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117475</xdr:colOff>
      <xdr:row>1621</xdr:row>
      <xdr:rowOff>95250</xdr:rowOff>
    </xdr:from>
    <xdr:to>
      <xdr:col>1</xdr:col>
      <xdr:colOff>698500</xdr:colOff>
      <xdr:row>1621</xdr:row>
      <xdr:rowOff>96838</xdr:rowOff>
    </xdr:to>
    <xdr:cxnSp macro="">
      <xdr:nvCxnSpPr>
        <xdr:cNvPr id="2253" name="Conector recto 4"/>
        <xdr:cNvCxnSpPr>
          <a:cxnSpLocks noChangeShapeType="1"/>
        </xdr:cNvCxnSpPr>
      </xdr:nvCxnSpPr>
      <xdr:spPr bwMode="auto">
        <a:xfrm>
          <a:off x="879475" y="532352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1621</xdr:row>
      <xdr:rowOff>96044</xdr:rowOff>
    </xdr:from>
    <xdr:to>
      <xdr:col>1</xdr:col>
      <xdr:colOff>108744</xdr:colOff>
      <xdr:row>1621</xdr:row>
      <xdr:rowOff>172244</xdr:rowOff>
    </xdr:to>
    <xdr:cxnSp macro="">
      <xdr:nvCxnSpPr>
        <xdr:cNvPr id="2254" name="Conector recto 7"/>
        <xdr:cNvCxnSpPr>
          <a:cxnSpLocks noChangeShapeType="1"/>
        </xdr:cNvCxnSpPr>
      </xdr:nvCxnSpPr>
      <xdr:spPr bwMode="auto">
        <a:xfrm rot="5400000">
          <a:off x="831850" y="532733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59531</xdr:colOff>
      <xdr:row>1624</xdr:row>
      <xdr:rowOff>11907</xdr:rowOff>
    </xdr:from>
    <xdr:to>
      <xdr:col>1</xdr:col>
      <xdr:colOff>672306</xdr:colOff>
      <xdr:row>1625</xdr:row>
      <xdr:rowOff>87653</xdr:rowOff>
    </xdr:to>
    <xdr:grpSp>
      <xdr:nvGrpSpPr>
        <xdr:cNvPr id="2255" name="837 Grupo"/>
        <xdr:cNvGrpSpPr/>
      </xdr:nvGrpSpPr>
      <xdr:grpSpPr>
        <a:xfrm>
          <a:off x="1170781" y="3365500"/>
          <a:ext cx="612775" cy="0"/>
          <a:chOff x="904876" y="59614594"/>
          <a:chExt cx="612775" cy="266246"/>
        </a:xfrm>
      </xdr:grpSpPr>
      <xdr:cxnSp macro="">
        <xdr:nvCxnSpPr>
          <xdr:cNvPr id="2256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57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8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9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60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1627</xdr:row>
      <xdr:rowOff>35719</xdr:rowOff>
    </xdr:from>
    <xdr:to>
      <xdr:col>1</xdr:col>
      <xdr:colOff>665428</xdr:colOff>
      <xdr:row>1627</xdr:row>
      <xdr:rowOff>98614</xdr:rowOff>
    </xdr:to>
    <xdr:grpSp>
      <xdr:nvGrpSpPr>
        <xdr:cNvPr id="2262" name="Grupo 273"/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6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140494</xdr:colOff>
      <xdr:row>1628</xdr:row>
      <xdr:rowOff>13494</xdr:rowOff>
    </xdr:from>
    <xdr:to>
      <xdr:col>1</xdr:col>
      <xdr:colOff>674953</xdr:colOff>
      <xdr:row>1628</xdr:row>
      <xdr:rowOff>76389</xdr:rowOff>
    </xdr:to>
    <xdr:grpSp>
      <xdr:nvGrpSpPr>
        <xdr:cNvPr id="2265" name="Grupo 273"/>
        <xdr:cNvGrpSpPr>
          <a:grpSpLocks/>
        </xdr:cNvGrpSpPr>
      </xdr:nvGrpSpPr>
      <xdr:grpSpPr bwMode="auto">
        <a:xfrm>
          <a:off x="1251744" y="3365500"/>
          <a:ext cx="534459" cy="0"/>
          <a:chOff x="10648950" y="5124450"/>
          <a:chExt cx="1085850" cy="95250"/>
        </a:xfrm>
      </xdr:grpSpPr>
      <xdr:cxnSp macro="">
        <xdr:nvCxnSpPr>
          <xdr:cNvPr id="226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1629</xdr:row>
      <xdr:rowOff>57150</xdr:rowOff>
    </xdr:from>
    <xdr:to>
      <xdr:col>1</xdr:col>
      <xdr:colOff>686859</xdr:colOff>
      <xdr:row>1629</xdr:row>
      <xdr:rowOff>120045</xdr:rowOff>
    </xdr:to>
    <xdr:grpSp>
      <xdr:nvGrpSpPr>
        <xdr:cNvPr id="2268" name="Grupo 273"/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26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1630</xdr:row>
      <xdr:rowOff>23812</xdr:rowOff>
    </xdr:from>
    <xdr:to>
      <xdr:col>1</xdr:col>
      <xdr:colOff>689241</xdr:colOff>
      <xdr:row>1630</xdr:row>
      <xdr:rowOff>86707</xdr:rowOff>
    </xdr:to>
    <xdr:grpSp>
      <xdr:nvGrpSpPr>
        <xdr:cNvPr id="2271" name="Grupo 273"/>
        <xdr:cNvGrpSpPr>
          <a:grpSpLocks/>
        </xdr:cNvGrpSpPr>
      </xdr:nvGrpSpPr>
      <xdr:grpSpPr bwMode="auto">
        <a:xfrm>
          <a:off x="1266032" y="3365500"/>
          <a:ext cx="534459" cy="0"/>
          <a:chOff x="10648950" y="5124450"/>
          <a:chExt cx="1085850" cy="95250"/>
        </a:xfrm>
      </xdr:grpSpPr>
      <xdr:cxnSp macro="">
        <xdr:nvCxnSpPr>
          <xdr:cNvPr id="227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1631</xdr:row>
      <xdr:rowOff>47625</xdr:rowOff>
    </xdr:from>
    <xdr:to>
      <xdr:col>1</xdr:col>
      <xdr:colOff>646906</xdr:colOff>
      <xdr:row>1631</xdr:row>
      <xdr:rowOff>439207</xdr:rowOff>
    </xdr:to>
    <xdr:sp macro="" textlink="">
      <xdr:nvSpPr>
        <xdr:cNvPr id="2274" name="Rectángulo redondeado 23"/>
        <xdr:cNvSpPr>
          <a:spLocks noChangeArrowheads="1"/>
        </xdr:cNvSpPr>
      </xdr:nvSpPr>
      <xdr:spPr bwMode="auto">
        <a:xfrm>
          <a:off x="869156" y="550926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1632</xdr:row>
      <xdr:rowOff>71436</xdr:rowOff>
    </xdr:from>
    <xdr:to>
      <xdr:col>1</xdr:col>
      <xdr:colOff>390525</xdr:colOff>
      <xdr:row>1632</xdr:row>
      <xdr:rowOff>338136</xdr:rowOff>
    </xdr:to>
    <xdr:sp macro="" textlink="">
      <xdr:nvSpPr>
        <xdr:cNvPr id="2275" name="Forma libre 6"/>
        <xdr:cNvSpPr>
          <a:spLocks/>
        </xdr:cNvSpPr>
      </xdr:nvSpPr>
      <xdr:spPr bwMode="auto">
        <a:xfrm>
          <a:off x="1095375" y="5560218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1636</xdr:row>
      <xdr:rowOff>35719</xdr:rowOff>
    </xdr:from>
    <xdr:to>
      <xdr:col>1</xdr:col>
      <xdr:colOff>700087</xdr:colOff>
      <xdr:row>1637</xdr:row>
      <xdr:rowOff>110332</xdr:rowOff>
    </xdr:to>
    <xdr:grpSp>
      <xdr:nvGrpSpPr>
        <xdr:cNvPr id="2276" name="861 Grupo"/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77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79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0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1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78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96043</xdr:colOff>
      <xdr:row>1638</xdr:row>
      <xdr:rowOff>96837</xdr:rowOff>
    </xdr:from>
    <xdr:to>
      <xdr:col>1</xdr:col>
      <xdr:colOff>696118</xdr:colOff>
      <xdr:row>1638</xdr:row>
      <xdr:rowOff>99559</xdr:rowOff>
    </xdr:to>
    <xdr:cxnSp macro="">
      <xdr:nvCxnSpPr>
        <xdr:cNvPr id="2282" name="Conector recto 16"/>
        <xdr:cNvCxnSpPr>
          <a:cxnSpLocks noChangeShapeType="1"/>
        </xdr:cNvCxnSpPr>
      </xdr:nvCxnSpPr>
      <xdr:spPr bwMode="auto">
        <a:xfrm>
          <a:off x="858043" y="56989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1638</xdr:row>
      <xdr:rowOff>11906</xdr:rowOff>
    </xdr:from>
    <xdr:to>
      <xdr:col>1</xdr:col>
      <xdr:colOff>684212</xdr:colOff>
      <xdr:row>1639</xdr:row>
      <xdr:rowOff>87652</xdr:rowOff>
    </xdr:to>
    <xdr:grpSp>
      <xdr:nvGrpSpPr>
        <xdr:cNvPr id="2283" name="536 Grupo"/>
        <xdr:cNvGrpSpPr/>
      </xdr:nvGrpSpPr>
      <xdr:grpSpPr>
        <a:xfrm>
          <a:off x="1194593" y="3365500"/>
          <a:ext cx="600869" cy="0"/>
          <a:chOff x="904876" y="59614594"/>
          <a:chExt cx="600869" cy="266246"/>
        </a:xfrm>
      </xdr:grpSpPr>
      <xdr:cxnSp macro="">
        <xdr:nvCxnSpPr>
          <xdr:cNvPr id="2284" name="Conector recto 13"/>
          <xdr:cNvCxnSpPr>
            <a:cxnSpLocks noChangeShapeType="1"/>
          </xdr:cNvCxnSpPr>
        </xdr:nvCxnSpPr>
        <xdr:spPr bwMode="auto">
          <a:xfrm rot="5400000">
            <a:off x="879476" y="59651900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5" name="Conector recto 16"/>
          <xdr:cNvCxnSpPr>
            <a:cxnSpLocks noChangeShapeType="1"/>
          </xdr:cNvCxnSpPr>
        </xdr:nvCxnSpPr>
        <xdr:spPr bwMode="auto">
          <a:xfrm>
            <a:off x="905670" y="59878118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6" name="Conector recto 13"/>
          <xdr:cNvCxnSpPr>
            <a:cxnSpLocks noChangeShapeType="1"/>
          </xdr:cNvCxnSpPr>
        </xdr:nvCxnSpPr>
        <xdr:spPr bwMode="auto">
          <a:xfrm rot="5400000">
            <a:off x="867570" y="5983049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104773</xdr:colOff>
      <xdr:row>1640</xdr:row>
      <xdr:rowOff>33336</xdr:rowOff>
    </xdr:from>
    <xdr:to>
      <xdr:col>1</xdr:col>
      <xdr:colOff>717548</xdr:colOff>
      <xdr:row>1641</xdr:row>
      <xdr:rowOff>109082</xdr:rowOff>
    </xdr:to>
    <xdr:grpSp>
      <xdr:nvGrpSpPr>
        <xdr:cNvPr id="2287" name="873 Grupo"/>
        <xdr:cNvGrpSpPr/>
      </xdr:nvGrpSpPr>
      <xdr:grpSpPr>
        <a:xfrm>
          <a:off x="1216023" y="3365500"/>
          <a:ext cx="612775" cy="0"/>
          <a:chOff x="904876" y="59614594"/>
          <a:chExt cx="612775" cy="266246"/>
        </a:xfrm>
      </xdr:grpSpPr>
      <xdr:cxnSp macro="">
        <xdr:nvCxnSpPr>
          <xdr:cNvPr id="2288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89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90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1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2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119062</xdr:colOff>
      <xdr:row>1644</xdr:row>
      <xdr:rowOff>35719</xdr:rowOff>
    </xdr:from>
    <xdr:to>
      <xdr:col>1</xdr:col>
      <xdr:colOff>653521</xdr:colOff>
      <xdr:row>1644</xdr:row>
      <xdr:rowOff>98614</xdr:rowOff>
    </xdr:to>
    <xdr:grpSp>
      <xdr:nvGrpSpPr>
        <xdr:cNvPr id="2295" name="Grupo 273"/>
        <xdr:cNvGrpSpPr>
          <a:grpSpLocks/>
        </xdr:cNvGrpSpPr>
      </xdr:nvGrpSpPr>
      <xdr:grpSpPr bwMode="auto">
        <a:xfrm>
          <a:off x="1230312" y="3365500"/>
          <a:ext cx="534459" cy="0"/>
          <a:chOff x="10648950" y="5124450"/>
          <a:chExt cx="1085850" cy="95250"/>
        </a:xfrm>
      </xdr:grpSpPr>
      <xdr:cxnSp macro="">
        <xdr:nvCxnSpPr>
          <xdr:cNvPr id="229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128587</xdr:colOff>
      <xdr:row>1645</xdr:row>
      <xdr:rowOff>13494</xdr:rowOff>
    </xdr:from>
    <xdr:to>
      <xdr:col>1</xdr:col>
      <xdr:colOff>663046</xdr:colOff>
      <xdr:row>1645</xdr:row>
      <xdr:rowOff>76389</xdr:rowOff>
    </xdr:to>
    <xdr:grpSp>
      <xdr:nvGrpSpPr>
        <xdr:cNvPr id="2298" name="Grupo 273"/>
        <xdr:cNvGrpSpPr>
          <a:grpSpLocks/>
        </xdr:cNvGrpSpPr>
      </xdr:nvGrpSpPr>
      <xdr:grpSpPr bwMode="auto">
        <a:xfrm>
          <a:off x="1239837" y="3365500"/>
          <a:ext cx="534459" cy="0"/>
          <a:chOff x="10648950" y="5124450"/>
          <a:chExt cx="1085850" cy="95250"/>
        </a:xfrm>
      </xdr:grpSpPr>
      <xdr:cxnSp macro="">
        <xdr:nvCxnSpPr>
          <xdr:cNvPr id="229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1646</xdr:row>
      <xdr:rowOff>57150</xdr:rowOff>
    </xdr:from>
    <xdr:to>
      <xdr:col>1</xdr:col>
      <xdr:colOff>674952</xdr:colOff>
      <xdr:row>1646</xdr:row>
      <xdr:rowOff>120045</xdr:rowOff>
    </xdr:to>
    <xdr:grpSp>
      <xdr:nvGrpSpPr>
        <xdr:cNvPr id="2301" name="Grupo 273"/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30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1647</xdr:row>
      <xdr:rowOff>23812</xdr:rowOff>
    </xdr:from>
    <xdr:to>
      <xdr:col>1</xdr:col>
      <xdr:colOff>677334</xdr:colOff>
      <xdr:row>1647</xdr:row>
      <xdr:rowOff>86707</xdr:rowOff>
    </xdr:to>
    <xdr:grpSp>
      <xdr:nvGrpSpPr>
        <xdr:cNvPr id="2304" name="Grupo 273"/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30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1648</xdr:row>
      <xdr:rowOff>11906</xdr:rowOff>
    </xdr:from>
    <xdr:to>
      <xdr:col>1</xdr:col>
      <xdr:colOff>646906</xdr:colOff>
      <xdr:row>1648</xdr:row>
      <xdr:rowOff>403488</xdr:rowOff>
    </xdr:to>
    <xdr:sp macro="" textlink="">
      <xdr:nvSpPr>
        <xdr:cNvPr id="2307" name="Rectángulo redondeado 23"/>
        <xdr:cNvSpPr>
          <a:spLocks noChangeArrowheads="1"/>
        </xdr:cNvSpPr>
      </xdr:nvSpPr>
      <xdr:spPr bwMode="auto">
        <a:xfrm>
          <a:off x="869156" y="588097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1649</xdr:row>
      <xdr:rowOff>83343</xdr:rowOff>
    </xdr:from>
    <xdr:to>
      <xdr:col>1</xdr:col>
      <xdr:colOff>390525</xdr:colOff>
      <xdr:row>1649</xdr:row>
      <xdr:rowOff>350043</xdr:rowOff>
    </xdr:to>
    <xdr:sp macro="" textlink="">
      <xdr:nvSpPr>
        <xdr:cNvPr id="2308" name="Forma libre 6"/>
        <xdr:cNvSpPr>
          <a:spLocks/>
        </xdr:cNvSpPr>
      </xdr:nvSpPr>
      <xdr:spPr bwMode="auto">
        <a:xfrm>
          <a:off x="1095375" y="5931931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59531</xdr:colOff>
      <xdr:row>1653</xdr:row>
      <xdr:rowOff>71437</xdr:rowOff>
    </xdr:from>
    <xdr:to>
      <xdr:col>1</xdr:col>
      <xdr:colOff>664368</xdr:colOff>
      <xdr:row>1654</xdr:row>
      <xdr:rowOff>146050</xdr:rowOff>
    </xdr:to>
    <xdr:grpSp>
      <xdr:nvGrpSpPr>
        <xdr:cNvPr id="2309" name="895 Grupo"/>
        <xdr:cNvGrpSpPr/>
      </xdr:nvGrpSpPr>
      <xdr:grpSpPr>
        <a:xfrm>
          <a:off x="1170781" y="3365500"/>
          <a:ext cx="604837" cy="0"/>
          <a:chOff x="809625" y="67056000"/>
          <a:chExt cx="604837" cy="265113"/>
        </a:xfrm>
      </xdr:grpSpPr>
      <xdr:grpSp>
        <xdr:nvGrpSpPr>
          <xdr:cNvPr id="2310" name="528 Grupo"/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312" name="Conector recto 4"/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3" name="Conector recto 7"/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4" name="Conector recto 7"/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311" name="Conector recto 4"/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129382</xdr:colOff>
      <xdr:row>1655</xdr:row>
      <xdr:rowOff>59531</xdr:rowOff>
    </xdr:from>
    <xdr:to>
      <xdr:col>1</xdr:col>
      <xdr:colOff>710407</xdr:colOff>
      <xdr:row>1655</xdr:row>
      <xdr:rowOff>61119</xdr:rowOff>
    </xdr:to>
    <xdr:cxnSp macro="">
      <xdr:nvCxnSpPr>
        <xdr:cNvPr id="2315" name="Conector recto 4"/>
        <xdr:cNvCxnSpPr>
          <a:cxnSpLocks noChangeShapeType="1"/>
        </xdr:cNvCxnSpPr>
      </xdr:nvCxnSpPr>
      <xdr:spPr bwMode="auto">
        <a:xfrm>
          <a:off x="891382" y="606575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1655</xdr:row>
      <xdr:rowOff>60325</xdr:rowOff>
    </xdr:from>
    <xdr:to>
      <xdr:col>1</xdr:col>
      <xdr:colOff>120651</xdr:colOff>
      <xdr:row>1655</xdr:row>
      <xdr:rowOff>136525</xdr:rowOff>
    </xdr:to>
    <xdr:cxnSp macro="">
      <xdr:nvCxnSpPr>
        <xdr:cNvPr id="2316" name="Conector recto 7"/>
        <xdr:cNvCxnSpPr>
          <a:cxnSpLocks noChangeShapeType="1"/>
        </xdr:cNvCxnSpPr>
      </xdr:nvCxnSpPr>
      <xdr:spPr bwMode="auto">
        <a:xfrm rot="5400000">
          <a:off x="843757" y="606956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1658</xdr:row>
      <xdr:rowOff>47625</xdr:rowOff>
    </xdr:from>
    <xdr:to>
      <xdr:col>1</xdr:col>
      <xdr:colOff>708025</xdr:colOff>
      <xdr:row>1659</xdr:row>
      <xdr:rowOff>123371</xdr:rowOff>
    </xdr:to>
    <xdr:grpSp>
      <xdr:nvGrpSpPr>
        <xdr:cNvPr id="2317" name="903 Grupo"/>
        <xdr:cNvGrpSpPr/>
      </xdr:nvGrpSpPr>
      <xdr:grpSpPr>
        <a:xfrm>
          <a:off x="1206500" y="3365500"/>
          <a:ext cx="612775" cy="0"/>
          <a:chOff x="904876" y="59614594"/>
          <a:chExt cx="612775" cy="266246"/>
        </a:xfrm>
      </xdr:grpSpPr>
      <xdr:cxnSp macro="">
        <xdr:nvCxnSpPr>
          <xdr:cNvPr id="2318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19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0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1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2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80963</xdr:colOff>
      <xdr:row>1656</xdr:row>
      <xdr:rowOff>69056</xdr:rowOff>
    </xdr:from>
    <xdr:to>
      <xdr:col>1</xdr:col>
      <xdr:colOff>693738</xdr:colOff>
      <xdr:row>1657</xdr:row>
      <xdr:rowOff>144802</xdr:rowOff>
    </xdr:to>
    <xdr:grpSp>
      <xdr:nvGrpSpPr>
        <xdr:cNvPr id="2323" name="909 Grupo"/>
        <xdr:cNvGrpSpPr/>
      </xdr:nvGrpSpPr>
      <xdr:grpSpPr>
        <a:xfrm>
          <a:off x="1192213" y="3365500"/>
          <a:ext cx="612775" cy="0"/>
          <a:chOff x="904876" y="59614594"/>
          <a:chExt cx="612775" cy="266246"/>
        </a:xfrm>
      </xdr:grpSpPr>
      <xdr:cxnSp macro="">
        <xdr:nvCxnSpPr>
          <xdr:cNvPr id="2324" name="Conector recto 16"/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25" name="536 Grupo"/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6" name="Conector recto 13"/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7" name="Conector recto 16"/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8" name="Conector recto 13"/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54429</xdr:colOff>
      <xdr:row>1660</xdr:row>
      <xdr:rowOff>68035</xdr:rowOff>
    </xdr:from>
    <xdr:to>
      <xdr:col>1</xdr:col>
      <xdr:colOff>659266</xdr:colOff>
      <xdr:row>1663</xdr:row>
      <xdr:rowOff>81529</xdr:rowOff>
    </xdr:to>
    <xdr:grpSp>
      <xdr:nvGrpSpPr>
        <xdr:cNvPr id="2329" name="915 Grupo"/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330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1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2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3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1664</xdr:row>
      <xdr:rowOff>97971</xdr:rowOff>
    </xdr:from>
    <xdr:to>
      <xdr:col>1</xdr:col>
      <xdr:colOff>716416</xdr:colOff>
      <xdr:row>1667</xdr:row>
      <xdr:rowOff>111465</xdr:rowOff>
    </xdr:to>
    <xdr:grpSp>
      <xdr:nvGrpSpPr>
        <xdr:cNvPr id="2334" name="920 Grupo"/>
        <xdr:cNvGrpSpPr/>
      </xdr:nvGrpSpPr>
      <xdr:grpSpPr>
        <a:xfrm>
          <a:off x="1222829" y="3365500"/>
          <a:ext cx="604837" cy="0"/>
          <a:chOff x="845344" y="62329219"/>
          <a:chExt cx="604837" cy="584994"/>
        </a:xfrm>
      </xdr:grpSpPr>
      <xdr:cxnSp macro="">
        <xdr:nvCxnSpPr>
          <xdr:cNvPr id="2335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6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7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8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1668</xdr:row>
      <xdr:rowOff>95250</xdr:rowOff>
    </xdr:from>
    <xdr:to>
      <xdr:col>1</xdr:col>
      <xdr:colOff>791935</xdr:colOff>
      <xdr:row>1668</xdr:row>
      <xdr:rowOff>95250</xdr:rowOff>
    </xdr:to>
    <xdr:cxnSp macro="">
      <xdr:nvCxnSpPr>
        <xdr:cNvPr id="2339" name="Conector recto 39"/>
        <xdr:cNvCxnSpPr>
          <a:cxnSpLocks noChangeShapeType="1"/>
        </xdr:cNvCxnSpPr>
      </xdr:nvCxnSpPr>
      <xdr:spPr bwMode="auto">
        <a:xfrm>
          <a:off x="830035" y="63169800"/>
          <a:ext cx="69532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57150</xdr:colOff>
      <xdr:row>1669</xdr:row>
      <xdr:rowOff>111579</xdr:rowOff>
    </xdr:from>
    <xdr:to>
      <xdr:col>1</xdr:col>
      <xdr:colOff>781050</xdr:colOff>
      <xdr:row>1669</xdr:row>
      <xdr:rowOff>111579</xdr:rowOff>
    </xdr:to>
    <xdr:cxnSp macro="">
      <xdr:nvCxnSpPr>
        <xdr:cNvPr id="2340" name="Conector recto 39"/>
        <xdr:cNvCxnSpPr>
          <a:cxnSpLocks noChangeShapeType="1"/>
        </xdr:cNvCxnSpPr>
      </xdr:nvCxnSpPr>
      <xdr:spPr bwMode="auto">
        <a:xfrm>
          <a:off x="819150" y="63376629"/>
          <a:ext cx="704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1673</xdr:row>
      <xdr:rowOff>40821</xdr:rowOff>
    </xdr:from>
    <xdr:to>
      <xdr:col>1</xdr:col>
      <xdr:colOff>620184</xdr:colOff>
      <xdr:row>1673</xdr:row>
      <xdr:rowOff>103716</xdr:rowOff>
    </xdr:to>
    <xdr:grpSp>
      <xdr:nvGrpSpPr>
        <xdr:cNvPr id="2343" name="Grupo 273"/>
        <xdr:cNvGrpSpPr>
          <a:grpSpLocks/>
        </xdr:cNvGrpSpPr>
      </xdr:nvGrpSpPr>
      <xdr:grpSpPr bwMode="auto">
        <a:xfrm>
          <a:off x="1196975" y="3365500"/>
          <a:ext cx="534459" cy="0"/>
          <a:chOff x="10648950" y="5124450"/>
          <a:chExt cx="1085850" cy="95250"/>
        </a:xfrm>
      </xdr:grpSpPr>
      <xdr:cxnSp macro="">
        <xdr:nvCxnSpPr>
          <xdr:cNvPr id="234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1674</xdr:row>
      <xdr:rowOff>18596</xdr:rowOff>
    </xdr:from>
    <xdr:to>
      <xdr:col>1</xdr:col>
      <xdr:colOff>629709</xdr:colOff>
      <xdr:row>1674</xdr:row>
      <xdr:rowOff>81491</xdr:rowOff>
    </xdr:to>
    <xdr:grpSp>
      <xdr:nvGrpSpPr>
        <xdr:cNvPr id="2346" name="Grupo 273"/>
        <xdr:cNvGrpSpPr>
          <a:grpSpLocks/>
        </xdr:cNvGrpSpPr>
      </xdr:nvGrpSpPr>
      <xdr:grpSpPr bwMode="auto">
        <a:xfrm>
          <a:off x="1206500" y="3365500"/>
          <a:ext cx="534459" cy="0"/>
          <a:chOff x="10648950" y="5124450"/>
          <a:chExt cx="1085850" cy="95250"/>
        </a:xfrm>
      </xdr:grpSpPr>
      <xdr:cxnSp macro="">
        <xdr:nvCxnSpPr>
          <xdr:cNvPr id="234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1675</xdr:row>
      <xdr:rowOff>62252</xdr:rowOff>
    </xdr:from>
    <xdr:to>
      <xdr:col>1</xdr:col>
      <xdr:colOff>641615</xdr:colOff>
      <xdr:row>1675</xdr:row>
      <xdr:rowOff>125147</xdr:rowOff>
    </xdr:to>
    <xdr:grpSp>
      <xdr:nvGrpSpPr>
        <xdr:cNvPr id="2349" name="Grupo 273"/>
        <xdr:cNvGrpSpPr>
          <a:grpSpLocks/>
        </xdr:cNvGrpSpPr>
      </xdr:nvGrpSpPr>
      <xdr:grpSpPr bwMode="auto">
        <a:xfrm>
          <a:off x="1218406" y="3365500"/>
          <a:ext cx="534459" cy="0"/>
          <a:chOff x="10648950" y="5124450"/>
          <a:chExt cx="1085850" cy="95250"/>
        </a:xfrm>
      </xdr:grpSpPr>
      <xdr:cxnSp macro="">
        <xdr:nvCxnSpPr>
          <xdr:cNvPr id="235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109538</xdr:colOff>
      <xdr:row>1676</xdr:row>
      <xdr:rowOff>28914</xdr:rowOff>
    </xdr:from>
    <xdr:to>
      <xdr:col>1</xdr:col>
      <xdr:colOff>643997</xdr:colOff>
      <xdr:row>1676</xdr:row>
      <xdr:rowOff>91809</xdr:rowOff>
    </xdr:to>
    <xdr:grpSp>
      <xdr:nvGrpSpPr>
        <xdr:cNvPr id="2352" name="Grupo 273"/>
        <xdr:cNvGrpSpPr>
          <a:grpSpLocks/>
        </xdr:cNvGrpSpPr>
      </xdr:nvGrpSpPr>
      <xdr:grpSpPr bwMode="auto">
        <a:xfrm>
          <a:off x="1220788" y="3365500"/>
          <a:ext cx="534459" cy="0"/>
          <a:chOff x="10648950" y="5124450"/>
          <a:chExt cx="1085850" cy="95250"/>
        </a:xfrm>
      </xdr:grpSpPr>
      <xdr:cxnSp macro="">
        <xdr:nvCxnSpPr>
          <xdr:cNvPr id="235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1677</xdr:row>
      <xdr:rowOff>27214</xdr:rowOff>
    </xdr:from>
    <xdr:to>
      <xdr:col>1</xdr:col>
      <xdr:colOff>607786</xdr:colOff>
      <xdr:row>1677</xdr:row>
      <xdr:rowOff>418796</xdr:rowOff>
    </xdr:to>
    <xdr:sp macro="" textlink="">
      <xdr:nvSpPr>
        <xdr:cNvPr id="2356" name="Rectángulo redondeado 23"/>
        <xdr:cNvSpPr>
          <a:spLocks noChangeArrowheads="1"/>
        </xdr:cNvSpPr>
      </xdr:nvSpPr>
      <xdr:spPr bwMode="auto">
        <a:xfrm>
          <a:off x="830036" y="648162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1678</xdr:row>
      <xdr:rowOff>57830</xdr:rowOff>
    </xdr:from>
    <xdr:to>
      <xdr:col>1</xdr:col>
      <xdr:colOff>351405</xdr:colOff>
      <xdr:row>1678</xdr:row>
      <xdr:rowOff>324530</xdr:rowOff>
    </xdr:to>
    <xdr:sp macro="" textlink="">
      <xdr:nvSpPr>
        <xdr:cNvPr id="2357" name="Forma libre 6"/>
        <xdr:cNvSpPr>
          <a:spLocks/>
        </xdr:cNvSpPr>
      </xdr:nvSpPr>
      <xdr:spPr bwMode="auto">
        <a:xfrm>
          <a:off x="1056255" y="6532313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1682</xdr:row>
      <xdr:rowOff>68036</xdr:rowOff>
    </xdr:from>
    <xdr:to>
      <xdr:col>1</xdr:col>
      <xdr:colOff>645773</xdr:colOff>
      <xdr:row>1682</xdr:row>
      <xdr:rowOff>69624</xdr:rowOff>
    </xdr:to>
    <xdr:cxnSp macro="">
      <xdr:nvCxnSpPr>
        <xdr:cNvPr id="2358" name="Conector recto 4"/>
        <xdr:cNvCxnSpPr>
          <a:cxnSpLocks noChangeShapeType="1"/>
        </xdr:cNvCxnSpPr>
      </xdr:nvCxnSpPr>
      <xdr:spPr bwMode="auto">
        <a:xfrm>
          <a:off x="826748" y="66323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1682</xdr:row>
      <xdr:rowOff>68830</xdr:rowOff>
    </xdr:from>
    <xdr:to>
      <xdr:col>1</xdr:col>
      <xdr:colOff>56017</xdr:colOff>
      <xdr:row>1682</xdr:row>
      <xdr:rowOff>145030</xdr:rowOff>
    </xdr:to>
    <xdr:cxnSp macro="">
      <xdr:nvCxnSpPr>
        <xdr:cNvPr id="2359" name="Conector recto 7"/>
        <xdr:cNvCxnSpPr>
          <a:cxnSpLocks noChangeShapeType="1"/>
        </xdr:cNvCxnSpPr>
      </xdr:nvCxnSpPr>
      <xdr:spPr bwMode="auto">
        <a:xfrm rot="5400000">
          <a:off x="779123" y="66362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75860</xdr:colOff>
      <xdr:row>1683</xdr:row>
      <xdr:rowOff>66449</xdr:rowOff>
    </xdr:from>
    <xdr:to>
      <xdr:col>1</xdr:col>
      <xdr:colOff>77448</xdr:colOff>
      <xdr:row>1683</xdr:row>
      <xdr:rowOff>142649</xdr:rowOff>
    </xdr:to>
    <xdr:cxnSp macro="">
      <xdr:nvCxnSpPr>
        <xdr:cNvPr id="2360" name="Conector recto 7"/>
        <xdr:cNvCxnSpPr>
          <a:cxnSpLocks noChangeShapeType="1"/>
        </xdr:cNvCxnSpPr>
      </xdr:nvCxnSpPr>
      <xdr:spPr bwMode="auto">
        <a:xfrm rot="5400000">
          <a:off x="800554" y="6655015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78241</xdr:colOff>
      <xdr:row>1683</xdr:row>
      <xdr:rowOff>56130</xdr:rowOff>
    </xdr:from>
    <xdr:to>
      <xdr:col>1</xdr:col>
      <xdr:colOff>659266</xdr:colOff>
      <xdr:row>1683</xdr:row>
      <xdr:rowOff>57718</xdr:rowOff>
    </xdr:to>
    <xdr:cxnSp macro="">
      <xdr:nvCxnSpPr>
        <xdr:cNvPr id="2361" name="Conector recto 4"/>
        <xdr:cNvCxnSpPr>
          <a:cxnSpLocks noChangeShapeType="1"/>
        </xdr:cNvCxnSpPr>
      </xdr:nvCxnSpPr>
      <xdr:spPr bwMode="auto">
        <a:xfrm>
          <a:off x="840241" y="6650253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1684</xdr:row>
      <xdr:rowOff>112145</xdr:rowOff>
    </xdr:from>
    <xdr:to>
      <xdr:col>1</xdr:col>
      <xdr:colOff>680811</xdr:colOff>
      <xdr:row>1684</xdr:row>
      <xdr:rowOff>114867</xdr:rowOff>
    </xdr:to>
    <xdr:cxnSp macro="">
      <xdr:nvCxnSpPr>
        <xdr:cNvPr id="2362" name="Conector recto 16"/>
        <xdr:cNvCxnSpPr>
          <a:cxnSpLocks noChangeShapeType="1"/>
        </xdr:cNvCxnSpPr>
      </xdr:nvCxnSpPr>
      <xdr:spPr bwMode="auto">
        <a:xfrm>
          <a:off x="842736" y="66749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1684</xdr:row>
      <xdr:rowOff>27214</xdr:rowOff>
    </xdr:from>
    <xdr:to>
      <xdr:col>1</xdr:col>
      <xdr:colOff>81530</xdr:colOff>
      <xdr:row>1684</xdr:row>
      <xdr:rowOff>103414</xdr:rowOff>
    </xdr:to>
    <xdr:cxnSp macro="">
      <xdr:nvCxnSpPr>
        <xdr:cNvPr id="2363" name="Conector recto 13"/>
        <xdr:cNvCxnSpPr>
          <a:cxnSpLocks noChangeShapeType="1"/>
        </xdr:cNvCxnSpPr>
      </xdr:nvCxnSpPr>
      <xdr:spPr bwMode="auto">
        <a:xfrm rot="5400000">
          <a:off x="804636" y="66701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1685</xdr:row>
      <xdr:rowOff>100238</xdr:rowOff>
    </xdr:from>
    <xdr:to>
      <xdr:col>1</xdr:col>
      <xdr:colOff>668905</xdr:colOff>
      <xdr:row>1685</xdr:row>
      <xdr:rowOff>102960</xdr:rowOff>
    </xdr:to>
    <xdr:cxnSp macro="">
      <xdr:nvCxnSpPr>
        <xdr:cNvPr id="2364" name="Conector recto 16"/>
        <xdr:cNvCxnSpPr>
          <a:cxnSpLocks noChangeShapeType="1"/>
        </xdr:cNvCxnSpPr>
      </xdr:nvCxnSpPr>
      <xdr:spPr bwMode="auto">
        <a:xfrm>
          <a:off x="830830" y="66927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1685</xdr:row>
      <xdr:rowOff>15307</xdr:rowOff>
    </xdr:from>
    <xdr:to>
      <xdr:col>1</xdr:col>
      <xdr:colOff>69624</xdr:colOff>
      <xdr:row>1685</xdr:row>
      <xdr:rowOff>91507</xdr:rowOff>
    </xdr:to>
    <xdr:cxnSp macro="">
      <xdr:nvCxnSpPr>
        <xdr:cNvPr id="2365" name="Conector recto 13"/>
        <xdr:cNvCxnSpPr>
          <a:cxnSpLocks noChangeShapeType="1"/>
        </xdr:cNvCxnSpPr>
      </xdr:nvCxnSpPr>
      <xdr:spPr bwMode="auto">
        <a:xfrm rot="5400000">
          <a:off x="792730" y="66880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1686</xdr:row>
      <xdr:rowOff>139360</xdr:rowOff>
    </xdr:from>
    <xdr:to>
      <xdr:col>1</xdr:col>
      <xdr:colOff>682511</xdr:colOff>
      <xdr:row>1686</xdr:row>
      <xdr:rowOff>142082</xdr:rowOff>
    </xdr:to>
    <xdr:cxnSp macro="">
      <xdr:nvCxnSpPr>
        <xdr:cNvPr id="2366" name="Conector recto 16"/>
        <xdr:cNvCxnSpPr>
          <a:cxnSpLocks noChangeShapeType="1"/>
        </xdr:cNvCxnSpPr>
      </xdr:nvCxnSpPr>
      <xdr:spPr bwMode="auto">
        <a:xfrm>
          <a:off x="844436" y="67157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1686</xdr:row>
      <xdr:rowOff>54429</xdr:rowOff>
    </xdr:from>
    <xdr:to>
      <xdr:col>1</xdr:col>
      <xdr:colOff>83230</xdr:colOff>
      <xdr:row>1686</xdr:row>
      <xdr:rowOff>130629</xdr:rowOff>
    </xdr:to>
    <xdr:cxnSp macro="">
      <xdr:nvCxnSpPr>
        <xdr:cNvPr id="2367" name="Conector recto 13"/>
        <xdr:cNvCxnSpPr>
          <a:cxnSpLocks noChangeShapeType="1"/>
        </xdr:cNvCxnSpPr>
      </xdr:nvCxnSpPr>
      <xdr:spPr bwMode="auto">
        <a:xfrm rot="5400000">
          <a:off x="806336" y="67109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58511</xdr:colOff>
      <xdr:row>1689</xdr:row>
      <xdr:rowOff>40822</xdr:rowOff>
    </xdr:from>
    <xdr:to>
      <xdr:col>1</xdr:col>
      <xdr:colOff>592970</xdr:colOff>
      <xdr:row>1689</xdr:row>
      <xdr:rowOff>103717</xdr:rowOff>
    </xdr:to>
    <xdr:grpSp>
      <xdr:nvGrpSpPr>
        <xdr:cNvPr id="2370" name="Grupo 273"/>
        <xdr:cNvGrpSpPr>
          <a:grpSpLocks/>
        </xdr:cNvGrpSpPr>
      </xdr:nvGrpSpPr>
      <xdr:grpSpPr bwMode="auto">
        <a:xfrm>
          <a:off x="1169761" y="3365500"/>
          <a:ext cx="534459" cy="0"/>
          <a:chOff x="10648950" y="5124450"/>
          <a:chExt cx="1085850" cy="95250"/>
        </a:xfrm>
      </xdr:grpSpPr>
      <xdr:cxnSp macro="">
        <xdr:nvCxnSpPr>
          <xdr:cNvPr id="237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1690</xdr:row>
      <xdr:rowOff>18597</xdr:rowOff>
    </xdr:from>
    <xdr:to>
      <xdr:col>1</xdr:col>
      <xdr:colOff>602495</xdr:colOff>
      <xdr:row>1690</xdr:row>
      <xdr:rowOff>81492</xdr:rowOff>
    </xdr:to>
    <xdr:grpSp>
      <xdr:nvGrpSpPr>
        <xdr:cNvPr id="2373" name="Grupo 273"/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37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79942</xdr:colOff>
      <xdr:row>1691</xdr:row>
      <xdr:rowOff>62253</xdr:rowOff>
    </xdr:from>
    <xdr:to>
      <xdr:col>1</xdr:col>
      <xdr:colOff>614401</xdr:colOff>
      <xdr:row>1691</xdr:row>
      <xdr:rowOff>125148</xdr:rowOff>
    </xdr:to>
    <xdr:grpSp>
      <xdr:nvGrpSpPr>
        <xdr:cNvPr id="2376" name="Grupo 273"/>
        <xdr:cNvGrpSpPr>
          <a:grpSpLocks/>
        </xdr:cNvGrpSpPr>
      </xdr:nvGrpSpPr>
      <xdr:grpSpPr bwMode="auto">
        <a:xfrm>
          <a:off x="1191192" y="3365500"/>
          <a:ext cx="534459" cy="0"/>
          <a:chOff x="10648950" y="5124450"/>
          <a:chExt cx="1085850" cy="95250"/>
        </a:xfrm>
      </xdr:grpSpPr>
      <xdr:cxnSp macro="">
        <xdr:nvCxnSpPr>
          <xdr:cNvPr id="237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82324</xdr:colOff>
      <xdr:row>1692</xdr:row>
      <xdr:rowOff>28915</xdr:rowOff>
    </xdr:from>
    <xdr:to>
      <xdr:col>1</xdr:col>
      <xdr:colOff>616783</xdr:colOff>
      <xdr:row>1692</xdr:row>
      <xdr:rowOff>91810</xdr:rowOff>
    </xdr:to>
    <xdr:grpSp>
      <xdr:nvGrpSpPr>
        <xdr:cNvPr id="2379" name="Grupo 273"/>
        <xdr:cNvGrpSpPr>
          <a:grpSpLocks/>
        </xdr:cNvGrpSpPr>
      </xdr:nvGrpSpPr>
      <xdr:grpSpPr bwMode="auto">
        <a:xfrm>
          <a:off x="1193574" y="3365500"/>
          <a:ext cx="534459" cy="0"/>
          <a:chOff x="10648950" y="5124450"/>
          <a:chExt cx="1085850" cy="95250"/>
        </a:xfrm>
      </xdr:grpSpPr>
      <xdr:cxnSp macro="">
        <xdr:nvCxnSpPr>
          <xdr:cNvPr id="238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8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1693</xdr:row>
      <xdr:rowOff>27215</xdr:rowOff>
    </xdr:from>
    <xdr:to>
      <xdr:col>1</xdr:col>
      <xdr:colOff>607786</xdr:colOff>
      <xdr:row>1693</xdr:row>
      <xdr:rowOff>418797</xdr:rowOff>
    </xdr:to>
    <xdr:sp macro="" textlink="">
      <xdr:nvSpPr>
        <xdr:cNvPr id="2382" name="Rectángulo redondeado 23"/>
        <xdr:cNvSpPr>
          <a:spLocks noChangeArrowheads="1"/>
        </xdr:cNvSpPr>
      </xdr:nvSpPr>
      <xdr:spPr bwMode="auto">
        <a:xfrm>
          <a:off x="830036" y="6837861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1694</xdr:row>
      <xdr:rowOff>71438</xdr:rowOff>
    </xdr:from>
    <xdr:to>
      <xdr:col>1</xdr:col>
      <xdr:colOff>351405</xdr:colOff>
      <xdr:row>1694</xdr:row>
      <xdr:rowOff>338138</xdr:rowOff>
    </xdr:to>
    <xdr:sp macro="" textlink="">
      <xdr:nvSpPr>
        <xdr:cNvPr id="2383" name="Forma libre 6"/>
        <xdr:cNvSpPr>
          <a:spLocks/>
        </xdr:cNvSpPr>
      </xdr:nvSpPr>
      <xdr:spPr bwMode="auto">
        <a:xfrm>
          <a:off x="1056255" y="6888956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1698</xdr:row>
      <xdr:rowOff>54429</xdr:rowOff>
    </xdr:from>
    <xdr:to>
      <xdr:col>1</xdr:col>
      <xdr:colOff>686594</xdr:colOff>
      <xdr:row>1698</xdr:row>
      <xdr:rowOff>56017</xdr:rowOff>
    </xdr:to>
    <xdr:cxnSp macro="">
      <xdr:nvCxnSpPr>
        <xdr:cNvPr id="2384" name="Conector recto 4"/>
        <xdr:cNvCxnSpPr>
          <a:cxnSpLocks noChangeShapeType="1"/>
        </xdr:cNvCxnSpPr>
      </xdr:nvCxnSpPr>
      <xdr:spPr bwMode="auto">
        <a:xfrm>
          <a:off x="867569" y="699393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1698</xdr:row>
      <xdr:rowOff>55223</xdr:rowOff>
    </xdr:from>
    <xdr:to>
      <xdr:col>1</xdr:col>
      <xdr:colOff>96838</xdr:colOff>
      <xdr:row>1698</xdr:row>
      <xdr:rowOff>131423</xdr:rowOff>
    </xdr:to>
    <xdr:cxnSp macro="">
      <xdr:nvCxnSpPr>
        <xdr:cNvPr id="2385" name="Conector recto 7"/>
        <xdr:cNvCxnSpPr>
          <a:cxnSpLocks noChangeShapeType="1"/>
        </xdr:cNvCxnSpPr>
      </xdr:nvCxnSpPr>
      <xdr:spPr bwMode="auto">
        <a:xfrm rot="5400000">
          <a:off x="819944" y="699774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1701</xdr:row>
      <xdr:rowOff>125752</xdr:rowOff>
    </xdr:from>
    <xdr:to>
      <xdr:col>1</xdr:col>
      <xdr:colOff>708025</xdr:colOff>
      <xdr:row>1701</xdr:row>
      <xdr:rowOff>128474</xdr:rowOff>
    </xdr:to>
    <xdr:cxnSp macro="">
      <xdr:nvCxnSpPr>
        <xdr:cNvPr id="2388" name="Conector recto 16"/>
        <xdr:cNvCxnSpPr>
          <a:cxnSpLocks noChangeShapeType="1"/>
        </xdr:cNvCxnSpPr>
      </xdr:nvCxnSpPr>
      <xdr:spPr bwMode="auto">
        <a:xfrm>
          <a:off x="869950" y="70582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1701</xdr:row>
      <xdr:rowOff>40821</xdr:rowOff>
    </xdr:from>
    <xdr:to>
      <xdr:col>1</xdr:col>
      <xdr:colOff>108744</xdr:colOff>
      <xdr:row>1701</xdr:row>
      <xdr:rowOff>117021</xdr:rowOff>
    </xdr:to>
    <xdr:cxnSp macro="">
      <xdr:nvCxnSpPr>
        <xdr:cNvPr id="2389" name="Conector recto 13"/>
        <xdr:cNvCxnSpPr>
          <a:cxnSpLocks noChangeShapeType="1"/>
        </xdr:cNvCxnSpPr>
      </xdr:nvCxnSpPr>
      <xdr:spPr bwMode="auto">
        <a:xfrm rot="5400000">
          <a:off x="831850" y="7053455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1702</xdr:row>
      <xdr:rowOff>113845</xdr:rowOff>
    </xdr:from>
    <xdr:to>
      <xdr:col>1</xdr:col>
      <xdr:colOff>696119</xdr:colOff>
      <xdr:row>1702</xdr:row>
      <xdr:rowOff>116567</xdr:rowOff>
    </xdr:to>
    <xdr:cxnSp macro="">
      <xdr:nvCxnSpPr>
        <xdr:cNvPr id="2390" name="Conector recto 16"/>
        <xdr:cNvCxnSpPr>
          <a:cxnSpLocks noChangeShapeType="1"/>
        </xdr:cNvCxnSpPr>
      </xdr:nvCxnSpPr>
      <xdr:spPr bwMode="auto">
        <a:xfrm>
          <a:off x="858044" y="707607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1702</xdr:row>
      <xdr:rowOff>28914</xdr:rowOff>
    </xdr:from>
    <xdr:to>
      <xdr:col>1</xdr:col>
      <xdr:colOff>96838</xdr:colOff>
      <xdr:row>1702</xdr:row>
      <xdr:rowOff>105114</xdr:rowOff>
    </xdr:to>
    <xdr:cxnSp macro="">
      <xdr:nvCxnSpPr>
        <xdr:cNvPr id="2391" name="Conector recto 13"/>
        <xdr:cNvCxnSpPr>
          <a:cxnSpLocks noChangeShapeType="1"/>
        </xdr:cNvCxnSpPr>
      </xdr:nvCxnSpPr>
      <xdr:spPr bwMode="auto">
        <a:xfrm rot="5400000">
          <a:off x="819944" y="707131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1703</xdr:row>
      <xdr:rowOff>152967</xdr:rowOff>
    </xdr:from>
    <xdr:to>
      <xdr:col>1</xdr:col>
      <xdr:colOff>709725</xdr:colOff>
      <xdr:row>1703</xdr:row>
      <xdr:rowOff>155689</xdr:rowOff>
    </xdr:to>
    <xdr:cxnSp macro="">
      <xdr:nvCxnSpPr>
        <xdr:cNvPr id="2392" name="Conector recto 16"/>
        <xdr:cNvCxnSpPr>
          <a:cxnSpLocks noChangeShapeType="1"/>
        </xdr:cNvCxnSpPr>
      </xdr:nvCxnSpPr>
      <xdr:spPr bwMode="auto">
        <a:xfrm>
          <a:off x="871650" y="7099039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1703</xdr:row>
      <xdr:rowOff>68036</xdr:rowOff>
    </xdr:from>
    <xdr:to>
      <xdr:col>1</xdr:col>
      <xdr:colOff>110444</xdr:colOff>
      <xdr:row>1703</xdr:row>
      <xdr:rowOff>144236</xdr:rowOff>
    </xdr:to>
    <xdr:cxnSp macro="">
      <xdr:nvCxnSpPr>
        <xdr:cNvPr id="2393" name="Conector recto 13"/>
        <xdr:cNvCxnSpPr>
          <a:cxnSpLocks noChangeShapeType="1"/>
        </xdr:cNvCxnSpPr>
      </xdr:nvCxnSpPr>
      <xdr:spPr bwMode="auto">
        <a:xfrm rot="5400000">
          <a:off x="833550" y="7094276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1704</xdr:row>
      <xdr:rowOff>95250</xdr:rowOff>
    </xdr:from>
    <xdr:to>
      <xdr:col>1</xdr:col>
      <xdr:colOff>588888</xdr:colOff>
      <xdr:row>1704</xdr:row>
      <xdr:rowOff>158145</xdr:rowOff>
    </xdr:to>
    <xdr:grpSp>
      <xdr:nvGrpSpPr>
        <xdr:cNvPr id="2394" name="Grupo 273"/>
        <xdr:cNvGrpSpPr>
          <a:grpSpLocks/>
        </xdr:cNvGrpSpPr>
      </xdr:nvGrpSpPr>
      <xdr:grpSpPr bwMode="auto">
        <a:xfrm>
          <a:off x="1165679" y="3365500"/>
          <a:ext cx="534459" cy="0"/>
          <a:chOff x="10648950" y="5124450"/>
          <a:chExt cx="1085850" cy="95250"/>
        </a:xfrm>
      </xdr:grpSpPr>
      <xdr:cxnSp macro="">
        <xdr:nvCxnSpPr>
          <xdr:cNvPr id="239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63954</xdr:colOff>
      <xdr:row>1705</xdr:row>
      <xdr:rowOff>73025</xdr:rowOff>
    </xdr:from>
    <xdr:to>
      <xdr:col>1</xdr:col>
      <xdr:colOff>598413</xdr:colOff>
      <xdr:row>1705</xdr:row>
      <xdr:rowOff>135920</xdr:rowOff>
    </xdr:to>
    <xdr:grpSp>
      <xdr:nvGrpSpPr>
        <xdr:cNvPr id="2397" name="Grupo 273"/>
        <xdr:cNvGrpSpPr>
          <a:grpSpLocks/>
        </xdr:cNvGrpSpPr>
      </xdr:nvGrpSpPr>
      <xdr:grpSpPr bwMode="auto">
        <a:xfrm>
          <a:off x="1175204" y="3365500"/>
          <a:ext cx="534459" cy="0"/>
          <a:chOff x="10648950" y="5124450"/>
          <a:chExt cx="1085850" cy="95250"/>
        </a:xfrm>
      </xdr:grpSpPr>
      <xdr:cxnSp macro="">
        <xdr:nvCxnSpPr>
          <xdr:cNvPr id="239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75860</xdr:colOff>
      <xdr:row>1706</xdr:row>
      <xdr:rowOff>116681</xdr:rowOff>
    </xdr:from>
    <xdr:to>
      <xdr:col>1</xdr:col>
      <xdr:colOff>610319</xdr:colOff>
      <xdr:row>1706</xdr:row>
      <xdr:rowOff>179576</xdr:rowOff>
    </xdr:to>
    <xdr:grpSp>
      <xdr:nvGrpSpPr>
        <xdr:cNvPr id="2400" name="Grupo 273"/>
        <xdr:cNvGrpSpPr>
          <a:grpSpLocks/>
        </xdr:cNvGrpSpPr>
      </xdr:nvGrpSpPr>
      <xdr:grpSpPr bwMode="auto">
        <a:xfrm>
          <a:off x="1187110" y="3365500"/>
          <a:ext cx="534459" cy="0"/>
          <a:chOff x="10648950" y="5124450"/>
          <a:chExt cx="1085850" cy="95250"/>
        </a:xfrm>
      </xdr:grpSpPr>
      <xdr:cxnSp macro="">
        <xdr:nvCxnSpPr>
          <xdr:cNvPr id="240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78242</xdr:colOff>
      <xdr:row>1707</xdr:row>
      <xdr:rowOff>83343</xdr:rowOff>
    </xdr:from>
    <xdr:to>
      <xdr:col>1</xdr:col>
      <xdr:colOff>612701</xdr:colOff>
      <xdr:row>1707</xdr:row>
      <xdr:rowOff>146238</xdr:rowOff>
    </xdr:to>
    <xdr:grpSp>
      <xdr:nvGrpSpPr>
        <xdr:cNvPr id="2403" name="Grupo 273"/>
        <xdr:cNvGrpSpPr>
          <a:grpSpLocks/>
        </xdr:cNvGrpSpPr>
      </xdr:nvGrpSpPr>
      <xdr:grpSpPr bwMode="auto">
        <a:xfrm>
          <a:off x="1189492" y="3365500"/>
          <a:ext cx="534459" cy="0"/>
          <a:chOff x="10648950" y="5124450"/>
          <a:chExt cx="1085850" cy="95250"/>
        </a:xfrm>
      </xdr:grpSpPr>
      <xdr:cxnSp macro="">
        <xdr:nvCxnSpPr>
          <xdr:cNvPr id="240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1708</xdr:row>
      <xdr:rowOff>40821</xdr:rowOff>
    </xdr:from>
    <xdr:to>
      <xdr:col>1</xdr:col>
      <xdr:colOff>607786</xdr:colOff>
      <xdr:row>1708</xdr:row>
      <xdr:rowOff>432403</xdr:rowOff>
    </xdr:to>
    <xdr:sp macro="" textlink="">
      <xdr:nvSpPr>
        <xdr:cNvPr id="2406" name="Rectángulo redondeado 23"/>
        <xdr:cNvSpPr>
          <a:spLocks noChangeArrowheads="1"/>
        </xdr:cNvSpPr>
      </xdr:nvSpPr>
      <xdr:spPr bwMode="auto">
        <a:xfrm>
          <a:off x="830036" y="7183074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1709</xdr:row>
      <xdr:rowOff>85044</xdr:rowOff>
    </xdr:from>
    <xdr:to>
      <xdr:col>1</xdr:col>
      <xdr:colOff>351405</xdr:colOff>
      <xdr:row>1709</xdr:row>
      <xdr:rowOff>351744</xdr:rowOff>
    </xdr:to>
    <xdr:sp macro="" textlink="">
      <xdr:nvSpPr>
        <xdr:cNvPr id="2407" name="Forma libre 6"/>
        <xdr:cNvSpPr>
          <a:spLocks/>
        </xdr:cNvSpPr>
      </xdr:nvSpPr>
      <xdr:spPr bwMode="auto">
        <a:xfrm>
          <a:off x="1056255" y="7234169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1713</xdr:row>
      <xdr:rowOff>40821</xdr:rowOff>
    </xdr:from>
    <xdr:to>
      <xdr:col>1</xdr:col>
      <xdr:colOff>686594</xdr:colOff>
      <xdr:row>1713</xdr:row>
      <xdr:rowOff>42409</xdr:rowOff>
    </xdr:to>
    <xdr:cxnSp macro="">
      <xdr:nvCxnSpPr>
        <xdr:cNvPr id="2408" name="Conector recto 4"/>
        <xdr:cNvCxnSpPr>
          <a:cxnSpLocks noChangeShapeType="1"/>
        </xdr:cNvCxnSpPr>
      </xdr:nvCxnSpPr>
      <xdr:spPr bwMode="auto">
        <a:xfrm>
          <a:off x="867569" y="7327854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1713</xdr:row>
      <xdr:rowOff>41615</xdr:rowOff>
    </xdr:from>
    <xdr:to>
      <xdr:col>1</xdr:col>
      <xdr:colOff>96838</xdr:colOff>
      <xdr:row>1713</xdr:row>
      <xdr:rowOff>117815</xdr:rowOff>
    </xdr:to>
    <xdr:cxnSp macro="">
      <xdr:nvCxnSpPr>
        <xdr:cNvPr id="2409" name="Conector recto 7"/>
        <xdr:cNvCxnSpPr>
          <a:cxnSpLocks noChangeShapeType="1"/>
        </xdr:cNvCxnSpPr>
      </xdr:nvCxnSpPr>
      <xdr:spPr bwMode="auto">
        <a:xfrm rot="5400000">
          <a:off x="819944" y="733166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121557</xdr:colOff>
      <xdr:row>1714</xdr:row>
      <xdr:rowOff>98538</xdr:rowOff>
    </xdr:from>
    <xdr:to>
      <xdr:col>1</xdr:col>
      <xdr:colOff>721632</xdr:colOff>
      <xdr:row>1714</xdr:row>
      <xdr:rowOff>101260</xdr:rowOff>
    </xdr:to>
    <xdr:cxnSp macro="">
      <xdr:nvCxnSpPr>
        <xdr:cNvPr id="2410" name="Conector recto 16"/>
        <xdr:cNvCxnSpPr>
          <a:cxnSpLocks noChangeShapeType="1"/>
        </xdr:cNvCxnSpPr>
      </xdr:nvCxnSpPr>
      <xdr:spPr bwMode="auto">
        <a:xfrm>
          <a:off x="883557" y="735267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1714</xdr:row>
      <xdr:rowOff>13607</xdr:rowOff>
    </xdr:from>
    <xdr:to>
      <xdr:col>1</xdr:col>
      <xdr:colOff>122351</xdr:colOff>
      <xdr:row>1714</xdr:row>
      <xdr:rowOff>89807</xdr:rowOff>
    </xdr:to>
    <xdr:cxnSp macro="">
      <xdr:nvCxnSpPr>
        <xdr:cNvPr id="2411" name="Conector recto 13"/>
        <xdr:cNvCxnSpPr>
          <a:cxnSpLocks noChangeShapeType="1"/>
        </xdr:cNvCxnSpPr>
      </xdr:nvCxnSpPr>
      <xdr:spPr bwMode="auto">
        <a:xfrm rot="5400000">
          <a:off x="845457" y="734791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1715</xdr:row>
      <xdr:rowOff>86631</xdr:rowOff>
    </xdr:from>
    <xdr:to>
      <xdr:col>1</xdr:col>
      <xdr:colOff>709726</xdr:colOff>
      <xdr:row>1715</xdr:row>
      <xdr:rowOff>89353</xdr:rowOff>
    </xdr:to>
    <xdr:cxnSp macro="">
      <xdr:nvCxnSpPr>
        <xdr:cNvPr id="2412" name="Conector recto 16"/>
        <xdr:cNvCxnSpPr>
          <a:cxnSpLocks noChangeShapeType="1"/>
        </xdr:cNvCxnSpPr>
      </xdr:nvCxnSpPr>
      <xdr:spPr bwMode="auto">
        <a:xfrm>
          <a:off x="871651" y="73705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1715</xdr:row>
      <xdr:rowOff>1700</xdr:rowOff>
    </xdr:from>
    <xdr:to>
      <xdr:col>1</xdr:col>
      <xdr:colOff>110445</xdr:colOff>
      <xdr:row>1715</xdr:row>
      <xdr:rowOff>77900</xdr:rowOff>
    </xdr:to>
    <xdr:cxnSp macro="">
      <xdr:nvCxnSpPr>
        <xdr:cNvPr id="2413" name="Conector recto 13"/>
        <xdr:cNvCxnSpPr>
          <a:cxnSpLocks noChangeShapeType="1"/>
        </xdr:cNvCxnSpPr>
      </xdr:nvCxnSpPr>
      <xdr:spPr bwMode="auto">
        <a:xfrm rot="5400000">
          <a:off x="833551" y="736577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123257</xdr:colOff>
      <xdr:row>1716</xdr:row>
      <xdr:rowOff>125753</xdr:rowOff>
    </xdr:from>
    <xdr:to>
      <xdr:col>1</xdr:col>
      <xdr:colOff>723332</xdr:colOff>
      <xdr:row>1716</xdr:row>
      <xdr:rowOff>128475</xdr:rowOff>
    </xdr:to>
    <xdr:cxnSp macro="">
      <xdr:nvCxnSpPr>
        <xdr:cNvPr id="2414" name="Conector recto 16"/>
        <xdr:cNvCxnSpPr>
          <a:cxnSpLocks noChangeShapeType="1"/>
        </xdr:cNvCxnSpPr>
      </xdr:nvCxnSpPr>
      <xdr:spPr bwMode="auto">
        <a:xfrm>
          <a:off x="885257" y="739349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122463</xdr:colOff>
      <xdr:row>1716</xdr:row>
      <xdr:rowOff>40822</xdr:rowOff>
    </xdr:from>
    <xdr:to>
      <xdr:col>1</xdr:col>
      <xdr:colOff>124051</xdr:colOff>
      <xdr:row>1716</xdr:row>
      <xdr:rowOff>117022</xdr:rowOff>
    </xdr:to>
    <xdr:cxnSp macro="">
      <xdr:nvCxnSpPr>
        <xdr:cNvPr id="2415" name="Conector recto 13"/>
        <xdr:cNvCxnSpPr>
          <a:cxnSpLocks noChangeShapeType="1"/>
        </xdr:cNvCxnSpPr>
      </xdr:nvCxnSpPr>
      <xdr:spPr bwMode="auto">
        <a:xfrm rot="5400000">
          <a:off x="847157" y="738873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1717</xdr:row>
      <xdr:rowOff>139359</xdr:rowOff>
    </xdr:from>
    <xdr:to>
      <xdr:col>1</xdr:col>
      <xdr:colOff>709727</xdr:colOff>
      <xdr:row>1717</xdr:row>
      <xdr:rowOff>142081</xdr:rowOff>
    </xdr:to>
    <xdr:cxnSp macro="">
      <xdr:nvCxnSpPr>
        <xdr:cNvPr id="2416" name="Conector recto 16"/>
        <xdr:cNvCxnSpPr>
          <a:cxnSpLocks noChangeShapeType="1"/>
        </xdr:cNvCxnSpPr>
      </xdr:nvCxnSpPr>
      <xdr:spPr bwMode="auto">
        <a:xfrm>
          <a:off x="871652" y="74139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1717</xdr:row>
      <xdr:rowOff>54428</xdr:rowOff>
    </xdr:from>
    <xdr:to>
      <xdr:col>1</xdr:col>
      <xdr:colOff>110446</xdr:colOff>
      <xdr:row>1717</xdr:row>
      <xdr:rowOff>130628</xdr:rowOff>
    </xdr:to>
    <xdr:cxnSp macro="">
      <xdr:nvCxnSpPr>
        <xdr:cNvPr id="2417" name="Conector recto 13"/>
        <xdr:cNvCxnSpPr>
          <a:cxnSpLocks noChangeShapeType="1"/>
        </xdr:cNvCxnSpPr>
      </xdr:nvCxnSpPr>
      <xdr:spPr bwMode="auto">
        <a:xfrm rot="5400000">
          <a:off x="833552" y="74091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1718</xdr:row>
      <xdr:rowOff>95250</xdr:rowOff>
    </xdr:from>
    <xdr:to>
      <xdr:col>1</xdr:col>
      <xdr:colOff>695325</xdr:colOff>
      <xdr:row>1718</xdr:row>
      <xdr:rowOff>97972</xdr:rowOff>
    </xdr:to>
    <xdr:cxnSp macro="">
      <xdr:nvCxnSpPr>
        <xdr:cNvPr id="2418" name="Conector recto 16"/>
        <xdr:cNvCxnSpPr>
          <a:cxnSpLocks noChangeShapeType="1"/>
        </xdr:cNvCxnSpPr>
      </xdr:nvCxnSpPr>
      <xdr:spPr bwMode="auto">
        <a:xfrm>
          <a:off x="857250" y="742854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84365</xdr:colOff>
      <xdr:row>1719</xdr:row>
      <xdr:rowOff>138793</xdr:rowOff>
    </xdr:from>
    <xdr:to>
      <xdr:col>1</xdr:col>
      <xdr:colOff>684440</xdr:colOff>
      <xdr:row>1719</xdr:row>
      <xdr:rowOff>141515</xdr:rowOff>
    </xdr:to>
    <xdr:cxnSp macro="">
      <xdr:nvCxnSpPr>
        <xdr:cNvPr id="2419" name="Conector recto 16"/>
        <xdr:cNvCxnSpPr>
          <a:cxnSpLocks noChangeShapeType="1"/>
        </xdr:cNvCxnSpPr>
      </xdr:nvCxnSpPr>
      <xdr:spPr bwMode="auto">
        <a:xfrm>
          <a:off x="846365" y="7451951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1721</xdr:row>
      <xdr:rowOff>54428</xdr:rowOff>
    </xdr:from>
    <xdr:to>
      <xdr:col>1</xdr:col>
      <xdr:colOff>602494</xdr:colOff>
      <xdr:row>1721</xdr:row>
      <xdr:rowOff>117323</xdr:rowOff>
    </xdr:to>
    <xdr:grpSp>
      <xdr:nvGrpSpPr>
        <xdr:cNvPr id="2421" name="Grupo 273"/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42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1722</xdr:row>
      <xdr:rowOff>32203</xdr:rowOff>
    </xdr:from>
    <xdr:to>
      <xdr:col>1</xdr:col>
      <xdr:colOff>612019</xdr:colOff>
      <xdr:row>1722</xdr:row>
      <xdr:rowOff>95098</xdr:rowOff>
    </xdr:to>
    <xdr:grpSp>
      <xdr:nvGrpSpPr>
        <xdr:cNvPr id="2424" name="Grupo 273"/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42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1723</xdr:row>
      <xdr:rowOff>57150</xdr:rowOff>
    </xdr:from>
    <xdr:to>
      <xdr:col>1</xdr:col>
      <xdr:colOff>646037</xdr:colOff>
      <xdr:row>1723</xdr:row>
      <xdr:rowOff>120045</xdr:rowOff>
    </xdr:to>
    <xdr:grpSp>
      <xdr:nvGrpSpPr>
        <xdr:cNvPr id="2427" name="Grupo 273"/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42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121103</xdr:colOff>
      <xdr:row>1724</xdr:row>
      <xdr:rowOff>34925</xdr:rowOff>
    </xdr:from>
    <xdr:to>
      <xdr:col>1</xdr:col>
      <xdr:colOff>655562</xdr:colOff>
      <xdr:row>1724</xdr:row>
      <xdr:rowOff>97820</xdr:rowOff>
    </xdr:to>
    <xdr:grpSp>
      <xdr:nvGrpSpPr>
        <xdr:cNvPr id="2430" name="Grupo 273"/>
        <xdr:cNvGrpSpPr>
          <a:grpSpLocks/>
        </xdr:cNvGrpSpPr>
      </xdr:nvGrpSpPr>
      <xdr:grpSpPr bwMode="auto">
        <a:xfrm>
          <a:off x="1232353" y="3365500"/>
          <a:ext cx="534459" cy="0"/>
          <a:chOff x="10648950" y="5124450"/>
          <a:chExt cx="1085850" cy="95250"/>
        </a:xfrm>
      </xdr:grpSpPr>
      <xdr:cxnSp macro="">
        <xdr:nvCxnSpPr>
          <xdr:cNvPr id="243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3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1725</xdr:row>
      <xdr:rowOff>54429</xdr:rowOff>
    </xdr:from>
    <xdr:to>
      <xdr:col>1</xdr:col>
      <xdr:colOff>607785</xdr:colOff>
      <xdr:row>1725</xdr:row>
      <xdr:rowOff>446011</xdr:rowOff>
    </xdr:to>
    <xdr:sp macro="" textlink="">
      <xdr:nvSpPr>
        <xdr:cNvPr id="2433" name="Rectángulo redondeado 23"/>
        <xdr:cNvSpPr>
          <a:spLocks noChangeArrowheads="1"/>
        </xdr:cNvSpPr>
      </xdr:nvSpPr>
      <xdr:spPr bwMode="auto">
        <a:xfrm>
          <a:off x="830035" y="7557815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294254</xdr:colOff>
      <xdr:row>1726</xdr:row>
      <xdr:rowOff>85045</xdr:rowOff>
    </xdr:from>
    <xdr:to>
      <xdr:col>1</xdr:col>
      <xdr:colOff>351404</xdr:colOff>
      <xdr:row>1726</xdr:row>
      <xdr:rowOff>351745</xdr:rowOff>
    </xdr:to>
    <xdr:sp macro="" textlink="">
      <xdr:nvSpPr>
        <xdr:cNvPr id="2434" name="Forma libre 6"/>
        <xdr:cNvSpPr>
          <a:spLocks/>
        </xdr:cNvSpPr>
      </xdr:nvSpPr>
      <xdr:spPr bwMode="auto">
        <a:xfrm>
          <a:off x="1056254" y="7608502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91961</xdr:colOff>
      <xdr:row>1730</xdr:row>
      <xdr:rowOff>81643</xdr:rowOff>
    </xdr:from>
    <xdr:to>
      <xdr:col>1</xdr:col>
      <xdr:colOff>672986</xdr:colOff>
      <xdr:row>1730</xdr:row>
      <xdr:rowOff>83231</xdr:rowOff>
    </xdr:to>
    <xdr:cxnSp macro="">
      <xdr:nvCxnSpPr>
        <xdr:cNvPr id="2435" name="Conector recto 4"/>
        <xdr:cNvCxnSpPr>
          <a:cxnSpLocks noChangeShapeType="1"/>
        </xdr:cNvCxnSpPr>
      </xdr:nvCxnSpPr>
      <xdr:spPr bwMode="auto">
        <a:xfrm>
          <a:off x="853961" y="7706269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1730</xdr:row>
      <xdr:rowOff>82437</xdr:rowOff>
    </xdr:from>
    <xdr:to>
      <xdr:col>1</xdr:col>
      <xdr:colOff>83230</xdr:colOff>
      <xdr:row>1730</xdr:row>
      <xdr:rowOff>158637</xdr:rowOff>
    </xdr:to>
    <xdr:cxnSp macro="">
      <xdr:nvCxnSpPr>
        <xdr:cNvPr id="2436" name="Conector recto 7"/>
        <xdr:cNvCxnSpPr>
          <a:cxnSpLocks noChangeShapeType="1"/>
        </xdr:cNvCxnSpPr>
      </xdr:nvCxnSpPr>
      <xdr:spPr bwMode="auto">
        <a:xfrm rot="5400000">
          <a:off x="806336" y="7710079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108289</xdr:colOff>
      <xdr:row>1731</xdr:row>
      <xdr:rowOff>70758</xdr:rowOff>
    </xdr:from>
    <xdr:to>
      <xdr:col>1</xdr:col>
      <xdr:colOff>689314</xdr:colOff>
      <xdr:row>1731</xdr:row>
      <xdr:rowOff>72346</xdr:rowOff>
    </xdr:to>
    <xdr:cxnSp macro="">
      <xdr:nvCxnSpPr>
        <xdr:cNvPr id="2437" name="Conector recto 4"/>
        <xdr:cNvCxnSpPr>
          <a:cxnSpLocks noChangeShapeType="1"/>
        </xdr:cNvCxnSpPr>
      </xdr:nvCxnSpPr>
      <xdr:spPr bwMode="auto">
        <a:xfrm>
          <a:off x="870289" y="7724230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97970</xdr:colOff>
      <xdr:row>1731</xdr:row>
      <xdr:rowOff>71552</xdr:rowOff>
    </xdr:from>
    <xdr:to>
      <xdr:col>1</xdr:col>
      <xdr:colOff>99558</xdr:colOff>
      <xdr:row>1731</xdr:row>
      <xdr:rowOff>147752</xdr:rowOff>
    </xdr:to>
    <xdr:cxnSp macro="">
      <xdr:nvCxnSpPr>
        <xdr:cNvPr id="2438" name="Conector recto 7"/>
        <xdr:cNvCxnSpPr>
          <a:cxnSpLocks noChangeShapeType="1"/>
        </xdr:cNvCxnSpPr>
      </xdr:nvCxnSpPr>
      <xdr:spPr bwMode="auto">
        <a:xfrm rot="5400000">
          <a:off x="822664" y="7728040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1732</xdr:row>
      <xdr:rowOff>112145</xdr:rowOff>
    </xdr:from>
    <xdr:to>
      <xdr:col>1</xdr:col>
      <xdr:colOff>708025</xdr:colOff>
      <xdr:row>1732</xdr:row>
      <xdr:rowOff>114867</xdr:rowOff>
    </xdr:to>
    <xdr:cxnSp macro="">
      <xdr:nvCxnSpPr>
        <xdr:cNvPr id="2439" name="Conector recto 16"/>
        <xdr:cNvCxnSpPr>
          <a:cxnSpLocks noChangeShapeType="1"/>
        </xdr:cNvCxnSpPr>
      </xdr:nvCxnSpPr>
      <xdr:spPr bwMode="auto">
        <a:xfrm>
          <a:off x="869950" y="7747419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1732</xdr:row>
      <xdr:rowOff>27214</xdr:rowOff>
    </xdr:from>
    <xdr:to>
      <xdr:col>1</xdr:col>
      <xdr:colOff>108744</xdr:colOff>
      <xdr:row>1732</xdr:row>
      <xdr:rowOff>103414</xdr:rowOff>
    </xdr:to>
    <xdr:cxnSp macro="">
      <xdr:nvCxnSpPr>
        <xdr:cNvPr id="2440" name="Conector recto 13"/>
        <xdr:cNvCxnSpPr>
          <a:cxnSpLocks noChangeShapeType="1"/>
        </xdr:cNvCxnSpPr>
      </xdr:nvCxnSpPr>
      <xdr:spPr bwMode="auto">
        <a:xfrm rot="5400000">
          <a:off x="831850" y="7742657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1733</xdr:row>
      <xdr:rowOff>100238</xdr:rowOff>
    </xdr:from>
    <xdr:to>
      <xdr:col>1</xdr:col>
      <xdr:colOff>696119</xdr:colOff>
      <xdr:row>1733</xdr:row>
      <xdr:rowOff>102960</xdr:rowOff>
    </xdr:to>
    <xdr:cxnSp macro="">
      <xdr:nvCxnSpPr>
        <xdr:cNvPr id="2441" name="Conector recto 16"/>
        <xdr:cNvCxnSpPr>
          <a:cxnSpLocks noChangeShapeType="1"/>
        </xdr:cNvCxnSpPr>
      </xdr:nvCxnSpPr>
      <xdr:spPr bwMode="auto">
        <a:xfrm>
          <a:off x="858044" y="776527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1733</xdr:row>
      <xdr:rowOff>15307</xdr:rowOff>
    </xdr:from>
    <xdr:to>
      <xdr:col>1</xdr:col>
      <xdr:colOff>96838</xdr:colOff>
      <xdr:row>1733</xdr:row>
      <xdr:rowOff>91507</xdr:rowOff>
    </xdr:to>
    <xdr:cxnSp macro="">
      <xdr:nvCxnSpPr>
        <xdr:cNvPr id="2442" name="Conector recto 13"/>
        <xdr:cNvCxnSpPr>
          <a:cxnSpLocks noChangeShapeType="1"/>
        </xdr:cNvCxnSpPr>
      </xdr:nvCxnSpPr>
      <xdr:spPr bwMode="auto">
        <a:xfrm rot="5400000">
          <a:off x="819944" y="776051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1734</xdr:row>
      <xdr:rowOff>139360</xdr:rowOff>
    </xdr:from>
    <xdr:to>
      <xdr:col>1</xdr:col>
      <xdr:colOff>709725</xdr:colOff>
      <xdr:row>1734</xdr:row>
      <xdr:rowOff>142082</xdr:rowOff>
    </xdr:to>
    <xdr:cxnSp macro="">
      <xdr:nvCxnSpPr>
        <xdr:cNvPr id="2443" name="Conector recto 16"/>
        <xdr:cNvCxnSpPr>
          <a:cxnSpLocks noChangeShapeType="1"/>
        </xdr:cNvCxnSpPr>
      </xdr:nvCxnSpPr>
      <xdr:spPr bwMode="auto">
        <a:xfrm>
          <a:off x="871650" y="7788241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1734</xdr:row>
      <xdr:rowOff>54429</xdr:rowOff>
    </xdr:from>
    <xdr:to>
      <xdr:col>1</xdr:col>
      <xdr:colOff>110444</xdr:colOff>
      <xdr:row>1734</xdr:row>
      <xdr:rowOff>130629</xdr:rowOff>
    </xdr:to>
    <xdr:cxnSp macro="">
      <xdr:nvCxnSpPr>
        <xdr:cNvPr id="2444" name="Conector recto 13"/>
        <xdr:cNvCxnSpPr>
          <a:cxnSpLocks noChangeShapeType="1"/>
        </xdr:cNvCxnSpPr>
      </xdr:nvCxnSpPr>
      <xdr:spPr bwMode="auto">
        <a:xfrm rot="5400000">
          <a:off x="833550" y="7783478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1735</xdr:row>
      <xdr:rowOff>152966</xdr:rowOff>
    </xdr:from>
    <xdr:to>
      <xdr:col>1</xdr:col>
      <xdr:colOff>696120</xdr:colOff>
      <xdr:row>1735</xdr:row>
      <xdr:rowOff>155688</xdr:rowOff>
    </xdr:to>
    <xdr:cxnSp macro="">
      <xdr:nvCxnSpPr>
        <xdr:cNvPr id="2445" name="Conector recto 16"/>
        <xdr:cNvCxnSpPr>
          <a:cxnSpLocks noChangeShapeType="1"/>
        </xdr:cNvCxnSpPr>
      </xdr:nvCxnSpPr>
      <xdr:spPr bwMode="auto">
        <a:xfrm>
          <a:off x="858045" y="7808651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1735</xdr:row>
      <xdr:rowOff>68035</xdr:rowOff>
    </xdr:from>
    <xdr:to>
      <xdr:col>1</xdr:col>
      <xdr:colOff>96839</xdr:colOff>
      <xdr:row>1735</xdr:row>
      <xdr:rowOff>144235</xdr:rowOff>
    </xdr:to>
    <xdr:cxnSp macro="">
      <xdr:nvCxnSpPr>
        <xdr:cNvPr id="2446" name="Conector recto 13"/>
        <xdr:cNvCxnSpPr>
          <a:cxnSpLocks noChangeShapeType="1"/>
        </xdr:cNvCxnSpPr>
      </xdr:nvCxnSpPr>
      <xdr:spPr bwMode="auto">
        <a:xfrm rot="5400000">
          <a:off x="819945" y="7803889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1738</xdr:row>
      <xdr:rowOff>54429</xdr:rowOff>
    </xdr:from>
    <xdr:to>
      <xdr:col>1</xdr:col>
      <xdr:colOff>534459</xdr:colOff>
      <xdr:row>1738</xdr:row>
      <xdr:rowOff>117324</xdr:rowOff>
    </xdr:to>
    <xdr:grpSp>
      <xdr:nvGrpSpPr>
        <xdr:cNvPr id="2449" name="Grupo 273"/>
        <xdr:cNvGrpSpPr>
          <a:grpSpLocks/>
        </xdr:cNvGrpSpPr>
      </xdr:nvGrpSpPr>
      <xdr:grpSpPr bwMode="auto">
        <a:xfrm>
          <a:off x="1111250" y="3365500"/>
          <a:ext cx="534459" cy="0"/>
          <a:chOff x="10648950" y="5124450"/>
          <a:chExt cx="1085850" cy="95250"/>
        </a:xfrm>
      </xdr:grpSpPr>
      <xdr:cxnSp macro="">
        <xdr:nvCxnSpPr>
          <xdr:cNvPr id="245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</xdr:colOff>
      <xdr:row>1739</xdr:row>
      <xdr:rowOff>32204</xdr:rowOff>
    </xdr:from>
    <xdr:to>
      <xdr:col>1</xdr:col>
      <xdr:colOff>543984</xdr:colOff>
      <xdr:row>1739</xdr:row>
      <xdr:rowOff>95099</xdr:rowOff>
    </xdr:to>
    <xdr:grpSp>
      <xdr:nvGrpSpPr>
        <xdr:cNvPr id="2452" name="Grupo 273"/>
        <xdr:cNvGrpSpPr>
          <a:grpSpLocks/>
        </xdr:cNvGrpSpPr>
      </xdr:nvGrpSpPr>
      <xdr:grpSpPr bwMode="auto">
        <a:xfrm>
          <a:off x="1120775" y="3365500"/>
          <a:ext cx="534459" cy="0"/>
          <a:chOff x="10648950" y="5124450"/>
          <a:chExt cx="1085850" cy="95250"/>
        </a:xfrm>
      </xdr:grpSpPr>
      <xdr:cxnSp macro="">
        <xdr:nvCxnSpPr>
          <xdr:cNvPr id="245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43543</xdr:colOff>
      <xdr:row>1740</xdr:row>
      <xdr:rowOff>57151</xdr:rowOff>
    </xdr:from>
    <xdr:to>
      <xdr:col>1</xdr:col>
      <xdr:colOff>578002</xdr:colOff>
      <xdr:row>1740</xdr:row>
      <xdr:rowOff>120046</xdr:rowOff>
    </xdr:to>
    <xdr:grpSp>
      <xdr:nvGrpSpPr>
        <xdr:cNvPr id="2455" name="Grupo 273"/>
        <xdr:cNvGrpSpPr>
          <a:grpSpLocks/>
        </xdr:cNvGrpSpPr>
      </xdr:nvGrpSpPr>
      <xdr:grpSpPr bwMode="auto">
        <a:xfrm>
          <a:off x="1154793" y="3365500"/>
          <a:ext cx="534459" cy="0"/>
          <a:chOff x="10648950" y="5124450"/>
          <a:chExt cx="1085850" cy="95250"/>
        </a:xfrm>
      </xdr:grpSpPr>
      <xdr:cxnSp macro="">
        <xdr:nvCxnSpPr>
          <xdr:cNvPr id="245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53068</xdr:colOff>
      <xdr:row>1741</xdr:row>
      <xdr:rowOff>34926</xdr:rowOff>
    </xdr:from>
    <xdr:to>
      <xdr:col>1</xdr:col>
      <xdr:colOff>587527</xdr:colOff>
      <xdr:row>1741</xdr:row>
      <xdr:rowOff>97821</xdr:rowOff>
    </xdr:to>
    <xdr:grpSp>
      <xdr:nvGrpSpPr>
        <xdr:cNvPr id="2458" name="Grupo 273"/>
        <xdr:cNvGrpSpPr>
          <a:grpSpLocks/>
        </xdr:cNvGrpSpPr>
      </xdr:nvGrpSpPr>
      <xdr:grpSpPr bwMode="auto">
        <a:xfrm>
          <a:off x="1164318" y="3365500"/>
          <a:ext cx="534459" cy="0"/>
          <a:chOff x="10648950" y="5124450"/>
          <a:chExt cx="1085850" cy="95250"/>
        </a:xfrm>
      </xdr:grpSpPr>
      <xdr:cxnSp macro="">
        <xdr:nvCxnSpPr>
          <xdr:cNvPr id="245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1742</xdr:row>
      <xdr:rowOff>13607</xdr:rowOff>
    </xdr:from>
    <xdr:to>
      <xdr:col>1</xdr:col>
      <xdr:colOff>635000</xdr:colOff>
      <xdr:row>1742</xdr:row>
      <xdr:rowOff>405189</xdr:rowOff>
    </xdr:to>
    <xdr:sp macro="" textlink="">
      <xdr:nvSpPr>
        <xdr:cNvPr id="2461" name="Rectángulo redondeado 23"/>
        <xdr:cNvSpPr>
          <a:spLocks noChangeArrowheads="1"/>
        </xdr:cNvSpPr>
      </xdr:nvSpPr>
      <xdr:spPr bwMode="auto">
        <a:xfrm>
          <a:off x="857250" y="792806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1743</xdr:row>
      <xdr:rowOff>71437</xdr:rowOff>
    </xdr:from>
    <xdr:to>
      <xdr:col>1</xdr:col>
      <xdr:colOff>378619</xdr:colOff>
      <xdr:row>1743</xdr:row>
      <xdr:rowOff>338137</xdr:rowOff>
    </xdr:to>
    <xdr:sp macro="" textlink="">
      <xdr:nvSpPr>
        <xdr:cNvPr id="2462" name="Forma libre 6"/>
        <xdr:cNvSpPr>
          <a:spLocks/>
        </xdr:cNvSpPr>
      </xdr:nvSpPr>
      <xdr:spPr bwMode="auto">
        <a:xfrm>
          <a:off x="1083469" y="79786162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1747</xdr:row>
      <xdr:rowOff>81643</xdr:rowOff>
    </xdr:from>
    <xdr:to>
      <xdr:col>1</xdr:col>
      <xdr:colOff>686594</xdr:colOff>
      <xdr:row>1747</xdr:row>
      <xdr:rowOff>83231</xdr:rowOff>
    </xdr:to>
    <xdr:cxnSp macro="">
      <xdr:nvCxnSpPr>
        <xdr:cNvPr id="2463" name="Conector recto 4"/>
        <xdr:cNvCxnSpPr>
          <a:cxnSpLocks noChangeShapeType="1"/>
        </xdr:cNvCxnSpPr>
      </xdr:nvCxnSpPr>
      <xdr:spPr bwMode="auto">
        <a:xfrm>
          <a:off x="867569" y="8081554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1747</xdr:row>
      <xdr:rowOff>82437</xdr:rowOff>
    </xdr:from>
    <xdr:to>
      <xdr:col>1</xdr:col>
      <xdr:colOff>96838</xdr:colOff>
      <xdr:row>1747</xdr:row>
      <xdr:rowOff>158637</xdr:rowOff>
    </xdr:to>
    <xdr:cxnSp macro="">
      <xdr:nvCxnSpPr>
        <xdr:cNvPr id="2464" name="Conector recto 7"/>
        <xdr:cNvCxnSpPr>
          <a:cxnSpLocks noChangeShapeType="1"/>
        </xdr:cNvCxnSpPr>
      </xdr:nvCxnSpPr>
      <xdr:spPr bwMode="auto">
        <a:xfrm rot="5400000">
          <a:off x="819944" y="808536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121897</xdr:colOff>
      <xdr:row>1748</xdr:row>
      <xdr:rowOff>70758</xdr:rowOff>
    </xdr:from>
    <xdr:to>
      <xdr:col>1</xdr:col>
      <xdr:colOff>702922</xdr:colOff>
      <xdr:row>1748</xdr:row>
      <xdr:rowOff>72346</xdr:rowOff>
    </xdr:to>
    <xdr:cxnSp macro="">
      <xdr:nvCxnSpPr>
        <xdr:cNvPr id="2465" name="Conector recto 4"/>
        <xdr:cNvCxnSpPr>
          <a:cxnSpLocks noChangeShapeType="1"/>
        </xdr:cNvCxnSpPr>
      </xdr:nvCxnSpPr>
      <xdr:spPr bwMode="auto">
        <a:xfrm>
          <a:off x="883897" y="8099515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111578</xdr:colOff>
      <xdr:row>1748</xdr:row>
      <xdr:rowOff>71552</xdr:rowOff>
    </xdr:from>
    <xdr:to>
      <xdr:col>1</xdr:col>
      <xdr:colOff>113166</xdr:colOff>
      <xdr:row>1748</xdr:row>
      <xdr:rowOff>147752</xdr:rowOff>
    </xdr:to>
    <xdr:cxnSp macro="">
      <xdr:nvCxnSpPr>
        <xdr:cNvPr id="2466" name="Conector recto 7"/>
        <xdr:cNvCxnSpPr>
          <a:cxnSpLocks noChangeShapeType="1"/>
        </xdr:cNvCxnSpPr>
      </xdr:nvCxnSpPr>
      <xdr:spPr bwMode="auto">
        <a:xfrm rot="5400000">
          <a:off x="836272" y="8103325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121558</xdr:colOff>
      <xdr:row>1749</xdr:row>
      <xdr:rowOff>112145</xdr:rowOff>
    </xdr:from>
    <xdr:to>
      <xdr:col>1</xdr:col>
      <xdr:colOff>721633</xdr:colOff>
      <xdr:row>1749</xdr:row>
      <xdr:rowOff>114867</xdr:rowOff>
    </xdr:to>
    <xdr:cxnSp macro="">
      <xdr:nvCxnSpPr>
        <xdr:cNvPr id="2467" name="Conector recto 16"/>
        <xdr:cNvCxnSpPr>
          <a:cxnSpLocks noChangeShapeType="1"/>
        </xdr:cNvCxnSpPr>
      </xdr:nvCxnSpPr>
      <xdr:spPr bwMode="auto">
        <a:xfrm>
          <a:off x="883558" y="81227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120764</xdr:colOff>
      <xdr:row>1749</xdr:row>
      <xdr:rowOff>27214</xdr:rowOff>
    </xdr:from>
    <xdr:to>
      <xdr:col>1</xdr:col>
      <xdr:colOff>122352</xdr:colOff>
      <xdr:row>1749</xdr:row>
      <xdr:rowOff>103414</xdr:rowOff>
    </xdr:to>
    <xdr:cxnSp macro="">
      <xdr:nvCxnSpPr>
        <xdr:cNvPr id="2468" name="Conector recto 13"/>
        <xdr:cNvCxnSpPr>
          <a:cxnSpLocks noChangeShapeType="1"/>
        </xdr:cNvCxnSpPr>
      </xdr:nvCxnSpPr>
      <xdr:spPr bwMode="auto">
        <a:xfrm rot="5400000">
          <a:off x="845458" y="81179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1750</xdr:row>
      <xdr:rowOff>100238</xdr:rowOff>
    </xdr:from>
    <xdr:to>
      <xdr:col>1</xdr:col>
      <xdr:colOff>709727</xdr:colOff>
      <xdr:row>1750</xdr:row>
      <xdr:rowOff>102960</xdr:rowOff>
    </xdr:to>
    <xdr:cxnSp macro="">
      <xdr:nvCxnSpPr>
        <xdr:cNvPr id="2469" name="Conector recto 16"/>
        <xdr:cNvCxnSpPr>
          <a:cxnSpLocks noChangeShapeType="1"/>
        </xdr:cNvCxnSpPr>
      </xdr:nvCxnSpPr>
      <xdr:spPr bwMode="auto">
        <a:xfrm>
          <a:off x="871652" y="81405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1750</xdr:row>
      <xdr:rowOff>15307</xdr:rowOff>
    </xdr:from>
    <xdr:to>
      <xdr:col>1</xdr:col>
      <xdr:colOff>110446</xdr:colOff>
      <xdr:row>1750</xdr:row>
      <xdr:rowOff>91507</xdr:rowOff>
    </xdr:to>
    <xdr:cxnSp macro="">
      <xdr:nvCxnSpPr>
        <xdr:cNvPr id="2470" name="Conector recto 13"/>
        <xdr:cNvCxnSpPr>
          <a:cxnSpLocks noChangeShapeType="1"/>
        </xdr:cNvCxnSpPr>
      </xdr:nvCxnSpPr>
      <xdr:spPr bwMode="auto">
        <a:xfrm rot="5400000">
          <a:off x="833552" y="81358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1751</xdr:row>
      <xdr:rowOff>139360</xdr:rowOff>
    </xdr:from>
    <xdr:to>
      <xdr:col>1</xdr:col>
      <xdr:colOff>723333</xdr:colOff>
      <xdr:row>1751</xdr:row>
      <xdr:rowOff>142082</xdr:rowOff>
    </xdr:to>
    <xdr:cxnSp macro="">
      <xdr:nvCxnSpPr>
        <xdr:cNvPr id="2471" name="Conector recto 16"/>
        <xdr:cNvCxnSpPr>
          <a:cxnSpLocks noChangeShapeType="1"/>
        </xdr:cNvCxnSpPr>
      </xdr:nvCxnSpPr>
      <xdr:spPr bwMode="auto">
        <a:xfrm>
          <a:off x="885258" y="81635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1751</xdr:row>
      <xdr:rowOff>54429</xdr:rowOff>
    </xdr:from>
    <xdr:to>
      <xdr:col>1</xdr:col>
      <xdr:colOff>124052</xdr:colOff>
      <xdr:row>1751</xdr:row>
      <xdr:rowOff>130629</xdr:rowOff>
    </xdr:to>
    <xdr:cxnSp macro="">
      <xdr:nvCxnSpPr>
        <xdr:cNvPr id="2472" name="Conector recto 13"/>
        <xdr:cNvCxnSpPr>
          <a:cxnSpLocks noChangeShapeType="1"/>
        </xdr:cNvCxnSpPr>
      </xdr:nvCxnSpPr>
      <xdr:spPr bwMode="auto">
        <a:xfrm rot="5400000">
          <a:off x="847158" y="81587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109653</xdr:colOff>
      <xdr:row>1752</xdr:row>
      <xdr:rowOff>152966</xdr:rowOff>
    </xdr:from>
    <xdr:to>
      <xdr:col>1</xdr:col>
      <xdr:colOff>709728</xdr:colOff>
      <xdr:row>1752</xdr:row>
      <xdr:rowOff>155688</xdr:rowOff>
    </xdr:to>
    <xdr:cxnSp macro="">
      <xdr:nvCxnSpPr>
        <xdr:cNvPr id="2473" name="Conector recto 16"/>
        <xdr:cNvCxnSpPr>
          <a:cxnSpLocks noChangeShapeType="1"/>
        </xdr:cNvCxnSpPr>
      </xdr:nvCxnSpPr>
      <xdr:spPr bwMode="auto">
        <a:xfrm>
          <a:off x="871653" y="8183936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108859</xdr:colOff>
      <xdr:row>1752</xdr:row>
      <xdr:rowOff>68035</xdr:rowOff>
    </xdr:from>
    <xdr:to>
      <xdr:col>1</xdr:col>
      <xdr:colOff>110447</xdr:colOff>
      <xdr:row>1752</xdr:row>
      <xdr:rowOff>144235</xdr:rowOff>
    </xdr:to>
    <xdr:cxnSp macro="">
      <xdr:nvCxnSpPr>
        <xdr:cNvPr id="2474" name="Conector recto 13"/>
        <xdr:cNvCxnSpPr>
          <a:cxnSpLocks noChangeShapeType="1"/>
        </xdr:cNvCxnSpPr>
      </xdr:nvCxnSpPr>
      <xdr:spPr bwMode="auto">
        <a:xfrm rot="5400000">
          <a:off x="833553" y="8179174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1753</xdr:row>
      <xdr:rowOff>68036</xdr:rowOff>
    </xdr:from>
    <xdr:to>
      <xdr:col>1</xdr:col>
      <xdr:colOff>672872</xdr:colOff>
      <xdr:row>1756</xdr:row>
      <xdr:rowOff>81530</xdr:rowOff>
    </xdr:to>
    <xdr:grpSp>
      <xdr:nvGrpSpPr>
        <xdr:cNvPr id="2475" name="1065 Grupo"/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476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7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8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9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40822</xdr:colOff>
      <xdr:row>1757</xdr:row>
      <xdr:rowOff>81643</xdr:rowOff>
    </xdr:from>
    <xdr:to>
      <xdr:col>1</xdr:col>
      <xdr:colOff>645659</xdr:colOff>
      <xdr:row>1760</xdr:row>
      <xdr:rowOff>95137</xdr:rowOff>
    </xdr:to>
    <xdr:grpSp>
      <xdr:nvGrpSpPr>
        <xdr:cNvPr id="2480" name="1070 Grupo"/>
        <xdr:cNvGrpSpPr/>
      </xdr:nvGrpSpPr>
      <xdr:grpSpPr>
        <a:xfrm>
          <a:off x="1152072" y="3365500"/>
          <a:ext cx="604837" cy="0"/>
          <a:chOff x="845344" y="62329219"/>
          <a:chExt cx="604837" cy="584994"/>
        </a:xfrm>
      </xdr:grpSpPr>
      <xdr:cxnSp macro="">
        <xdr:nvCxnSpPr>
          <xdr:cNvPr id="2481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2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3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4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29936</xdr:colOff>
      <xdr:row>1761</xdr:row>
      <xdr:rowOff>84364</xdr:rowOff>
    </xdr:from>
    <xdr:to>
      <xdr:col>1</xdr:col>
      <xdr:colOff>634773</xdr:colOff>
      <xdr:row>1764</xdr:row>
      <xdr:rowOff>97858</xdr:rowOff>
    </xdr:to>
    <xdr:grpSp>
      <xdr:nvGrpSpPr>
        <xdr:cNvPr id="2485" name="1075 Grupo"/>
        <xdr:cNvGrpSpPr/>
      </xdr:nvGrpSpPr>
      <xdr:grpSpPr>
        <a:xfrm>
          <a:off x="1141186" y="3365500"/>
          <a:ext cx="604837" cy="0"/>
          <a:chOff x="845344" y="62329219"/>
          <a:chExt cx="604837" cy="584994"/>
        </a:xfrm>
      </xdr:grpSpPr>
      <xdr:cxnSp macro="">
        <xdr:nvCxnSpPr>
          <xdr:cNvPr id="2486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7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8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9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81643</xdr:colOff>
      <xdr:row>1765</xdr:row>
      <xdr:rowOff>95250</xdr:rowOff>
    </xdr:from>
    <xdr:to>
      <xdr:col>1</xdr:col>
      <xdr:colOff>662668</xdr:colOff>
      <xdr:row>1765</xdr:row>
      <xdr:rowOff>96838</xdr:rowOff>
    </xdr:to>
    <xdr:cxnSp macro="">
      <xdr:nvCxnSpPr>
        <xdr:cNvPr id="2490" name="Conector recto 4"/>
        <xdr:cNvCxnSpPr>
          <a:cxnSpLocks noChangeShapeType="1"/>
        </xdr:cNvCxnSpPr>
      </xdr:nvCxnSpPr>
      <xdr:spPr bwMode="auto">
        <a:xfrm>
          <a:off x="843643" y="84258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1769</xdr:row>
      <xdr:rowOff>68036</xdr:rowOff>
    </xdr:from>
    <xdr:to>
      <xdr:col>1</xdr:col>
      <xdr:colOff>575281</xdr:colOff>
      <xdr:row>1769</xdr:row>
      <xdr:rowOff>130931</xdr:rowOff>
    </xdr:to>
    <xdr:grpSp>
      <xdr:nvGrpSpPr>
        <xdr:cNvPr id="2493" name="Grupo 273"/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49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1770</xdr:row>
      <xdr:rowOff>45811</xdr:rowOff>
    </xdr:from>
    <xdr:to>
      <xdr:col>1</xdr:col>
      <xdr:colOff>584806</xdr:colOff>
      <xdr:row>1770</xdr:row>
      <xdr:rowOff>108706</xdr:rowOff>
    </xdr:to>
    <xdr:grpSp>
      <xdr:nvGrpSpPr>
        <xdr:cNvPr id="2496" name="Grupo 273"/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49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1771</xdr:row>
      <xdr:rowOff>70758</xdr:rowOff>
    </xdr:from>
    <xdr:to>
      <xdr:col>1</xdr:col>
      <xdr:colOff>618824</xdr:colOff>
      <xdr:row>1771</xdr:row>
      <xdr:rowOff>133653</xdr:rowOff>
    </xdr:to>
    <xdr:grpSp>
      <xdr:nvGrpSpPr>
        <xdr:cNvPr id="2499" name="Grupo 273"/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0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1772</xdr:row>
      <xdr:rowOff>48533</xdr:rowOff>
    </xdr:from>
    <xdr:to>
      <xdr:col>1</xdr:col>
      <xdr:colOff>628349</xdr:colOff>
      <xdr:row>1772</xdr:row>
      <xdr:rowOff>111428</xdr:rowOff>
    </xdr:to>
    <xdr:grpSp>
      <xdr:nvGrpSpPr>
        <xdr:cNvPr id="2502" name="Grupo 273"/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0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54428</xdr:colOff>
      <xdr:row>1773</xdr:row>
      <xdr:rowOff>40821</xdr:rowOff>
    </xdr:from>
    <xdr:to>
      <xdr:col>1</xdr:col>
      <xdr:colOff>594178</xdr:colOff>
      <xdr:row>1773</xdr:row>
      <xdr:rowOff>432403</xdr:rowOff>
    </xdr:to>
    <xdr:sp macro="" textlink="">
      <xdr:nvSpPr>
        <xdr:cNvPr id="2506" name="Rectángulo redondeado 23"/>
        <xdr:cNvSpPr>
          <a:spLocks noChangeArrowheads="1"/>
        </xdr:cNvSpPr>
      </xdr:nvSpPr>
      <xdr:spPr bwMode="auto">
        <a:xfrm>
          <a:off x="816428" y="8572772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280647</xdr:colOff>
      <xdr:row>1774</xdr:row>
      <xdr:rowOff>71437</xdr:rowOff>
    </xdr:from>
    <xdr:to>
      <xdr:col>1</xdr:col>
      <xdr:colOff>337797</xdr:colOff>
      <xdr:row>1774</xdr:row>
      <xdr:rowOff>338137</xdr:rowOff>
    </xdr:to>
    <xdr:sp macro="" textlink="">
      <xdr:nvSpPr>
        <xdr:cNvPr id="2507" name="Forma libre 6"/>
        <xdr:cNvSpPr>
          <a:spLocks/>
        </xdr:cNvSpPr>
      </xdr:nvSpPr>
      <xdr:spPr bwMode="auto">
        <a:xfrm>
          <a:off x="1042647" y="862345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91962</xdr:colOff>
      <xdr:row>1778</xdr:row>
      <xdr:rowOff>54429</xdr:rowOff>
    </xdr:from>
    <xdr:to>
      <xdr:col>1</xdr:col>
      <xdr:colOff>672987</xdr:colOff>
      <xdr:row>1778</xdr:row>
      <xdr:rowOff>56017</xdr:rowOff>
    </xdr:to>
    <xdr:cxnSp macro="">
      <xdr:nvCxnSpPr>
        <xdr:cNvPr id="2508" name="Conector recto 4"/>
        <xdr:cNvCxnSpPr>
          <a:cxnSpLocks noChangeShapeType="1"/>
        </xdr:cNvCxnSpPr>
      </xdr:nvCxnSpPr>
      <xdr:spPr bwMode="auto">
        <a:xfrm>
          <a:off x="853962" y="871986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1778</xdr:row>
      <xdr:rowOff>55223</xdr:rowOff>
    </xdr:from>
    <xdr:to>
      <xdr:col>1</xdr:col>
      <xdr:colOff>83231</xdr:colOff>
      <xdr:row>1778</xdr:row>
      <xdr:rowOff>131423</xdr:rowOff>
    </xdr:to>
    <xdr:cxnSp macro="">
      <xdr:nvCxnSpPr>
        <xdr:cNvPr id="2509" name="Conector recto 7"/>
        <xdr:cNvCxnSpPr>
          <a:cxnSpLocks noChangeShapeType="1"/>
        </xdr:cNvCxnSpPr>
      </xdr:nvCxnSpPr>
      <xdr:spPr bwMode="auto">
        <a:xfrm rot="5400000">
          <a:off x="806337" y="872367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1779</xdr:row>
      <xdr:rowOff>125753</xdr:rowOff>
    </xdr:from>
    <xdr:to>
      <xdr:col>1</xdr:col>
      <xdr:colOff>708025</xdr:colOff>
      <xdr:row>1779</xdr:row>
      <xdr:rowOff>128475</xdr:rowOff>
    </xdr:to>
    <xdr:cxnSp macro="">
      <xdr:nvCxnSpPr>
        <xdr:cNvPr id="2510" name="Conector recto 16"/>
        <xdr:cNvCxnSpPr>
          <a:cxnSpLocks noChangeShapeType="1"/>
        </xdr:cNvCxnSpPr>
      </xdr:nvCxnSpPr>
      <xdr:spPr bwMode="auto">
        <a:xfrm>
          <a:off x="869950" y="874604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1779</xdr:row>
      <xdr:rowOff>40822</xdr:rowOff>
    </xdr:from>
    <xdr:to>
      <xdr:col>1</xdr:col>
      <xdr:colOff>108744</xdr:colOff>
      <xdr:row>1779</xdr:row>
      <xdr:rowOff>117022</xdr:rowOff>
    </xdr:to>
    <xdr:cxnSp macro="">
      <xdr:nvCxnSpPr>
        <xdr:cNvPr id="2511" name="Conector recto 13"/>
        <xdr:cNvCxnSpPr>
          <a:cxnSpLocks noChangeShapeType="1"/>
        </xdr:cNvCxnSpPr>
      </xdr:nvCxnSpPr>
      <xdr:spPr bwMode="auto">
        <a:xfrm rot="5400000">
          <a:off x="831850" y="874128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1780</xdr:row>
      <xdr:rowOff>113846</xdr:rowOff>
    </xdr:from>
    <xdr:to>
      <xdr:col>1</xdr:col>
      <xdr:colOff>696119</xdr:colOff>
      <xdr:row>1780</xdr:row>
      <xdr:rowOff>116568</xdr:rowOff>
    </xdr:to>
    <xdr:cxnSp macro="">
      <xdr:nvCxnSpPr>
        <xdr:cNvPr id="2512" name="Conector recto 16"/>
        <xdr:cNvCxnSpPr>
          <a:cxnSpLocks noChangeShapeType="1"/>
        </xdr:cNvCxnSpPr>
      </xdr:nvCxnSpPr>
      <xdr:spPr bwMode="auto">
        <a:xfrm>
          <a:off x="858044" y="876390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1780</xdr:row>
      <xdr:rowOff>28915</xdr:rowOff>
    </xdr:from>
    <xdr:to>
      <xdr:col>1</xdr:col>
      <xdr:colOff>96838</xdr:colOff>
      <xdr:row>1780</xdr:row>
      <xdr:rowOff>105115</xdr:rowOff>
    </xdr:to>
    <xdr:cxnSp macro="">
      <xdr:nvCxnSpPr>
        <xdr:cNvPr id="2513" name="Conector recto 13"/>
        <xdr:cNvCxnSpPr>
          <a:cxnSpLocks noChangeShapeType="1"/>
        </xdr:cNvCxnSpPr>
      </xdr:nvCxnSpPr>
      <xdr:spPr bwMode="auto">
        <a:xfrm rot="5400000">
          <a:off x="819944" y="875914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1781</xdr:row>
      <xdr:rowOff>152968</xdr:rowOff>
    </xdr:from>
    <xdr:to>
      <xdr:col>1</xdr:col>
      <xdr:colOff>709725</xdr:colOff>
      <xdr:row>1781</xdr:row>
      <xdr:rowOff>155690</xdr:rowOff>
    </xdr:to>
    <xdr:cxnSp macro="">
      <xdr:nvCxnSpPr>
        <xdr:cNvPr id="2514" name="Conector recto 16"/>
        <xdr:cNvCxnSpPr>
          <a:cxnSpLocks noChangeShapeType="1"/>
        </xdr:cNvCxnSpPr>
      </xdr:nvCxnSpPr>
      <xdr:spPr bwMode="auto">
        <a:xfrm>
          <a:off x="871650" y="878686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1781</xdr:row>
      <xdr:rowOff>68037</xdr:rowOff>
    </xdr:from>
    <xdr:to>
      <xdr:col>1</xdr:col>
      <xdr:colOff>110444</xdr:colOff>
      <xdr:row>1781</xdr:row>
      <xdr:rowOff>144237</xdr:rowOff>
    </xdr:to>
    <xdr:cxnSp macro="">
      <xdr:nvCxnSpPr>
        <xdr:cNvPr id="2515" name="Conector recto 13"/>
        <xdr:cNvCxnSpPr>
          <a:cxnSpLocks noChangeShapeType="1"/>
        </xdr:cNvCxnSpPr>
      </xdr:nvCxnSpPr>
      <xdr:spPr bwMode="auto">
        <a:xfrm rot="5400000">
          <a:off x="833550" y="8782106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1782</xdr:row>
      <xdr:rowOff>166574</xdr:rowOff>
    </xdr:from>
    <xdr:to>
      <xdr:col>1</xdr:col>
      <xdr:colOff>696120</xdr:colOff>
      <xdr:row>1782</xdr:row>
      <xdr:rowOff>169296</xdr:rowOff>
    </xdr:to>
    <xdr:cxnSp macro="">
      <xdr:nvCxnSpPr>
        <xdr:cNvPr id="2516" name="Conector recto 16"/>
        <xdr:cNvCxnSpPr>
          <a:cxnSpLocks noChangeShapeType="1"/>
        </xdr:cNvCxnSpPr>
      </xdr:nvCxnSpPr>
      <xdr:spPr bwMode="auto">
        <a:xfrm>
          <a:off x="858045" y="8807279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1782</xdr:row>
      <xdr:rowOff>81643</xdr:rowOff>
    </xdr:from>
    <xdr:to>
      <xdr:col>1</xdr:col>
      <xdr:colOff>96839</xdr:colOff>
      <xdr:row>1782</xdr:row>
      <xdr:rowOff>157843</xdr:rowOff>
    </xdr:to>
    <xdr:cxnSp macro="">
      <xdr:nvCxnSpPr>
        <xdr:cNvPr id="2517" name="Conector recto 13"/>
        <xdr:cNvCxnSpPr>
          <a:cxnSpLocks noChangeShapeType="1"/>
        </xdr:cNvCxnSpPr>
      </xdr:nvCxnSpPr>
      <xdr:spPr bwMode="auto">
        <a:xfrm rot="5400000">
          <a:off x="819945" y="8802517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1785</xdr:row>
      <xdr:rowOff>54428</xdr:rowOff>
    </xdr:from>
    <xdr:to>
      <xdr:col>1</xdr:col>
      <xdr:colOff>575281</xdr:colOff>
      <xdr:row>1785</xdr:row>
      <xdr:rowOff>117323</xdr:rowOff>
    </xdr:to>
    <xdr:grpSp>
      <xdr:nvGrpSpPr>
        <xdr:cNvPr id="2520" name="Grupo 273"/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52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1786</xdr:row>
      <xdr:rowOff>32203</xdr:rowOff>
    </xdr:from>
    <xdr:to>
      <xdr:col>1</xdr:col>
      <xdr:colOff>584806</xdr:colOff>
      <xdr:row>1786</xdr:row>
      <xdr:rowOff>95098</xdr:rowOff>
    </xdr:to>
    <xdr:grpSp>
      <xdr:nvGrpSpPr>
        <xdr:cNvPr id="2523" name="Grupo 273"/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52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1787</xdr:row>
      <xdr:rowOff>57150</xdr:rowOff>
    </xdr:from>
    <xdr:to>
      <xdr:col>1</xdr:col>
      <xdr:colOff>618824</xdr:colOff>
      <xdr:row>1787</xdr:row>
      <xdr:rowOff>120045</xdr:rowOff>
    </xdr:to>
    <xdr:grpSp>
      <xdr:nvGrpSpPr>
        <xdr:cNvPr id="2526" name="Grupo 273"/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2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1788</xdr:row>
      <xdr:rowOff>34925</xdr:rowOff>
    </xdr:from>
    <xdr:to>
      <xdr:col>1</xdr:col>
      <xdr:colOff>628349</xdr:colOff>
      <xdr:row>1788</xdr:row>
      <xdr:rowOff>97820</xdr:rowOff>
    </xdr:to>
    <xdr:grpSp>
      <xdr:nvGrpSpPr>
        <xdr:cNvPr id="2529" name="Grupo 273"/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30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31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1789</xdr:row>
      <xdr:rowOff>95250</xdr:rowOff>
    </xdr:from>
    <xdr:to>
      <xdr:col>1</xdr:col>
      <xdr:colOff>708932</xdr:colOff>
      <xdr:row>1789</xdr:row>
      <xdr:rowOff>97972</xdr:rowOff>
    </xdr:to>
    <xdr:cxnSp macro="">
      <xdr:nvCxnSpPr>
        <xdr:cNvPr id="2532" name="Conector recto 16"/>
        <xdr:cNvCxnSpPr>
          <a:cxnSpLocks noChangeShapeType="1"/>
        </xdr:cNvCxnSpPr>
      </xdr:nvCxnSpPr>
      <xdr:spPr bwMode="auto">
        <a:xfrm>
          <a:off x="870857" y="893349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1790</xdr:row>
      <xdr:rowOff>108857</xdr:rowOff>
    </xdr:from>
    <xdr:to>
      <xdr:col>1</xdr:col>
      <xdr:colOff>708932</xdr:colOff>
      <xdr:row>1790</xdr:row>
      <xdr:rowOff>111579</xdr:rowOff>
    </xdr:to>
    <xdr:cxnSp macro="">
      <xdr:nvCxnSpPr>
        <xdr:cNvPr id="2533" name="Conector recto 16"/>
        <xdr:cNvCxnSpPr>
          <a:cxnSpLocks noChangeShapeType="1"/>
        </xdr:cNvCxnSpPr>
      </xdr:nvCxnSpPr>
      <xdr:spPr bwMode="auto">
        <a:xfrm>
          <a:off x="870857" y="895390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1791</xdr:row>
      <xdr:rowOff>27215</xdr:rowOff>
    </xdr:from>
    <xdr:to>
      <xdr:col>1</xdr:col>
      <xdr:colOff>621393</xdr:colOff>
      <xdr:row>1791</xdr:row>
      <xdr:rowOff>418797</xdr:rowOff>
    </xdr:to>
    <xdr:sp macro="" textlink="">
      <xdr:nvSpPr>
        <xdr:cNvPr id="2534" name="Rectángulo redondeado 23"/>
        <xdr:cNvSpPr>
          <a:spLocks noChangeArrowheads="1"/>
        </xdr:cNvSpPr>
      </xdr:nvSpPr>
      <xdr:spPr bwMode="auto">
        <a:xfrm>
          <a:off x="843643" y="896479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1792</xdr:row>
      <xdr:rowOff>57831</xdr:rowOff>
    </xdr:from>
    <xdr:to>
      <xdr:col>1</xdr:col>
      <xdr:colOff>365012</xdr:colOff>
      <xdr:row>1792</xdr:row>
      <xdr:rowOff>324531</xdr:rowOff>
    </xdr:to>
    <xdr:sp macro="" textlink="">
      <xdr:nvSpPr>
        <xdr:cNvPr id="2535" name="Forma libre 6"/>
        <xdr:cNvSpPr>
          <a:spLocks/>
        </xdr:cNvSpPr>
      </xdr:nvSpPr>
      <xdr:spPr bwMode="auto">
        <a:xfrm>
          <a:off x="1069862" y="901548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1797</xdr:row>
      <xdr:rowOff>27214</xdr:rowOff>
    </xdr:from>
    <xdr:to>
      <xdr:col>1</xdr:col>
      <xdr:colOff>645773</xdr:colOff>
      <xdr:row>1797</xdr:row>
      <xdr:rowOff>28802</xdr:rowOff>
    </xdr:to>
    <xdr:cxnSp macro="">
      <xdr:nvCxnSpPr>
        <xdr:cNvPr id="2536" name="Conector recto 4"/>
        <xdr:cNvCxnSpPr>
          <a:cxnSpLocks noChangeShapeType="1"/>
        </xdr:cNvCxnSpPr>
      </xdr:nvCxnSpPr>
      <xdr:spPr bwMode="auto">
        <a:xfrm>
          <a:off x="826748" y="9129576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1797</xdr:row>
      <xdr:rowOff>28008</xdr:rowOff>
    </xdr:from>
    <xdr:to>
      <xdr:col>1</xdr:col>
      <xdr:colOff>56017</xdr:colOff>
      <xdr:row>1797</xdr:row>
      <xdr:rowOff>104208</xdr:rowOff>
    </xdr:to>
    <xdr:cxnSp macro="">
      <xdr:nvCxnSpPr>
        <xdr:cNvPr id="2537" name="Conector recto 7"/>
        <xdr:cNvCxnSpPr>
          <a:cxnSpLocks noChangeShapeType="1"/>
        </xdr:cNvCxnSpPr>
      </xdr:nvCxnSpPr>
      <xdr:spPr bwMode="auto">
        <a:xfrm rot="5400000">
          <a:off x="779123" y="9133386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1798</xdr:row>
      <xdr:rowOff>98538</xdr:rowOff>
    </xdr:from>
    <xdr:to>
      <xdr:col>1</xdr:col>
      <xdr:colOff>680811</xdr:colOff>
      <xdr:row>1798</xdr:row>
      <xdr:rowOff>101260</xdr:rowOff>
    </xdr:to>
    <xdr:cxnSp macro="">
      <xdr:nvCxnSpPr>
        <xdr:cNvPr id="2538" name="Conector recto 16"/>
        <xdr:cNvCxnSpPr>
          <a:cxnSpLocks noChangeShapeType="1"/>
        </xdr:cNvCxnSpPr>
      </xdr:nvCxnSpPr>
      <xdr:spPr bwMode="auto">
        <a:xfrm>
          <a:off x="842736" y="915575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1798</xdr:row>
      <xdr:rowOff>13607</xdr:rowOff>
    </xdr:from>
    <xdr:to>
      <xdr:col>1</xdr:col>
      <xdr:colOff>81530</xdr:colOff>
      <xdr:row>1798</xdr:row>
      <xdr:rowOff>89807</xdr:rowOff>
    </xdr:to>
    <xdr:cxnSp macro="">
      <xdr:nvCxnSpPr>
        <xdr:cNvPr id="2539" name="Conector recto 13"/>
        <xdr:cNvCxnSpPr>
          <a:cxnSpLocks noChangeShapeType="1"/>
        </xdr:cNvCxnSpPr>
      </xdr:nvCxnSpPr>
      <xdr:spPr bwMode="auto">
        <a:xfrm rot="5400000">
          <a:off x="804636" y="915099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1799</xdr:row>
      <xdr:rowOff>86631</xdr:rowOff>
    </xdr:from>
    <xdr:to>
      <xdr:col>1</xdr:col>
      <xdr:colOff>668905</xdr:colOff>
      <xdr:row>1799</xdr:row>
      <xdr:rowOff>89353</xdr:rowOff>
    </xdr:to>
    <xdr:cxnSp macro="">
      <xdr:nvCxnSpPr>
        <xdr:cNvPr id="2540" name="Conector recto 16"/>
        <xdr:cNvCxnSpPr>
          <a:cxnSpLocks noChangeShapeType="1"/>
        </xdr:cNvCxnSpPr>
      </xdr:nvCxnSpPr>
      <xdr:spPr bwMode="auto">
        <a:xfrm>
          <a:off x="830830" y="917361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1799</xdr:row>
      <xdr:rowOff>1700</xdr:rowOff>
    </xdr:from>
    <xdr:to>
      <xdr:col>1</xdr:col>
      <xdr:colOff>69624</xdr:colOff>
      <xdr:row>1799</xdr:row>
      <xdr:rowOff>77900</xdr:rowOff>
    </xdr:to>
    <xdr:cxnSp macro="">
      <xdr:nvCxnSpPr>
        <xdr:cNvPr id="2541" name="Conector recto 13"/>
        <xdr:cNvCxnSpPr>
          <a:cxnSpLocks noChangeShapeType="1"/>
        </xdr:cNvCxnSpPr>
      </xdr:nvCxnSpPr>
      <xdr:spPr bwMode="auto">
        <a:xfrm rot="5400000">
          <a:off x="792730" y="916885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1800</xdr:row>
      <xdr:rowOff>125753</xdr:rowOff>
    </xdr:from>
    <xdr:to>
      <xdr:col>1</xdr:col>
      <xdr:colOff>682511</xdr:colOff>
      <xdr:row>1800</xdr:row>
      <xdr:rowOff>128475</xdr:rowOff>
    </xdr:to>
    <xdr:cxnSp macro="">
      <xdr:nvCxnSpPr>
        <xdr:cNvPr id="2542" name="Conector recto 16"/>
        <xdr:cNvCxnSpPr>
          <a:cxnSpLocks noChangeShapeType="1"/>
        </xdr:cNvCxnSpPr>
      </xdr:nvCxnSpPr>
      <xdr:spPr bwMode="auto">
        <a:xfrm>
          <a:off x="844436" y="9196580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1800</xdr:row>
      <xdr:rowOff>40822</xdr:rowOff>
    </xdr:from>
    <xdr:to>
      <xdr:col>1</xdr:col>
      <xdr:colOff>83230</xdr:colOff>
      <xdr:row>1800</xdr:row>
      <xdr:rowOff>117022</xdr:rowOff>
    </xdr:to>
    <xdr:cxnSp macro="">
      <xdr:nvCxnSpPr>
        <xdr:cNvPr id="2543" name="Conector recto 13"/>
        <xdr:cNvCxnSpPr>
          <a:cxnSpLocks noChangeShapeType="1"/>
        </xdr:cNvCxnSpPr>
      </xdr:nvCxnSpPr>
      <xdr:spPr bwMode="auto">
        <a:xfrm rot="5400000">
          <a:off x="806336" y="919181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68831</xdr:colOff>
      <xdr:row>1801</xdr:row>
      <xdr:rowOff>139359</xdr:rowOff>
    </xdr:from>
    <xdr:to>
      <xdr:col>1</xdr:col>
      <xdr:colOff>668906</xdr:colOff>
      <xdr:row>1801</xdr:row>
      <xdr:rowOff>142081</xdr:rowOff>
    </xdr:to>
    <xdr:cxnSp macro="">
      <xdr:nvCxnSpPr>
        <xdr:cNvPr id="2544" name="Conector recto 16"/>
        <xdr:cNvCxnSpPr>
          <a:cxnSpLocks noChangeShapeType="1"/>
        </xdr:cNvCxnSpPr>
      </xdr:nvCxnSpPr>
      <xdr:spPr bwMode="auto">
        <a:xfrm>
          <a:off x="830831" y="921699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68037</xdr:colOff>
      <xdr:row>1801</xdr:row>
      <xdr:rowOff>54428</xdr:rowOff>
    </xdr:from>
    <xdr:to>
      <xdr:col>1</xdr:col>
      <xdr:colOff>69625</xdr:colOff>
      <xdr:row>1801</xdr:row>
      <xdr:rowOff>130628</xdr:rowOff>
    </xdr:to>
    <xdr:cxnSp macro="">
      <xdr:nvCxnSpPr>
        <xdr:cNvPr id="2545" name="Conector recto 13"/>
        <xdr:cNvCxnSpPr>
          <a:cxnSpLocks noChangeShapeType="1"/>
        </xdr:cNvCxnSpPr>
      </xdr:nvCxnSpPr>
      <xdr:spPr bwMode="auto">
        <a:xfrm rot="5400000">
          <a:off x="792731" y="921222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51141</xdr:colOff>
      <xdr:row>1796</xdr:row>
      <xdr:rowOff>54428</xdr:rowOff>
    </xdr:from>
    <xdr:to>
      <xdr:col>1</xdr:col>
      <xdr:colOff>632166</xdr:colOff>
      <xdr:row>1796</xdr:row>
      <xdr:rowOff>56016</xdr:rowOff>
    </xdr:to>
    <xdr:cxnSp macro="">
      <xdr:nvCxnSpPr>
        <xdr:cNvPr id="2546" name="Conector recto 4"/>
        <xdr:cNvCxnSpPr>
          <a:cxnSpLocks noChangeShapeType="1"/>
        </xdr:cNvCxnSpPr>
      </xdr:nvCxnSpPr>
      <xdr:spPr bwMode="auto">
        <a:xfrm>
          <a:off x="813141" y="9113247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1796</xdr:row>
      <xdr:rowOff>55222</xdr:rowOff>
    </xdr:from>
    <xdr:to>
      <xdr:col>1</xdr:col>
      <xdr:colOff>42410</xdr:colOff>
      <xdr:row>1796</xdr:row>
      <xdr:rowOff>131422</xdr:rowOff>
    </xdr:to>
    <xdr:cxnSp macro="">
      <xdr:nvCxnSpPr>
        <xdr:cNvPr id="2547" name="Conector recto 7"/>
        <xdr:cNvCxnSpPr>
          <a:cxnSpLocks noChangeShapeType="1"/>
        </xdr:cNvCxnSpPr>
      </xdr:nvCxnSpPr>
      <xdr:spPr bwMode="auto">
        <a:xfrm rot="5400000">
          <a:off x="765516" y="911705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27215</xdr:colOff>
      <xdr:row>1802</xdr:row>
      <xdr:rowOff>54429</xdr:rowOff>
    </xdr:from>
    <xdr:to>
      <xdr:col>1</xdr:col>
      <xdr:colOff>561674</xdr:colOff>
      <xdr:row>1802</xdr:row>
      <xdr:rowOff>117324</xdr:rowOff>
    </xdr:to>
    <xdr:grpSp>
      <xdr:nvGrpSpPr>
        <xdr:cNvPr id="2548" name="Grupo 273"/>
        <xdr:cNvGrpSpPr>
          <a:grpSpLocks/>
        </xdr:cNvGrpSpPr>
      </xdr:nvGrpSpPr>
      <xdr:grpSpPr bwMode="auto">
        <a:xfrm>
          <a:off x="1138465" y="3365500"/>
          <a:ext cx="534459" cy="0"/>
          <a:chOff x="10648950" y="5124450"/>
          <a:chExt cx="1085850" cy="95250"/>
        </a:xfrm>
      </xdr:grpSpPr>
      <xdr:cxnSp macro="">
        <xdr:nvCxnSpPr>
          <xdr:cNvPr id="254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36740</xdr:colOff>
      <xdr:row>1803</xdr:row>
      <xdr:rowOff>32204</xdr:rowOff>
    </xdr:from>
    <xdr:to>
      <xdr:col>1</xdr:col>
      <xdr:colOff>571199</xdr:colOff>
      <xdr:row>1803</xdr:row>
      <xdr:rowOff>95099</xdr:rowOff>
    </xdr:to>
    <xdr:grpSp>
      <xdr:nvGrpSpPr>
        <xdr:cNvPr id="2551" name="Grupo 273"/>
        <xdr:cNvGrpSpPr>
          <a:grpSpLocks/>
        </xdr:cNvGrpSpPr>
      </xdr:nvGrpSpPr>
      <xdr:grpSpPr bwMode="auto">
        <a:xfrm>
          <a:off x="1147990" y="3365500"/>
          <a:ext cx="534459" cy="0"/>
          <a:chOff x="10648950" y="5124450"/>
          <a:chExt cx="1085850" cy="95250"/>
        </a:xfrm>
      </xdr:grpSpPr>
      <xdr:cxnSp macro="">
        <xdr:nvCxnSpPr>
          <xdr:cNvPr id="255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70758</xdr:colOff>
      <xdr:row>1804</xdr:row>
      <xdr:rowOff>57151</xdr:rowOff>
    </xdr:from>
    <xdr:to>
      <xdr:col>1</xdr:col>
      <xdr:colOff>605217</xdr:colOff>
      <xdr:row>1804</xdr:row>
      <xdr:rowOff>120046</xdr:rowOff>
    </xdr:to>
    <xdr:grpSp>
      <xdr:nvGrpSpPr>
        <xdr:cNvPr id="2554" name="Grupo 273"/>
        <xdr:cNvGrpSpPr>
          <a:grpSpLocks/>
        </xdr:cNvGrpSpPr>
      </xdr:nvGrpSpPr>
      <xdr:grpSpPr bwMode="auto">
        <a:xfrm>
          <a:off x="1182008" y="3365500"/>
          <a:ext cx="534459" cy="0"/>
          <a:chOff x="10648950" y="5124450"/>
          <a:chExt cx="1085850" cy="95250"/>
        </a:xfrm>
      </xdr:grpSpPr>
      <xdr:cxnSp macro="">
        <xdr:nvCxnSpPr>
          <xdr:cNvPr id="2555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6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80283</xdr:colOff>
      <xdr:row>1805</xdr:row>
      <xdr:rowOff>34926</xdr:rowOff>
    </xdr:from>
    <xdr:to>
      <xdr:col>1</xdr:col>
      <xdr:colOff>614742</xdr:colOff>
      <xdr:row>1805</xdr:row>
      <xdr:rowOff>97821</xdr:rowOff>
    </xdr:to>
    <xdr:grpSp>
      <xdr:nvGrpSpPr>
        <xdr:cNvPr id="2557" name="Grupo 273"/>
        <xdr:cNvGrpSpPr>
          <a:grpSpLocks/>
        </xdr:cNvGrpSpPr>
      </xdr:nvGrpSpPr>
      <xdr:grpSpPr bwMode="auto">
        <a:xfrm>
          <a:off x="1191533" y="3365500"/>
          <a:ext cx="534459" cy="0"/>
          <a:chOff x="10648950" y="5124450"/>
          <a:chExt cx="1085850" cy="95250"/>
        </a:xfrm>
      </xdr:grpSpPr>
      <xdr:cxnSp macro="">
        <xdr:nvCxnSpPr>
          <xdr:cNvPr id="255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1809</xdr:row>
      <xdr:rowOff>40822</xdr:rowOff>
    </xdr:from>
    <xdr:to>
      <xdr:col>1</xdr:col>
      <xdr:colOff>635000</xdr:colOff>
      <xdr:row>1809</xdr:row>
      <xdr:rowOff>432404</xdr:rowOff>
    </xdr:to>
    <xdr:sp macro="" textlink="">
      <xdr:nvSpPr>
        <xdr:cNvPr id="2563" name="Rectángulo redondeado 23"/>
        <xdr:cNvSpPr>
          <a:spLocks noChangeArrowheads="1"/>
        </xdr:cNvSpPr>
      </xdr:nvSpPr>
      <xdr:spPr bwMode="auto">
        <a:xfrm>
          <a:off x="857250" y="9359537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375898</xdr:colOff>
      <xdr:row>1810</xdr:row>
      <xdr:rowOff>128589</xdr:rowOff>
    </xdr:from>
    <xdr:to>
      <xdr:col>1</xdr:col>
      <xdr:colOff>433048</xdr:colOff>
      <xdr:row>1810</xdr:row>
      <xdr:rowOff>338139</xdr:rowOff>
    </xdr:to>
    <xdr:sp macro="" textlink="">
      <xdr:nvSpPr>
        <xdr:cNvPr id="2564" name="Forma libre 6"/>
        <xdr:cNvSpPr>
          <a:spLocks/>
        </xdr:cNvSpPr>
      </xdr:nvSpPr>
      <xdr:spPr bwMode="auto">
        <a:xfrm>
          <a:off x="1137898" y="94197489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119176</xdr:colOff>
      <xdr:row>1816</xdr:row>
      <xdr:rowOff>27215</xdr:rowOff>
    </xdr:from>
    <xdr:to>
      <xdr:col>1</xdr:col>
      <xdr:colOff>700201</xdr:colOff>
      <xdr:row>1816</xdr:row>
      <xdr:rowOff>28803</xdr:rowOff>
    </xdr:to>
    <xdr:cxnSp macro="">
      <xdr:nvCxnSpPr>
        <xdr:cNvPr id="2565" name="Conector recto 4"/>
        <xdr:cNvCxnSpPr>
          <a:cxnSpLocks noChangeShapeType="1"/>
        </xdr:cNvCxnSpPr>
      </xdr:nvCxnSpPr>
      <xdr:spPr bwMode="auto">
        <a:xfrm>
          <a:off x="881176" y="9553439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1816</xdr:row>
      <xdr:rowOff>28009</xdr:rowOff>
    </xdr:from>
    <xdr:to>
      <xdr:col>1</xdr:col>
      <xdr:colOff>110445</xdr:colOff>
      <xdr:row>1816</xdr:row>
      <xdr:rowOff>104209</xdr:rowOff>
    </xdr:to>
    <xdr:cxnSp macro="">
      <xdr:nvCxnSpPr>
        <xdr:cNvPr id="2566" name="Conector recto 7"/>
        <xdr:cNvCxnSpPr>
          <a:cxnSpLocks noChangeShapeType="1"/>
        </xdr:cNvCxnSpPr>
      </xdr:nvCxnSpPr>
      <xdr:spPr bwMode="auto">
        <a:xfrm rot="5400000">
          <a:off x="833551" y="9557249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1817</xdr:row>
      <xdr:rowOff>98539</xdr:rowOff>
    </xdr:from>
    <xdr:to>
      <xdr:col>1</xdr:col>
      <xdr:colOff>735239</xdr:colOff>
      <xdr:row>1817</xdr:row>
      <xdr:rowOff>101261</xdr:rowOff>
    </xdr:to>
    <xdr:cxnSp macro="">
      <xdr:nvCxnSpPr>
        <xdr:cNvPr id="2567" name="Conector recto 16"/>
        <xdr:cNvCxnSpPr>
          <a:cxnSpLocks noChangeShapeType="1"/>
        </xdr:cNvCxnSpPr>
      </xdr:nvCxnSpPr>
      <xdr:spPr bwMode="auto">
        <a:xfrm>
          <a:off x="897164" y="95796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1817</xdr:row>
      <xdr:rowOff>13608</xdr:rowOff>
    </xdr:from>
    <xdr:to>
      <xdr:col>1</xdr:col>
      <xdr:colOff>135958</xdr:colOff>
      <xdr:row>1817</xdr:row>
      <xdr:rowOff>89808</xdr:rowOff>
    </xdr:to>
    <xdr:cxnSp macro="">
      <xdr:nvCxnSpPr>
        <xdr:cNvPr id="2568" name="Conector recto 13"/>
        <xdr:cNvCxnSpPr>
          <a:cxnSpLocks noChangeShapeType="1"/>
        </xdr:cNvCxnSpPr>
      </xdr:nvCxnSpPr>
      <xdr:spPr bwMode="auto">
        <a:xfrm rot="5400000">
          <a:off x="859064" y="95748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1818</xdr:row>
      <xdr:rowOff>86632</xdr:rowOff>
    </xdr:from>
    <xdr:to>
      <xdr:col>1</xdr:col>
      <xdr:colOff>723333</xdr:colOff>
      <xdr:row>1818</xdr:row>
      <xdr:rowOff>89354</xdr:rowOff>
    </xdr:to>
    <xdr:cxnSp macro="">
      <xdr:nvCxnSpPr>
        <xdr:cNvPr id="2569" name="Conector recto 16"/>
        <xdr:cNvCxnSpPr>
          <a:cxnSpLocks noChangeShapeType="1"/>
        </xdr:cNvCxnSpPr>
      </xdr:nvCxnSpPr>
      <xdr:spPr bwMode="auto">
        <a:xfrm>
          <a:off x="885258" y="959748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1818</xdr:row>
      <xdr:rowOff>1701</xdr:rowOff>
    </xdr:from>
    <xdr:to>
      <xdr:col>1</xdr:col>
      <xdr:colOff>124052</xdr:colOff>
      <xdr:row>1818</xdr:row>
      <xdr:rowOff>77901</xdr:rowOff>
    </xdr:to>
    <xdr:cxnSp macro="">
      <xdr:nvCxnSpPr>
        <xdr:cNvPr id="2570" name="Conector recto 13"/>
        <xdr:cNvCxnSpPr>
          <a:cxnSpLocks noChangeShapeType="1"/>
        </xdr:cNvCxnSpPr>
      </xdr:nvCxnSpPr>
      <xdr:spPr bwMode="auto">
        <a:xfrm rot="5400000">
          <a:off x="847158" y="959271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136864</xdr:colOff>
      <xdr:row>1819</xdr:row>
      <xdr:rowOff>125754</xdr:rowOff>
    </xdr:from>
    <xdr:to>
      <xdr:col>1</xdr:col>
      <xdr:colOff>736939</xdr:colOff>
      <xdr:row>1819</xdr:row>
      <xdr:rowOff>128476</xdr:rowOff>
    </xdr:to>
    <xdr:cxnSp macro="">
      <xdr:nvCxnSpPr>
        <xdr:cNvPr id="2571" name="Conector recto 16"/>
        <xdr:cNvCxnSpPr>
          <a:cxnSpLocks noChangeShapeType="1"/>
        </xdr:cNvCxnSpPr>
      </xdr:nvCxnSpPr>
      <xdr:spPr bwMode="auto">
        <a:xfrm>
          <a:off x="898864" y="9620442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1819</xdr:row>
      <xdr:rowOff>40823</xdr:rowOff>
    </xdr:from>
    <xdr:to>
      <xdr:col>1</xdr:col>
      <xdr:colOff>137658</xdr:colOff>
      <xdr:row>1819</xdr:row>
      <xdr:rowOff>117023</xdr:rowOff>
    </xdr:to>
    <xdr:cxnSp macro="">
      <xdr:nvCxnSpPr>
        <xdr:cNvPr id="2572" name="Conector recto 13"/>
        <xdr:cNvCxnSpPr>
          <a:cxnSpLocks noChangeShapeType="1"/>
        </xdr:cNvCxnSpPr>
      </xdr:nvCxnSpPr>
      <xdr:spPr bwMode="auto">
        <a:xfrm rot="5400000">
          <a:off x="860764" y="961568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123259</xdr:colOff>
      <xdr:row>1820</xdr:row>
      <xdr:rowOff>139360</xdr:rowOff>
    </xdr:from>
    <xdr:to>
      <xdr:col>1</xdr:col>
      <xdr:colOff>723334</xdr:colOff>
      <xdr:row>1820</xdr:row>
      <xdr:rowOff>142082</xdr:rowOff>
    </xdr:to>
    <xdr:cxnSp macro="">
      <xdr:nvCxnSpPr>
        <xdr:cNvPr id="2573" name="Conector recto 16"/>
        <xdr:cNvCxnSpPr>
          <a:cxnSpLocks noChangeShapeType="1"/>
        </xdr:cNvCxnSpPr>
      </xdr:nvCxnSpPr>
      <xdr:spPr bwMode="auto">
        <a:xfrm>
          <a:off x="885259" y="964085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1820</xdr:row>
      <xdr:rowOff>54429</xdr:rowOff>
    </xdr:from>
    <xdr:to>
      <xdr:col>1</xdr:col>
      <xdr:colOff>124053</xdr:colOff>
      <xdr:row>1820</xdr:row>
      <xdr:rowOff>130629</xdr:rowOff>
    </xdr:to>
    <xdr:cxnSp macro="">
      <xdr:nvCxnSpPr>
        <xdr:cNvPr id="2574" name="Conector recto 13"/>
        <xdr:cNvCxnSpPr>
          <a:cxnSpLocks noChangeShapeType="1"/>
        </xdr:cNvCxnSpPr>
      </xdr:nvCxnSpPr>
      <xdr:spPr bwMode="auto">
        <a:xfrm rot="5400000">
          <a:off x="847159" y="963609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1815</xdr:row>
      <xdr:rowOff>54429</xdr:rowOff>
    </xdr:from>
    <xdr:to>
      <xdr:col>1</xdr:col>
      <xdr:colOff>686594</xdr:colOff>
      <xdr:row>1815</xdr:row>
      <xdr:rowOff>56017</xdr:rowOff>
    </xdr:to>
    <xdr:cxnSp macro="">
      <xdr:nvCxnSpPr>
        <xdr:cNvPr id="2575" name="Conector recto 4"/>
        <xdr:cNvCxnSpPr>
          <a:cxnSpLocks noChangeShapeType="1"/>
        </xdr:cNvCxnSpPr>
      </xdr:nvCxnSpPr>
      <xdr:spPr bwMode="auto">
        <a:xfrm>
          <a:off x="867569" y="953711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1815</xdr:row>
      <xdr:rowOff>55223</xdr:rowOff>
    </xdr:from>
    <xdr:to>
      <xdr:col>1</xdr:col>
      <xdr:colOff>96838</xdr:colOff>
      <xdr:row>1815</xdr:row>
      <xdr:rowOff>131423</xdr:rowOff>
    </xdr:to>
    <xdr:cxnSp macro="">
      <xdr:nvCxnSpPr>
        <xdr:cNvPr id="2576" name="Conector recto 7"/>
        <xdr:cNvCxnSpPr>
          <a:cxnSpLocks noChangeShapeType="1"/>
        </xdr:cNvCxnSpPr>
      </xdr:nvCxnSpPr>
      <xdr:spPr bwMode="auto">
        <a:xfrm rot="5400000">
          <a:off x="819944" y="954092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1814</xdr:row>
      <xdr:rowOff>54429</xdr:rowOff>
    </xdr:from>
    <xdr:to>
      <xdr:col>1</xdr:col>
      <xdr:colOff>672987</xdr:colOff>
      <xdr:row>1814</xdr:row>
      <xdr:rowOff>56017</xdr:rowOff>
    </xdr:to>
    <xdr:cxnSp macro="">
      <xdr:nvCxnSpPr>
        <xdr:cNvPr id="2577" name="Conector recto 4"/>
        <xdr:cNvCxnSpPr>
          <a:cxnSpLocks noChangeShapeType="1"/>
        </xdr:cNvCxnSpPr>
      </xdr:nvCxnSpPr>
      <xdr:spPr bwMode="auto">
        <a:xfrm>
          <a:off x="853962" y="951806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1814</xdr:row>
      <xdr:rowOff>55223</xdr:rowOff>
    </xdr:from>
    <xdr:to>
      <xdr:col>1</xdr:col>
      <xdr:colOff>83231</xdr:colOff>
      <xdr:row>1814</xdr:row>
      <xdr:rowOff>131423</xdr:rowOff>
    </xdr:to>
    <xdr:cxnSp macro="">
      <xdr:nvCxnSpPr>
        <xdr:cNvPr id="2578" name="Conector recto 7"/>
        <xdr:cNvCxnSpPr>
          <a:cxnSpLocks noChangeShapeType="1"/>
        </xdr:cNvCxnSpPr>
      </xdr:nvCxnSpPr>
      <xdr:spPr bwMode="auto">
        <a:xfrm rot="5400000">
          <a:off x="806337" y="952187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1831</xdr:row>
      <xdr:rowOff>27215</xdr:rowOff>
    </xdr:from>
    <xdr:to>
      <xdr:col>1</xdr:col>
      <xdr:colOff>602495</xdr:colOff>
      <xdr:row>1831</xdr:row>
      <xdr:rowOff>90110</xdr:rowOff>
    </xdr:to>
    <xdr:grpSp>
      <xdr:nvGrpSpPr>
        <xdr:cNvPr id="2582" name="Grupo 273"/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583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4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77561</xdr:colOff>
      <xdr:row>1832</xdr:row>
      <xdr:rowOff>4990</xdr:rowOff>
    </xdr:from>
    <xdr:to>
      <xdr:col>1</xdr:col>
      <xdr:colOff>612020</xdr:colOff>
      <xdr:row>1832</xdr:row>
      <xdr:rowOff>67885</xdr:rowOff>
    </xdr:to>
    <xdr:grpSp>
      <xdr:nvGrpSpPr>
        <xdr:cNvPr id="2585" name="Grupo 273"/>
        <xdr:cNvGrpSpPr>
          <a:grpSpLocks/>
        </xdr:cNvGrpSpPr>
      </xdr:nvGrpSpPr>
      <xdr:grpSpPr bwMode="auto">
        <a:xfrm>
          <a:off x="1188811" y="3365500"/>
          <a:ext cx="534459" cy="0"/>
          <a:chOff x="10648950" y="5124450"/>
          <a:chExt cx="1085850" cy="95250"/>
        </a:xfrm>
      </xdr:grpSpPr>
      <xdr:cxnSp macro="">
        <xdr:nvCxnSpPr>
          <xdr:cNvPr id="2586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7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1833</xdr:row>
      <xdr:rowOff>29937</xdr:rowOff>
    </xdr:from>
    <xdr:to>
      <xdr:col>1</xdr:col>
      <xdr:colOff>646038</xdr:colOff>
      <xdr:row>1833</xdr:row>
      <xdr:rowOff>92832</xdr:rowOff>
    </xdr:to>
    <xdr:grpSp>
      <xdr:nvGrpSpPr>
        <xdr:cNvPr id="2588" name="Grupo 273"/>
        <xdr:cNvGrpSpPr>
          <a:grpSpLocks/>
        </xdr:cNvGrpSpPr>
      </xdr:nvGrpSpPr>
      <xdr:grpSpPr bwMode="auto">
        <a:xfrm>
          <a:off x="1222829" y="3365500"/>
          <a:ext cx="534459" cy="0"/>
          <a:chOff x="10648950" y="5124450"/>
          <a:chExt cx="1085850" cy="95250"/>
        </a:xfrm>
      </xdr:grpSpPr>
      <xdr:cxnSp macro="">
        <xdr:nvCxnSpPr>
          <xdr:cNvPr id="258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9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89202</xdr:colOff>
      <xdr:row>1821</xdr:row>
      <xdr:rowOff>81643</xdr:rowOff>
    </xdr:from>
    <xdr:to>
      <xdr:col>1</xdr:col>
      <xdr:colOff>670227</xdr:colOff>
      <xdr:row>1821</xdr:row>
      <xdr:rowOff>83231</xdr:rowOff>
    </xdr:to>
    <xdr:cxnSp macro="">
      <xdr:nvCxnSpPr>
        <xdr:cNvPr id="2591" name="Conector recto 12"/>
        <xdr:cNvCxnSpPr>
          <a:cxnSpLocks noChangeShapeType="1"/>
        </xdr:cNvCxnSpPr>
      </xdr:nvCxnSpPr>
      <xdr:spPr bwMode="auto">
        <a:xfrm>
          <a:off x="851202" y="9654131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1822</xdr:row>
      <xdr:rowOff>117627</xdr:rowOff>
    </xdr:from>
    <xdr:to>
      <xdr:col>1</xdr:col>
      <xdr:colOff>649061</xdr:colOff>
      <xdr:row>1822</xdr:row>
      <xdr:rowOff>119215</xdr:rowOff>
    </xdr:to>
    <xdr:cxnSp macro="">
      <xdr:nvCxnSpPr>
        <xdr:cNvPr id="2592" name="Conector recto 12"/>
        <xdr:cNvCxnSpPr>
          <a:cxnSpLocks noChangeShapeType="1"/>
        </xdr:cNvCxnSpPr>
      </xdr:nvCxnSpPr>
      <xdr:spPr bwMode="auto">
        <a:xfrm>
          <a:off x="830036" y="96767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1823</xdr:row>
      <xdr:rowOff>117627</xdr:rowOff>
    </xdr:from>
    <xdr:to>
      <xdr:col>1</xdr:col>
      <xdr:colOff>649061</xdr:colOff>
      <xdr:row>1823</xdr:row>
      <xdr:rowOff>119215</xdr:rowOff>
    </xdr:to>
    <xdr:cxnSp macro="">
      <xdr:nvCxnSpPr>
        <xdr:cNvPr id="2593" name="Conector recto 12"/>
        <xdr:cNvCxnSpPr>
          <a:cxnSpLocks noChangeShapeType="1"/>
        </xdr:cNvCxnSpPr>
      </xdr:nvCxnSpPr>
      <xdr:spPr bwMode="auto">
        <a:xfrm>
          <a:off x="830036" y="96958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91848</xdr:colOff>
      <xdr:row>1824</xdr:row>
      <xdr:rowOff>93549</xdr:rowOff>
    </xdr:from>
    <xdr:to>
      <xdr:col>1</xdr:col>
      <xdr:colOff>672873</xdr:colOff>
      <xdr:row>1824</xdr:row>
      <xdr:rowOff>95137</xdr:rowOff>
    </xdr:to>
    <xdr:cxnSp macro="">
      <xdr:nvCxnSpPr>
        <xdr:cNvPr id="2594" name="Conector recto 12"/>
        <xdr:cNvCxnSpPr>
          <a:cxnSpLocks noChangeShapeType="1"/>
        </xdr:cNvCxnSpPr>
      </xdr:nvCxnSpPr>
      <xdr:spPr bwMode="auto">
        <a:xfrm>
          <a:off x="853848" y="9712472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102809</xdr:colOff>
      <xdr:row>1825</xdr:row>
      <xdr:rowOff>95250</xdr:rowOff>
    </xdr:from>
    <xdr:to>
      <xdr:col>1</xdr:col>
      <xdr:colOff>683834</xdr:colOff>
      <xdr:row>1825</xdr:row>
      <xdr:rowOff>96838</xdr:rowOff>
    </xdr:to>
    <xdr:cxnSp macro="">
      <xdr:nvCxnSpPr>
        <xdr:cNvPr id="2595" name="Conector recto 12"/>
        <xdr:cNvCxnSpPr>
          <a:cxnSpLocks noChangeShapeType="1"/>
        </xdr:cNvCxnSpPr>
      </xdr:nvCxnSpPr>
      <xdr:spPr bwMode="auto">
        <a:xfrm>
          <a:off x="864809" y="9731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1826</xdr:row>
      <xdr:rowOff>131234</xdr:rowOff>
    </xdr:from>
    <xdr:to>
      <xdr:col>1</xdr:col>
      <xdr:colOff>662668</xdr:colOff>
      <xdr:row>1826</xdr:row>
      <xdr:rowOff>132822</xdr:rowOff>
    </xdr:to>
    <xdr:cxnSp macro="">
      <xdr:nvCxnSpPr>
        <xdr:cNvPr id="2596" name="Conector recto 12"/>
        <xdr:cNvCxnSpPr>
          <a:cxnSpLocks noChangeShapeType="1"/>
        </xdr:cNvCxnSpPr>
      </xdr:nvCxnSpPr>
      <xdr:spPr bwMode="auto">
        <a:xfrm>
          <a:off x="843643" y="975434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1827</xdr:row>
      <xdr:rowOff>131234</xdr:rowOff>
    </xdr:from>
    <xdr:to>
      <xdr:col>1</xdr:col>
      <xdr:colOff>662668</xdr:colOff>
      <xdr:row>1827</xdr:row>
      <xdr:rowOff>132822</xdr:rowOff>
    </xdr:to>
    <xdr:cxnSp macro="">
      <xdr:nvCxnSpPr>
        <xdr:cNvPr id="2597" name="Conector recto 12"/>
        <xdr:cNvCxnSpPr>
          <a:cxnSpLocks noChangeShapeType="1"/>
        </xdr:cNvCxnSpPr>
      </xdr:nvCxnSpPr>
      <xdr:spPr bwMode="auto">
        <a:xfrm>
          <a:off x="843643" y="977339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1834</xdr:row>
      <xdr:rowOff>40822</xdr:rowOff>
    </xdr:from>
    <xdr:to>
      <xdr:col>1</xdr:col>
      <xdr:colOff>675822</xdr:colOff>
      <xdr:row>1834</xdr:row>
      <xdr:rowOff>432404</xdr:rowOff>
    </xdr:to>
    <xdr:sp macro="" textlink="">
      <xdr:nvSpPr>
        <xdr:cNvPr id="2598" name="Rectángulo redondeado 23"/>
        <xdr:cNvSpPr>
          <a:spLocks noChangeArrowheads="1"/>
        </xdr:cNvSpPr>
      </xdr:nvSpPr>
      <xdr:spPr bwMode="auto">
        <a:xfrm>
          <a:off x="898072" y="989769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348684</xdr:colOff>
      <xdr:row>1835</xdr:row>
      <xdr:rowOff>128588</xdr:rowOff>
    </xdr:from>
    <xdr:to>
      <xdr:col>1</xdr:col>
      <xdr:colOff>405834</xdr:colOff>
      <xdr:row>1835</xdr:row>
      <xdr:rowOff>338138</xdr:rowOff>
    </xdr:to>
    <xdr:sp macro="" textlink="">
      <xdr:nvSpPr>
        <xdr:cNvPr id="2599" name="Forma libre 6"/>
        <xdr:cNvSpPr>
          <a:spLocks/>
        </xdr:cNvSpPr>
      </xdr:nvSpPr>
      <xdr:spPr bwMode="auto">
        <a:xfrm>
          <a:off x="1110684" y="995314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136071</xdr:colOff>
      <xdr:row>1842</xdr:row>
      <xdr:rowOff>122464</xdr:rowOff>
    </xdr:from>
    <xdr:to>
      <xdr:col>1</xdr:col>
      <xdr:colOff>675821</xdr:colOff>
      <xdr:row>1842</xdr:row>
      <xdr:rowOff>514046</xdr:rowOff>
    </xdr:to>
    <xdr:sp macro="" textlink="">
      <xdr:nvSpPr>
        <xdr:cNvPr id="2600" name="Rectángulo redondeado 23"/>
        <xdr:cNvSpPr>
          <a:spLocks noChangeArrowheads="1"/>
        </xdr:cNvSpPr>
      </xdr:nvSpPr>
      <xdr:spPr bwMode="auto">
        <a:xfrm>
          <a:off x="898071" y="1010874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348683</xdr:colOff>
      <xdr:row>1843</xdr:row>
      <xdr:rowOff>101373</xdr:rowOff>
    </xdr:from>
    <xdr:to>
      <xdr:col>1</xdr:col>
      <xdr:colOff>405833</xdr:colOff>
      <xdr:row>1843</xdr:row>
      <xdr:rowOff>310923</xdr:rowOff>
    </xdr:to>
    <xdr:sp macro="" textlink="">
      <xdr:nvSpPr>
        <xdr:cNvPr id="2601" name="Forma libre 6"/>
        <xdr:cNvSpPr>
          <a:spLocks/>
        </xdr:cNvSpPr>
      </xdr:nvSpPr>
      <xdr:spPr bwMode="auto">
        <a:xfrm>
          <a:off x="1110683" y="101637873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68036</xdr:colOff>
      <xdr:row>1839</xdr:row>
      <xdr:rowOff>27214</xdr:rowOff>
    </xdr:from>
    <xdr:to>
      <xdr:col>1</xdr:col>
      <xdr:colOff>649855</xdr:colOff>
      <xdr:row>1839</xdr:row>
      <xdr:rowOff>170088</xdr:rowOff>
    </xdr:to>
    <xdr:grpSp>
      <xdr:nvGrpSpPr>
        <xdr:cNvPr id="2602" name="1197 Grupo"/>
        <xdr:cNvGrpSpPr/>
      </xdr:nvGrpSpPr>
      <xdr:grpSpPr>
        <a:xfrm>
          <a:off x="1179286" y="3365500"/>
          <a:ext cx="581819" cy="0"/>
          <a:chOff x="844550" y="22336125"/>
          <a:chExt cx="581819" cy="142874"/>
        </a:xfrm>
      </xdr:grpSpPr>
      <xdr:cxnSp macro="">
        <xdr:nvCxnSpPr>
          <xdr:cNvPr id="2603" name="Conector recto 4"/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4" name="1199 Conector recto"/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5" name="1200 Conector recto"/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55109</xdr:colOff>
      <xdr:row>1841</xdr:row>
      <xdr:rowOff>3402</xdr:rowOff>
    </xdr:from>
    <xdr:to>
      <xdr:col>1</xdr:col>
      <xdr:colOff>636134</xdr:colOff>
      <xdr:row>1841</xdr:row>
      <xdr:rowOff>170089</xdr:rowOff>
    </xdr:to>
    <xdr:grpSp>
      <xdr:nvGrpSpPr>
        <xdr:cNvPr id="2606" name="1201 Grupo"/>
        <xdr:cNvGrpSpPr/>
      </xdr:nvGrpSpPr>
      <xdr:grpSpPr>
        <a:xfrm>
          <a:off x="1166359" y="3365500"/>
          <a:ext cx="581025" cy="0"/>
          <a:chOff x="888207" y="22645689"/>
          <a:chExt cx="581025" cy="166687"/>
        </a:xfrm>
      </xdr:grpSpPr>
      <xdr:cxnSp macro="">
        <xdr:nvCxnSpPr>
          <xdr:cNvPr id="2607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8" name="1203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9" name="1204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81643</xdr:colOff>
      <xdr:row>1840</xdr:row>
      <xdr:rowOff>0</xdr:rowOff>
    </xdr:from>
    <xdr:to>
      <xdr:col>1</xdr:col>
      <xdr:colOff>662668</xdr:colOff>
      <xdr:row>1840</xdr:row>
      <xdr:rowOff>166687</xdr:rowOff>
    </xdr:to>
    <xdr:grpSp>
      <xdr:nvGrpSpPr>
        <xdr:cNvPr id="2610" name="1205 Grupo"/>
        <xdr:cNvGrpSpPr/>
      </xdr:nvGrpSpPr>
      <xdr:grpSpPr>
        <a:xfrm>
          <a:off x="1192893" y="3365500"/>
          <a:ext cx="581025" cy="0"/>
          <a:chOff x="888207" y="22645689"/>
          <a:chExt cx="581025" cy="166687"/>
        </a:xfrm>
      </xdr:grpSpPr>
      <xdr:cxnSp macro="">
        <xdr:nvCxnSpPr>
          <xdr:cNvPr id="2611" name="Conector recto 4"/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2" name="1207 Conector recto"/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3" name="1208 Conector recto"/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1848</xdr:row>
      <xdr:rowOff>54428</xdr:rowOff>
    </xdr:from>
    <xdr:to>
      <xdr:col>1</xdr:col>
      <xdr:colOff>727415</xdr:colOff>
      <xdr:row>1848</xdr:row>
      <xdr:rowOff>56016</xdr:rowOff>
    </xdr:to>
    <xdr:cxnSp macro="">
      <xdr:nvCxnSpPr>
        <xdr:cNvPr id="2614" name="Conector recto 4"/>
        <xdr:cNvCxnSpPr>
          <a:cxnSpLocks noChangeShapeType="1"/>
        </xdr:cNvCxnSpPr>
      </xdr:nvCxnSpPr>
      <xdr:spPr bwMode="auto">
        <a:xfrm>
          <a:off x="908390" y="10280060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1848</xdr:row>
      <xdr:rowOff>55222</xdr:rowOff>
    </xdr:from>
    <xdr:to>
      <xdr:col>1</xdr:col>
      <xdr:colOff>137659</xdr:colOff>
      <xdr:row>1848</xdr:row>
      <xdr:rowOff>131422</xdr:rowOff>
    </xdr:to>
    <xdr:cxnSp macro="">
      <xdr:nvCxnSpPr>
        <xdr:cNvPr id="2615" name="Conector recto 7"/>
        <xdr:cNvCxnSpPr>
          <a:cxnSpLocks noChangeShapeType="1"/>
        </xdr:cNvCxnSpPr>
      </xdr:nvCxnSpPr>
      <xdr:spPr bwMode="auto">
        <a:xfrm rot="5400000">
          <a:off x="860765" y="1028387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1849</xdr:row>
      <xdr:rowOff>125752</xdr:rowOff>
    </xdr:from>
    <xdr:to>
      <xdr:col>1</xdr:col>
      <xdr:colOff>762453</xdr:colOff>
      <xdr:row>1849</xdr:row>
      <xdr:rowOff>128474</xdr:rowOff>
    </xdr:to>
    <xdr:cxnSp macro="">
      <xdr:nvCxnSpPr>
        <xdr:cNvPr id="2616" name="Conector recto 16"/>
        <xdr:cNvCxnSpPr>
          <a:cxnSpLocks noChangeShapeType="1"/>
        </xdr:cNvCxnSpPr>
      </xdr:nvCxnSpPr>
      <xdr:spPr bwMode="auto">
        <a:xfrm>
          <a:off x="924378" y="1030624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1849</xdr:row>
      <xdr:rowOff>40821</xdr:rowOff>
    </xdr:from>
    <xdr:to>
      <xdr:col>1</xdr:col>
      <xdr:colOff>163172</xdr:colOff>
      <xdr:row>1849</xdr:row>
      <xdr:rowOff>117021</xdr:rowOff>
    </xdr:to>
    <xdr:cxnSp macro="">
      <xdr:nvCxnSpPr>
        <xdr:cNvPr id="2617" name="Conector recto 13"/>
        <xdr:cNvCxnSpPr>
          <a:cxnSpLocks noChangeShapeType="1"/>
        </xdr:cNvCxnSpPr>
      </xdr:nvCxnSpPr>
      <xdr:spPr bwMode="auto">
        <a:xfrm rot="5400000">
          <a:off x="886278" y="1030148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1850</xdr:row>
      <xdr:rowOff>113845</xdr:rowOff>
    </xdr:from>
    <xdr:to>
      <xdr:col>1</xdr:col>
      <xdr:colOff>750547</xdr:colOff>
      <xdr:row>1850</xdr:row>
      <xdr:rowOff>116567</xdr:rowOff>
    </xdr:to>
    <xdr:cxnSp macro="">
      <xdr:nvCxnSpPr>
        <xdr:cNvPr id="2618" name="Conector recto 16"/>
        <xdr:cNvCxnSpPr>
          <a:cxnSpLocks noChangeShapeType="1"/>
        </xdr:cNvCxnSpPr>
      </xdr:nvCxnSpPr>
      <xdr:spPr bwMode="auto">
        <a:xfrm>
          <a:off x="912472" y="1032410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1850</xdr:row>
      <xdr:rowOff>28914</xdr:rowOff>
    </xdr:from>
    <xdr:to>
      <xdr:col>1</xdr:col>
      <xdr:colOff>151266</xdr:colOff>
      <xdr:row>1850</xdr:row>
      <xdr:rowOff>105114</xdr:rowOff>
    </xdr:to>
    <xdr:cxnSp macro="">
      <xdr:nvCxnSpPr>
        <xdr:cNvPr id="2619" name="Conector recto 13"/>
        <xdr:cNvCxnSpPr>
          <a:cxnSpLocks noChangeShapeType="1"/>
        </xdr:cNvCxnSpPr>
      </xdr:nvCxnSpPr>
      <xdr:spPr bwMode="auto">
        <a:xfrm rot="5400000">
          <a:off x="874372" y="1031933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164078</xdr:colOff>
      <xdr:row>1851</xdr:row>
      <xdr:rowOff>152967</xdr:rowOff>
    </xdr:from>
    <xdr:to>
      <xdr:col>1</xdr:col>
      <xdr:colOff>764153</xdr:colOff>
      <xdr:row>1851</xdr:row>
      <xdr:rowOff>155689</xdr:rowOff>
    </xdr:to>
    <xdr:cxnSp macro="">
      <xdr:nvCxnSpPr>
        <xdr:cNvPr id="2620" name="Conector recto 16"/>
        <xdr:cNvCxnSpPr>
          <a:cxnSpLocks noChangeShapeType="1"/>
        </xdr:cNvCxnSpPr>
      </xdr:nvCxnSpPr>
      <xdr:spPr bwMode="auto">
        <a:xfrm>
          <a:off x="926078" y="1034706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163284</xdr:colOff>
      <xdr:row>1851</xdr:row>
      <xdr:rowOff>68036</xdr:rowOff>
    </xdr:from>
    <xdr:to>
      <xdr:col>1</xdr:col>
      <xdr:colOff>164872</xdr:colOff>
      <xdr:row>1851</xdr:row>
      <xdr:rowOff>144236</xdr:rowOff>
    </xdr:to>
    <xdr:cxnSp macro="">
      <xdr:nvCxnSpPr>
        <xdr:cNvPr id="2621" name="Conector recto 13"/>
        <xdr:cNvCxnSpPr>
          <a:cxnSpLocks noChangeShapeType="1"/>
        </xdr:cNvCxnSpPr>
      </xdr:nvCxnSpPr>
      <xdr:spPr bwMode="auto">
        <a:xfrm rot="5400000">
          <a:off x="887978" y="1034230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1847</xdr:row>
      <xdr:rowOff>81642</xdr:rowOff>
    </xdr:from>
    <xdr:to>
      <xdr:col>1</xdr:col>
      <xdr:colOff>713808</xdr:colOff>
      <xdr:row>1847</xdr:row>
      <xdr:rowOff>83230</xdr:rowOff>
    </xdr:to>
    <xdr:cxnSp macro="">
      <xdr:nvCxnSpPr>
        <xdr:cNvPr id="2622" name="Conector recto 4"/>
        <xdr:cNvCxnSpPr>
          <a:cxnSpLocks noChangeShapeType="1"/>
        </xdr:cNvCxnSpPr>
      </xdr:nvCxnSpPr>
      <xdr:spPr bwMode="auto">
        <a:xfrm>
          <a:off x="894783" y="1026373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1847</xdr:row>
      <xdr:rowOff>82436</xdr:rowOff>
    </xdr:from>
    <xdr:to>
      <xdr:col>1</xdr:col>
      <xdr:colOff>124052</xdr:colOff>
      <xdr:row>1847</xdr:row>
      <xdr:rowOff>158636</xdr:rowOff>
    </xdr:to>
    <xdr:cxnSp macro="">
      <xdr:nvCxnSpPr>
        <xdr:cNvPr id="2623" name="Conector recto 7"/>
        <xdr:cNvCxnSpPr>
          <a:cxnSpLocks noChangeShapeType="1"/>
        </xdr:cNvCxnSpPr>
      </xdr:nvCxnSpPr>
      <xdr:spPr bwMode="auto">
        <a:xfrm rot="5400000">
          <a:off x="847158" y="102675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1852</xdr:row>
      <xdr:rowOff>95250</xdr:rowOff>
    </xdr:from>
    <xdr:to>
      <xdr:col>1</xdr:col>
      <xdr:colOff>695325</xdr:colOff>
      <xdr:row>1852</xdr:row>
      <xdr:rowOff>97972</xdr:rowOff>
    </xdr:to>
    <xdr:cxnSp macro="">
      <xdr:nvCxnSpPr>
        <xdr:cNvPr id="2624" name="Conector recto 16"/>
        <xdr:cNvCxnSpPr>
          <a:cxnSpLocks noChangeShapeType="1"/>
        </xdr:cNvCxnSpPr>
      </xdr:nvCxnSpPr>
      <xdr:spPr bwMode="auto">
        <a:xfrm>
          <a:off x="857250" y="10360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1855</xdr:row>
      <xdr:rowOff>27216</xdr:rowOff>
    </xdr:from>
    <xdr:to>
      <xdr:col>1</xdr:col>
      <xdr:colOff>602494</xdr:colOff>
      <xdr:row>1855</xdr:row>
      <xdr:rowOff>90111</xdr:rowOff>
    </xdr:to>
    <xdr:grpSp>
      <xdr:nvGrpSpPr>
        <xdr:cNvPr id="2627" name="Grupo 273"/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628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29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1856</xdr:row>
      <xdr:rowOff>4991</xdr:rowOff>
    </xdr:from>
    <xdr:to>
      <xdr:col>1</xdr:col>
      <xdr:colOff>612019</xdr:colOff>
      <xdr:row>1856</xdr:row>
      <xdr:rowOff>67886</xdr:rowOff>
    </xdr:to>
    <xdr:grpSp>
      <xdr:nvGrpSpPr>
        <xdr:cNvPr id="2630" name="Grupo 273"/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631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2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1857</xdr:row>
      <xdr:rowOff>29938</xdr:rowOff>
    </xdr:from>
    <xdr:to>
      <xdr:col>1</xdr:col>
      <xdr:colOff>646037</xdr:colOff>
      <xdr:row>1857</xdr:row>
      <xdr:rowOff>92833</xdr:rowOff>
    </xdr:to>
    <xdr:grpSp>
      <xdr:nvGrpSpPr>
        <xdr:cNvPr id="2633" name="Grupo 273"/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634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5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182335</xdr:colOff>
      <xdr:row>1858</xdr:row>
      <xdr:rowOff>1363</xdr:rowOff>
    </xdr:from>
    <xdr:to>
      <xdr:col>1</xdr:col>
      <xdr:colOff>716794</xdr:colOff>
      <xdr:row>1858</xdr:row>
      <xdr:rowOff>54733</xdr:rowOff>
    </xdr:to>
    <xdr:grpSp>
      <xdr:nvGrpSpPr>
        <xdr:cNvPr id="2636" name="Grupo 273"/>
        <xdr:cNvGrpSpPr>
          <a:grpSpLocks/>
        </xdr:cNvGrpSpPr>
      </xdr:nvGrpSpPr>
      <xdr:grpSpPr bwMode="auto">
        <a:xfrm>
          <a:off x="1293585" y="3365500"/>
          <a:ext cx="534459" cy="0"/>
          <a:chOff x="10648950" y="5124450"/>
          <a:chExt cx="1085850" cy="95250"/>
        </a:xfrm>
      </xdr:grpSpPr>
      <xdr:cxnSp macro="">
        <xdr:nvCxnSpPr>
          <xdr:cNvPr id="2637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8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1859</xdr:row>
      <xdr:rowOff>40822</xdr:rowOff>
    </xdr:from>
    <xdr:to>
      <xdr:col>1</xdr:col>
      <xdr:colOff>648607</xdr:colOff>
      <xdr:row>1859</xdr:row>
      <xdr:rowOff>432404</xdr:rowOff>
    </xdr:to>
    <xdr:sp macro="" textlink="">
      <xdr:nvSpPr>
        <xdr:cNvPr id="2639" name="Rectángulo redondeado 23"/>
        <xdr:cNvSpPr>
          <a:spLocks noChangeArrowheads="1"/>
        </xdr:cNvSpPr>
      </xdr:nvSpPr>
      <xdr:spPr bwMode="auto">
        <a:xfrm>
          <a:off x="870857" y="1048824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1860</xdr:row>
      <xdr:rowOff>128588</xdr:rowOff>
    </xdr:from>
    <xdr:to>
      <xdr:col>1</xdr:col>
      <xdr:colOff>378619</xdr:colOff>
      <xdr:row>1860</xdr:row>
      <xdr:rowOff>338138</xdr:rowOff>
    </xdr:to>
    <xdr:sp macro="" textlink="">
      <xdr:nvSpPr>
        <xdr:cNvPr id="2640" name="Forma libre 6"/>
        <xdr:cNvSpPr>
          <a:spLocks/>
        </xdr:cNvSpPr>
      </xdr:nvSpPr>
      <xdr:spPr bwMode="auto">
        <a:xfrm>
          <a:off x="1083469" y="1054369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159998</xdr:colOff>
      <xdr:row>1865</xdr:row>
      <xdr:rowOff>40822</xdr:rowOff>
    </xdr:from>
    <xdr:to>
      <xdr:col>1</xdr:col>
      <xdr:colOff>741023</xdr:colOff>
      <xdr:row>1865</xdr:row>
      <xdr:rowOff>42410</xdr:rowOff>
    </xdr:to>
    <xdr:cxnSp macro="">
      <xdr:nvCxnSpPr>
        <xdr:cNvPr id="2641" name="Conector recto 4"/>
        <xdr:cNvCxnSpPr>
          <a:cxnSpLocks noChangeShapeType="1"/>
        </xdr:cNvCxnSpPr>
      </xdr:nvCxnSpPr>
      <xdr:spPr bwMode="auto">
        <a:xfrm>
          <a:off x="921998" y="10649222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1865</xdr:row>
      <xdr:rowOff>41616</xdr:rowOff>
    </xdr:from>
    <xdr:to>
      <xdr:col>1</xdr:col>
      <xdr:colOff>151267</xdr:colOff>
      <xdr:row>1865</xdr:row>
      <xdr:rowOff>117816</xdr:rowOff>
    </xdr:to>
    <xdr:cxnSp macro="">
      <xdr:nvCxnSpPr>
        <xdr:cNvPr id="2642" name="Conector recto 7"/>
        <xdr:cNvCxnSpPr>
          <a:cxnSpLocks noChangeShapeType="1"/>
        </xdr:cNvCxnSpPr>
      </xdr:nvCxnSpPr>
      <xdr:spPr bwMode="auto">
        <a:xfrm rot="5400000">
          <a:off x="874373" y="10653032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175986</xdr:colOff>
      <xdr:row>1866</xdr:row>
      <xdr:rowOff>112146</xdr:rowOff>
    </xdr:from>
    <xdr:to>
      <xdr:col>1</xdr:col>
      <xdr:colOff>776061</xdr:colOff>
      <xdr:row>1866</xdr:row>
      <xdr:rowOff>114868</xdr:rowOff>
    </xdr:to>
    <xdr:cxnSp macro="">
      <xdr:nvCxnSpPr>
        <xdr:cNvPr id="2643" name="Conector recto 16"/>
        <xdr:cNvCxnSpPr>
          <a:cxnSpLocks noChangeShapeType="1"/>
        </xdr:cNvCxnSpPr>
      </xdr:nvCxnSpPr>
      <xdr:spPr bwMode="auto">
        <a:xfrm>
          <a:off x="937986" y="106754046"/>
          <a:ext cx="590550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175192</xdr:colOff>
      <xdr:row>1866</xdr:row>
      <xdr:rowOff>27215</xdr:rowOff>
    </xdr:from>
    <xdr:to>
      <xdr:col>1</xdr:col>
      <xdr:colOff>176780</xdr:colOff>
      <xdr:row>1866</xdr:row>
      <xdr:rowOff>103415</xdr:rowOff>
    </xdr:to>
    <xdr:cxnSp macro="">
      <xdr:nvCxnSpPr>
        <xdr:cNvPr id="2644" name="Conector recto 13"/>
        <xdr:cNvCxnSpPr>
          <a:cxnSpLocks noChangeShapeType="1"/>
        </xdr:cNvCxnSpPr>
      </xdr:nvCxnSpPr>
      <xdr:spPr bwMode="auto">
        <a:xfrm rot="5400000">
          <a:off x="899886" y="10670642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164080</xdr:colOff>
      <xdr:row>1867</xdr:row>
      <xdr:rowOff>100239</xdr:rowOff>
    </xdr:from>
    <xdr:to>
      <xdr:col>1</xdr:col>
      <xdr:colOff>764155</xdr:colOff>
      <xdr:row>1867</xdr:row>
      <xdr:rowOff>102961</xdr:rowOff>
    </xdr:to>
    <xdr:cxnSp macro="">
      <xdr:nvCxnSpPr>
        <xdr:cNvPr id="2645" name="Conector recto 16"/>
        <xdr:cNvCxnSpPr>
          <a:cxnSpLocks noChangeShapeType="1"/>
        </xdr:cNvCxnSpPr>
      </xdr:nvCxnSpPr>
      <xdr:spPr bwMode="auto">
        <a:xfrm>
          <a:off x="926080" y="10693263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1867</xdr:row>
      <xdr:rowOff>15308</xdr:rowOff>
    </xdr:from>
    <xdr:to>
      <xdr:col>1</xdr:col>
      <xdr:colOff>164874</xdr:colOff>
      <xdr:row>1867</xdr:row>
      <xdr:rowOff>91508</xdr:rowOff>
    </xdr:to>
    <xdr:cxnSp macro="">
      <xdr:nvCxnSpPr>
        <xdr:cNvPr id="2646" name="Conector recto 13"/>
        <xdr:cNvCxnSpPr>
          <a:cxnSpLocks noChangeShapeType="1"/>
        </xdr:cNvCxnSpPr>
      </xdr:nvCxnSpPr>
      <xdr:spPr bwMode="auto">
        <a:xfrm rot="5400000">
          <a:off x="887980" y="10688501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177686</xdr:colOff>
      <xdr:row>1868</xdr:row>
      <xdr:rowOff>139361</xdr:rowOff>
    </xdr:from>
    <xdr:to>
      <xdr:col>1</xdr:col>
      <xdr:colOff>777761</xdr:colOff>
      <xdr:row>1868</xdr:row>
      <xdr:rowOff>142083</xdr:rowOff>
    </xdr:to>
    <xdr:cxnSp macro="">
      <xdr:nvCxnSpPr>
        <xdr:cNvPr id="2647" name="Conector recto 16"/>
        <xdr:cNvCxnSpPr>
          <a:cxnSpLocks noChangeShapeType="1"/>
        </xdr:cNvCxnSpPr>
      </xdr:nvCxnSpPr>
      <xdr:spPr bwMode="auto">
        <a:xfrm>
          <a:off x="939686" y="107162261"/>
          <a:ext cx="58102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176892</xdr:colOff>
      <xdr:row>1868</xdr:row>
      <xdr:rowOff>54430</xdr:rowOff>
    </xdr:from>
    <xdr:to>
      <xdr:col>1</xdr:col>
      <xdr:colOff>178480</xdr:colOff>
      <xdr:row>1868</xdr:row>
      <xdr:rowOff>130630</xdr:rowOff>
    </xdr:to>
    <xdr:cxnSp macro="">
      <xdr:nvCxnSpPr>
        <xdr:cNvPr id="2648" name="Conector recto 13"/>
        <xdr:cNvCxnSpPr>
          <a:cxnSpLocks noChangeShapeType="1"/>
        </xdr:cNvCxnSpPr>
      </xdr:nvCxnSpPr>
      <xdr:spPr bwMode="auto">
        <a:xfrm rot="5400000">
          <a:off x="901586" y="1071146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146391</xdr:colOff>
      <xdr:row>1864</xdr:row>
      <xdr:rowOff>68036</xdr:rowOff>
    </xdr:from>
    <xdr:to>
      <xdr:col>1</xdr:col>
      <xdr:colOff>727416</xdr:colOff>
      <xdr:row>1864</xdr:row>
      <xdr:rowOff>69624</xdr:rowOff>
    </xdr:to>
    <xdr:cxnSp macro="">
      <xdr:nvCxnSpPr>
        <xdr:cNvPr id="2649" name="Conector recto 4"/>
        <xdr:cNvCxnSpPr>
          <a:cxnSpLocks noChangeShapeType="1"/>
        </xdr:cNvCxnSpPr>
      </xdr:nvCxnSpPr>
      <xdr:spPr bwMode="auto">
        <a:xfrm>
          <a:off x="908391" y="106328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1864</xdr:row>
      <xdr:rowOff>68830</xdr:rowOff>
    </xdr:from>
    <xdr:to>
      <xdr:col>1</xdr:col>
      <xdr:colOff>137660</xdr:colOff>
      <xdr:row>1864</xdr:row>
      <xdr:rowOff>145030</xdr:rowOff>
    </xdr:to>
    <xdr:cxnSp macro="">
      <xdr:nvCxnSpPr>
        <xdr:cNvPr id="2650" name="Conector recto 7"/>
        <xdr:cNvCxnSpPr>
          <a:cxnSpLocks noChangeShapeType="1"/>
        </xdr:cNvCxnSpPr>
      </xdr:nvCxnSpPr>
      <xdr:spPr bwMode="auto">
        <a:xfrm rot="5400000">
          <a:off x="860766" y="106367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1869</xdr:row>
      <xdr:rowOff>152967</xdr:rowOff>
    </xdr:from>
    <xdr:to>
      <xdr:col>1</xdr:col>
      <xdr:colOff>750547</xdr:colOff>
      <xdr:row>1869</xdr:row>
      <xdr:rowOff>155689</xdr:rowOff>
    </xdr:to>
    <xdr:cxnSp macro="">
      <xdr:nvCxnSpPr>
        <xdr:cNvPr id="2651" name="Conector recto 16"/>
        <xdr:cNvCxnSpPr>
          <a:cxnSpLocks noChangeShapeType="1"/>
        </xdr:cNvCxnSpPr>
      </xdr:nvCxnSpPr>
      <xdr:spPr bwMode="auto">
        <a:xfrm>
          <a:off x="912472" y="1073663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1869</xdr:row>
      <xdr:rowOff>68036</xdr:rowOff>
    </xdr:from>
    <xdr:to>
      <xdr:col>1</xdr:col>
      <xdr:colOff>151266</xdr:colOff>
      <xdr:row>1869</xdr:row>
      <xdr:rowOff>144236</xdr:rowOff>
    </xdr:to>
    <xdr:cxnSp macro="">
      <xdr:nvCxnSpPr>
        <xdr:cNvPr id="2652" name="Conector recto 13"/>
        <xdr:cNvCxnSpPr>
          <a:cxnSpLocks noChangeShapeType="1"/>
        </xdr:cNvCxnSpPr>
      </xdr:nvCxnSpPr>
      <xdr:spPr bwMode="auto">
        <a:xfrm rot="5400000">
          <a:off x="874372" y="1073187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1870</xdr:row>
      <xdr:rowOff>136072</xdr:rowOff>
    </xdr:from>
    <xdr:to>
      <xdr:col>1</xdr:col>
      <xdr:colOff>672872</xdr:colOff>
      <xdr:row>1873</xdr:row>
      <xdr:rowOff>149566</xdr:rowOff>
    </xdr:to>
    <xdr:grpSp>
      <xdr:nvGrpSpPr>
        <xdr:cNvPr id="2653" name="1248 Grupo"/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654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5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6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7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54429</xdr:colOff>
      <xdr:row>1874</xdr:row>
      <xdr:rowOff>81643</xdr:rowOff>
    </xdr:from>
    <xdr:to>
      <xdr:col>1</xdr:col>
      <xdr:colOff>659266</xdr:colOff>
      <xdr:row>1877</xdr:row>
      <xdr:rowOff>95137</xdr:rowOff>
    </xdr:to>
    <xdr:grpSp>
      <xdr:nvGrpSpPr>
        <xdr:cNvPr id="2658" name="1253 Grupo"/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659" name="Conector recto 12"/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0" name="Conector recto 12"/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1" name="Conector recto 12"/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2" name="Conector recto 12"/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1878</xdr:row>
      <xdr:rowOff>95250</xdr:rowOff>
    </xdr:from>
    <xdr:to>
      <xdr:col>1</xdr:col>
      <xdr:colOff>668110</xdr:colOff>
      <xdr:row>1878</xdr:row>
      <xdr:rowOff>97972</xdr:rowOff>
    </xdr:to>
    <xdr:cxnSp macro="">
      <xdr:nvCxnSpPr>
        <xdr:cNvPr id="2663" name="Conector recto 16"/>
        <xdr:cNvCxnSpPr>
          <a:cxnSpLocks noChangeShapeType="1"/>
        </xdr:cNvCxnSpPr>
      </xdr:nvCxnSpPr>
      <xdr:spPr bwMode="auto">
        <a:xfrm>
          <a:off x="830035" y="1090231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111577</xdr:colOff>
      <xdr:row>1879</xdr:row>
      <xdr:rowOff>111579</xdr:rowOff>
    </xdr:from>
    <xdr:to>
      <xdr:col>1</xdr:col>
      <xdr:colOff>711652</xdr:colOff>
      <xdr:row>1879</xdr:row>
      <xdr:rowOff>114301</xdr:rowOff>
    </xdr:to>
    <xdr:cxnSp macro="">
      <xdr:nvCxnSpPr>
        <xdr:cNvPr id="2664" name="Conector recto 16"/>
        <xdr:cNvCxnSpPr>
          <a:cxnSpLocks noChangeShapeType="1"/>
        </xdr:cNvCxnSpPr>
      </xdr:nvCxnSpPr>
      <xdr:spPr bwMode="auto">
        <a:xfrm>
          <a:off x="873577" y="1092299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73477</xdr:colOff>
      <xdr:row>1880</xdr:row>
      <xdr:rowOff>114300</xdr:rowOff>
    </xdr:from>
    <xdr:to>
      <xdr:col>1</xdr:col>
      <xdr:colOff>673552</xdr:colOff>
      <xdr:row>1880</xdr:row>
      <xdr:rowOff>117022</xdr:rowOff>
    </xdr:to>
    <xdr:cxnSp macro="">
      <xdr:nvCxnSpPr>
        <xdr:cNvPr id="2665" name="Conector recto 16"/>
        <xdr:cNvCxnSpPr>
          <a:cxnSpLocks noChangeShapeType="1"/>
        </xdr:cNvCxnSpPr>
      </xdr:nvCxnSpPr>
      <xdr:spPr bwMode="auto">
        <a:xfrm>
          <a:off x="835477" y="1094232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1884</xdr:row>
      <xdr:rowOff>40823</xdr:rowOff>
    </xdr:from>
    <xdr:to>
      <xdr:col>1</xdr:col>
      <xdr:colOff>670530</xdr:colOff>
      <xdr:row>1884</xdr:row>
      <xdr:rowOff>103718</xdr:rowOff>
    </xdr:to>
    <xdr:grpSp>
      <xdr:nvGrpSpPr>
        <xdr:cNvPr id="2668" name="Grupo 273"/>
        <xdr:cNvGrpSpPr>
          <a:grpSpLocks/>
        </xdr:cNvGrpSpPr>
      </xdr:nvGrpSpPr>
      <xdr:grpSpPr bwMode="auto">
        <a:xfrm>
          <a:off x="1247321" y="3365500"/>
          <a:ext cx="534459" cy="0"/>
          <a:chOff x="10648950" y="5124450"/>
          <a:chExt cx="1085850" cy="95250"/>
        </a:xfrm>
      </xdr:grpSpPr>
      <xdr:cxnSp macro="">
        <xdr:nvCxnSpPr>
          <xdr:cNvPr id="2669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0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145596</xdr:colOff>
      <xdr:row>1885</xdr:row>
      <xdr:rowOff>18598</xdr:rowOff>
    </xdr:from>
    <xdr:to>
      <xdr:col>1</xdr:col>
      <xdr:colOff>680055</xdr:colOff>
      <xdr:row>1885</xdr:row>
      <xdr:rowOff>81493</xdr:rowOff>
    </xdr:to>
    <xdr:grpSp>
      <xdr:nvGrpSpPr>
        <xdr:cNvPr id="2671" name="Grupo 273"/>
        <xdr:cNvGrpSpPr>
          <a:grpSpLocks/>
        </xdr:cNvGrpSpPr>
      </xdr:nvGrpSpPr>
      <xdr:grpSpPr bwMode="auto">
        <a:xfrm>
          <a:off x="1256846" y="3365500"/>
          <a:ext cx="534459" cy="0"/>
          <a:chOff x="10648950" y="5124450"/>
          <a:chExt cx="1085850" cy="95250"/>
        </a:xfrm>
      </xdr:grpSpPr>
      <xdr:cxnSp macro="">
        <xdr:nvCxnSpPr>
          <xdr:cNvPr id="2672" name="Conector recto 43"/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3" name="Conector recto 13"/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1886</xdr:row>
      <xdr:rowOff>13607</xdr:rowOff>
    </xdr:from>
    <xdr:to>
      <xdr:col>1</xdr:col>
      <xdr:colOff>635000</xdr:colOff>
      <xdr:row>1886</xdr:row>
      <xdr:rowOff>405189</xdr:rowOff>
    </xdr:to>
    <xdr:sp macro="" textlink="">
      <xdr:nvSpPr>
        <xdr:cNvPr id="2675" name="Rectángulo redondeado 23"/>
        <xdr:cNvSpPr>
          <a:spLocks noChangeArrowheads="1"/>
        </xdr:cNvSpPr>
      </xdr:nvSpPr>
      <xdr:spPr bwMode="auto">
        <a:xfrm>
          <a:off x="857250" y="1104655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1887</xdr:row>
      <xdr:rowOff>60551</xdr:rowOff>
    </xdr:from>
    <xdr:to>
      <xdr:col>1</xdr:col>
      <xdr:colOff>365012</xdr:colOff>
      <xdr:row>1887</xdr:row>
      <xdr:rowOff>270101</xdr:rowOff>
    </xdr:to>
    <xdr:sp macro="" textlink="">
      <xdr:nvSpPr>
        <xdr:cNvPr id="2676" name="Forma libre 6"/>
        <xdr:cNvSpPr>
          <a:spLocks/>
        </xdr:cNvSpPr>
      </xdr:nvSpPr>
      <xdr:spPr bwMode="auto">
        <a:xfrm>
          <a:off x="1069862" y="111017276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247650</xdr:colOff>
      <xdr:row>1933</xdr:row>
      <xdr:rowOff>19050</xdr:rowOff>
    </xdr:from>
    <xdr:to>
      <xdr:col>4</xdr:col>
      <xdr:colOff>371475</xdr:colOff>
      <xdr:row>1933</xdr:row>
      <xdr:rowOff>542925</xdr:rowOff>
    </xdr:to>
    <xdr:grpSp>
      <xdr:nvGrpSpPr>
        <xdr:cNvPr id="3003" name="Grupo 3002"/>
        <xdr:cNvGrpSpPr/>
      </xdr:nvGrpSpPr>
      <xdr:grpSpPr>
        <a:xfrm>
          <a:off x="5184775" y="11766550"/>
          <a:ext cx="123825" cy="523875"/>
          <a:chOff x="1143000" y="590550"/>
          <a:chExt cx="123825" cy="523875"/>
        </a:xfrm>
      </xdr:grpSpPr>
      <xdr:cxnSp macro="">
        <xdr:nvCxnSpPr>
          <xdr:cNvPr id="3004" name="Conector recto 3003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5" name="Conector recto 3004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1934</xdr:row>
      <xdr:rowOff>47625</xdr:rowOff>
    </xdr:from>
    <xdr:to>
      <xdr:col>4</xdr:col>
      <xdr:colOff>361950</xdr:colOff>
      <xdr:row>1934</xdr:row>
      <xdr:rowOff>571500</xdr:rowOff>
    </xdr:to>
    <xdr:grpSp>
      <xdr:nvGrpSpPr>
        <xdr:cNvPr id="3006" name="Grupo 3005"/>
        <xdr:cNvGrpSpPr/>
      </xdr:nvGrpSpPr>
      <xdr:grpSpPr>
        <a:xfrm flipH="1">
          <a:off x="5146675" y="12430125"/>
          <a:ext cx="152400" cy="523875"/>
          <a:chOff x="1143000" y="590550"/>
          <a:chExt cx="123825" cy="523875"/>
        </a:xfrm>
      </xdr:grpSpPr>
      <xdr:cxnSp macro="">
        <xdr:nvCxnSpPr>
          <xdr:cNvPr id="3007" name="Conector recto 3006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8" name="Conector recto 3007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285750</xdr:colOff>
      <xdr:row>1937</xdr:row>
      <xdr:rowOff>85726</xdr:rowOff>
    </xdr:from>
    <xdr:to>
      <xdr:col>4</xdr:col>
      <xdr:colOff>466725</xdr:colOff>
      <xdr:row>1937</xdr:row>
      <xdr:rowOff>600076</xdr:rowOff>
    </xdr:to>
    <xdr:grpSp>
      <xdr:nvGrpSpPr>
        <xdr:cNvPr id="3009" name="Grupo 3008"/>
        <xdr:cNvGrpSpPr/>
      </xdr:nvGrpSpPr>
      <xdr:grpSpPr>
        <a:xfrm flipV="1">
          <a:off x="5222875" y="14373226"/>
          <a:ext cx="180975" cy="514350"/>
          <a:chOff x="1143000" y="590550"/>
          <a:chExt cx="123825" cy="523875"/>
        </a:xfrm>
      </xdr:grpSpPr>
      <xdr:cxnSp macro="">
        <xdr:nvCxnSpPr>
          <xdr:cNvPr id="3010" name="Conector recto 300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1" name="Conector recto 301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304801</xdr:colOff>
      <xdr:row>1939</xdr:row>
      <xdr:rowOff>66676</xdr:rowOff>
    </xdr:from>
    <xdr:to>
      <xdr:col>4</xdr:col>
      <xdr:colOff>419101</xdr:colOff>
      <xdr:row>1939</xdr:row>
      <xdr:rowOff>581026</xdr:rowOff>
    </xdr:to>
    <xdr:grpSp>
      <xdr:nvGrpSpPr>
        <xdr:cNvPr id="3012" name="Grupo 3011"/>
        <xdr:cNvGrpSpPr/>
      </xdr:nvGrpSpPr>
      <xdr:grpSpPr>
        <a:xfrm flipH="1" flipV="1">
          <a:off x="5241926" y="15624176"/>
          <a:ext cx="114300" cy="514350"/>
          <a:chOff x="1143000" y="590550"/>
          <a:chExt cx="123825" cy="523875"/>
        </a:xfrm>
      </xdr:grpSpPr>
      <xdr:cxnSp macro="">
        <xdr:nvCxnSpPr>
          <xdr:cNvPr id="3013" name="Conector recto 301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4" name="Conector recto 301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1935</xdr:row>
      <xdr:rowOff>47625</xdr:rowOff>
    </xdr:from>
    <xdr:to>
      <xdr:col>4</xdr:col>
      <xdr:colOff>323850</xdr:colOff>
      <xdr:row>1935</xdr:row>
      <xdr:rowOff>590550</xdr:rowOff>
    </xdr:to>
    <xdr:cxnSp macro="">
      <xdr:nvCxnSpPr>
        <xdr:cNvPr id="3015" name="Conector recto 3014"/>
        <xdr:cNvCxnSpPr/>
      </xdr:nvCxnSpPr>
      <xdr:spPr>
        <a:xfrm>
          <a:off x="1219200" y="18764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1936</xdr:row>
      <xdr:rowOff>47625</xdr:rowOff>
    </xdr:from>
    <xdr:to>
      <xdr:col>4</xdr:col>
      <xdr:colOff>314325</xdr:colOff>
      <xdr:row>1936</xdr:row>
      <xdr:rowOff>590550</xdr:rowOff>
    </xdr:to>
    <xdr:cxnSp macro="">
      <xdr:nvCxnSpPr>
        <xdr:cNvPr id="3016" name="Conector recto 3015"/>
        <xdr:cNvCxnSpPr/>
      </xdr:nvCxnSpPr>
      <xdr:spPr>
        <a:xfrm>
          <a:off x="1209675" y="2495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1938</xdr:row>
      <xdr:rowOff>38100</xdr:rowOff>
    </xdr:from>
    <xdr:to>
      <xdr:col>4</xdr:col>
      <xdr:colOff>323850</xdr:colOff>
      <xdr:row>1938</xdr:row>
      <xdr:rowOff>581025</xdr:rowOff>
    </xdr:to>
    <xdr:cxnSp macro="">
      <xdr:nvCxnSpPr>
        <xdr:cNvPr id="3017" name="Conector recto 3016"/>
        <xdr:cNvCxnSpPr/>
      </xdr:nvCxnSpPr>
      <xdr:spPr>
        <a:xfrm>
          <a:off x="1219200" y="37242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1943</xdr:row>
      <xdr:rowOff>47625</xdr:rowOff>
    </xdr:from>
    <xdr:to>
      <xdr:col>4</xdr:col>
      <xdr:colOff>457200</xdr:colOff>
      <xdr:row>1943</xdr:row>
      <xdr:rowOff>571500</xdr:rowOff>
    </xdr:to>
    <xdr:grpSp>
      <xdr:nvGrpSpPr>
        <xdr:cNvPr id="3018" name="Grupo 3017"/>
        <xdr:cNvGrpSpPr/>
      </xdr:nvGrpSpPr>
      <xdr:grpSpPr>
        <a:xfrm>
          <a:off x="5270500" y="18145125"/>
          <a:ext cx="123825" cy="523875"/>
          <a:chOff x="1143000" y="590550"/>
          <a:chExt cx="123825" cy="523875"/>
        </a:xfrm>
      </xdr:grpSpPr>
      <xdr:cxnSp macro="">
        <xdr:nvCxnSpPr>
          <xdr:cNvPr id="3019" name="Conector recto 3018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0" name="Conector recto 3019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1944</xdr:row>
      <xdr:rowOff>76200</xdr:rowOff>
    </xdr:from>
    <xdr:to>
      <xdr:col>4</xdr:col>
      <xdr:colOff>447675</xdr:colOff>
      <xdr:row>1944</xdr:row>
      <xdr:rowOff>600075</xdr:rowOff>
    </xdr:to>
    <xdr:grpSp>
      <xdr:nvGrpSpPr>
        <xdr:cNvPr id="3021" name="Grupo 3020"/>
        <xdr:cNvGrpSpPr/>
      </xdr:nvGrpSpPr>
      <xdr:grpSpPr>
        <a:xfrm flipH="1">
          <a:off x="5232400" y="18808700"/>
          <a:ext cx="152400" cy="523875"/>
          <a:chOff x="1143000" y="590550"/>
          <a:chExt cx="123825" cy="523875"/>
        </a:xfrm>
      </xdr:grpSpPr>
      <xdr:cxnSp macro="">
        <xdr:nvCxnSpPr>
          <xdr:cNvPr id="3022" name="Conector recto 302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3" name="Conector recto 302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409575</xdr:colOff>
      <xdr:row>1945</xdr:row>
      <xdr:rowOff>76200</xdr:rowOff>
    </xdr:from>
    <xdr:to>
      <xdr:col>4</xdr:col>
      <xdr:colOff>409575</xdr:colOff>
      <xdr:row>1946</xdr:row>
      <xdr:rowOff>0</xdr:rowOff>
    </xdr:to>
    <xdr:cxnSp macro="">
      <xdr:nvCxnSpPr>
        <xdr:cNvPr id="3024" name="Conector recto 3023"/>
        <xdr:cNvCxnSpPr/>
      </xdr:nvCxnSpPr>
      <xdr:spPr>
        <a:xfrm>
          <a:off x="1304925" y="809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1946</xdr:row>
      <xdr:rowOff>76200</xdr:rowOff>
    </xdr:from>
    <xdr:to>
      <xdr:col>4</xdr:col>
      <xdr:colOff>400050</xdr:colOff>
      <xdr:row>1947</xdr:row>
      <xdr:rowOff>0</xdr:rowOff>
    </xdr:to>
    <xdr:cxnSp macro="">
      <xdr:nvCxnSpPr>
        <xdr:cNvPr id="3025" name="Conector recto 3024"/>
        <xdr:cNvCxnSpPr/>
      </xdr:nvCxnSpPr>
      <xdr:spPr>
        <a:xfrm>
          <a:off x="1295400" y="87153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1947</xdr:row>
      <xdr:rowOff>28575</xdr:rowOff>
    </xdr:from>
    <xdr:to>
      <xdr:col>4</xdr:col>
      <xdr:colOff>390525</xdr:colOff>
      <xdr:row>1947</xdr:row>
      <xdr:rowOff>571500</xdr:rowOff>
    </xdr:to>
    <xdr:cxnSp macro="">
      <xdr:nvCxnSpPr>
        <xdr:cNvPr id="3026" name="Conector recto 3025"/>
        <xdr:cNvCxnSpPr/>
      </xdr:nvCxnSpPr>
      <xdr:spPr>
        <a:xfrm>
          <a:off x="1285875" y="92868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1948</xdr:row>
      <xdr:rowOff>47625</xdr:rowOff>
    </xdr:from>
    <xdr:to>
      <xdr:col>4</xdr:col>
      <xdr:colOff>476250</xdr:colOff>
      <xdr:row>1948</xdr:row>
      <xdr:rowOff>561975</xdr:rowOff>
    </xdr:to>
    <xdr:grpSp>
      <xdr:nvGrpSpPr>
        <xdr:cNvPr id="3027" name="Grupo 3026"/>
        <xdr:cNvGrpSpPr/>
      </xdr:nvGrpSpPr>
      <xdr:grpSpPr>
        <a:xfrm flipV="1">
          <a:off x="5232400" y="21320125"/>
          <a:ext cx="180975" cy="514350"/>
          <a:chOff x="1143000" y="590550"/>
          <a:chExt cx="123825" cy="523875"/>
        </a:xfrm>
      </xdr:grpSpPr>
      <xdr:cxnSp macro="">
        <xdr:nvCxnSpPr>
          <xdr:cNvPr id="3028" name="Conector recto 3027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9" name="Conector recto 3028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1949</xdr:row>
      <xdr:rowOff>38100</xdr:rowOff>
    </xdr:from>
    <xdr:to>
      <xdr:col>4</xdr:col>
      <xdr:colOff>419100</xdr:colOff>
      <xdr:row>1949</xdr:row>
      <xdr:rowOff>552450</xdr:rowOff>
    </xdr:to>
    <xdr:grpSp>
      <xdr:nvGrpSpPr>
        <xdr:cNvPr id="3030" name="Grupo 3029"/>
        <xdr:cNvGrpSpPr/>
      </xdr:nvGrpSpPr>
      <xdr:grpSpPr>
        <a:xfrm flipH="1" flipV="1">
          <a:off x="5241925" y="21945600"/>
          <a:ext cx="114300" cy="514350"/>
          <a:chOff x="1143000" y="590550"/>
          <a:chExt cx="123825" cy="523875"/>
        </a:xfrm>
      </xdr:grpSpPr>
      <xdr:cxnSp macro="">
        <xdr:nvCxnSpPr>
          <xdr:cNvPr id="3031" name="Conector recto 3030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2" name="Conector recto 3031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1953</xdr:row>
      <xdr:rowOff>38100</xdr:rowOff>
    </xdr:from>
    <xdr:to>
      <xdr:col>4</xdr:col>
      <xdr:colOff>466725</xdr:colOff>
      <xdr:row>1953</xdr:row>
      <xdr:rowOff>561975</xdr:rowOff>
    </xdr:to>
    <xdr:grpSp>
      <xdr:nvGrpSpPr>
        <xdr:cNvPr id="3033" name="Grupo 3032"/>
        <xdr:cNvGrpSpPr/>
      </xdr:nvGrpSpPr>
      <xdr:grpSpPr>
        <a:xfrm>
          <a:off x="5280025" y="24485600"/>
          <a:ext cx="123825" cy="523875"/>
          <a:chOff x="1143000" y="590550"/>
          <a:chExt cx="123825" cy="523875"/>
        </a:xfrm>
      </xdr:grpSpPr>
      <xdr:cxnSp macro="">
        <xdr:nvCxnSpPr>
          <xdr:cNvPr id="3034" name="Conector recto 3033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5" name="Conector recto 3034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1954</xdr:row>
      <xdr:rowOff>66675</xdr:rowOff>
    </xdr:from>
    <xdr:to>
      <xdr:col>4</xdr:col>
      <xdr:colOff>457200</xdr:colOff>
      <xdr:row>1954</xdr:row>
      <xdr:rowOff>590550</xdr:rowOff>
    </xdr:to>
    <xdr:grpSp>
      <xdr:nvGrpSpPr>
        <xdr:cNvPr id="3036" name="Grupo 3035"/>
        <xdr:cNvGrpSpPr/>
      </xdr:nvGrpSpPr>
      <xdr:grpSpPr>
        <a:xfrm flipH="1">
          <a:off x="5241925" y="25149175"/>
          <a:ext cx="152400" cy="523875"/>
          <a:chOff x="1143000" y="590550"/>
          <a:chExt cx="123825" cy="523875"/>
        </a:xfrm>
      </xdr:grpSpPr>
      <xdr:cxnSp macro="">
        <xdr:nvCxnSpPr>
          <xdr:cNvPr id="3037" name="Conector recto 3036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8" name="Conector recto 3037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419100</xdr:colOff>
      <xdr:row>1955</xdr:row>
      <xdr:rowOff>66675</xdr:rowOff>
    </xdr:from>
    <xdr:to>
      <xdr:col>4</xdr:col>
      <xdr:colOff>419100</xdr:colOff>
      <xdr:row>1955</xdr:row>
      <xdr:rowOff>609600</xdr:rowOff>
    </xdr:to>
    <xdr:cxnSp macro="">
      <xdr:nvCxnSpPr>
        <xdr:cNvPr id="3039" name="Conector recto 3038"/>
        <xdr:cNvCxnSpPr/>
      </xdr:nvCxnSpPr>
      <xdr:spPr>
        <a:xfrm>
          <a:off x="1314450" y="14277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1956</xdr:row>
      <xdr:rowOff>66675</xdr:rowOff>
    </xdr:from>
    <xdr:to>
      <xdr:col>4</xdr:col>
      <xdr:colOff>409575</xdr:colOff>
      <xdr:row>1956</xdr:row>
      <xdr:rowOff>609600</xdr:rowOff>
    </xdr:to>
    <xdr:cxnSp macro="">
      <xdr:nvCxnSpPr>
        <xdr:cNvPr id="3040" name="Conector recto 3039"/>
        <xdr:cNvCxnSpPr/>
      </xdr:nvCxnSpPr>
      <xdr:spPr>
        <a:xfrm>
          <a:off x="1304925" y="14897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1957</xdr:row>
      <xdr:rowOff>19050</xdr:rowOff>
    </xdr:from>
    <xdr:to>
      <xdr:col>4</xdr:col>
      <xdr:colOff>400050</xdr:colOff>
      <xdr:row>1957</xdr:row>
      <xdr:rowOff>561975</xdr:rowOff>
    </xdr:to>
    <xdr:cxnSp macro="">
      <xdr:nvCxnSpPr>
        <xdr:cNvPr id="3041" name="Conector recto 3040"/>
        <xdr:cNvCxnSpPr/>
      </xdr:nvCxnSpPr>
      <xdr:spPr>
        <a:xfrm>
          <a:off x="1295400" y="154686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1958</xdr:row>
      <xdr:rowOff>38100</xdr:rowOff>
    </xdr:from>
    <xdr:to>
      <xdr:col>4</xdr:col>
      <xdr:colOff>485775</xdr:colOff>
      <xdr:row>1958</xdr:row>
      <xdr:rowOff>552450</xdr:rowOff>
    </xdr:to>
    <xdr:grpSp>
      <xdr:nvGrpSpPr>
        <xdr:cNvPr id="3042" name="Grupo 3041"/>
        <xdr:cNvGrpSpPr/>
      </xdr:nvGrpSpPr>
      <xdr:grpSpPr>
        <a:xfrm flipV="1">
          <a:off x="5241925" y="27660600"/>
          <a:ext cx="180975" cy="514350"/>
          <a:chOff x="1143000" y="590550"/>
          <a:chExt cx="123825" cy="523875"/>
        </a:xfrm>
      </xdr:grpSpPr>
      <xdr:cxnSp macro="">
        <xdr:nvCxnSpPr>
          <xdr:cNvPr id="3043" name="Conector recto 304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4" name="Conector recto 304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1959</xdr:row>
      <xdr:rowOff>28575</xdr:rowOff>
    </xdr:from>
    <xdr:to>
      <xdr:col>4</xdr:col>
      <xdr:colOff>428625</xdr:colOff>
      <xdr:row>1959</xdr:row>
      <xdr:rowOff>542925</xdr:rowOff>
    </xdr:to>
    <xdr:grpSp>
      <xdr:nvGrpSpPr>
        <xdr:cNvPr id="3045" name="Grupo 3044"/>
        <xdr:cNvGrpSpPr/>
      </xdr:nvGrpSpPr>
      <xdr:grpSpPr>
        <a:xfrm flipH="1" flipV="1">
          <a:off x="5251450" y="28286075"/>
          <a:ext cx="114300" cy="514350"/>
          <a:chOff x="1143000" y="590550"/>
          <a:chExt cx="123825" cy="523875"/>
        </a:xfrm>
      </xdr:grpSpPr>
      <xdr:cxnSp macro="">
        <xdr:nvCxnSpPr>
          <xdr:cNvPr id="3046" name="Conector recto 3045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7" name="Conector recto 3046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1963</xdr:row>
      <xdr:rowOff>19050</xdr:rowOff>
    </xdr:from>
    <xdr:to>
      <xdr:col>4</xdr:col>
      <xdr:colOff>428625</xdr:colOff>
      <xdr:row>1963</xdr:row>
      <xdr:rowOff>542925</xdr:rowOff>
    </xdr:to>
    <xdr:grpSp>
      <xdr:nvGrpSpPr>
        <xdr:cNvPr id="3048" name="Grupo 3047"/>
        <xdr:cNvGrpSpPr/>
      </xdr:nvGrpSpPr>
      <xdr:grpSpPr>
        <a:xfrm>
          <a:off x="5241925" y="30816550"/>
          <a:ext cx="123825" cy="523875"/>
          <a:chOff x="1143000" y="590550"/>
          <a:chExt cx="123825" cy="523875"/>
        </a:xfrm>
      </xdr:grpSpPr>
      <xdr:cxnSp macro="">
        <xdr:nvCxnSpPr>
          <xdr:cNvPr id="3049" name="Conector recto 3048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0" name="Conector recto 3049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1964</xdr:row>
      <xdr:rowOff>47625</xdr:rowOff>
    </xdr:from>
    <xdr:to>
      <xdr:col>4</xdr:col>
      <xdr:colOff>419100</xdr:colOff>
      <xdr:row>1964</xdr:row>
      <xdr:rowOff>571500</xdr:rowOff>
    </xdr:to>
    <xdr:grpSp>
      <xdr:nvGrpSpPr>
        <xdr:cNvPr id="3051" name="Grupo 3050"/>
        <xdr:cNvGrpSpPr/>
      </xdr:nvGrpSpPr>
      <xdr:grpSpPr>
        <a:xfrm flipH="1">
          <a:off x="5203825" y="31480125"/>
          <a:ext cx="152400" cy="523875"/>
          <a:chOff x="1143000" y="590550"/>
          <a:chExt cx="123825" cy="523875"/>
        </a:xfrm>
      </xdr:grpSpPr>
      <xdr:cxnSp macro="">
        <xdr:nvCxnSpPr>
          <xdr:cNvPr id="3052" name="Conector recto 30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3" name="Conector recto 30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381000</xdr:colOff>
      <xdr:row>1965</xdr:row>
      <xdr:rowOff>47625</xdr:rowOff>
    </xdr:from>
    <xdr:to>
      <xdr:col>4</xdr:col>
      <xdr:colOff>381000</xdr:colOff>
      <xdr:row>1965</xdr:row>
      <xdr:rowOff>590550</xdr:rowOff>
    </xdr:to>
    <xdr:cxnSp macro="">
      <xdr:nvCxnSpPr>
        <xdr:cNvPr id="3054" name="Conector recto 3053"/>
        <xdr:cNvCxnSpPr/>
      </xdr:nvCxnSpPr>
      <xdr:spPr>
        <a:xfrm>
          <a:off x="1276350" y="20450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1966</xdr:row>
      <xdr:rowOff>47625</xdr:rowOff>
    </xdr:from>
    <xdr:to>
      <xdr:col>4</xdr:col>
      <xdr:colOff>371475</xdr:colOff>
      <xdr:row>1966</xdr:row>
      <xdr:rowOff>590550</xdr:rowOff>
    </xdr:to>
    <xdr:cxnSp macro="">
      <xdr:nvCxnSpPr>
        <xdr:cNvPr id="3055" name="Conector recto 3054"/>
        <xdr:cNvCxnSpPr/>
      </xdr:nvCxnSpPr>
      <xdr:spPr>
        <a:xfrm>
          <a:off x="1266825" y="210693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1967</xdr:row>
      <xdr:rowOff>0</xdr:rowOff>
    </xdr:from>
    <xdr:to>
      <xdr:col>4</xdr:col>
      <xdr:colOff>361950</xdr:colOff>
      <xdr:row>1967</xdr:row>
      <xdr:rowOff>542925</xdr:rowOff>
    </xdr:to>
    <xdr:cxnSp macro="">
      <xdr:nvCxnSpPr>
        <xdr:cNvPr id="3056" name="Conector recto 3055"/>
        <xdr:cNvCxnSpPr/>
      </xdr:nvCxnSpPr>
      <xdr:spPr>
        <a:xfrm>
          <a:off x="1257300" y="216408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1968</xdr:row>
      <xdr:rowOff>19050</xdr:rowOff>
    </xdr:from>
    <xdr:to>
      <xdr:col>4</xdr:col>
      <xdr:colOff>447675</xdr:colOff>
      <xdr:row>1968</xdr:row>
      <xdr:rowOff>533400</xdr:rowOff>
    </xdr:to>
    <xdr:grpSp>
      <xdr:nvGrpSpPr>
        <xdr:cNvPr id="3057" name="Grupo 3056"/>
        <xdr:cNvGrpSpPr/>
      </xdr:nvGrpSpPr>
      <xdr:grpSpPr>
        <a:xfrm flipV="1">
          <a:off x="5203825" y="33991550"/>
          <a:ext cx="180975" cy="514350"/>
          <a:chOff x="1143000" y="590550"/>
          <a:chExt cx="123825" cy="523875"/>
        </a:xfrm>
      </xdr:grpSpPr>
      <xdr:cxnSp macro="">
        <xdr:nvCxnSpPr>
          <xdr:cNvPr id="3058" name="Conector recto 3057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9" name="Conector recto 3058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276225</xdr:colOff>
      <xdr:row>1969</xdr:row>
      <xdr:rowOff>9525</xdr:rowOff>
    </xdr:from>
    <xdr:to>
      <xdr:col>4</xdr:col>
      <xdr:colOff>390525</xdr:colOff>
      <xdr:row>1969</xdr:row>
      <xdr:rowOff>523875</xdr:rowOff>
    </xdr:to>
    <xdr:grpSp>
      <xdr:nvGrpSpPr>
        <xdr:cNvPr id="3060" name="Grupo 3059"/>
        <xdr:cNvGrpSpPr/>
      </xdr:nvGrpSpPr>
      <xdr:grpSpPr>
        <a:xfrm flipH="1" flipV="1">
          <a:off x="5213350" y="34617025"/>
          <a:ext cx="114300" cy="514350"/>
          <a:chOff x="1143000" y="590550"/>
          <a:chExt cx="123825" cy="523875"/>
        </a:xfrm>
      </xdr:grpSpPr>
      <xdr:cxnSp macro="">
        <xdr:nvCxnSpPr>
          <xdr:cNvPr id="3061" name="Conector recto 3060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2" name="Conector recto 3061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95250</xdr:colOff>
      <xdr:row>1940</xdr:row>
      <xdr:rowOff>104775</xdr:rowOff>
    </xdr:from>
    <xdr:to>
      <xdr:col>4</xdr:col>
      <xdr:colOff>635000</xdr:colOff>
      <xdr:row>1940</xdr:row>
      <xdr:rowOff>542925</xdr:rowOff>
    </xdr:to>
    <xdr:sp macro="" textlink="">
      <xdr:nvSpPr>
        <xdr:cNvPr id="3063" name="Rectángulo redondeado 23"/>
        <xdr:cNvSpPr>
          <a:spLocks noChangeArrowheads="1"/>
        </xdr:cNvSpPr>
      </xdr:nvSpPr>
      <xdr:spPr bwMode="auto">
        <a:xfrm>
          <a:off x="990600" y="5029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323850</xdr:colOff>
      <xdr:row>1973</xdr:row>
      <xdr:rowOff>28575</xdr:rowOff>
    </xdr:from>
    <xdr:to>
      <xdr:col>4</xdr:col>
      <xdr:colOff>323850</xdr:colOff>
      <xdr:row>1973</xdr:row>
      <xdr:rowOff>552450</xdr:rowOff>
    </xdr:to>
    <xdr:cxnSp macro="">
      <xdr:nvCxnSpPr>
        <xdr:cNvPr id="3064" name="Conector recto 3063"/>
        <xdr:cNvCxnSpPr/>
      </xdr:nvCxnSpPr>
      <xdr:spPr>
        <a:xfrm>
          <a:off x="1219200" y="253841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1973</xdr:row>
      <xdr:rowOff>552450</xdr:rowOff>
    </xdr:from>
    <xdr:to>
      <xdr:col>4</xdr:col>
      <xdr:colOff>438150</xdr:colOff>
      <xdr:row>1973</xdr:row>
      <xdr:rowOff>552450</xdr:rowOff>
    </xdr:to>
    <xdr:cxnSp macro="">
      <xdr:nvCxnSpPr>
        <xdr:cNvPr id="3065" name="Conector recto 3064"/>
        <xdr:cNvCxnSpPr/>
      </xdr:nvCxnSpPr>
      <xdr:spPr>
        <a:xfrm>
          <a:off x="1209675" y="25908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1974</xdr:row>
      <xdr:rowOff>57150</xdr:rowOff>
    </xdr:from>
    <xdr:to>
      <xdr:col>4</xdr:col>
      <xdr:colOff>428625</xdr:colOff>
      <xdr:row>1974</xdr:row>
      <xdr:rowOff>581025</xdr:rowOff>
    </xdr:to>
    <xdr:grpSp>
      <xdr:nvGrpSpPr>
        <xdr:cNvPr id="3066" name="Grupo 3065"/>
        <xdr:cNvGrpSpPr/>
      </xdr:nvGrpSpPr>
      <xdr:grpSpPr>
        <a:xfrm flipH="1">
          <a:off x="5213350" y="37839650"/>
          <a:ext cx="152400" cy="523875"/>
          <a:chOff x="1143000" y="590550"/>
          <a:chExt cx="123825" cy="523875"/>
        </a:xfrm>
      </xdr:grpSpPr>
      <xdr:cxnSp macro="">
        <xdr:nvCxnSpPr>
          <xdr:cNvPr id="3067" name="Conector recto 3066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8" name="Conector recto 3067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1974</xdr:row>
      <xdr:rowOff>47625</xdr:rowOff>
    </xdr:from>
    <xdr:to>
      <xdr:col>4</xdr:col>
      <xdr:colOff>419100</xdr:colOff>
      <xdr:row>1974</xdr:row>
      <xdr:rowOff>47625</xdr:rowOff>
    </xdr:to>
    <xdr:cxnSp macro="">
      <xdr:nvCxnSpPr>
        <xdr:cNvPr id="3069" name="Conector recto 3068"/>
        <xdr:cNvCxnSpPr/>
      </xdr:nvCxnSpPr>
      <xdr:spPr>
        <a:xfrm>
          <a:off x="1190625" y="26022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1973</xdr:row>
      <xdr:rowOff>19050</xdr:rowOff>
    </xdr:from>
    <xdr:to>
      <xdr:col>4</xdr:col>
      <xdr:colOff>447675</xdr:colOff>
      <xdr:row>1973</xdr:row>
      <xdr:rowOff>19050</xdr:rowOff>
    </xdr:to>
    <xdr:cxnSp macro="">
      <xdr:nvCxnSpPr>
        <xdr:cNvPr id="3070" name="Conector recto 3069"/>
        <xdr:cNvCxnSpPr/>
      </xdr:nvCxnSpPr>
      <xdr:spPr>
        <a:xfrm>
          <a:off x="1219200" y="253746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19050</xdr:rowOff>
    </xdr:from>
    <xdr:to>
      <xdr:col>4</xdr:col>
      <xdr:colOff>323850</xdr:colOff>
      <xdr:row>1978</xdr:row>
      <xdr:rowOff>542925</xdr:rowOff>
    </xdr:to>
    <xdr:cxnSp macro="">
      <xdr:nvCxnSpPr>
        <xdr:cNvPr id="3071" name="Conector recto 3070"/>
        <xdr:cNvCxnSpPr/>
      </xdr:nvCxnSpPr>
      <xdr:spPr>
        <a:xfrm>
          <a:off x="1219200" y="284702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1978</xdr:row>
      <xdr:rowOff>542925</xdr:rowOff>
    </xdr:from>
    <xdr:to>
      <xdr:col>4</xdr:col>
      <xdr:colOff>438150</xdr:colOff>
      <xdr:row>1978</xdr:row>
      <xdr:rowOff>542925</xdr:rowOff>
    </xdr:to>
    <xdr:cxnSp macro="">
      <xdr:nvCxnSpPr>
        <xdr:cNvPr id="3072" name="Conector recto 3071"/>
        <xdr:cNvCxnSpPr/>
      </xdr:nvCxnSpPr>
      <xdr:spPr>
        <a:xfrm>
          <a:off x="1209675" y="289941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1979</xdr:row>
      <xdr:rowOff>47625</xdr:rowOff>
    </xdr:from>
    <xdr:to>
      <xdr:col>4</xdr:col>
      <xdr:colOff>428625</xdr:colOff>
      <xdr:row>1979</xdr:row>
      <xdr:rowOff>571500</xdr:rowOff>
    </xdr:to>
    <xdr:grpSp>
      <xdr:nvGrpSpPr>
        <xdr:cNvPr id="3073" name="Grupo 3072"/>
        <xdr:cNvGrpSpPr/>
      </xdr:nvGrpSpPr>
      <xdr:grpSpPr>
        <a:xfrm flipH="1">
          <a:off x="5213350" y="41005125"/>
          <a:ext cx="152400" cy="523875"/>
          <a:chOff x="1143000" y="590550"/>
          <a:chExt cx="123825" cy="523875"/>
        </a:xfrm>
      </xdr:grpSpPr>
      <xdr:cxnSp macro="">
        <xdr:nvCxnSpPr>
          <xdr:cNvPr id="3074" name="Conector recto 3073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5" name="Conector recto 3074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1979</xdr:row>
      <xdr:rowOff>38100</xdr:rowOff>
    </xdr:from>
    <xdr:to>
      <xdr:col>4</xdr:col>
      <xdr:colOff>419100</xdr:colOff>
      <xdr:row>1979</xdr:row>
      <xdr:rowOff>38100</xdr:rowOff>
    </xdr:to>
    <xdr:cxnSp macro="">
      <xdr:nvCxnSpPr>
        <xdr:cNvPr id="3076" name="Conector recto 3075"/>
        <xdr:cNvCxnSpPr/>
      </xdr:nvCxnSpPr>
      <xdr:spPr>
        <a:xfrm>
          <a:off x="1190625" y="29108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9525</xdr:rowOff>
    </xdr:from>
    <xdr:to>
      <xdr:col>4</xdr:col>
      <xdr:colOff>447675</xdr:colOff>
      <xdr:row>1978</xdr:row>
      <xdr:rowOff>9525</xdr:rowOff>
    </xdr:to>
    <xdr:cxnSp macro="">
      <xdr:nvCxnSpPr>
        <xdr:cNvPr id="3077" name="Conector recto 3076"/>
        <xdr:cNvCxnSpPr/>
      </xdr:nvCxnSpPr>
      <xdr:spPr>
        <a:xfrm>
          <a:off x="1219200" y="28460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1980</xdr:row>
      <xdr:rowOff>76200</xdr:rowOff>
    </xdr:from>
    <xdr:to>
      <xdr:col>4</xdr:col>
      <xdr:colOff>409575</xdr:colOff>
      <xdr:row>1981</xdr:row>
      <xdr:rowOff>0</xdr:rowOff>
    </xdr:to>
    <xdr:cxnSp macro="">
      <xdr:nvCxnSpPr>
        <xdr:cNvPr id="3078" name="Conector recto 3077"/>
        <xdr:cNvCxnSpPr/>
      </xdr:nvCxnSpPr>
      <xdr:spPr>
        <a:xfrm>
          <a:off x="1304925" y="297656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1981</xdr:row>
      <xdr:rowOff>76200</xdr:rowOff>
    </xdr:from>
    <xdr:to>
      <xdr:col>4</xdr:col>
      <xdr:colOff>400050</xdr:colOff>
      <xdr:row>1982</xdr:row>
      <xdr:rowOff>0</xdr:rowOff>
    </xdr:to>
    <xdr:cxnSp macro="">
      <xdr:nvCxnSpPr>
        <xdr:cNvPr id="3079" name="Conector recto 3078"/>
        <xdr:cNvCxnSpPr/>
      </xdr:nvCxnSpPr>
      <xdr:spPr>
        <a:xfrm>
          <a:off x="1295400" y="303847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1982</xdr:row>
      <xdr:rowOff>28575</xdr:rowOff>
    </xdr:from>
    <xdr:to>
      <xdr:col>4</xdr:col>
      <xdr:colOff>390525</xdr:colOff>
      <xdr:row>1982</xdr:row>
      <xdr:rowOff>571500</xdr:rowOff>
    </xdr:to>
    <xdr:cxnSp macro="">
      <xdr:nvCxnSpPr>
        <xdr:cNvPr id="3080" name="Conector recto 3079"/>
        <xdr:cNvCxnSpPr/>
      </xdr:nvCxnSpPr>
      <xdr:spPr>
        <a:xfrm>
          <a:off x="1285875" y="3095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1983</xdr:row>
      <xdr:rowOff>47625</xdr:rowOff>
    </xdr:from>
    <xdr:to>
      <xdr:col>4</xdr:col>
      <xdr:colOff>476250</xdr:colOff>
      <xdr:row>1983</xdr:row>
      <xdr:rowOff>561975</xdr:rowOff>
    </xdr:to>
    <xdr:grpSp>
      <xdr:nvGrpSpPr>
        <xdr:cNvPr id="3081" name="Grupo 3080"/>
        <xdr:cNvGrpSpPr/>
      </xdr:nvGrpSpPr>
      <xdr:grpSpPr>
        <a:xfrm flipV="1">
          <a:off x="5232400" y="43545125"/>
          <a:ext cx="180975" cy="514350"/>
          <a:chOff x="1143000" y="590550"/>
          <a:chExt cx="123825" cy="523875"/>
        </a:xfrm>
      </xdr:grpSpPr>
      <xdr:cxnSp macro="">
        <xdr:nvCxnSpPr>
          <xdr:cNvPr id="3082" name="Conector recto 308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3" name="Conector recto 308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1984</xdr:row>
      <xdr:rowOff>38100</xdr:rowOff>
    </xdr:from>
    <xdr:to>
      <xdr:col>4</xdr:col>
      <xdr:colOff>419100</xdr:colOff>
      <xdr:row>1984</xdr:row>
      <xdr:rowOff>552450</xdr:rowOff>
    </xdr:to>
    <xdr:grpSp>
      <xdr:nvGrpSpPr>
        <xdr:cNvPr id="3084" name="Grupo 3083"/>
        <xdr:cNvGrpSpPr/>
      </xdr:nvGrpSpPr>
      <xdr:grpSpPr>
        <a:xfrm flipH="1" flipV="1">
          <a:off x="5241925" y="44170600"/>
          <a:ext cx="114300" cy="514350"/>
          <a:chOff x="1143000" y="590550"/>
          <a:chExt cx="123825" cy="523875"/>
        </a:xfrm>
      </xdr:grpSpPr>
      <xdr:cxnSp macro="">
        <xdr:nvCxnSpPr>
          <xdr:cNvPr id="3085" name="Conector recto 3084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6" name="Conector recto 3085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1991</xdr:row>
      <xdr:rowOff>57150</xdr:rowOff>
    </xdr:from>
    <xdr:to>
      <xdr:col>4</xdr:col>
      <xdr:colOff>342900</xdr:colOff>
      <xdr:row>1991</xdr:row>
      <xdr:rowOff>581025</xdr:rowOff>
    </xdr:to>
    <xdr:cxnSp macro="">
      <xdr:nvCxnSpPr>
        <xdr:cNvPr id="3087" name="Conector recto 3086"/>
        <xdr:cNvCxnSpPr/>
      </xdr:nvCxnSpPr>
      <xdr:spPr>
        <a:xfrm>
          <a:off x="1238250" y="36556950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1991</xdr:row>
      <xdr:rowOff>581025</xdr:rowOff>
    </xdr:from>
    <xdr:to>
      <xdr:col>4</xdr:col>
      <xdr:colOff>457200</xdr:colOff>
      <xdr:row>1991</xdr:row>
      <xdr:rowOff>581025</xdr:rowOff>
    </xdr:to>
    <xdr:cxnSp macro="">
      <xdr:nvCxnSpPr>
        <xdr:cNvPr id="3088" name="Conector recto 3087"/>
        <xdr:cNvCxnSpPr/>
      </xdr:nvCxnSpPr>
      <xdr:spPr>
        <a:xfrm>
          <a:off x="1228725" y="370808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1992</xdr:row>
      <xdr:rowOff>85725</xdr:rowOff>
    </xdr:from>
    <xdr:to>
      <xdr:col>4</xdr:col>
      <xdr:colOff>447675</xdr:colOff>
      <xdr:row>1992</xdr:row>
      <xdr:rowOff>609600</xdr:rowOff>
    </xdr:to>
    <xdr:grpSp>
      <xdr:nvGrpSpPr>
        <xdr:cNvPr id="3089" name="Grupo 3088"/>
        <xdr:cNvGrpSpPr/>
      </xdr:nvGrpSpPr>
      <xdr:grpSpPr>
        <a:xfrm flipH="1">
          <a:off x="5232400" y="49298225"/>
          <a:ext cx="152400" cy="523875"/>
          <a:chOff x="1143000" y="590550"/>
          <a:chExt cx="123825" cy="523875"/>
        </a:xfrm>
      </xdr:grpSpPr>
      <xdr:cxnSp macro="">
        <xdr:nvCxnSpPr>
          <xdr:cNvPr id="3090" name="Conector recto 308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1" name="Conector recto 309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1992</xdr:row>
      <xdr:rowOff>76200</xdr:rowOff>
    </xdr:from>
    <xdr:to>
      <xdr:col>4</xdr:col>
      <xdr:colOff>438150</xdr:colOff>
      <xdr:row>1992</xdr:row>
      <xdr:rowOff>76200</xdr:rowOff>
    </xdr:to>
    <xdr:cxnSp macro="">
      <xdr:nvCxnSpPr>
        <xdr:cNvPr id="3092" name="Conector recto 3091"/>
        <xdr:cNvCxnSpPr/>
      </xdr:nvCxnSpPr>
      <xdr:spPr>
        <a:xfrm>
          <a:off x="1209675" y="371951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1991</xdr:row>
      <xdr:rowOff>47625</xdr:rowOff>
    </xdr:from>
    <xdr:to>
      <xdr:col>4</xdr:col>
      <xdr:colOff>466725</xdr:colOff>
      <xdr:row>1991</xdr:row>
      <xdr:rowOff>47625</xdr:rowOff>
    </xdr:to>
    <xdr:cxnSp macro="">
      <xdr:nvCxnSpPr>
        <xdr:cNvPr id="3093" name="Conector recto 3092"/>
        <xdr:cNvCxnSpPr/>
      </xdr:nvCxnSpPr>
      <xdr:spPr>
        <a:xfrm>
          <a:off x="1238250" y="365474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1993</xdr:row>
      <xdr:rowOff>114300</xdr:rowOff>
    </xdr:from>
    <xdr:to>
      <xdr:col>4</xdr:col>
      <xdr:colOff>428625</xdr:colOff>
      <xdr:row>1994</xdr:row>
      <xdr:rowOff>38100</xdr:rowOff>
    </xdr:to>
    <xdr:cxnSp macro="">
      <xdr:nvCxnSpPr>
        <xdr:cNvPr id="3094" name="Conector recto 3093"/>
        <xdr:cNvCxnSpPr/>
      </xdr:nvCxnSpPr>
      <xdr:spPr>
        <a:xfrm>
          <a:off x="1323975" y="378523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1994</xdr:row>
      <xdr:rowOff>114300</xdr:rowOff>
    </xdr:from>
    <xdr:to>
      <xdr:col>4</xdr:col>
      <xdr:colOff>419100</xdr:colOff>
      <xdr:row>1995</xdr:row>
      <xdr:rowOff>38100</xdr:rowOff>
    </xdr:to>
    <xdr:cxnSp macro="">
      <xdr:nvCxnSpPr>
        <xdr:cNvPr id="3095" name="Conector recto 3094"/>
        <xdr:cNvCxnSpPr/>
      </xdr:nvCxnSpPr>
      <xdr:spPr>
        <a:xfrm>
          <a:off x="1314450" y="384714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1995</xdr:row>
      <xdr:rowOff>66675</xdr:rowOff>
    </xdr:from>
    <xdr:to>
      <xdr:col>4</xdr:col>
      <xdr:colOff>409575</xdr:colOff>
      <xdr:row>1995</xdr:row>
      <xdr:rowOff>609600</xdr:rowOff>
    </xdr:to>
    <xdr:cxnSp macro="">
      <xdr:nvCxnSpPr>
        <xdr:cNvPr id="3096" name="Conector recto 3095"/>
        <xdr:cNvCxnSpPr/>
      </xdr:nvCxnSpPr>
      <xdr:spPr>
        <a:xfrm>
          <a:off x="1304925" y="39042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1996</xdr:row>
      <xdr:rowOff>85725</xdr:rowOff>
    </xdr:from>
    <xdr:to>
      <xdr:col>4</xdr:col>
      <xdr:colOff>495300</xdr:colOff>
      <xdr:row>1996</xdr:row>
      <xdr:rowOff>600075</xdr:rowOff>
    </xdr:to>
    <xdr:grpSp>
      <xdr:nvGrpSpPr>
        <xdr:cNvPr id="3097" name="Grupo 3096"/>
        <xdr:cNvGrpSpPr/>
      </xdr:nvGrpSpPr>
      <xdr:grpSpPr>
        <a:xfrm flipV="1">
          <a:off x="5251450" y="51838225"/>
          <a:ext cx="180975" cy="514350"/>
          <a:chOff x="1143000" y="590550"/>
          <a:chExt cx="123825" cy="523875"/>
        </a:xfrm>
      </xdr:grpSpPr>
      <xdr:cxnSp macro="">
        <xdr:nvCxnSpPr>
          <xdr:cNvPr id="3098" name="Conector recto 3097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9" name="Conector recto 3098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1997</xdr:row>
      <xdr:rowOff>76200</xdr:rowOff>
    </xdr:from>
    <xdr:to>
      <xdr:col>4</xdr:col>
      <xdr:colOff>438150</xdr:colOff>
      <xdr:row>1997</xdr:row>
      <xdr:rowOff>590550</xdr:rowOff>
    </xdr:to>
    <xdr:grpSp>
      <xdr:nvGrpSpPr>
        <xdr:cNvPr id="3100" name="Grupo 3099"/>
        <xdr:cNvGrpSpPr/>
      </xdr:nvGrpSpPr>
      <xdr:grpSpPr>
        <a:xfrm flipH="1" flipV="1">
          <a:off x="5260975" y="52463700"/>
          <a:ext cx="114300" cy="514350"/>
          <a:chOff x="1143000" y="590550"/>
          <a:chExt cx="123825" cy="523875"/>
        </a:xfrm>
      </xdr:grpSpPr>
      <xdr:cxnSp macro="">
        <xdr:nvCxnSpPr>
          <xdr:cNvPr id="3101" name="Conector recto 3100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2" name="Conector recto 3101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371475</xdr:colOff>
      <xdr:row>2004</xdr:row>
      <xdr:rowOff>38100</xdr:rowOff>
    </xdr:from>
    <xdr:to>
      <xdr:col>4</xdr:col>
      <xdr:colOff>371475</xdr:colOff>
      <xdr:row>2004</xdr:row>
      <xdr:rowOff>561975</xdr:rowOff>
    </xdr:to>
    <xdr:cxnSp macro="">
      <xdr:nvCxnSpPr>
        <xdr:cNvPr id="3103" name="Conector recto 3102"/>
        <xdr:cNvCxnSpPr/>
      </xdr:nvCxnSpPr>
      <xdr:spPr>
        <a:xfrm>
          <a:off x="1266825" y="445865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2004</xdr:row>
      <xdr:rowOff>561975</xdr:rowOff>
    </xdr:from>
    <xdr:to>
      <xdr:col>4</xdr:col>
      <xdr:colOff>485775</xdr:colOff>
      <xdr:row>2004</xdr:row>
      <xdr:rowOff>561975</xdr:rowOff>
    </xdr:to>
    <xdr:cxnSp macro="">
      <xdr:nvCxnSpPr>
        <xdr:cNvPr id="3104" name="Conector recto 3103"/>
        <xdr:cNvCxnSpPr/>
      </xdr:nvCxnSpPr>
      <xdr:spPr>
        <a:xfrm>
          <a:off x="1257300" y="45110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2005</xdr:row>
      <xdr:rowOff>66675</xdr:rowOff>
    </xdr:from>
    <xdr:to>
      <xdr:col>4</xdr:col>
      <xdr:colOff>476250</xdr:colOff>
      <xdr:row>2005</xdr:row>
      <xdr:rowOff>590550</xdr:rowOff>
    </xdr:to>
    <xdr:grpSp>
      <xdr:nvGrpSpPr>
        <xdr:cNvPr id="3105" name="Grupo 3104"/>
        <xdr:cNvGrpSpPr/>
      </xdr:nvGrpSpPr>
      <xdr:grpSpPr>
        <a:xfrm flipH="1">
          <a:off x="5260975" y="57534175"/>
          <a:ext cx="152400" cy="523875"/>
          <a:chOff x="1143000" y="590550"/>
          <a:chExt cx="123825" cy="523875"/>
        </a:xfrm>
      </xdr:grpSpPr>
      <xdr:cxnSp macro="">
        <xdr:nvCxnSpPr>
          <xdr:cNvPr id="3106" name="Conector recto 3105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7" name="Conector recto 3106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2005</xdr:row>
      <xdr:rowOff>57150</xdr:rowOff>
    </xdr:from>
    <xdr:to>
      <xdr:col>4</xdr:col>
      <xdr:colOff>466725</xdr:colOff>
      <xdr:row>2005</xdr:row>
      <xdr:rowOff>57150</xdr:rowOff>
    </xdr:to>
    <xdr:cxnSp macro="">
      <xdr:nvCxnSpPr>
        <xdr:cNvPr id="3108" name="Conector recto 3107"/>
        <xdr:cNvCxnSpPr/>
      </xdr:nvCxnSpPr>
      <xdr:spPr>
        <a:xfrm>
          <a:off x="1238250" y="45224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2004</xdr:row>
      <xdr:rowOff>28575</xdr:rowOff>
    </xdr:from>
    <xdr:to>
      <xdr:col>4</xdr:col>
      <xdr:colOff>495300</xdr:colOff>
      <xdr:row>2004</xdr:row>
      <xdr:rowOff>28575</xdr:rowOff>
    </xdr:to>
    <xdr:cxnSp macro="">
      <xdr:nvCxnSpPr>
        <xdr:cNvPr id="3109" name="Conector recto 3108"/>
        <xdr:cNvCxnSpPr/>
      </xdr:nvCxnSpPr>
      <xdr:spPr>
        <a:xfrm>
          <a:off x="1266825" y="44577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2006</xdr:row>
      <xdr:rowOff>95250</xdr:rowOff>
    </xdr:from>
    <xdr:to>
      <xdr:col>4</xdr:col>
      <xdr:colOff>457200</xdr:colOff>
      <xdr:row>2007</xdr:row>
      <xdr:rowOff>19050</xdr:rowOff>
    </xdr:to>
    <xdr:cxnSp macro="">
      <xdr:nvCxnSpPr>
        <xdr:cNvPr id="3110" name="Conector recto 3109"/>
        <xdr:cNvCxnSpPr/>
      </xdr:nvCxnSpPr>
      <xdr:spPr>
        <a:xfrm>
          <a:off x="1352550" y="458819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2007</xdr:row>
      <xdr:rowOff>95250</xdr:rowOff>
    </xdr:from>
    <xdr:to>
      <xdr:col>4</xdr:col>
      <xdr:colOff>447675</xdr:colOff>
      <xdr:row>2008</xdr:row>
      <xdr:rowOff>19050</xdr:rowOff>
    </xdr:to>
    <xdr:cxnSp macro="">
      <xdr:nvCxnSpPr>
        <xdr:cNvPr id="3111" name="Conector recto 3110"/>
        <xdr:cNvCxnSpPr/>
      </xdr:nvCxnSpPr>
      <xdr:spPr>
        <a:xfrm>
          <a:off x="1343025" y="46501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2008</xdr:row>
      <xdr:rowOff>47625</xdr:rowOff>
    </xdr:from>
    <xdr:to>
      <xdr:col>4</xdr:col>
      <xdr:colOff>438150</xdr:colOff>
      <xdr:row>2008</xdr:row>
      <xdr:rowOff>590550</xdr:rowOff>
    </xdr:to>
    <xdr:cxnSp macro="">
      <xdr:nvCxnSpPr>
        <xdr:cNvPr id="3112" name="Conector recto 3111"/>
        <xdr:cNvCxnSpPr/>
      </xdr:nvCxnSpPr>
      <xdr:spPr>
        <a:xfrm>
          <a:off x="1333500" y="47072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2009</xdr:row>
      <xdr:rowOff>66675</xdr:rowOff>
    </xdr:from>
    <xdr:to>
      <xdr:col>4</xdr:col>
      <xdr:colOff>523875</xdr:colOff>
      <xdr:row>2009</xdr:row>
      <xdr:rowOff>581025</xdr:rowOff>
    </xdr:to>
    <xdr:grpSp>
      <xdr:nvGrpSpPr>
        <xdr:cNvPr id="3113" name="Grupo 3112"/>
        <xdr:cNvGrpSpPr/>
      </xdr:nvGrpSpPr>
      <xdr:grpSpPr>
        <a:xfrm flipV="1">
          <a:off x="5280025" y="60074175"/>
          <a:ext cx="180975" cy="514350"/>
          <a:chOff x="1143000" y="590550"/>
          <a:chExt cx="123825" cy="523875"/>
        </a:xfrm>
      </xdr:grpSpPr>
      <xdr:cxnSp macro="">
        <xdr:nvCxnSpPr>
          <xdr:cNvPr id="3114" name="Conector recto 3113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5" name="Conector recto 3114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352425</xdr:colOff>
      <xdr:row>2010</xdr:row>
      <xdr:rowOff>57150</xdr:rowOff>
    </xdr:from>
    <xdr:to>
      <xdr:col>4</xdr:col>
      <xdr:colOff>466725</xdr:colOff>
      <xdr:row>2010</xdr:row>
      <xdr:rowOff>571500</xdr:rowOff>
    </xdr:to>
    <xdr:grpSp>
      <xdr:nvGrpSpPr>
        <xdr:cNvPr id="3116" name="Grupo 3115"/>
        <xdr:cNvGrpSpPr/>
      </xdr:nvGrpSpPr>
      <xdr:grpSpPr>
        <a:xfrm flipH="1" flipV="1">
          <a:off x="5289550" y="60699650"/>
          <a:ext cx="114300" cy="514350"/>
          <a:chOff x="1143000" y="590550"/>
          <a:chExt cx="123825" cy="523875"/>
        </a:xfrm>
      </xdr:grpSpPr>
      <xdr:cxnSp macro="">
        <xdr:nvCxnSpPr>
          <xdr:cNvPr id="3117" name="Conector recto 3116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8" name="Conector recto 3117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2017</xdr:row>
      <xdr:rowOff>28575</xdr:rowOff>
    </xdr:from>
    <xdr:to>
      <xdr:col>4</xdr:col>
      <xdr:colOff>390525</xdr:colOff>
      <xdr:row>2017</xdr:row>
      <xdr:rowOff>552450</xdr:rowOff>
    </xdr:to>
    <xdr:cxnSp macro="">
      <xdr:nvCxnSpPr>
        <xdr:cNvPr id="3119" name="Conector recto 148"/>
        <xdr:cNvCxnSpPr/>
      </xdr:nvCxnSpPr>
      <xdr:spPr>
        <a:xfrm>
          <a:off x="1285875" y="526256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2017</xdr:row>
      <xdr:rowOff>552450</xdr:rowOff>
    </xdr:from>
    <xdr:to>
      <xdr:col>4</xdr:col>
      <xdr:colOff>504825</xdr:colOff>
      <xdr:row>2017</xdr:row>
      <xdr:rowOff>552450</xdr:rowOff>
    </xdr:to>
    <xdr:cxnSp macro="">
      <xdr:nvCxnSpPr>
        <xdr:cNvPr id="3120" name="Conector recto 149"/>
        <xdr:cNvCxnSpPr/>
      </xdr:nvCxnSpPr>
      <xdr:spPr>
        <a:xfrm>
          <a:off x="1276350" y="531495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2018</xdr:row>
      <xdr:rowOff>57150</xdr:rowOff>
    </xdr:from>
    <xdr:to>
      <xdr:col>4</xdr:col>
      <xdr:colOff>495300</xdr:colOff>
      <xdr:row>2018</xdr:row>
      <xdr:rowOff>581025</xdr:rowOff>
    </xdr:to>
    <xdr:grpSp>
      <xdr:nvGrpSpPr>
        <xdr:cNvPr id="3121" name="Grupo 150"/>
        <xdr:cNvGrpSpPr/>
      </xdr:nvGrpSpPr>
      <xdr:grpSpPr>
        <a:xfrm flipH="1">
          <a:off x="5280025" y="65779650"/>
          <a:ext cx="152400" cy="523875"/>
          <a:chOff x="1143000" y="590550"/>
          <a:chExt cx="123825" cy="523875"/>
        </a:xfrm>
      </xdr:grpSpPr>
      <xdr:cxnSp macro="">
        <xdr:nvCxnSpPr>
          <xdr:cNvPr id="3122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3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2020</xdr:row>
      <xdr:rowOff>47625</xdr:rowOff>
    </xdr:from>
    <xdr:to>
      <xdr:col>4</xdr:col>
      <xdr:colOff>390525</xdr:colOff>
      <xdr:row>2020</xdr:row>
      <xdr:rowOff>590550</xdr:rowOff>
    </xdr:to>
    <xdr:cxnSp macro="">
      <xdr:nvCxnSpPr>
        <xdr:cNvPr id="3124" name="Conector recto 155"/>
        <xdr:cNvCxnSpPr/>
      </xdr:nvCxnSpPr>
      <xdr:spPr>
        <a:xfrm>
          <a:off x="1285875" y="54502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2021</xdr:row>
      <xdr:rowOff>47625</xdr:rowOff>
    </xdr:from>
    <xdr:to>
      <xdr:col>4</xdr:col>
      <xdr:colOff>381000</xdr:colOff>
      <xdr:row>2021</xdr:row>
      <xdr:rowOff>590550</xdr:rowOff>
    </xdr:to>
    <xdr:cxnSp macro="">
      <xdr:nvCxnSpPr>
        <xdr:cNvPr id="3125" name="Conector recto 156"/>
        <xdr:cNvCxnSpPr/>
      </xdr:nvCxnSpPr>
      <xdr:spPr>
        <a:xfrm>
          <a:off x="1276350" y="55121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2022</xdr:row>
      <xdr:rowOff>0</xdr:rowOff>
    </xdr:from>
    <xdr:to>
      <xdr:col>4</xdr:col>
      <xdr:colOff>371475</xdr:colOff>
      <xdr:row>2022</xdr:row>
      <xdr:rowOff>542925</xdr:rowOff>
    </xdr:to>
    <xdr:cxnSp macro="">
      <xdr:nvCxnSpPr>
        <xdr:cNvPr id="3126" name="Conector recto 157"/>
        <xdr:cNvCxnSpPr/>
      </xdr:nvCxnSpPr>
      <xdr:spPr>
        <a:xfrm>
          <a:off x="1266825" y="556926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2019</xdr:row>
      <xdr:rowOff>76200</xdr:rowOff>
    </xdr:from>
    <xdr:to>
      <xdr:col>4</xdr:col>
      <xdr:colOff>381000</xdr:colOff>
      <xdr:row>2020</xdr:row>
      <xdr:rowOff>0</xdr:rowOff>
    </xdr:to>
    <xdr:cxnSp macro="">
      <xdr:nvCxnSpPr>
        <xdr:cNvPr id="3127" name="Conector recto 155"/>
        <xdr:cNvCxnSpPr/>
      </xdr:nvCxnSpPr>
      <xdr:spPr>
        <a:xfrm>
          <a:off x="1276350" y="539115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2024</xdr:row>
      <xdr:rowOff>47625</xdr:rowOff>
    </xdr:from>
    <xdr:to>
      <xdr:col>4</xdr:col>
      <xdr:colOff>504825</xdr:colOff>
      <xdr:row>2024</xdr:row>
      <xdr:rowOff>561975</xdr:rowOff>
    </xdr:to>
    <xdr:grpSp>
      <xdr:nvGrpSpPr>
        <xdr:cNvPr id="3128" name="Grupo 158"/>
        <xdr:cNvGrpSpPr/>
      </xdr:nvGrpSpPr>
      <xdr:grpSpPr>
        <a:xfrm flipV="1">
          <a:off x="5260975" y="69580125"/>
          <a:ext cx="180975" cy="514350"/>
          <a:chOff x="1143000" y="590550"/>
          <a:chExt cx="123825" cy="523875"/>
        </a:xfrm>
      </xdr:grpSpPr>
      <xdr:cxnSp macro="">
        <xdr:nvCxnSpPr>
          <xdr:cNvPr id="3129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0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2025</xdr:row>
      <xdr:rowOff>38100</xdr:rowOff>
    </xdr:from>
    <xdr:to>
      <xdr:col>4</xdr:col>
      <xdr:colOff>447675</xdr:colOff>
      <xdr:row>2025</xdr:row>
      <xdr:rowOff>552450</xdr:rowOff>
    </xdr:to>
    <xdr:grpSp>
      <xdr:nvGrpSpPr>
        <xdr:cNvPr id="3131" name="Grupo 161"/>
        <xdr:cNvGrpSpPr/>
      </xdr:nvGrpSpPr>
      <xdr:grpSpPr>
        <a:xfrm flipH="1" flipV="1">
          <a:off x="5270500" y="70205600"/>
          <a:ext cx="114300" cy="514350"/>
          <a:chOff x="1143000" y="590550"/>
          <a:chExt cx="123825" cy="523875"/>
        </a:xfrm>
      </xdr:grpSpPr>
      <xdr:cxnSp macro="">
        <xdr:nvCxnSpPr>
          <xdr:cNvPr id="3132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3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361950</xdr:colOff>
      <xdr:row>2023</xdr:row>
      <xdr:rowOff>19050</xdr:rowOff>
    </xdr:from>
    <xdr:to>
      <xdr:col>4</xdr:col>
      <xdr:colOff>361950</xdr:colOff>
      <xdr:row>2023</xdr:row>
      <xdr:rowOff>561975</xdr:rowOff>
    </xdr:to>
    <xdr:cxnSp macro="">
      <xdr:nvCxnSpPr>
        <xdr:cNvPr id="3134" name="Conector recto 157"/>
        <xdr:cNvCxnSpPr/>
      </xdr:nvCxnSpPr>
      <xdr:spPr>
        <a:xfrm>
          <a:off x="1257300" y="563308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341842</xdr:colOff>
      <xdr:row>2032</xdr:row>
      <xdr:rowOff>31750</xdr:rowOff>
    </xdr:from>
    <xdr:to>
      <xdr:col>4</xdr:col>
      <xdr:colOff>341842</xdr:colOff>
      <xdr:row>2032</xdr:row>
      <xdr:rowOff>555625</xdr:rowOff>
    </xdr:to>
    <xdr:cxnSp macro="">
      <xdr:nvCxnSpPr>
        <xdr:cNvPr id="3135" name="Conector recto 148"/>
        <xdr:cNvCxnSpPr/>
      </xdr:nvCxnSpPr>
      <xdr:spPr>
        <a:xfrm>
          <a:off x="1237192" y="61915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2032</xdr:row>
      <xdr:rowOff>555625</xdr:rowOff>
    </xdr:from>
    <xdr:to>
      <xdr:col>4</xdr:col>
      <xdr:colOff>456142</xdr:colOff>
      <xdr:row>2032</xdr:row>
      <xdr:rowOff>555625</xdr:rowOff>
    </xdr:to>
    <xdr:cxnSp macro="">
      <xdr:nvCxnSpPr>
        <xdr:cNvPr id="3136" name="Conector recto 149"/>
        <xdr:cNvCxnSpPr/>
      </xdr:nvCxnSpPr>
      <xdr:spPr>
        <a:xfrm>
          <a:off x="1227667" y="62439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294217</xdr:colOff>
      <xdr:row>2033</xdr:row>
      <xdr:rowOff>60325</xdr:rowOff>
    </xdr:from>
    <xdr:to>
      <xdr:col>4</xdr:col>
      <xdr:colOff>446617</xdr:colOff>
      <xdr:row>2033</xdr:row>
      <xdr:rowOff>584200</xdr:rowOff>
    </xdr:to>
    <xdr:grpSp>
      <xdr:nvGrpSpPr>
        <xdr:cNvPr id="3137" name="Grupo 150"/>
        <xdr:cNvGrpSpPr/>
      </xdr:nvGrpSpPr>
      <xdr:grpSpPr>
        <a:xfrm flipH="1">
          <a:off x="5231342" y="75307825"/>
          <a:ext cx="152400" cy="523875"/>
          <a:chOff x="1143000" y="590550"/>
          <a:chExt cx="123825" cy="523875"/>
        </a:xfrm>
      </xdr:grpSpPr>
      <xdr:cxnSp macro="">
        <xdr:nvCxnSpPr>
          <xdr:cNvPr id="3138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9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341842</xdr:colOff>
      <xdr:row>2035</xdr:row>
      <xdr:rowOff>50800</xdr:rowOff>
    </xdr:from>
    <xdr:to>
      <xdr:col>4</xdr:col>
      <xdr:colOff>341842</xdr:colOff>
      <xdr:row>2035</xdr:row>
      <xdr:rowOff>593725</xdr:rowOff>
    </xdr:to>
    <xdr:cxnSp macro="">
      <xdr:nvCxnSpPr>
        <xdr:cNvPr id="3140" name="Conector recto 155"/>
        <xdr:cNvCxnSpPr/>
      </xdr:nvCxnSpPr>
      <xdr:spPr>
        <a:xfrm>
          <a:off x="1237192" y="63792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2036</xdr:row>
      <xdr:rowOff>50800</xdr:rowOff>
    </xdr:from>
    <xdr:to>
      <xdr:col>4</xdr:col>
      <xdr:colOff>332317</xdr:colOff>
      <xdr:row>2036</xdr:row>
      <xdr:rowOff>593725</xdr:rowOff>
    </xdr:to>
    <xdr:cxnSp macro="">
      <xdr:nvCxnSpPr>
        <xdr:cNvPr id="3141" name="Conector recto 156"/>
        <xdr:cNvCxnSpPr/>
      </xdr:nvCxnSpPr>
      <xdr:spPr>
        <a:xfrm>
          <a:off x="1227667" y="644112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322792</xdr:colOff>
      <xdr:row>2037</xdr:row>
      <xdr:rowOff>3175</xdr:rowOff>
    </xdr:from>
    <xdr:to>
      <xdr:col>4</xdr:col>
      <xdr:colOff>322792</xdr:colOff>
      <xdr:row>2037</xdr:row>
      <xdr:rowOff>546100</xdr:rowOff>
    </xdr:to>
    <xdr:cxnSp macro="">
      <xdr:nvCxnSpPr>
        <xdr:cNvPr id="3142" name="Conector recto 157"/>
        <xdr:cNvCxnSpPr/>
      </xdr:nvCxnSpPr>
      <xdr:spPr>
        <a:xfrm>
          <a:off x="1218142" y="649827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2034</xdr:row>
      <xdr:rowOff>79375</xdr:rowOff>
    </xdr:from>
    <xdr:to>
      <xdr:col>4</xdr:col>
      <xdr:colOff>332317</xdr:colOff>
      <xdr:row>2035</xdr:row>
      <xdr:rowOff>3175</xdr:rowOff>
    </xdr:to>
    <xdr:cxnSp macro="">
      <xdr:nvCxnSpPr>
        <xdr:cNvPr id="3143" name="Conector recto 155"/>
        <xdr:cNvCxnSpPr/>
      </xdr:nvCxnSpPr>
      <xdr:spPr>
        <a:xfrm>
          <a:off x="1227667" y="63201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275167</xdr:colOff>
      <xdr:row>2039</xdr:row>
      <xdr:rowOff>50800</xdr:rowOff>
    </xdr:from>
    <xdr:to>
      <xdr:col>4</xdr:col>
      <xdr:colOff>456142</xdr:colOff>
      <xdr:row>2039</xdr:row>
      <xdr:rowOff>565150</xdr:rowOff>
    </xdr:to>
    <xdr:grpSp>
      <xdr:nvGrpSpPr>
        <xdr:cNvPr id="3144" name="Grupo 158"/>
        <xdr:cNvGrpSpPr/>
      </xdr:nvGrpSpPr>
      <xdr:grpSpPr>
        <a:xfrm flipV="1">
          <a:off x="5212292" y="79108300"/>
          <a:ext cx="180975" cy="514350"/>
          <a:chOff x="1143000" y="590550"/>
          <a:chExt cx="123825" cy="523875"/>
        </a:xfrm>
      </xdr:grpSpPr>
      <xdr:cxnSp macro="">
        <xdr:nvCxnSpPr>
          <xdr:cNvPr id="3145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6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284692</xdr:colOff>
      <xdr:row>2040</xdr:row>
      <xdr:rowOff>41275</xdr:rowOff>
    </xdr:from>
    <xdr:to>
      <xdr:col>4</xdr:col>
      <xdr:colOff>398992</xdr:colOff>
      <xdr:row>2040</xdr:row>
      <xdr:rowOff>555625</xdr:rowOff>
    </xdr:to>
    <xdr:grpSp>
      <xdr:nvGrpSpPr>
        <xdr:cNvPr id="3147" name="Grupo 161"/>
        <xdr:cNvGrpSpPr/>
      </xdr:nvGrpSpPr>
      <xdr:grpSpPr>
        <a:xfrm flipH="1" flipV="1">
          <a:off x="5221817" y="79733775"/>
          <a:ext cx="114300" cy="514350"/>
          <a:chOff x="1143000" y="590550"/>
          <a:chExt cx="123825" cy="523875"/>
        </a:xfrm>
      </xdr:grpSpPr>
      <xdr:cxnSp macro="">
        <xdr:nvCxnSpPr>
          <xdr:cNvPr id="3148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9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313267</xdr:colOff>
      <xdr:row>2038</xdr:row>
      <xdr:rowOff>22225</xdr:rowOff>
    </xdr:from>
    <xdr:to>
      <xdr:col>4</xdr:col>
      <xdr:colOff>313267</xdr:colOff>
      <xdr:row>2038</xdr:row>
      <xdr:rowOff>565150</xdr:rowOff>
    </xdr:to>
    <xdr:cxnSp macro="">
      <xdr:nvCxnSpPr>
        <xdr:cNvPr id="3150" name="Conector recto 157"/>
        <xdr:cNvCxnSpPr/>
      </xdr:nvCxnSpPr>
      <xdr:spPr>
        <a:xfrm>
          <a:off x="1208617" y="656209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343958</xdr:colOff>
      <xdr:row>2047</xdr:row>
      <xdr:rowOff>52916</xdr:rowOff>
    </xdr:from>
    <xdr:to>
      <xdr:col>4</xdr:col>
      <xdr:colOff>343958</xdr:colOff>
      <xdr:row>2047</xdr:row>
      <xdr:rowOff>576791</xdr:rowOff>
    </xdr:to>
    <xdr:cxnSp macro="">
      <xdr:nvCxnSpPr>
        <xdr:cNvPr id="3151" name="Conector recto 148"/>
        <xdr:cNvCxnSpPr/>
      </xdr:nvCxnSpPr>
      <xdr:spPr>
        <a:xfrm>
          <a:off x="1239308" y="71223716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2047</xdr:row>
      <xdr:rowOff>576791</xdr:rowOff>
    </xdr:from>
    <xdr:to>
      <xdr:col>4</xdr:col>
      <xdr:colOff>458258</xdr:colOff>
      <xdr:row>2047</xdr:row>
      <xdr:rowOff>576791</xdr:rowOff>
    </xdr:to>
    <xdr:cxnSp macro="">
      <xdr:nvCxnSpPr>
        <xdr:cNvPr id="3152" name="Conector recto 149"/>
        <xdr:cNvCxnSpPr/>
      </xdr:nvCxnSpPr>
      <xdr:spPr>
        <a:xfrm>
          <a:off x="1229783" y="7174759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2048</xdr:row>
      <xdr:rowOff>81491</xdr:rowOff>
    </xdr:from>
    <xdr:to>
      <xdr:col>4</xdr:col>
      <xdr:colOff>448733</xdr:colOff>
      <xdr:row>2048</xdr:row>
      <xdr:rowOff>605366</xdr:rowOff>
    </xdr:to>
    <xdr:grpSp>
      <xdr:nvGrpSpPr>
        <xdr:cNvPr id="3153" name="Grupo 150"/>
        <xdr:cNvGrpSpPr/>
      </xdr:nvGrpSpPr>
      <xdr:grpSpPr>
        <a:xfrm flipH="1">
          <a:off x="5233458" y="84853991"/>
          <a:ext cx="152400" cy="523875"/>
          <a:chOff x="1143000" y="590550"/>
          <a:chExt cx="123825" cy="523875"/>
        </a:xfrm>
      </xdr:grpSpPr>
      <xdr:cxnSp macro="">
        <xdr:nvCxnSpPr>
          <xdr:cNvPr id="3154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5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375708</xdr:colOff>
      <xdr:row>2052</xdr:row>
      <xdr:rowOff>52917</xdr:rowOff>
    </xdr:from>
    <xdr:to>
      <xdr:col>4</xdr:col>
      <xdr:colOff>375708</xdr:colOff>
      <xdr:row>2052</xdr:row>
      <xdr:rowOff>576792</xdr:rowOff>
    </xdr:to>
    <xdr:cxnSp macro="">
      <xdr:nvCxnSpPr>
        <xdr:cNvPr id="3156" name="Conector recto 148"/>
        <xdr:cNvCxnSpPr/>
      </xdr:nvCxnSpPr>
      <xdr:spPr>
        <a:xfrm>
          <a:off x="1271058" y="74319342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366183</xdr:colOff>
      <xdr:row>2052</xdr:row>
      <xdr:rowOff>576792</xdr:rowOff>
    </xdr:from>
    <xdr:to>
      <xdr:col>4</xdr:col>
      <xdr:colOff>490008</xdr:colOff>
      <xdr:row>2052</xdr:row>
      <xdr:rowOff>576792</xdr:rowOff>
    </xdr:to>
    <xdr:cxnSp macro="">
      <xdr:nvCxnSpPr>
        <xdr:cNvPr id="3157" name="Conector recto 149"/>
        <xdr:cNvCxnSpPr/>
      </xdr:nvCxnSpPr>
      <xdr:spPr>
        <a:xfrm>
          <a:off x="1261533" y="74843217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328083</xdr:colOff>
      <xdr:row>2053</xdr:row>
      <xdr:rowOff>81492</xdr:rowOff>
    </xdr:from>
    <xdr:to>
      <xdr:col>4</xdr:col>
      <xdr:colOff>480483</xdr:colOff>
      <xdr:row>2053</xdr:row>
      <xdr:rowOff>605367</xdr:rowOff>
    </xdr:to>
    <xdr:grpSp>
      <xdr:nvGrpSpPr>
        <xdr:cNvPr id="3158" name="Grupo 150"/>
        <xdr:cNvGrpSpPr/>
      </xdr:nvGrpSpPr>
      <xdr:grpSpPr>
        <a:xfrm flipH="1">
          <a:off x="5265208" y="88028992"/>
          <a:ext cx="152400" cy="523875"/>
          <a:chOff x="1143000" y="590550"/>
          <a:chExt cx="123825" cy="523875"/>
        </a:xfrm>
      </xdr:grpSpPr>
      <xdr:cxnSp macro="">
        <xdr:nvCxnSpPr>
          <xdr:cNvPr id="3159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0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2057</xdr:row>
      <xdr:rowOff>73025</xdr:rowOff>
    </xdr:from>
    <xdr:to>
      <xdr:col>4</xdr:col>
      <xdr:colOff>365125</xdr:colOff>
      <xdr:row>2057</xdr:row>
      <xdr:rowOff>596900</xdr:rowOff>
    </xdr:to>
    <xdr:cxnSp macro="">
      <xdr:nvCxnSpPr>
        <xdr:cNvPr id="3161" name="Conector recto 148"/>
        <xdr:cNvCxnSpPr/>
      </xdr:nvCxnSpPr>
      <xdr:spPr>
        <a:xfrm>
          <a:off x="1260475" y="774350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2057</xdr:row>
      <xdr:rowOff>596900</xdr:rowOff>
    </xdr:from>
    <xdr:to>
      <xdr:col>4</xdr:col>
      <xdr:colOff>479425</xdr:colOff>
      <xdr:row>2057</xdr:row>
      <xdr:rowOff>596900</xdr:rowOff>
    </xdr:to>
    <xdr:cxnSp macro="">
      <xdr:nvCxnSpPr>
        <xdr:cNvPr id="3162" name="Conector recto 149"/>
        <xdr:cNvCxnSpPr/>
      </xdr:nvCxnSpPr>
      <xdr:spPr>
        <a:xfrm>
          <a:off x="1250950" y="779589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2058</xdr:row>
      <xdr:rowOff>101602</xdr:rowOff>
    </xdr:from>
    <xdr:to>
      <xdr:col>4</xdr:col>
      <xdr:colOff>465667</xdr:colOff>
      <xdr:row>2058</xdr:row>
      <xdr:rowOff>550334</xdr:rowOff>
    </xdr:to>
    <xdr:grpSp>
      <xdr:nvGrpSpPr>
        <xdr:cNvPr id="3163" name="Grupo 150"/>
        <xdr:cNvGrpSpPr/>
      </xdr:nvGrpSpPr>
      <xdr:grpSpPr>
        <a:xfrm flipH="1">
          <a:off x="5254625" y="91224102"/>
          <a:ext cx="148167" cy="448732"/>
          <a:chOff x="1143000" y="590550"/>
          <a:chExt cx="123825" cy="523875"/>
        </a:xfrm>
      </xdr:grpSpPr>
      <xdr:cxnSp macro="">
        <xdr:nvCxnSpPr>
          <xdr:cNvPr id="3164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5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336550</xdr:colOff>
      <xdr:row>2058</xdr:row>
      <xdr:rowOff>92076</xdr:rowOff>
    </xdr:from>
    <xdr:to>
      <xdr:col>4</xdr:col>
      <xdr:colOff>460375</xdr:colOff>
      <xdr:row>2058</xdr:row>
      <xdr:rowOff>92076</xdr:rowOff>
    </xdr:to>
    <xdr:cxnSp macro="">
      <xdr:nvCxnSpPr>
        <xdr:cNvPr id="3166" name="Conector recto 153"/>
        <xdr:cNvCxnSpPr/>
      </xdr:nvCxnSpPr>
      <xdr:spPr>
        <a:xfrm>
          <a:off x="1231900" y="7807325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2057</xdr:row>
      <xdr:rowOff>63500</xdr:rowOff>
    </xdr:from>
    <xdr:to>
      <xdr:col>4</xdr:col>
      <xdr:colOff>488950</xdr:colOff>
      <xdr:row>2057</xdr:row>
      <xdr:rowOff>63500</xdr:rowOff>
    </xdr:to>
    <xdr:cxnSp macro="">
      <xdr:nvCxnSpPr>
        <xdr:cNvPr id="3167" name="Conector recto 154"/>
        <xdr:cNvCxnSpPr/>
      </xdr:nvCxnSpPr>
      <xdr:spPr>
        <a:xfrm>
          <a:off x="1260475" y="77425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2062</xdr:row>
      <xdr:rowOff>63500</xdr:rowOff>
    </xdr:from>
    <xdr:to>
      <xdr:col>4</xdr:col>
      <xdr:colOff>365125</xdr:colOff>
      <xdr:row>2062</xdr:row>
      <xdr:rowOff>587375</xdr:rowOff>
    </xdr:to>
    <xdr:cxnSp macro="">
      <xdr:nvCxnSpPr>
        <xdr:cNvPr id="3168" name="Conector recto 148"/>
        <xdr:cNvCxnSpPr/>
      </xdr:nvCxnSpPr>
      <xdr:spPr>
        <a:xfrm>
          <a:off x="1260475" y="805211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2062</xdr:row>
      <xdr:rowOff>587375</xdr:rowOff>
    </xdr:from>
    <xdr:to>
      <xdr:col>4</xdr:col>
      <xdr:colOff>479425</xdr:colOff>
      <xdr:row>2062</xdr:row>
      <xdr:rowOff>587375</xdr:rowOff>
    </xdr:to>
    <xdr:cxnSp macro="">
      <xdr:nvCxnSpPr>
        <xdr:cNvPr id="3169" name="Conector recto 149"/>
        <xdr:cNvCxnSpPr/>
      </xdr:nvCxnSpPr>
      <xdr:spPr>
        <a:xfrm>
          <a:off x="1250950" y="810450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2063</xdr:row>
      <xdr:rowOff>92075</xdr:rowOff>
    </xdr:from>
    <xdr:to>
      <xdr:col>4</xdr:col>
      <xdr:colOff>469900</xdr:colOff>
      <xdr:row>2063</xdr:row>
      <xdr:rowOff>615950</xdr:rowOff>
    </xdr:to>
    <xdr:grpSp>
      <xdr:nvGrpSpPr>
        <xdr:cNvPr id="3170" name="Grupo 150"/>
        <xdr:cNvGrpSpPr/>
      </xdr:nvGrpSpPr>
      <xdr:grpSpPr>
        <a:xfrm flipH="1">
          <a:off x="5254625" y="94389575"/>
          <a:ext cx="152400" cy="523875"/>
          <a:chOff x="1143000" y="590550"/>
          <a:chExt cx="123825" cy="523875"/>
        </a:xfrm>
      </xdr:grpSpPr>
      <xdr:cxnSp macro="">
        <xdr:nvCxnSpPr>
          <xdr:cNvPr id="3171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2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2065</xdr:row>
      <xdr:rowOff>82550</xdr:rowOff>
    </xdr:from>
    <xdr:to>
      <xdr:col>4</xdr:col>
      <xdr:colOff>365125</xdr:colOff>
      <xdr:row>2066</xdr:row>
      <xdr:rowOff>1058</xdr:rowOff>
    </xdr:to>
    <xdr:cxnSp macro="">
      <xdr:nvCxnSpPr>
        <xdr:cNvPr id="3173" name="Conector recto 155"/>
        <xdr:cNvCxnSpPr/>
      </xdr:nvCxnSpPr>
      <xdr:spPr>
        <a:xfrm>
          <a:off x="1260475" y="82397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2066</xdr:row>
      <xdr:rowOff>82550</xdr:rowOff>
    </xdr:from>
    <xdr:to>
      <xdr:col>4</xdr:col>
      <xdr:colOff>355600</xdr:colOff>
      <xdr:row>2067</xdr:row>
      <xdr:rowOff>1059</xdr:rowOff>
    </xdr:to>
    <xdr:cxnSp macro="">
      <xdr:nvCxnSpPr>
        <xdr:cNvPr id="3174" name="Conector recto 156"/>
        <xdr:cNvCxnSpPr/>
      </xdr:nvCxnSpPr>
      <xdr:spPr>
        <a:xfrm>
          <a:off x="1250950" y="83016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2064</xdr:row>
      <xdr:rowOff>111125</xdr:rowOff>
    </xdr:from>
    <xdr:to>
      <xdr:col>4</xdr:col>
      <xdr:colOff>355600</xdr:colOff>
      <xdr:row>2065</xdr:row>
      <xdr:rowOff>34925</xdr:rowOff>
    </xdr:to>
    <xdr:cxnSp macro="">
      <xdr:nvCxnSpPr>
        <xdr:cNvPr id="3175" name="Conector recto 155"/>
        <xdr:cNvCxnSpPr/>
      </xdr:nvCxnSpPr>
      <xdr:spPr>
        <a:xfrm>
          <a:off x="1250950" y="81807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2067</xdr:row>
      <xdr:rowOff>52917</xdr:rowOff>
    </xdr:from>
    <xdr:to>
      <xdr:col>4</xdr:col>
      <xdr:colOff>498475</xdr:colOff>
      <xdr:row>2067</xdr:row>
      <xdr:rowOff>567267</xdr:rowOff>
    </xdr:to>
    <xdr:grpSp>
      <xdr:nvGrpSpPr>
        <xdr:cNvPr id="3176" name="Grupo 158"/>
        <xdr:cNvGrpSpPr/>
      </xdr:nvGrpSpPr>
      <xdr:grpSpPr>
        <a:xfrm flipV="1">
          <a:off x="5254625" y="96890417"/>
          <a:ext cx="180975" cy="514350"/>
          <a:chOff x="1143000" y="590550"/>
          <a:chExt cx="123825" cy="523875"/>
        </a:xfrm>
      </xdr:grpSpPr>
      <xdr:cxnSp macro="">
        <xdr:nvCxnSpPr>
          <xdr:cNvPr id="3177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8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2068</xdr:row>
      <xdr:rowOff>43391</xdr:rowOff>
    </xdr:from>
    <xdr:to>
      <xdr:col>4</xdr:col>
      <xdr:colOff>441325</xdr:colOff>
      <xdr:row>2068</xdr:row>
      <xdr:rowOff>557741</xdr:rowOff>
    </xdr:to>
    <xdr:grpSp>
      <xdr:nvGrpSpPr>
        <xdr:cNvPr id="3179" name="Grupo 161"/>
        <xdr:cNvGrpSpPr/>
      </xdr:nvGrpSpPr>
      <xdr:grpSpPr>
        <a:xfrm flipH="1" flipV="1">
          <a:off x="5264150" y="97515891"/>
          <a:ext cx="114300" cy="514350"/>
          <a:chOff x="1143000" y="590550"/>
          <a:chExt cx="123825" cy="523875"/>
        </a:xfrm>
      </xdr:grpSpPr>
      <xdr:cxnSp macro="">
        <xdr:nvCxnSpPr>
          <xdr:cNvPr id="3180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1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2072</xdr:row>
      <xdr:rowOff>30692</xdr:rowOff>
    </xdr:from>
    <xdr:to>
      <xdr:col>4</xdr:col>
      <xdr:colOff>333375</xdr:colOff>
      <xdr:row>2072</xdr:row>
      <xdr:rowOff>554567</xdr:rowOff>
    </xdr:to>
    <xdr:cxnSp macro="">
      <xdr:nvCxnSpPr>
        <xdr:cNvPr id="3182" name="Conector recto 148"/>
        <xdr:cNvCxnSpPr/>
      </xdr:nvCxnSpPr>
      <xdr:spPr>
        <a:xfrm>
          <a:off x="1228725" y="8667961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2072</xdr:row>
      <xdr:rowOff>554567</xdr:rowOff>
    </xdr:from>
    <xdr:to>
      <xdr:col>4</xdr:col>
      <xdr:colOff>447675</xdr:colOff>
      <xdr:row>2072</xdr:row>
      <xdr:rowOff>554567</xdr:rowOff>
    </xdr:to>
    <xdr:cxnSp macro="">
      <xdr:nvCxnSpPr>
        <xdr:cNvPr id="3183" name="Conector recto 149"/>
        <xdr:cNvCxnSpPr/>
      </xdr:nvCxnSpPr>
      <xdr:spPr>
        <a:xfrm>
          <a:off x="1219200" y="872034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2073</xdr:row>
      <xdr:rowOff>59268</xdr:rowOff>
    </xdr:from>
    <xdr:to>
      <xdr:col>4</xdr:col>
      <xdr:colOff>438150</xdr:colOff>
      <xdr:row>2073</xdr:row>
      <xdr:rowOff>583143</xdr:rowOff>
    </xdr:to>
    <xdr:grpSp>
      <xdr:nvGrpSpPr>
        <xdr:cNvPr id="3184" name="Grupo 150"/>
        <xdr:cNvGrpSpPr/>
      </xdr:nvGrpSpPr>
      <xdr:grpSpPr>
        <a:xfrm flipH="1">
          <a:off x="5222875" y="100706768"/>
          <a:ext cx="152400" cy="523875"/>
          <a:chOff x="1143000" y="590550"/>
          <a:chExt cx="123825" cy="523875"/>
        </a:xfrm>
      </xdr:grpSpPr>
      <xdr:cxnSp macro="">
        <xdr:nvCxnSpPr>
          <xdr:cNvPr id="3185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6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2073</xdr:row>
      <xdr:rowOff>49743</xdr:rowOff>
    </xdr:from>
    <xdr:to>
      <xdr:col>4</xdr:col>
      <xdr:colOff>428625</xdr:colOff>
      <xdr:row>2073</xdr:row>
      <xdr:rowOff>49743</xdr:rowOff>
    </xdr:to>
    <xdr:cxnSp macro="">
      <xdr:nvCxnSpPr>
        <xdr:cNvPr id="3187" name="Conector recto 153"/>
        <xdr:cNvCxnSpPr/>
      </xdr:nvCxnSpPr>
      <xdr:spPr>
        <a:xfrm>
          <a:off x="1200150" y="8731779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2072</xdr:row>
      <xdr:rowOff>21167</xdr:rowOff>
    </xdr:from>
    <xdr:to>
      <xdr:col>4</xdr:col>
      <xdr:colOff>457200</xdr:colOff>
      <xdr:row>2072</xdr:row>
      <xdr:rowOff>21167</xdr:rowOff>
    </xdr:to>
    <xdr:cxnSp macro="">
      <xdr:nvCxnSpPr>
        <xdr:cNvPr id="3188" name="Conector recto 154"/>
        <xdr:cNvCxnSpPr/>
      </xdr:nvCxnSpPr>
      <xdr:spPr>
        <a:xfrm>
          <a:off x="1228725" y="866700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312208</xdr:colOff>
      <xdr:row>2074</xdr:row>
      <xdr:rowOff>98425</xdr:rowOff>
    </xdr:from>
    <xdr:to>
      <xdr:col>4</xdr:col>
      <xdr:colOff>312208</xdr:colOff>
      <xdr:row>2075</xdr:row>
      <xdr:rowOff>16933</xdr:rowOff>
    </xdr:to>
    <xdr:cxnSp macro="">
      <xdr:nvCxnSpPr>
        <xdr:cNvPr id="3189" name="Conector recto 155"/>
        <xdr:cNvCxnSpPr/>
      </xdr:nvCxnSpPr>
      <xdr:spPr>
        <a:xfrm>
          <a:off x="1207558" y="87985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302683</xdr:colOff>
      <xdr:row>2075</xdr:row>
      <xdr:rowOff>98425</xdr:rowOff>
    </xdr:from>
    <xdr:to>
      <xdr:col>4</xdr:col>
      <xdr:colOff>302683</xdr:colOff>
      <xdr:row>2076</xdr:row>
      <xdr:rowOff>16934</xdr:rowOff>
    </xdr:to>
    <xdr:cxnSp macro="">
      <xdr:nvCxnSpPr>
        <xdr:cNvPr id="3190" name="Conector recto 156"/>
        <xdr:cNvCxnSpPr/>
      </xdr:nvCxnSpPr>
      <xdr:spPr>
        <a:xfrm>
          <a:off x="1198033" y="88604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264583</xdr:colOff>
      <xdr:row>2076</xdr:row>
      <xdr:rowOff>68792</xdr:rowOff>
    </xdr:from>
    <xdr:to>
      <xdr:col>4</xdr:col>
      <xdr:colOff>445558</xdr:colOff>
      <xdr:row>2076</xdr:row>
      <xdr:rowOff>583142</xdr:rowOff>
    </xdr:to>
    <xdr:grpSp>
      <xdr:nvGrpSpPr>
        <xdr:cNvPr id="3191" name="Grupo 158"/>
        <xdr:cNvGrpSpPr/>
      </xdr:nvGrpSpPr>
      <xdr:grpSpPr>
        <a:xfrm flipV="1">
          <a:off x="5201708" y="102621292"/>
          <a:ext cx="180975" cy="514350"/>
          <a:chOff x="1143000" y="590550"/>
          <a:chExt cx="123825" cy="523875"/>
        </a:xfrm>
      </xdr:grpSpPr>
      <xdr:cxnSp macro="">
        <xdr:nvCxnSpPr>
          <xdr:cNvPr id="3192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3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274108</xdr:colOff>
      <xdr:row>2077</xdr:row>
      <xdr:rowOff>59266</xdr:rowOff>
    </xdr:from>
    <xdr:to>
      <xdr:col>4</xdr:col>
      <xdr:colOff>388408</xdr:colOff>
      <xdr:row>2077</xdr:row>
      <xdr:rowOff>573616</xdr:rowOff>
    </xdr:to>
    <xdr:grpSp>
      <xdr:nvGrpSpPr>
        <xdr:cNvPr id="3194" name="Grupo 161"/>
        <xdr:cNvGrpSpPr/>
      </xdr:nvGrpSpPr>
      <xdr:grpSpPr>
        <a:xfrm flipH="1" flipV="1">
          <a:off x="5211233" y="103246766"/>
          <a:ext cx="114300" cy="514350"/>
          <a:chOff x="1143000" y="590550"/>
          <a:chExt cx="123825" cy="523875"/>
        </a:xfrm>
      </xdr:grpSpPr>
      <xdr:cxnSp macro="">
        <xdr:nvCxnSpPr>
          <xdr:cNvPr id="3195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6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2084</xdr:row>
      <xdr:rowOff>62442</xdr:rowOff>
    </xdr:from>
    <xdr:to>
      <xdr:col>4</xdr:col>
      <xdr:colOff>301625</xdr:colOff>
      <xdr:row>2084</xdr:row>
      <xdr:rowOff>586317</xdr:rowOff>
    </xdr:to>
    <xdr:cxnSp macro="">
      <xdr:nvCxnSpPr>
        <xdr:cNvPr id="3197" name="Conector recto 148"/>
        <xdr:cNvCxnSpPr/>
      </xdr:nvCxnSpPr>
      <xdr:spPr>
        <a:xfrm>
          <a:off x="1196975" y="9414086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2084</xdr:row>
      <xdr:rowOff>586317</xdr:rowOff>
    </xdr:from>
    <xdr:to>
      <xdr:col>4</xdr:col>
      <xdr:colOff>415925</xdr:colOff>
      <xdr:row>2084</xdr:row>
      <xdr:rowOff>586317</xdr:rowOff>
    </xdr:to>
    <xdr:cxnSp macro="">
      <xdr:nvCxnSpPr>
        <xdr:cNvPr id="3198" name="Conector recto 149"/>
        <xdr:cNvCxnSpPr/>
      </xdr:nvCxnSpPr>
      <xdr:spPr>
        <a:xfrm>
          <a:off x="1187450" y="946647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2085</xdr:row>
      <xdr:rowOff>91018</xdr:rowOff>
    </xdr:from>
    <xdr:to>
      <xdr:col>4</xdr:col>
      <xdr:colOff>406400</xdr:colOff>
      <xdr:row>2085</xdr:row>
      <xdr:rowOff>614893</xdr:rowOff>
    </xdr:to>
    <xdr:grpSp>
      <xdr:nvGrpSpPr>
        <xdr:cNvPr id="3199" name="Grupo 150"/>
        <xdr:cNvGrpSpPr/>
      </xdr:nvGrpSpPr>
      <xdr:grpSpPr>
        <a:xfrm flipH="1">
          <a:off x="5191125" y="108358518"/>
          <a:ext cx="152400" cy="523875"/>
          <a:chOff x="1143000" y="590550"/>
          <a:chExt cx="123825" cy="523875"/>
        </a:xfrm>
      </xdr:grpSpPr>
      <xdr:cxnSp macro="">
        <xdr:nvCxnSpPr>
          <xdr:cNvPr id="3200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1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273050</xdr:colOff>
      <xdr:row>2085</xdr:row>
      <xdr:rowOff>81493</xdr:rowOff>
    </xdr:from>
    <xdr:to>
      <xdr:col>4</xdr:col>
      <xdr:colOff>396875</xdr:colOff>
      <xdr:row>2085</xdr:row>
      <xdr:rowOff>81493</xdr:rowOff>
    </xdr:to>
    <xdr:cxnSp macro="">
      <xdr:nvCxnSpPr>
        <xdr:cNvPr id="3202" name="Conector recto 153"/>
        <xdr:cNvCxnSpPr/>
      </xdr:nvCxnSpPr>
      <xdr:spPr>
        <a:xfrm>
          <a:off x="1168400" y="9477904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301625</xdr:colOff>
      <xdr:row>2084</xdr:row>
      <xdr:rowOff>52917</xdr:rowOff>
    </xdr:from>
    <xdr:to>
      <xdr:col>4</xdr:col>
      <xdr:colOff>425450</xdr:colOff>
      <xdr:row>2084</xdr:row>
      <xdr:rowOff>52917</xdr:rowOff>
    </xdr:to>
    <xdr:cxnSp macro="">
      <xdr:nvCxnSpPr>
        <xdr:cNvPr id="3203" name="Conector recto 154"/>
        <xdr:cNvCxnSpPr/>
      </xdr:nvCxnSpPr>
      <xdr:spPr>
        <a:xfrm>
          <a:off x="1196975" y="941313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280458</xdr:colOff>
      <xdr:row>2086</xdr:row>
      <xdr:rowOff>130175</xdr:rowOff>
    </xdr:from>
    <xdr:to>
      <xdr:col>4</xdr:col>
      <xdr:colOff>280458</xdr:colOff>
      <xdr:row>2087</xdr:row>
      <xdr:rowOff>48683</xdr:rowOff>
    </xdr:to>
    <xdr:cxnSp macro="">
      <xdr:nvCxnSpPr>
        <xdr:cNvPr id="3204" name="Conector recto 155"/>
        <xdr:cNvCxnSpPr/>
      </xdr:nvCxnSpPr>
      <xdr:spPr>
        <a:xfrm>
          <a:off x="1175808" y="9544685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270933</xdr:colOff>
      <xdr:row>2087</xdr:row>
      <xdr:rowOff>130175</xdr:rowOff>
    </xdr:from>
    <xdr:to>
      <xdr:col>4</xdr:col>
      <xdr:colOff>270933</xdr:colOff>
      <xdr:row>2088</xdr:row>
      <xdr:rowOff>48684</xdr:rowOff>
    </xdr:to>
    <xdr:cxnSp macro="">
      <xdr:nvCxnSpPr>
        <xdr:cNvPr id="3205" name="Conector recto 156"/>
        <xdr:cNvCxnSpPr/>
      </xdr:nvCxnSpPr>
      <xdr:spPr>
        <a:xfrm>
          <a:off x="1166283" y="9606597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232833</xdr:colOff>
      <xdr:row>2088</xdr:row>
      <xdr:rowOff>100542</xdr:rowOff>
    </xdr:from>
    <xdr:to>
      <xdr:col>4</xdr:col>
      <xdr:colOff>413808</xdr:colOff>
      <xdr:row>2088</xdr:row>
      <xdr:rowOff>614892</xdr:rowOff>
    </xdr:to>
    <xdr:grpSp>
      <xdr:nvGrpSpPr>
        <xdr:cNvPr id="3206" name="Grupo 158"/>
        <xdr:cNvGrpSpPr/>
      </xdr:nvGrpSpPr>
      <xdr:grpSpPr>
        <a:xfrm flipV="1">
          <a:off x="5169958" y="110273042"/>
          <a:ext cx="180975" cy="514350"/>
          <a:chOff x="1143000" y="590550"/>
          <a:chExt cx="123825" cy="523875"/>
        </a:xfrm>
      </xdr:grpSpPr>
      <xdr:cxnSp macro="">
        <xdr:nvCxnSpPr>
          <xdr:cNvPr id="3207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8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242358</xdr:colOff>
      <xdr:row>2089</xdr:row>
      <xdr:rowOff>91016</xdr:rowOff>
    </xdr:from>
    <xdr:to>
      <xdr:col>4</xdr:col>
      <xdr:colOff>356658</xdr:colOff>
      <xdr:row>2089</xdr:row>
      <xdr:rowOff>605366</xdr:rowOff>
    </xdr:to>
    <xdr:grpSp>
      <xdr:nvGrpSpPr>
        <xdr:cNvPr id="3209" name="Grupo 161"/>
        <xdr:cNvGrpSpPr/>
      </xdr:nvGrpSpPr>
      <xdr:grpSpPr>
        <a:xfrm flipH="1" flipV="1">
          <a:off x="5179483" y="110898516"/>
          <a:ext cx="114300" cy="514350"/>
          <a:chOff x="1143000" y="590550"/>
          <a:chExt cx="123825" cy="523875"/>
        </a:xfrm>
      </xdr:grpSpPr>
      <xdr:cxnSp macro="">
        <xdr:nvCxnSpPr>
          <xdr:cNvPr id="3210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1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2096</xdr:row>
      <xdr:rowOff>31750</xdr:rowOff>
    </xdr:from>
    <xdr:to>
      <xdr:col>4</xdr:col>
      <xdr:colOff>301625</xdr:colOff>
      <xdr:row>2096</xdr:row>
      <xdr:rowOff>555625</xdr:rowOff>
    </xdr:to>
    <xdr:cxnSp macro="">
      <xdr:nvCxnSpPr>
        <xdr:cNvPr id="3212" name="Conector recto 148"/>
        <xdr:cNvCxnSpPr/>
      </xdr:nvCxnSpPr>
      <xdr:spPr>
        <a:xfrm>
          <a:off x="1196975" y="101539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2096</xdr:row>
      <xdr:rowOff>555625</xdr:rowOff>
    </xdr:from>
    <xdr:to>
      <xdr:col>4</xdr:col>
      <xdr:colOff>415925</xdr:colOff>
      <xdr:row>2096</xdr:row>
      <xdr:rowOff>555625</xdr:rowOff>
    </xdr:to>
    <xdr:cxnSp macro="">
      <xdr:nvCxnSpPr>
        <xdr:cNvPr id="3213" name="Conector recto 149"/>
        <xdr:cNvCxnSpPr/>
      </xdr:nvCxnSpPr>
      <xdr:spPr>
        <a:xfrm>
          <a:off x="1187450" y="102063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2097</xdr:row>
      <xdr:rowOff>60326</xdr:rowOff>
    </xdr:from>
    <xdr:to>
      <xdr:col>4</xdr:col>
      <xdr:colOff>406400</xdr:colOff>
      <xdr:row>2097</xdr:row>
      <xdr:rowOff>584201</xdr:rowOff>
    </xdr:to>
    <xdr:grpSp>
      <xdr:nvGrpSpPr>
        <xdr:cNvPr id="3214" name="Grupo 150"/>
        <xdr:cNvGrpSpPr/>
      </xdr:nvGrpSpPr>
      <xdr:grpSpPr>
        <a:xfrm flipH="1">
          <a:off x="5191125" y="115947826"/>
          <a:ext cx="152400" cy="523875"/>
          <a:chOff x="1143000" y="590550"/>
          <a:chExt cx="123825" cy="523875"/>
        </a:xfrm>
      </xdr:grpSpPr>
      <xdr:cxnSp macro="">
        <xdr:nvCxnSpPr>
          <xdr:cNvPr id="3215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6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348192</xdr:colOff>
      <xdr:row>2098</xdr:row>
      <xdr:rowOff>74083</xdr:rowOff>
    </xdr:from>
    <xdr:to>
      <xdr:col>4</xdr:col>
      <xdr:colOff>348192</xdr:colOff>
      <xdr:row>2098</xdr:row>
      <xdr:rowOff>617008</xdr:rowOff>
    </xdr:to>
    <xdr:cxnSp macro="">
      <xdr:nvCxnSpPr>
        <xdr:cNvPr id="3217" name="Conector recto 155"/>
        <xdr:cNvCxnSpPr/>
      </xdr:nvCxnSpPr>
      <xdr:spPr>
        <a:xfrm>
          <a:off x="1243542" y="10282025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338667</xdr:colOff>
      <xdr:row>2099</xdr:row>
      <xdr:rowOff>74083</xdr:rowOff>
    </xdr:from>
    <xdr:to>
      <xdr:col>4</xdr:col>
      <xdr:colOff>338667</xdr:colOff>
      <xdr:row>2099</xdr:row>
      <xdr:rowOff>617008</xdr:rowOff>
    </xdr:to>
    <xdr:cxnSp macro="">
      <xdr:nvCxnSpPr>
        <xdr:cNvPr id="3218" name="Conector recto 156"/>
        <xdr:cNvCxnSpPr/>
      </xdr:nvCxnSpPr>
      <xdr:spPr>
        <a:xfrm>
          <a:off x="1234017" y="103439383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2100</xdr:row>
      <xdr:rowOff>52917</xdr:rowOff>
    </xdr:from>
    <xdr:to>
      <xdr:col>4</xdr:col>
      <xdr:colOff>400050</xdr:colOff>
      <xdr:row>2100</xdr:row>
      <xdr:rowOff>567267</xdr:rowOff>
    </xdr:to>
    <xdr:grpSp>
      <xdr:nvGrpSpPr>
        <xdr:cNvPr id="3219" name="Grupo 161"/>
        <xdr:cNvGrpSpPr/>
      </xdr:nvGrpSpPr>
      <xdr:grpSpPr>
        <a:xfrm flipH="1" flipV="1">
          <a:off x="5222875" y="117845417"/>
          <a:ext cx="114300" cy="514350"/>
          <a:chOff x="1143000" y="590550"/>
          <a:chExt cx="123825" cy="523875"/>
        </a:xfrm>
      </xdr:grpSpPr>
      <xdr:cxnSp macro="">
        <xdr:nvCxnSpPr>
          <xdr:cNvPr id="3220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1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275166</xdr:colOff>
      <xdr:row>2101</xdr:row>
      <xdr:rowOff>31750</xdr:rowOff>
    </xdr:from>
    <xdr:to>
      <xdr:col>4</xdr:col>
      <xdr:colOff>456141</xdr:colOff>
      <xdr:row>2101</xdr:row>
      <xdr:rowOff>546100</xdr:rowOff>
    </xdr:to>
    <xdr:grpSp>
      <xdr:nvGrpSpPr>
        <xdr:cNvPr id="3222" name="Grupo 158"/>
        <xdr:cNvGrpSpPr/>
      </xdr:nvGrpSpPr>
      <xdr:grpSpPr>
        <a:xfrm flipV="1">
          <a:off x="5212291" y="118459250"/>
          <a:ext cx="180975" cy="514350"/>
          <a:chOff x="1143000" y="590550"/>
          <a:chExt cx="123825" cy="523875"/>
        </a:xfrm>
      </xdr:grpSpPr>
      <xdr:cxnSp macro="">
        <xdr:nvCxnSpPr>
          <xdr:cNvPr id="3223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4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2102</xdr:row>
      <xdr:rowOff>63500</xdr:rowOff>
    </xdr:from>
    <xdr:to>
      <xdr:col>4</xdr:col>
      <xdr:colOff>498475</xdr:colOff>
      <xdr:row>2102</xdr:row>
      <xdr:rowOff>577850</xdr:rowOff>
    </xdr:to>
    <xdr:grpSp>
      <xdr:nvGrpSpPr>
        <xdr:cNvPr id="3225" name="Grupo 158"/>
        <xdr:cNvGrpSpPr/>
      </xdr:nvGrpSpPr>
      <xdr:grpSpPr>
        <a:xfrm flipV="1">
          <a:off x="5254625" y="119126000"/>
          <a:ext cx="180975" cy="514350"/>
          <a:chOff x="1143000" y="590550"/>
          <a:chExt cx="123825" cy="523875"/>
        </a:xfrm>
      </xdr:grpSpPr>
      <xdr:cxnSp macro="">
        <xdr:nvCxnSpPr>
          <xdr:cNvPr id="3226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7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2103</xdr:row>
      <xdr:rowOff>53975</xdr:rowOff>
    </xdr:from>
    <xdr:to>
      <xdr:col>4</xdr:col>
      <xdr:colOff>441325</xdr:colOff>
      <xdr:row>2103</xdr:row>
      <xdr:rowOff>568325</xdr:rowOff>
    </xdr:to>
    <xdr:grpSp>
      <xdr:nvGrpSpPr>
        <xdr:cNvPr id="3228" name="Grupo 161"/>
        <xdr:cNvGrpSpPr/>
      </xdr:nvGrpSpPr>
      <xdr:grpSpPr>
        <a:xfrm flipH="1" flipV="1">
          <a:off x="5264150" y="119751475"/>
          <a:ext cx="114300" cy="514350"/>
          <a:chOff x="1143000" y="590550"/>
          <a:chExt cx="123825" cy="523875"/>
        </a:xfrm>
      </xdr:grpSpPr>
      <xdr:cxnSp macro="">
        <xdr:nvCxnSpPr>
          <xdr:cNvPr id="3229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0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343958</xdr:colOff>
      <xdr:row>2110</xdr:row>
      <xdr:rowOff>31750</xdr:rowOff>
    </xdr:from>
    <xdr:to>
      <xdr:col>4</xdr:col>
      <xdr:colOff>343958</xdr:colOff>
      <xdr:row>2110</xdr:row>
      <xdr:rowOff>555625</xdr:rowOff>
    </xdr:to>
    <xdr:cxnSp macro="">
      <xdr:nvCxnSpPr>
        <xdr:cNvPr id="3231" name="Conector recto 148"/>
        <xdr:cNvCxnSpPr/>
      </xdr:nvCxnSpPr>
      <xdr:spPr>
        <a:xfrm>
          <a:off x="1239308" y="1102074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2110</xdr:row>
      <xdr:rowOff>555625</xdr:rowOff>
    </xdr:from>
    <xdr:to>
      <xdr:col>4</xdr:col>
      <xdr:colOff>458258</xdr:colOff>
      <xdr:row>2110</xdr:row>
      <xdr:rowOff>555625</xdr:rowOff>
    </xdr:to>
    <xdr:cxnSp macro="">
      <xdr:nvCxnSpPr>
        <xdr:cNvPr id="3232" name="Conector recto 149"/>
        <xdr:cNvCxnSpPr/>
      </xdr:nvCxnSpPr>
      <xdr:spPr>
        <a:xfrm>
          <a:off x="1229783" y="110731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2111</xdr:row>
      <xdr:rowOff>60325</xdr:rowOff>
    </xdr:from>
    <xdr:to>
      <xdr:col>4</xdr:col>
      <xdr:colOff>448733</xdr:colOff>
      <xdr:row>2111</xdr:row>
      <xdr:rowOff>584200</xdr:rowOff>
    </xdr:to>
    <xdr:grpSp>
      <xdr:nvGrpSpPr>
        <xdr:cNvPr id="3233" name="Grupo 150"/>
        <xdr:cNvGrpSpPr/>
      </xdr:nvGrpSpPr>
      <xdr:grpSpPr>
        <a:xfrm flipH="1">
          <a:off x="5233458" y="124837825"/>
          <a:ext cx="152400" cy="523875"/>
          <a:chOff x="1143000" y="590550"/>
          <a:chExt cx="123825" cy="523875"/>
        </a:xfrm>
      </xdr:grpSpPr>
      <xdr:cxnSp macro="">
        <xdr:nvCxnSpPr>
          <xdr:cNvPr id="3234" name="Conector recto 151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5" name="Conector recto 152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2112</xdr:row>
      <xdr:rowOff>74083</xdr:rowOff>
    </xdr:from>
    <xdr:to>
      <xdr:col>4</xdr:col>
      <xdr:colOff>390525</xdr:colOff>
      <xdr:row>2112</xdr:row>
      <xdr:rowOff>617008</xdr:rowOff>
    </xdr:to>
    <xdr:cxnSp macro="">
      <xdr:nvCxnSpPr>
        <xdr:cNvPr id="3236" name="Conector recto 155"/>
        <xdr:cNvCxnSpPr/>
      </xdr:nvCxnSpPr>
      <xdr:spPr>
        <a:xfrm>
          <a:off x="1285875" y="11148800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328084</xdr:colOff>
      <xdr:row>2113</xdr:row>
      <xdr:rowOff>52916</xdr:rowOff>
    </xdr:from>
    <xdr:to>
      <xdr:col>4</xdr:col>
      <xdr:colOff>442384</xdr:colOff>
      <xdr:row>2113</xdr:row>
      <xdr:rowOff>567266</xdr:rowOff>
    </xdr:to>
    <xdr:grpSp>
      <xdr:nvGrpSpPr>
        <xdr:cNvPr id="3237" name="Grupo 161"/>
        <xdr:cNvGrpSpPr/>
      </xdr:nvGrpSpPr>
      <xdr:grpSpPr>
        <a:xfrm flipH="1" flipV="1">
          <a:off x="5265209" y="126100416"/>
          <a:ext cx="114300" cy="514350"/>
          <a:chOff x="1143000" y="590550"/>
          <a:chExt cx="123825" cy="523875"/>
        </a:xfrm>
      </xdr:grpSpPr>
      <xdr:cxnSp macro="">
        <xdr:nvCxnSpPr>
          <xdr:cNvPr id="3238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9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2114</xdr:row>
      <xdr:rowOff>31749</xdr:rowOff>
    </xdr:from>
    <xdr:to>
      <xdr:col>4</xdr:col>
      <xdr:colOff>498475</xdr:colOff>
      <xdr:row>2114</xdr:row>
      <xdr:rowOff>546099</xdr:rowOff>
    </xdr:to>
    <xdr:grpSp>
      <xdr:nvGrpSpPr>
        <xdr:cNvPr id="3240" name="Grupo 158"/>
        <xdr:cNvGrpSpPr/>
      </xdr:nvGrpSpPr>
      <xdr:grpSpPr>
        <a:xfrm flipV="1">
          <a:off x="5254625" y="126714249"/>
          <a:ext cx="180975" cy="514350"/>
          <a:chOff x="1143000" y="590550"/>
          <a:chExt cx="123825" cy="523875"/>
        </a:xfrm>
      </xdr:grpSpPr>
      <xdr:cxnSp macro="">
        <xdr:nvCxnSpPr>
          <xdr:cNvPr id="3241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2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359834</xdr:colOff>
      <xdr:row>2115</xdr:row>
      <xdr:rowOff>63500</xdr:rowOff>
    </xdr:from>
    <xdr:to>
      <xdr:col>4</xdr:col>
      <xdr:colOff>540809</xdr:colOff>
      <xdr:row>2115</xdr:row>
      <xdr:rowOff>577850</xdr:rowOff>
    </xdr:to>
    <xdr:grpSp>
      <xdr:nvGrpSpPr>
        <xdr:cNvPr id="3243" name="Grupo 158"/>
        <xdr:cNvGrpSpPr/>
      </xdr:nvGrpSpPr>
      <xdr:grpSpPr>
        <a:xfrm flipV="1">
          <a:off x="5296959" y="127381000"/>
          <a:ext cx="180975" cy="514350"/>
          <a:chOff x="1143000" y="590550"/>
          <a:chExt cx="123825" cy="523875"/>
        </a:xfrm>
      </xdr:grpSpPr>
      <xdr:cxnSp macro="">
        <xdr:nvCxnSpPr>
          <xdr:cNvPr id="3244" name="Conector recto 159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5" name="Conector recto 160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369359</xdr:colOff>
      <xdr:row>2116</xdr:row>
      <xdr:rowOff>53974</xdr:rowOff>
    </xdr:from>
    <xdr:to>
      <xdr:col>4</xdr:col>
      <xdr:colOff>483659</xdr:colOff>
      <xdr:row>2116</xdr:row>
      <xdr:rowOff>568324</xdr:rowOff>
    </xdr:to>
    <xdr:grpSp>
      <xdr:nvGrpSpPr>
        <xdr:cNvPr id="3246" name="Grupo 161"/>
        <xdr:cNvGrpSpPr/>
      </xdr:nvGrpSpPr>
      <xdr:grpSpPr>
        <a:xfrm flipH="1" flipV="1">
          <a:off x="5306484" y="128006474"/>
          <a:ext cx="114300" cy="514350"/>
          <a:chOff x="1143000" y="590550"/>
          <a:chExt cx="123825" cy="523875"/>
        </a:xfrm>
      </xdr:grpSpPr>
      <xdr:cxnSp macro="">
        <xdr:nvCxnSpPr>
          <xdr:cNvPr id="3247" name="Conector recto 162"/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8" name="Conector recto 163"/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285749</xdr:colOff>
      <xdr:row>1941</xdr:row>
      <xdr:rowOff>42333</xdr:rowOff>
    </xdr:from>
    <xdr:to>
      <xdr:col>4</xdr:col>
      <xdr:colOff>402166</xdr:colOff>
      <xdr:row>1941</xdr:row>
      <xdr:rowOff>518583</xdr:rowOff>
    </xdr:to>
    <xdr:sp macro="" textlink="">
      <xdr:nvSpPr>
        <xdr:cNvPr id="3249" name="Forma libre 6"/>
        <xdr:cNvSpPr>
          <a:spLocks/>
        </xdr:cNvSpPr>
      </xdr:nvSpPr>
      <xdr:spPr bwMode="auto">
        <a:xfrm>
          <a:off x="1181099" y="5585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1942</xdr:row>
      <xdr:rowOff>42334</xdr:rowOff>
    </xdr:from>
    <xdr:to>
      <xdr:col>4</xdr:col>
      <xdr:colOff>423334</xdr:colOff>
      <xdr:row>1942</xdr:row>
      <xdr:rowOff>518584</xdr:rowOff>
    </xdr:to>
    <xdr:sp macro="" textlink="">
      <xdr:nvSpPr>
        <xdr:cNvPr id="3250" name="Forma libre 6"/>
        <xdr:cNvSpPr>
          <a:spLocks/>
        </xdr:cNvSpPr>
      </xdr:nvSpPr>
      <xdr:spPr bwMode="auto">
        <a:xfrm>
          <a:off x="1202267" y="6205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1950</xdr:row>
      <xdr:rowOff>104775</xdr:rowOff>
    </xdr:from>
    <xdr:to>
      <xdr:col>4</xdr:col>
      <xdr:colOff>635000</xdr:colOff>
      <xdr:row>1950</xdr:row>
      <xdr:rowOff>542925</xdr:rowOff>
    </xdr:to>
    <xdr:sp macro="" textlink="">
      <xdr:nvSpPr>
        <xdr:cNvPr id="3251" name="Rectángulo redondeado 23"/>
        <xdr:cNvSpPr>
          <a:spLocks noChangeArrowheads="1"/>
        </xdr:cNvSpPr>
      </xdr:nvSpPr>
      <xdr:spPr bwMode="auto">
        <a:xfrm>
          <a:off x="990600" y="11220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1951</xdr:row>
      <xdr:rowOff>42333</xdr:rowOff>
    </xdr:from>
    <xdr:to>
      <xdr:col>4</xdr:col>
      <xdr:colOff>402166</xdr:colOff>
      <xdr:row>1951</xdr:row>
      <xdr:rowOff>518583</xdr:rowOff>
    </xdr:to>
    <xdr:sp macro="" textlink="">
      <xdr:nvSpPr>
        <xdr:cNvPr id="3252" name="Forma libre 6"/>
        <xdr:cNvSpPr>
          <a:spLocks/>
        </xdr:cNvSpPr>
      </xdr:nvSpPr>
      <xdr:spPr bwMode="auto">
        <a:xfrm>
          <a:off x="1181099" y="11777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1952</xdr:row>
      <xdr:rowOff>42334</xdr:rowOff>
    </xdr:from>
    <xdr:to>
      <xdr:col>4</xdr:col>
      <xdr:colOff>423334</xdr:colOff>
      <xdr:row>1952</xdr:row>
      <xdr:rowOff>518584</xdr:rowOff>
    </xdr:to>
    <xdr:sp macro="" textlink="">
      <xdr:nvSpPr>
        <xdr:cNvPr id="3253" name="Forma libre 6"/>
        <xdr:cNvSpPr>
          <a:spLocks/>
        </xdr:cNvSpPr>
      </xdr:nvSpPr>
      <xdr:spPr bwMode="auto">
        <a:xfrm>
          <a:off x="1202267" y="12396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1960</xdr:row>
      <xdr:rowOff>104775</xdr:rowOff>
    </xdr:from>
    <xdr:to>
      <xdr:col>4</xdr:col>
      <xdr:colOff>635000</xdr:colOff>
      <xdr:row>1960</xdr:row>
      <xdr:rowOff>542925</xdr:rowOff>
    </xdr:to>
    <xdr:sp macro="" textlink="">
      <xdr:nvSpPr>
        <xdr:cNvPr id="3254" name="Rectángulo redondeado 23"/>
        <xdr:cNvSpPr>
          <a:spLocks noChangeArrowheads="1"/>
        </xdr:cNvSpPr>
      </xdr:nvSpPr>
      <xdr:spPr bwMode="auto">
        <a:xfrm>
          <a:off x="990600" y="1741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1961</xdr:row>
      <xdr:rowOff>42333</xdr:rowOff>
    </xdr:from>
    <xdr:to>
      <xdr:col>4</xdr:col>
      <xdr:colOff>402166</xdr:colOff>
      <xdr:row>1961</xdr:row>
      <xdr:rowOff>518583</xdr:rowOff>
    </xdr:to>
    <xdr:sp macro="" textlink="">
      <xdr:nvSpPr>
        <xdr:cNvPr id="3255" name="Forma libre 6"/>
        <xdr:cNvSpPr>
          <a:spLocks/>
        </xdr:cNvSpPr>
      </xdr:nvSpPr>
      <xdr:spPr bwMode="auto">
        <a:xfrm>
          <a:off x="1181099" y="1796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1962</xdr:row>
      <xdr:rowOff>42334</xdr:rowOff>
    </xdr:from>
    <xdr:to>
      <xdr:col>4</xdr:col>
      <xdr:colOff>423334</xdr:colOff>
      <xdr:row>1962</xdr:row>
      <xdr:rowOff>518584</xdr:rowOff>
    </xdr:to>
    <xdr:sp macro="" textlink="">
      <xdr:nvSpPr>
        <xdr:cNvPr id="3256" name="Forma libre 6"/>
        <xdr:cNvSpPr>
          <a:spLocks/>
        </xdr:cNvSpPr>
      </xdr:nvSpPr>
      <xdr:spPr bwMode="auto">
        <a:xfrm>
          <a:off x="1202267" y="1858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1970</xdr:row>
      <xdr:rowOff>104775</xdr:rowOff>
    </xdr:from>
    <xdr:to>
      <xdr:col>4</xdr:col>
      <xdr:colOff>635000</xdr:colOff>
      <xdr:row>1970</xdr:row>
      <xdr:rowOff>542925</xdr:rowOff>
    </xdr:to>
    <xdr:sp macro="" textlink="">
      <xdr:nvSpPr>
        <xdr:cNvPr id="3257" name="Rectángulo redondeado 23"/>
        <xdr:cNvSpPr>
          <a:spLocks noChangeArrowheads="1"/>
        </xdr:cNvSpPr>
      </xdr:nvSpPr>
      <xdr:spPr bwMode="auto">
        <a:xfrm>
          <a:off x="990600" y="23602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1971</xdr:row>
      <xdr:rowOff>42333</xdr:rowOff>
    </xdr:from>
    <xdr:to>
      <xdr:col>4</xdr:col>
      <xdr:colOff>402166</xdr:colOff>
      <xdr:row>1971</xdr:row>
      <xdr:rowOff>518583</xdr:rowOff>
    </xdr:to>
    <xdr:sp macro="" textlink="">
      <xdr:nvSpPr>
        <xdr:cNvPr id="3258" name="Forma libre 6"/>
        <xdr:cNvSpPr>
          <a:spLocks/>
        </xdr:cNvSpPr>
      </xdr:nvSpPr>
      <xdr:spPr bwMode="auto">
        <a:xfrm>
          <a:off x="1181099" y="24159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1972</xdr:row>
      <xdr:rowOff>42334</xdr:rowOff>
    </xdr:from>
    <xdr:to>
      <xdr:col>4</xdr:col>
      <xdr:colOff>423334</xdr:colOff>
      <xdr:row>1972</xdr:row>
      <xdr:rowOff>518584</xdr:rowOff>
    </xdr:to>
    <xdr:sp macro="" textlink="">
      <xdr:nvSpPr>
        <xdr:cNvPr id="3259" name="Forma libre 6"/>
        <xdr:cNvSpPr>
          <a:spLocks/>
        </xdr:cNvSpPr>
      </xdr:nvSpPr>
      <xdr:spPr bwMode="auto">
        <a:xfrm>
          <a:off x="1202267" y="24778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1975</xdr:row>
      <xdr:rowOff>104775</xdr:rowOff>
    </xdr:from>
    <xdr:to>
      <xdr:col>4</xdr:col>
      <xdr:colOff>635000</xdr:colOff>
      <xdr:row>1975</xdr:row>
      <xdr:rowOff>542925</xdr:rowOff>
    </xdr:to>
    <xdr:sp macro="" textlink="">
      <xdr:nvSpPr>
        <xdr:cNvPr id="3260" name="Rectángulo redondeado 23"/>
        <xdr:cNvSpPr>
          <a:spLocks noChangeArrowheads="1"/>
        </xdr:cNvSpPr>
      </xdr:nvSpPr>
      <xdr:spPr bwMode="auto">
        <a:xfrm>
          <a:off x="990600" y="266985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1976</xdr:row>
      <xdr:rowOff>42333</xdr:rowOff>
    </xdr:from>
    <xdr:to>
      <xdr:col>4</xdr:col>
      <xdr:colOff>402166</xdr:colOff>
      <xdr:row>1976</xdr:row>
      <xdr:rowOff>518583</xdr:rowOff>
    </xdr:to>
    <xdr:sp macro="" textlink="">
      <xdr:nvSpPr>
        <xdr:cNvPr id="3261" name="Forma libre 6"/>
        <xdr:cNvSpPr>
          <a:spLocks/>
        </xdr:cNvSpPr>
      </xdr:nvSpPr>
      <xdr:spPr bwMode="auto">
        <a:xfrm>
          <a:off x="1181099" y="272552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1977</xdr:row>
      <xdr:rowOff>42334</xdr:rowOff>
    </xdr:from>
    <xdr:to>
      <xdr:col>4</xdr:col>
      <xdr:colOff>423334</xdr:colOff>
      <xdr:row>1977</xdr:row>
      <xdr:rowOff>518584</xdr:rowOff>
    </xdr:to>
    <xdr:sp macro="" textlink="">
      <xdr:nvSpPr>
        <xdr:cNvPr id="3262" name="Forma libre 6"/>
        <xdr:cNvSpPr>
          <a:spLocks/>
        </xdr:cNvSpPr>
      </xdr:nvSpPr>
      <xdr:spPr bwMode="auto">
        <a:xfrm>
          <a:off x="1202267" y="278743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2049</xdr:row>
      <xdr:rowOff>104775</xdr:rowOff>
    </xdr:from>
    <xdr:to>
      <xdr:col>4</xdr:col>
      <xdr:colOff>635000</xdr:colOff>
      <xdr:row>2049</xdr:row>
      <xdr:rowOff>542925</xdr:rowOff>
    </xdr:to>
    <xdr:sp macro="" textlink="">
      <xdr:nvSpPr>
        <xdr:cNvPr id="3263" name="Rectángulo redondeado 23"/>
        <xdr:cNvSpPr>
          <a:spLocks noChangeArrowheads="1"/>
        </xdr:cNvSpPr>
      </xdr:nvSpPr>
      <xdr:spPr bwMode="auto">
        <a:xfrm>
          <a:off x="990600" y="72513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2050</xdr:row>
      <xdr:rowOff>42333</xdr:rowOff>
    </xdr:from>
    <xdr:to>
      <xdr:col>4</xdr:col>
      <xdr:colOff>402166</xdr:colOff>
      <xdr:row>2050</xdr:row>
      <xdr:rowOff>518583</xdr:rowOff>
    </xdr:to>
    <xdr:sp macro="" textlink="">
      <xdr:nvSpPr>
        <xdr:cNvPr id="3264" name="Forma libre 6"/>
        <xdr:cNvSpPr>
          <a:spLocks/>
        </xdr:cNvSpPr>
      </xdr:nvSpPr>
      <xdr:spPr bwMode="auto">
        <a:xfrm>
          <a:off x="1181099" y="73070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2051</xdr:row>
      <xdr:rowOff>42334</xdr:rowOff>
    </xdr:from>
    <xdr:to>
      <xdr:col>4</xdr:col>
      <xdr:colOff>423334</xdr:colOff>
      <xdr:row>2051</xdr:row>
      <xdr:rowOff>518584</xdr:rowOff>
    </xdr:to>
    <xdr:sp macro="" textlink="">
      <xdr:nvSpPr>
        <xdr:cNvPr id="3265" name="Forma libre 6"/>
        <xdr:cNvSpPr>
          <a:spLocks/>
        </xdr:cNvSpPr>
      </xdr:nvSpPr>
      <xdr:spPr bwMode="auto">
        <a:xfrm>
          <a:off x="1202267" y="73689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2054</xdr:row>
      <xdr:rowOff>104775</xdr:rowOff>
    </xdr:from>
    <xdr:to>
      <xdr:col>4</xdr:col>
      <xdr:colOff>635000</xdr:colOff>
      <xdr:row>2054</xdr:row>
      <xdr:rowOff>542925</xdr:rowOff>
    </xdr:to>
    <xdr:sp macro="" textlink="">
      <xdr:nvSpPr>
        <xdr:cNvPr id="3266" name="Rectángulo redondeado 23"/>
        <xdr:cNvSpPr>
          <a:spLocks noChangeArrowheads="1"/>
        </xdr:cNvSpPr>
      </xdr:nvSpPr>
      <xdr:spPr bwMode="auto">
        <a:xfrm>
          <a:off x="990600" y="75609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2055</xdr:row>
      <xdr:rowOff>42333</xdr:rowOff>
    </xdr:from>
    <xdr:to>
      <xdr:col>4</xdr:col>
      <xdr:colOff>402166</xdr:colOff>
      <xdr:row>2055</xdr:row>
      <xdr:rowOff>518583</xdr:rowOff>
    </xdr:to>
    <xdr:sp macro="" textlink="">
      <xdr:nvSpPr>
        <xdr:cNvPr id="3267" name="Forma libre 6"/>
        <xdr:cNvSpPr>
          <a:spLocks/>
        </xdr:cNvSpPr>
      </xdr:nvSpPr>
      <xdr:spPr bwMode="auto">
        <a:xfrm>
          <a:off x="1181099" y="76166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2056</xdr:row>
      <xdr:rowOff>42334</xdr:rowOff>
    </xdr:from>
    <xdr:to>
      <xdr:col>4</xdr:col>
      <xdr:colOff>423334</xdr:colOff>
      <xdr:row>2056</xdr:row>
      <xdr:rowOff>518584</xdr:rowOff>
    </xdr:to>
    <xdr:sp macro="" textlink="">
      <xdr:nvSpPr>
        <xdr:cNvPr id="3268" name="Forma libre 6"/>
        <xdr:cNvSpPr>
          <a:spLocks/>
        </xdr:cNvSpPr>
      </xdr:nvSpPr>
      <xdr:spPr bwMode="auto">
        <a:xfrm>
          <a:off x="1202267" y="76785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2059</xdr:row>
      <xdr:rowOff>104775</xdr:rowOff>
    </xdr:from>
    <xdr:to>
      <xdr:col>4</xdr:col>
      <xdr:colOff>635000</xdr:colOff>
      <xdr:row>2059</xdr:row>
      <xdr:rowOff>542925</xdr:rowOff>
    </xdr:to>
    <xdr:sp macro="" textlink="">
      <xdr:nvSpPr>
        <xdr:cNvPr id="3269" name="Rectángulo redondeado 23"/>
        <xdr:cNvSpPr>
          <a:spLocks noChangeArrowheads="1"/>
        </xdr:cNvSpPr>
      </xdr:nvSpPr>
      <xdr:spPr bwMode="auto">
        <a:xfrm>
          <a:off x="990600" y="78705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2060</xdr:row>
      <xdr:rowOff>42333</xdr:rowOff>
    </xdr:from>
    <xdr:to>
      <xdr:col>4</xdr:col>
      <xdr:colOff>402166</xdr:colOff>
      <xdr:row>2060</xdr:row>
      <xdr:rowOff>518583</xdr:rowOff>
    </xdr:to>
    <xdr:sp macro="" textlink="">
      <xdr:nvSpPr>
        <xdr:cNvPr id="3270" name="Forma libre 6"/>
        <xdr:cNvSpPr>
          <a:spLocks/>
        </xdr:cNvSpPr>
      </xdr:nvSpPr>
      <xdr:spPr bwMode="auto">
        <a:xfrm>
          <a:off x="1181099" y="79261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2061</xdr:row>
      <xdr:rowOff>42334</xdr:rowOff>
    </xdr:from>
    <xdr:to>
      <xdr:col>4</xdr:col>
      <xdr:colOff>423334</xdr:colOff>
      <xdr:row>2061</xdr:row>
      <xdr:rowOff>518584</xdr:rowOff>
    </xdr:to>
    <xdr:sp macro="" textlink="">
      <xdr:nvSpPr>
        <xdr:cNvPr id="3271" name="Forma libre 6"/>
        <xdr:cNvSpPr>
          <a:spLocks/>
        </xdr:cNvSpPr>
      </xdr:nvSpPr>
      <xdr:spPr bwMode="auto">
        <a:xfrm>
          <a:off x="1202267" y="79880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2069</xdr:row>
      <xdr:rowOff>104775</xdr:rowOff>
    </xdr:from>
    <xdr:to>
      <xdr:col>4</xdr:col>
      <xdr:colOff>635000</xdr:colOff>
      <xdr:row>2069</xdr:row>
      <xdr:rowOff>542925</xdr:rowOff>
    </xdr:to>
    <xdr:sp macro="" textlink="">
      <xdr:nvSpPr>
        <xdr:cNvPr id="3272" name="Rectángulo redondeado 23"/>
        <xdr:cNvSpPr>
          <a:spLocks noChangeArrowheads="1"/>
        </xdr:cNvSpPr>
      </xdr:nvSpPr>
      <xdr:spPr bwMode="auto">
        <a:xfrm>
          <a:off x="990600" y="84896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2070</xdr:row>
      <xdr:rowOff>42333</xdr:rowOff>
    </xdr:from>
    <xdr:to>
      <xdr:col>4</xdr:col>
      <xdr:colOff>402166</xdr:colOff>
      <xdr:row>2070</xdr:row>
      <xdr:rowOff>518583</xdr:rowOff>
    </xdr:to>
    <xdr:sp macro="" textlink="">
      <xdr:nvSpPr>
        <xdr:cNvPr id="3273" name="Forma libre 6"/>
        <xdr:cNvSpPr>
          <a:spLocks/>
        </xdr:cNvSpPr>
      </xdr:nvSpPr>
      <xdr:spPr bwMode="auto">
        <a:xfrm>
          <a:off x="1181099" y="85453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2071</xdr:row>
      <xdr:rowOff>42334</xdr:rowOff>
    </xdr:from>
    <xdr:to>
      <xdr:col>4</xdr:col>
      <xdr:colOff>423334</xdr:colOff>
      <xdr:row>2071</xdr:row>
      <xdr:rowOff>518584</xdr:rowOff>
    </xdr:to>
    <xdr:sp macro="" textlink="">
      <xdr:nvSpPr>
        <xdr:cNvPr id="3274" name="Forma libre 6"/>
        <xdr:cNvSpPr>
          <a:spLocks/>
        </xdr:cNvSpPr>
      </xdr:nvSpPr>
      <xdr:spPr bwMode="auto">
        <a:xfrm>
          <a:off x="1202267" y="86072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1985</xdr:row>
      <xdr:rowOff>104775</xdr:rowOff>
    </xdr:from>
    <xdr:to>
      <xdr:col>4</xdr:col>
      <xdr:colOff>635000</xdr:colOff>
      <xdr:row>1985</xdr:row>
      <xdr:rowOff>542925</xdr:rowOff>
    </xdr:to>
    <xdr:sp macro="" textlink="">
      <xdr:nvSpPr>
        <xdr:cNvPr id="3275" name="Rectángulo redondeado 23"/>
        <xdr:cNvSpPr>
          <a:spLocks noChangeArrowheads="1"/>
        </xdr:cNvSpPr>
      </xdr:nvSpPr>
      <xdr:spPr bwMode="auto">
        <a:xfrm>
          <a:off x="990600" y="32889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1986</xdr:row>
      <xdr:rowOff>42333</xdr:rowOff>
    </xdr:from>
    <xdr:to>
      <xdr:col>4</xdr:col>
      <xdr:colOff>402166</xdr:colOff>
      <xdr:row>1986</xdr:row>
      <xdr:rowOff>518583</xdr:rowOff>
    </xdr:to>
    <xdr:sp macro="" textlink="">
      <xdr:nvSpPr>
        <xdr:cNvPr id="3276" name="Forma libre 6"/>
        <xdr:cNvSpPr>
          <a:spLocks/>
        </xdr:cNvSpPr>
      </xdr:nvSpPr>
      <xdr:spPr bwMode="auto">
        <a:xfrm>
          <a:off x="1181099" y="33446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1987</xdr:row>
      <xdr:rowOff>42334</xdr:rowOff>
    </xdr:from>
    <xdr:to>
      <xdr:col>4</xdr:col>
      <xdr:colOff>423334</xdr:colOff>
      <xdr:row>1987</xdr:row>
      <xdr:rowOff>518584</xdr:rowOff>
    </xdr:to>
    <xdr:sp macro="" textlink="">
      <xdr:nvSpPr>
        <xdr:cNvPr id="3277" name="Forma libre 6"/>
        <xdr:cNvSpPr>
          <a:spLocks/>
        </xdr:cNvSpPr>
      </xdr:nvSpPr>
      <xdr:spPr bwMode="auto">
        <a:xfrm>
          <a:off x="1202267" y="34065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1988</xdr:row>
      <xdr:rowOff>104775</xdr:rowOff>
    </xdr:from>
    <xdr:to>
      <xdr:col>4</xdr:col>
      <xdr:colOff>635000</xdr:colOff>
      <xdr:row>1988</xdr:row>
      <xdr:rowOff>542925</xdr:rowOff>
    </xdr:to>
    <xdr:sp macro="" textlink="">
      <xdr:nvSpPr>
        <xdr:cNvPr id="3278" name="Rectángulo redondeado 23"/>
        <xdr:cNvSpPr>
          <a:spLocks noChangeArrowheads="1"/>
        </xdr:cNvSpPr>
      </xdr:nvSpPr>
      <xdr:spPr bwMode="auto">
        <a:xfrm>
          <a:off x="990600" y="34747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1989</xdr:row>
      <xdr:rowOff>42333</xdr:rowOff>
    </xdr:from>
    <xdr:to>
      <xdr:col>4</xdr:col>
      <xdr:colOff>402166</xdr:colOff>
      <xdr:row>1989</xdr:row>
      <xdr:rowOff>518583</xdr:rowOff>
    </xdr:to>
    <xdr:sp macro="" textlink="">
      <xdr:nvSpPr>
        <xdr:cNvPr id="3279" name="Forma libre 6"/>
        <xdr:cNvSpPr>
          <a:spLocks/>
        </xdr:cNvSpPr>
      </xdr:nvSpPr>
      <xdr:spPr bwMode="auto">
        <a:xfrm>
          <a:off x="1181099" y="35303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1990</xdr:row>
      <xdr:rowOff>42334</xdr:rowOff>
    </xdr:from>
    <xdr:to>
      <xdr:col>4</xdr:col>
      <xdr:colOff>423334</xdr:colOff>
      <xdr:row>1990</xdr:row>
      <xdr:rowOff>518584</xdr:rowOff>
    </xdr:to>
    <xdr:sp macro="" textlink="">
      <xdr:nvSpPr>
        <xdr:cNvPr id="3280" name="Forma libre 6"/>
        <xdr:cNvSpPr>
          <a:spLocks/>
        </xdr:cNvSpPr>
      </xdr:nvSpPr>
      <xdr:spPr bwMode="auto">
        <a:xfrm>
          <a:off x="1202267" y="35923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1998</xdr:row>
      <xdr:rowOff>104775</xdr:rowOff>
    </xdr:from>
    <xdr:to>
      <xdr:col>4</xdr:col>
      <xdr:colOff>635000</xdr:colOff>
      <xdr:row>1998</xdr:row>
      <xdr:rowOff>542925</xdr:rowOff>
    </xdr:to>
    <xdr:sp macro="" textlink="">
      <xdr:nvSpPr>
        <xdr:cNvPr id="3281" name="Rectángulo redondeado 23"/>
        <xdr:cNvSpPr>
          <a:spLocks noChangeArrowheads="1"/>
        </xdr:cNvSpPr>
      </xdr:nvSpPr>
      <xdr:spPr bwMode="auto">
        <a:xfrm>
          <a:off x="990600" y="4093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1999</xdr:row>
      <xdr:rowOff>42333</xdr:rowOff>
    </xdr:from>
    <xdr:to>
      <xdr:col>4</xdr:col>
      <xdr:colOff>402166</xdr:colOff>
      <xdr:row>1999</xdr:row>
      <xdr:rowOff>518583</xdr:rowOff>
    </xdr:to>
    <xdr:sp macro="" textlink="">
      <xdr:nvSpPr>
        <xdr:cNvPr id="3282" name="Forma libre 6"/>
        <xdr:cNvSpPr>
          <a:spLocks/>
        </xdr:cNvSpPr>
      </xdr:nvSpPr>
      <xdr:spPr bwMode="auto">
        <a:xfrm>
          <a:off x="1181099" y="4149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2000</xdr:row>
      <xdr:rowOff>42334</xdr:rowOff>
    </xdr:from>
    <xdr:to>
      <xdr:col>4</xdr:col>
      <xdr:colOff>423334</xdr:colOff>
      <xdr:row>2000</xdr:row>
      <xdr:rowOff>518584</xdr:rowOff>
    </xdr:to>
    <xdr:sp macro="" textlink="">
      <xdr:nvSpPr>
        <xdr:cNvPr id="3283" name="Forma libre 6"/>
        <xdr:cNvSpPr>
          <a:spLocks/>
        </xdr:cNvSpPr>
      </xdr:nvSpPr>
      <xdr:spPr bwMode="auto">
        <a:xfrm>
          <a:off x="1202267" y="4211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2001</xdr:row>
      <xdr:rowOff>104775</xdr:rowOff>
    </xdr:from>
    <xdr:to>
      <xdr:col>4</xdr:col>
      <xdr:colOff>635000</xdr:colOff>
      <xdr:row>2001</xdr:row>
      <xdr:rowOff>542925</xdr:rowOff>
    </xdr:to>
    <xdr:sp macro="" textlink="">
      <xdr:nvSpPr>
        <xdr:cNvPr id="3284" name="Rectángulo redondeado 23"/>
        <xdr:cNvSpPr>
          <a:spLocks noChangeArrowheads="1"/>
        </xdr:cNvSpPr>
      </xdr:nvSpPr>
      <xdr:spPr bwMode="auto">
        <a:xfrm>
          <a:off x="990600" y="4279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2002</xdr:row>
      <xdr:rowOff>42333</xdr:rowOff>
    </xdr:from>
    <xdr:to>
      <xdr:col>4</xdr:col>
      <xdr:colOff>402166</xdr:colOff>
      <xdr:row>2002</xdr:row>
      <xdr:rowOff>518583</xdr:rowOff>
    </xdr:to>
    <xdr:sp macro="" textlink="">
      <xdr:nvSpPr>
        <xdr:cNvPr id="3285" name="Forma libre 6"/>
        <xdr:cNvSpPr>
          <a:spLocks/>
        </xdr:cNvSpPr>
      </xdr:nvSpPr>
      <xdr:spPr bwMode="auto">
        <a:xfrm>
          <a:off x="1181099" y="4335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2003</xdr:row>
      <xdr:rowOff>42334</xdr:rowOff>
    </xdr:from>
    <xdr:to>
      <xdr:col>4</xdr:col>
      <xdr:colOff>423334</xdr:colOff>
      <xdr:row>2003</xdr:row>
      <xdr:rowOff>518584</xdr:rowOff>
    </xdr:to>
    <xdr:sp macro="" textlink="">
      <xdr:nvSpPr>
        <xdr:cNvPr id="3286" name="Forma libre 6"/>
        <xdr:cNvSpPr>
          <a:spLocks/>
        </xdr:cNvSpPr>
      </xdr:nvSpPr>
      <xdr:spPr bwMode="auto">
        <a:xfrm>
          <a:off x="1202267" y="4397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2011</xdr:row>
      <xdr:rowOff>104775</xdr:rowOff>
    </xdr:from>
    <xdr:to>
      <xdr:col>4</xdr:col>
      <xdr:colOff>635000</xdr:colOff>
      <xdr:row>2011</xdr:row>
      <xdr:rowOff>542925</xdr:rowOff>
    </xdr:to>
    <xdr:sp macro="" textlink="">
      <xdr:nvSpPr>
        <xdr:cNvPr id="3287" name="Rectángulo redondeado 23"/>
        <xdr:cNvSpPr>
          <a:spLocks noChangeArrowheads="1"/>
        </xdr:cNvSpPr>
      </xdr:nvSpPr>
      <xdr:spPr bwMode="auto">
        <a:xfrm>
          <a:off x="990600" y="48987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2012</xdr:row>
      <xdr:rowOff>42333</xdr:rowOff>
    </xdr:from>
    <xdr:to>
      <xdr:col>4</xdr:col>
      <xdr:colOff>402166</xdr:colOff>
      <xdr:row>2012</xdr:row>
      <xdr:rowOff>518583</xdr:rowOff>
    </xdr:to>
    <xdr:sp macro="" textlink="">
      <xdr:nvSpPr>
        <xdr:cNvPr id="3288" name="Forma libre 6"/>
        <xdr:cNvSpPr>
          <a:spLocks/>
        </xdr:cNvSpPr>
      </xdr:nvSpPr>
      <xdr:spPr bwMode="auto">
        <a:xfrm>
          <a:off x="1181099" y="49543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2013</xdr:row>
      <xdr:rowOff>42334</xdr:rowOff>
    </xdr:from>
    <xdr:to>
      <xdr:col>4</xdr:col>
      <xdr:colOff>423334</xdr:colOff>
      <xdr:row>2013</xdr:row>
      <xdr:rowOff>518584</xdr:rowOff>
    </xdr:to>
    <xdr:sp macro="" textlink="">
      <xdr:nvSpPr>
        <xdr:cNvPr id="3289" name="Forma libre 6"/>
        <xdr:cNvSpPr>
          <a:spLocks/>
        </xdr:cNvSpPr>
      </xdr:nvSpPr>
      <xdr:spPr bwMode="auto">
        <a:xfrm>
          <a:off x="1202267" y="50162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2014</xdr:row>
      <xdr:rowOff>104775</xdr:rowOff>
    </xdr:from>
    <xdr:to>
      <xdr:col>4</xdr:col>
      <xdr:colOff>635000</xdr:colOff>
      <xdr:row>2014</xdr:row>
      <xdr:rowOff>542925</xdr:rowOff>
    </xdr:to>
    <xdr:sp macro="" textlink="">
      <xdr:nvSpPr>
        <xdr:cNvPr id="3290" name="Rectángulo redondeado 23"/>
        <xdr:cNvSpPr>
          <a:spLocks noChangeArrowheads="1"/>
        </xdr:cNvSpPr>
      </xdr:nvSpPr>
      <xdr:spPr bwMode="auto">
        <a:xfrm>
          <a:off x="990600" y="50844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2015</xdr:row>
      <xdr:rowOff>42333</xdr:rowOff>
    </xdr:from>
    <xdr:to>
      <xdr:col>4</xdr:col>
      <xdr:colOff>402166</xdr:colOff>
      <xdr:row>2015</xdr:row>
      <xdr:rowOff>518583</xdr:rowOff>
    </xdr:to>
    <xdr:sp macro="" textlink="">
      <xdr:nvSpPr>
        <xdr:cNvPr id="3291" name="Forma libre 6"/>
        <xdr:cNvSpPr>
          <a:spLocks/>
        </xdr:cNvSpPr>
      </xdr:nvSpPr>
      <xdr:spPr bwMode="auto">
        <a:xfrm>
          <a:off x="1181099" y="51401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2016</xdr:row>
      <xdr:rowOff>42334</xdr:rowOff>
    </xdr:from>
    <xdr:to>
      <xdr:col>4</xdr:col>
      <xdr:colOff>423334</xdr:colOff>
      <xdr:row>2016</xdr:row>
      <xdr:rowOff>518584</xdr:rowOff>
    </xdr:to>
    <xdr:sp macro="" textlink="">
      <xdr:nvSpPr>
        <xdr:cNvPr id="3292" name="Forma libre 6"/>
        <xdr:cNvSpPr>
          <a:spLocks/>
        </xdr:cNvSpPr>
      </xdr:nvSpPr>
      <xdr:spPr bwMode="auto">
        <a:xfrm>
          <a:off x="1202267" y="52020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2026</xdr:row>
      <xdr:rowOff>104775</xdr:rowOff>
    </xdr:from>
    <xdr:to>
      <xdr:col>4</xdr:col>
      <xdr:colOff>635000</xdr:colOff>
      <xdr:row>2026</xdr:row>
      <xdr:rowOff>542925</xdr:rowOff>
    </xdr:to>
    <xdr:sp macro="" textlink="">
      <xdr:nvSpPr>
        <xdr:cNvPr id="3293" name="Rectángulo redondeado 23"/>
        <xdr:cNvSpPr>
          <a:spLocks noChangeArrowheads="1"/>
        </xdr:cNvSpPr>
      </xdr:nvSpPr>
      <xdr:spPr bwMode="auto">
        <a:xfrm>
          <a:off x="990600" y="58273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2027</xdr:row>
      <xdr:rowOff>42333</xdr:rowOff>
    </xdr:from>
    <xdr:to>
      <xdr:col>4</xdr:col>
      <xdr:colOff>402166</xdr:colOff>
      <xdr:row>2027</xdr:row>
      <xdr:rowOff>518583</xdr:rowOff>
    </xdr:to>
    <xdr:sp macro="" textlink="">
      <xdr:nvSpPr>
        <xdr:cNvPr id="3294" name="Forma libre 6"/>
        <xdr:cNvSpPr>
          <a:spLocks/>
        </xdr:cNvSpPr>
      </xdr:nvSpPr>
      <xdr:spPr bwMode="auto">
        <a:xfrm>
          <a:off x="1181099" y="58830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2028</xdr:row>
      <xdr:rowOff>42334</xdr:rowOff>
    </xdr:from>
    <xdr:to>
      <xdr:col>4</xdr:col>
      <xdr:colOff>423334</xdr:colOff>
      <xdr:row>2028</xdr:row>
      <xdr:rowOff>518584</xdr:rowOff>
    </xdr:to>
    <xdr:sp macro="" textlink="">
      <xdr:nvSpPr>
        <xdr:cNvPr id="3295" name="Forma libre 6"/>
        <xdr:cNvSpPr>
          <a:spLocks/>
        </xdr:cNvSpPr>
      </xdr:nvSpPr>
      <xdr:spPr bwMode="auto">
        <a:xfrm>
          <a:off x="1202267" y="59449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2029</xdr:row>
      <xdr:rowOff>104775</xdr:rowOff>
    </xdr:from>
    <xdr:to>
      <xdr:col>4</xdr:col>
      <xdr:colOff>635000</xdr:colOff>
      <xdr:row>2029</xdr:row>
      <xdr:rowOff>542925</xdr:rowOff>
    </xdr:to>
    <xdr:sp macro="" textlink="">
      <xdr:nvSpPr>
        <xdr:cNvPr id="3296" name="Rectángulo redondeado 23"/>
        <xdr:cNvSpPr>
          <a:spLocks noChangeArrowheads="1"/>
        </xdr:cNvSpPr>
      </xdr:nvSpPr>
      <xdr:spPr bwMode="auto">
        <a:xfrm>
          <a:off x="990600" y="60131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2030</xdr:row>
      <xdr:rowOff>42333</xdr:rowOff>
    </xdr:from>
    <xdr:to>
      <xdr:col>4</xdr:col>
      <xdr:colOff>402166</xdr:colOff>
      <xdr:row>2030</xdr:row>
      <xdr:rowOff>518583</xdr:rowOff>
    </xdr:to>
    <xdr:sp macro="" textlink="">
      <xdr:nvSpPr>
        <xdr:cNvPr id="3297" name="Forma libre 6"/>
        <xdr:cNvSpPr>
          <a:spLocks/>
        </xdr:cNvSpPr>
      </xdr:nvSpPr>
      <xdr:spPr bwMode="auto">
        <a:xfrm>
          <a:off x="1181099" y="60688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2031</xdr:row>
      <xdr:rowOff>42334</xdr:rowOff>
    </xdr:from>
    <xdr:to>
      <xdr:col>4</xdr:col>
      <xdr:colOff>423334</xdr:colOff>
      <xdr:row>2031</xdr:row>
      <xdr:rowOff>518584</xdr:rowOff>
    </xdr:to>
    <xdr:sp macro="" textlink="">
      <xdr:nvSpPr>
        <xdr:cNvPr id="3298" name="Forma libre 6"/>
        <xdr:cNvSpPr>
          <a:spLocks/>
        </xdr:cNvSpPr>
      </xdr:nvSpPr>
      <xdr:spPr bwMode="auto">
        <a:xfrm>
          <a:off x="1202267" y="61307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2041</xdr:row>
      <xdr:rowOff>104775</xdr:rowOff>
    </xdr:from>
    <xdr:to>
      <xdr:col>4</xdr:col>
      <xdr:colOff>635000</xdr:colOff>
      <xdr:row>2041</xdr:row>
      <xdr:rowOff>542925</xdr:rowOff>
    </xdr:to>
    <xdr:sp macro="" textlink="">
      <xdr:nvSpPr>
        <xdr:cNvPr id="3299" name="Rectángulo redondeado 23"/>
        <xdr:cNvSpPr>
          <a:spLocks noChangeArrowheads="1"/>
        </xdr:cNvSpPr>
      </xdr:nvSpPr>
      <xdr:spPr bwMode="auto">
        <a:xfrm>
          <a:off x="990600" y="67560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2042</xdr:row>
      <xdr:rowOff>42333</xdr:rowOff>
    </xdr:from>
    <xdr:to>
      <xdr:col>4</xdr:col>
      <xdr:colOff>402166</xdr:colOff>
      <xdr:row>2042</xdr:row>
      <xdr:rowOff>518583</xdr:rowOff>
    </xdr:to>
    <xdr:sp macro="" textlink="">
      <xdr:nvSpPr>
        <xdr:cNvPr id="3300" name="Forma libre 6"/>
        <xdr:cNvSpPr>
          <a:spLocks/>
        </xdr:cNvSpPr>
      </xdr:nvSpPr>
      <xdr:spPr bwMode="auto">
        <a:xfrm>
          <a:off x="1181099" y="68117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2043</xdr:row>
      <xdr:rowOff>42334</xdr:rowOff>
    </xdr:from>
    <xdr:to>
      <xdr:col>4</xdr:col>
      <xdr:colOff>423334</xdr:colOff>
      <xdr:row>2043</xdr:row>
      <xdr:rowOff>518584</xdr:rowOff>
    </xdr:to>
    <xdr:sp macro="" textlink="">
      <xdr:nvSpPr>
        <xdr:cNvPr id="3301" name="Forma libre 6"/>
        <xdr:cNvSpPr>
          <a:spLocks/>
        </xdr:cNvSpPr>
      </xdr:nvSpPr>
      <xdr:spPr bwMode="auto">
        <a:xfrm>
          <a:off x="1202267" y="68736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2044</xdr:row>
      <xdr:rowOff>104775</xdr:rowOff>
    </xdr:from>
    <xdr:to>
      <xdr:col>4</xdr:col>
      <xdr:colOff>635000</xdr:colOff>
      <xdr:row>2044</xdr:row>
      <xdr:rowOff>542925</xdr:rowOff>
    </xdr:to>
    <xdr:sp macro="" textlink="">
      <xdr:nvSpPr>
        <xdr:cNvPr id="3302" name="Rectángulo redondeado 23"/>
        <xdr:cNvSpPr>
          <a:spLocks noChangeArrowheads="1"/>
        </xdr:cNvSpPr>
      </xdr:nvSpPr>
      <xdr:spPr bwMode="auto">
        <a:xfrm>
          <a:off x="990600" y="69418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2045</xdr:row>
      <xdr:rowOff>42333</xdr:rowOff>
    </xdr:from>
    <xdr:to>
      <xdr:col>4</xdr:col>
      <xdr:colOff>402166</xdr:colOff>
      <xdr:row>2045</xdr:row>
      <xdr:rowOff>518583</xdr:rowOff>
    </xdr:to>
    <xdr:sp macro="" textlink="">
      <xdr:nvSpPr>
        <xdr:cNvPr id="3303" name="Forma libre 6"/>
        <xdr:cNvSpPr>
          <a:spLocks/>
        </xdr:cNvSpPr>
      </xdr:nvSpPr>
      <xdr:spPr bwMode="auto">
        <a:xfrm>
          <a:off x="1181099" y="69974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2046</xdr:row>
      <xdr:rowOff>42334</xdr:rowOff>
    </xdr:from>
    <xdr:to>
      <xdr:col>4</xdr:col>
      <xdr:colOff>423334</xdr:colOff>
      <xdr:row>2046</xdr:row>
      <xdr:rowOff>518584</xdr:rowOff>
    </xdr:to>
    <xdr:sp macro="" textlink="">
      <xdr:nvSpPr>
        <xdr:cNvPr id="3304" name="Forma libre 6"/>
        <xdr:cNvSpPr>
          <a:spLocks/>
        </xdr:cNvSpPr>
      </xdr:nvSpPr>
      <xdr:spPr bwMode="auto">
        <a:xfrm>
          <a:off x="1202267" y="70594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2078</xdr:row>
      <xdr:rowOff>104775</xdr:rowOff>
    </xdr:from>
    <xdr:to>
      <xdr:col>4</xdr:col>
      <xdr:colOff>635000</xdr:colOff>
      <xdr:row>2078</xdr:row>
      <xdr:rowOff>542925</xdr:rowOff>
    </xdr:to>
    <xdr:sp macro="" textlink="">
      <xdr:nvSpPr>
        <xdr:cNvPr id="3305" name="Rectángulo redondeado 23"/>
        <xdr:cNvSpPr>
          <a:spLocks noChangeArrowheads="1"/>
        </xdr:cNvSpPr>
      </xdr:nvSpPr>
      <xdr:spPr bwMode="auto">
        <a:xfrm>
          <a:off x="990600" y="9046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2079</xdr:row>
      <xdr:rowOff>42333</xdr:rowOff>
    </xdr:from>
    <xdr:to>
      <xdr:col>4</xdr:col>
      <xdr:colOff>402166</xdr:colOff>
      <xdr:row>2079</xdr:row>
      <xdr:rowOff>518583</xdr:rowOff>
    </xdr:to>
    <xdr:sp macro="" textlink="">
      <xdr:nvSpPr>
        <xdr:cNvPr id="3306" name="Forma libre 6"/>
        <xdr:cNvSpPr>
          <a:spLocks/>
        </xdr:cNvSpPr>
      </xdr:nvSpPr>
      <xdr:spPr bwMode="auto">
        <a:xfrm>
          <a:off x="1181099" y="9102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2080</xdr:row>
      <xdr:rowOff>42334</xdr:rowOff>
    </xdr:from>
    <xdr:to>
      <xdr:col>4</xdr:col>
      <xdr:colOff>423334</xdr:colOff>
      <xdr:row>2080</xdr:row>
      <xdr:rowOff>518584</xdr:rowOff>
    </xdr:to>
    <xdr:sp macro="" textlink="">
      <xdr:nvSpPr>
        <xdr:cNvPr id="3307" name="Forma libre 6"/>
        <xdr:cNvSpPr>
          <a:spLocks/>
        </xdr:cNvSpPr>
      </xdr:nvSpPr>
      <xdr:spPr bwMode="auto">
        <a:xfrm>
          <a:off x="1202267" y="9164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2081</xdr:row>
      <xdr:rowOff>104775</xdr:rowOff>
    </xdr:from>
    <xdr:to>
      <xdr:col>4</xdr:col>
      <xdr:colOff>635000</xdr:colOff>
      <xdr:row>2081</xdr:row>
      <xdr:rowOff>542925</xdr:rowOff>
    </xdr:to>
    <xdr:sp macro="" textlink="">
      <xdr:nvSpPr>
        <xdr:cNvPr id="3308" name="Rectángulo redondeado 23"/>
        <xdr:cNvSpPr>
          <a:spLocks noChangeArrowheads="1"/>
        </xdr:cNvSpPr>
      </xdr:nvSpPr>
      <xdr:spPr bwMode="auto">
        <a:xfrm>
          <a:off x="990600" y="9232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2082</xdr:row>
      <xdr:rowOff>42333</xdr:rowOff>
    </xdr:from>
    <xdr:to>
      <xdr:col>4</xdr:col>
      <xdr:colOff>402166</xdr:colOff>
      <xdr:row>2082</xdr:row>
      <xdr:rowOff>518583</xdr:rowOff>
    </xdr:to>
    <xdr:sp macro="" textlink="">
      <xdr:nvSpPr>
        <xdr:cNvPr id="3309" name="Forma libre 6"/>
        <xdr:cNvSpPr>
          <a:spLocks/>
        </xdr:cNvSpPr>
      </xdr:nvSpPr>
      <xdr:spPr bwMode="auto">
        <a:xfrm>
          <a:off x="1181099" y="9288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2083</xdr:row>
      <xdr:rowOff>42334</xdr:rowOff>
    </xdr:from>
    <xdr:to>
      <xdr:col>4</xdr:col>
      <xdr:colOff>423334</xdr:colOff>
      <xdr:row>2083</xdr:row>
      <xdr:rowOff>518584</xdr:rowOff>
    </xdr:to>
    <xdr:sp macro="" textlink="">
      <xdr:nvSpPr>
        <xdr:cNvPr id="3310" name="Forma libre 6"/>
        <xdr:cNvSpPr>
          <a:spLocks/>
        </xdr:cNvSpPr>
      </xdr:nvSpPr>
      <xdr:spPr bwMode="auto">
        <a:xfrm>
          <a:off x="1202267" y="9350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2090</xdr:row>
      <xdr:rowOff>104775</xdr:rowOff>
    </xdr:from>
    <xdr:to>
      <xdr:col>4</xdr:col>
      <xdr:colOff>635000</xdr:colOff>
      <xdr:row>2090</xdr:row>
      <xdr:rowOff>542925</xdr:rowOff>
    </xdr:to>
    <xdr:sp macro="" textlink="">
      <xdr:nvSpPr>
        <xdr:cNvPr id="3311" name="Rectángulo redondeado 23"/>
        <xdr:cNvSpPr>
          <a:spLocks noChangeArrowheads="1"/>
        </xdr:cNvSpPr>
      </xdr:nvSpPr>
      <xdr:spPr bwMode="auto">
        <a:xfrm>
          <a:off x="990600" y="97897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2091</xdr:row>
      <xdr:rowOff>42333</xdr:rowOff>
    </xdr:from>
    <xdr:to>
      <xdr:col>4</xdr:col>
      <xdr:colOff>402166</xdr:colOff>
      <xdr:row>2091</xdr:row>
      <xdr:rowOff>518583</xdr:rowOff>
    </xdr:to>
    <xdr:sp macro="" textlink="">
      <xdr:nvSpPr>
        <xdr:cNvPr id="3312" name="Forma libre 6"/>
        <xdr:cNvSpPr>
          <a:spLocks/>
        </xdr:cNvSpPr>
      </xdr:nvSpPr>
      <xdr:spPr bwMode="auto">
        <a:xfrm>
          <a:off x="1181099" y="98454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2092</xdr:row>
      <xdr:rowOff>42334</xdr:rowOff>
    </xdr:from>
    <xdr:to>
      <xdr:col>4</xdr:col>
      <xdr:colOff>423334</xdr:colOff>
      <xdr:row>2092</xdr:row>
      <xdr:rowOff>518584</xdr:rowOff>
    </xdr:to>
    <xdr:sp macro="" textlink="">
      <xdr:nvSpPr>
        <xdr:cNvPr id="3313" name="Forma libre 6"/>
        <xdr:cNvSpPr>
          <a:spLocks/>
        </xdr:cNvSpPr>
      </xdr:nvSpPr>
      <xdr:spPr bwMode="auto">
        <a:xfrm>
          <a:off x="1202267" y="99073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2093</xdr:row>
      <xdr:rowOff>104775</xdr:rowOff>
    </xdr:from>
    <xdr:to>
      <xdr:col>4</xdr:col>
      <xdr:colOff>635000</xdr:colOff>
      <xdr:row>2093</xdr:row>
      <xdr:rowOff>542925</xdr:rowOff>
    </xdr:to>
    <xdr:sp macro="" textlink="">
      <xdr:nvSpPr>
        <xdr:cNvPr id="3314" name="Rectángulo redondeado 23"/>
        <xdr:cNvSpPr>
          <a:spLocks noChangeArrowheads="1"/>
        </xdr:cNvSpPr>
      </xdr:nvSpPr>
      <xdr:spPr bwMode="auto">
        <a:xfrm>
          <a:off x="990600" y="99755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2094</xdr:row>
      <xdr:rowOff>42333</xdr:rowOff>
    </xdr:from>
    <xdr:to>
      <xdr:col>4</xdr:col>
      <xdr:colOff>402166</xdr:colOff>
      <xdr:row>2094</xdr:row>
      <xdr:rowOff>518583</xdr:rowOff>
    </xdr:to>
    <xdr:sp macro="" textlink="">
      <xdr:nvSpPr>
        <xdr:cNvPr id="3315" name="Forma libre 6"/>
        <xdr:cNvSpPr>
          <a:spLocks/>
        </xdr:cNvSpPr>
      </xdr:nvSpPr>
      <xdr:spPr bwMode="auto">
        <a:xfrm>
          <a:off x="1181099" y="100312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2095</xdr:row>
      <xdr:rowOff>42334</xdr:rowOff>
    </xdr:from>
    <xdr:to>
      <xdr:col>4</xdr:col>
      <xdr:colOff>423334</xdr:colOff>
      <xdr:row>2095</xdr:row>
      <xdr:rowOff>518584</xdr:rowOff>
    </xdr:to>
    <xdr:sp macro="" textlink="">
      <xdr:nvSpPr>
        <xdr:cNvPr id="3316" name="Forma libre 6"/>
        <xdr:cNvSpPr>
          <a:spLocks/>
        </xdr:cNvSpPr>
      </xdr:nvSpPr>
      <xdr:spPr bwMode="auto">
        <a:xfrm>
          <a:off x="1202267" y="100931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2104</xdr:row>
      <xdr:rowOff>104775</xdr:rowOff>
    </xdr:from>
    <xdr:to>
      <xdr:col>4</xdr:col>
      <xdr:colOff>635000</xdr:colOff>
      <xdr:row>2104</xdr:row>
      <xdr:rowOff>542925</xdr:rowOff>
    </xdr:to>
    <xdr:sp macro="" textlink="">
      <xdr:nvSpPr>
        <xdr:cNvPr id="3317" name="Rectángulo redondeado 23"/>
        <xdr:cNvSpPr>
          <a:spLocks noChangeArrowheads="1"/>
        </xdr:cNvSpPr>
      </xdr:nvSpPr>
      <xdr:spPr bwMode="auto">
        <a:xfrm>
          <a:off x="990600" y="106565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2105</xdr:row>
      <xdr:rowOff>42333</xdr:rowOff>
    </xdr:from>
    <xdr:to>
      <xdr:col>4</xdr:col>
      <xdr:colOff>402166</xdr:colOff>
      <xdr:row>2105</xdr:row>
      <xdr:rowOff>518583</xdr:rowOff>
    </xdr:to>
    <xdr:sp macro="" textlink="">
      <xdr:nvSpPr>
        <xdr:cNvPr id="3318" name="Forma libre 6"/>
        <xdr:cNvSpPr>
          <a:spLocks/>
        </xdr:cNvSpPr>
      </xdr:nvSpPr>
      <xdr:spPr bwMode="auto">
        <a:xfrm>
          <a:off x="1181099" y="107122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2106</xdr:row>
      <xdr:rowOff>42334</xdr:rowOff>
    </xdr:from>
    <xdr:to>
      <xdr:col>4</xdr:col>
      <xdr:colOff>423334</xdr:colOff>
      <xdr:row>2106</xdr:row>
      <xdr:rowOff>518584</xdr:rowOff>
    </xdr:to>
    <xdr:sp macro="" textlink="">
      <xdr:nvSpPr>
        <xdr:cNvPr id="3319" name="Forma libre 6"/>
        <xdr:cNvSpPr>
          <a:spLocks/>
        </xdr:cNvSpPr>
      </xdr:nvSpPr>
      <xdr:spPr bwMode="auto">
        <a:xfrm>
          <a:off x="1202267" y="107741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2107</xdr:row>
      <xdr:rowOff>104775</xdr:rowOff>
    </xdr:from>
    <xdr:to>
      <xdr:col>4</xdr:col>
      <xdr:colOff>635000</xdr:colOff>
      <xdr:row>2107</xdr:row>
      <xdr:rowOff>542925</xdr:rowOff>
    </xdr:to>
    <xdr:sp macro="" textlink="">
      <xdr:nvSpPr>
        <xdr:cNvPr id="3320" name="Rectángulo redondeado 23"/>
        <xdr:cNvSpPr>
          <a:spLocks noChangeArrowheads="1"/>
        </xdr:cNvSpPr>
      </xdr:nvSpPr>
      <xdr:spPr bwMode="auto">
        <a:xfrm>
          <a:off x="990600" y="108423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2108</xdr:row>
      <xdr:rowOff>42333</xdr:rowOff>
    </xdr:from>
    <xdr:to>
      <xdr:col>4</xdr:col>
      <xdr:colOff>402166</xdr:colOff>
      <xdr:row>2108</xdr:row>
      <xdr:rowOff>518583</xdr:rowOff>
    </xdr:to>
    <xdr:sp macro="" textlink="">
      <xdr:nvSpPr>
        <xdr:cNvPr id="3321" name="Forma libre 6"/>
        <xdr:cNvSpPr>
          <a:spLocks/>
        </xdr:cNvSpPr>
      </xdr:nvSpPr>
      <xdr:spPr bwMode="auto">
        <a:xfrm>
          <a:off x="1181099" y="108979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2109</xdr:row>
      <xdr:rowOff>42334</xdr:rowOff>
    </xdr:from>
    <xdr:to>
      <xdr:col>4</xdr:col>
      <xdr:colOff>423334</xdr:colOff>
      <xdr:row>2109</xdr:row>
      <xdr:rowOff>518584</xdr:rowOff>
    </xdr:to>
    <xdr:sp macro="" textlink="">
      <xdr:nvSpPr>
        <xdr:cNvPr id="3322" name="Forma libre 6"/>
        <xdr:cNvSpPr>
          <a:spLocks/>
        </xdr:cNvSpPr>
      </xdr:nvSpPr>
      <xdr:spPr bwMode="auto">
        <a:xfrm>
          <a:off x="1202267" y="109598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2117</xdr:row>
      <xdr:rowOff>104775</xdr:rowOff>
    </xdr:from>
    <xdr:to>
      <xdr:col>4</xdr:col>
      <xdr:colOff>635000</xdr:colOff>
      <xdr:row>2117</xdr:row>
      <xdr:rowOff>542925</xdr:rowOff>
    </xdr:to>
    <xdr:sp macro="" textlink="">
      <xdr:nvSpPr>
        <xdr:cNvPr id="3323" name="Rectángulo redondeado 23"/>
        <xdr:cNvSpPr>
          <a:spLocks noChangeArrowheads="1"/>
        </xdr:cNvSpPr>
      </xdr:nvSpPr>
      <xdr:spPr bwMode="auto">
        <a:xfrm>
          <a:off x="990600" y="11461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2118</xdr:row>
      <xdr:rowOff>42333</xdr:rowOff>
    </xdr:from>
    <xdr:to>
      <xdr:col>4</xdr:col>
      <xdr:colOff>402166</xdr:colOff>
      <xdr:row>2118</xdr:row>
      <xdr:rowOff>518583</xdr:rowOff>
    </xdr:to>
    <xdr:sp macro="" textlink="">
      <xdr:nvSpPr>
        <xdr:cNvPr id="3324" name="Forma libre 6"/>
        <xdr:cNvSpPr>
          <a:spLocks/>
        </xdr:cNvSpPr>
      </xdr:nvSpPr>
      <xdr:spPr bwMode="auto">
        <a:xfrm>
          <a:off x="1181099" y="115171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2119</xdr:row>
      <xdr:rowOff>42334</xdr:rowOff>
    </xdr:from>
    <xdr:to>
      <xdr:col>4</xdr:col>
      <xdr:colOff>423334</xdr:colOff>
      <xdr:row>2119</xdr:row>
      <xdr:rowOff>518584</xdr:rowOff>
    </xdr:to>
    <xdr:sp macro="" textlink="">
      <xdr:nvSpPr>
        <xdr:cNvPr id="3325" name="Forma libre 6"/>
        <xdr:cNvSpPr>
          <a:spLocks/>
        </xdr:cNvSpPr>
      </xdr:nvSpPr>
      <xdr:spPr bwMode="auto">
        <a:xfrm>
          <a:off x="1202267" y="115790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2120</xdr:row>
      <xdr:rowOff>104775</xdr:rowOff>
    </xdr:from>
    <xdr:to>
      <xdr:col>4</xdr:col>
      <xdr:colOff>635000</xdr:colOff>
      <xdr:row>2120</xdr:row>
      <xdr:rowOff>542925</xdr:rowOff>
    </xdr:to>
    <xdr:sp macro="" textlink="">
      <xdr:nvSpPr>
        <xdr:cNvPr id="3326" name="Rectángulo redondeado 23"/>
        <xdr:cNvSpPr>
          <a:spLocks noChangeArrowheads="1"/>
        </xdr:cNvSpPr>
      </xdr:nvSpPr>
      <xdr:spPr bwMode="auto">
        <a:xfrm>
          <a:off x="990600" y="11647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2121</xdr:row>
      <xdr:rowOff>42333</xdr:rowOff>
    </xdr:from>
    <xdr:to>
      <xdr:col>4</xdr:col>
      <xdr:colOff>402166</xdr:colOff>
      <xdr:row>2121</xdr:row>
      <xdr:rowOff>518583</xdr:rowOff>
    </xdr:to>
    <xdr:sp macro="" textlink="">
      <xdr:nvSpPr>
        <xdr:cNvPr id="3327" name="Forma libre 6"/>
        <xdr:cNvSpPr>
          <a:spLocks/>
        </xdr:cNvSpPr>
      </xdr:nvSpPr>
      <xdr:spPr bwMode="auto">
        <a:xfrm>
          <a:off x="1181099" y="11702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2122</xdr:row>
      <xdr:rowOff>42334</xdr:rowOff>
    </xdr:from>
    <xdr:to>
      <xdr:col>4</xdr:col>
      <xdr:colOff>423334</xdr:colOff>
      <xdr:row>2122</xdr:row>
      <xdr:rowOff>518584</xdr:rowOff>
    </xdr:to>
    <xdr:sp macro="" textlink="">
      <xdr:nvSpPr>
        <xdr:cNvPr id="3328" name="Forma libre 6"/>
        <xdr:cNvSpPr>
          <a:spLocks/>
        </xdr:cNvSpPr>
      </xdr:nvSpPr>
      <xdr:spPr bwMode="auto">
        <a:xfrm>
          <a:off x="1202267" y="11764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38100</xdr:colOff>
      <xdr:row>2129</xdr:row>
      <xdr:rowOff>390525</xdr:rowOff>
    </xdr:from>
    <xdr:to>
      <xdr:col>0</xdr:col>
      <xdr:colOff>133350</xdr:colOff>
      <xdr:row>2129</xdr:row>
      <xdr:rowOff>533400</xdr:rowOff>
    </xdr:to>
    <xdr:cxnSp macro="">
      <xdr:nvCxnSpPr>
        <xdr:cNvPr id="3365" name="Conector recto 3364"/>
        <xdr:cNvCxnSpPr/>
      </xdr:nvCxnSpPr>
      <xdr:spPr>
        <a:xfrm>
          <a:off x="38100" y="115252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2129</xdr:row>
      <xdr:rowOff>142875</xdr:rowOff>
    </xdr:from>
    <xdr:to>
      <xdr:col>0</xdr:col>
      <xdr:colOff>514350</xdr:colOff>
      <xdr:row>2129</xdr:row>
      <xdr:rowOff>514350</xdr:rowOff>
    </xdr:to>
    <xdr:cxnSp macro="">
      <xdr:nvCxnSpPr>
        <xdr:cNvPr id="3366" name="Conector recto 3365"/>
        <xdr:cNvCxnSpPr/>
      </xdr:nvCxnSpPr>
      <xdr:spPr>
        <a:xfrm flipV="1">
          <a:off x="123825" y="9048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2129</xdr:row>
      <xdr:rowOff>142875</xdr:rowOff>
    </xdr:from>
    <xdr:to>
      <xdr:col>0</xdr:col>
      <xdr:colOff>723900</xdr:colOff>
      <xdr:row>2129</xdr:row>
      <xdr:rowOff>142875</xdr:rowOff>
    </xdr:to>
    <xdr:cxnSp macro="">
      <xdr:nvCxnSpPr>
        <xdr:cNvPr id="3367" name="Conector recto 3366"/>
        <xdr:cNvCxnSpPr/>
      </xdr:nvCxnSpPr>
      <xdr:spPr>
        <a:xfrm>
          <a:off x="504825" y="9048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2130</xdr:row>
      <xdr:rowOff>85725</xdr:rowOff>
    </xdr:from>
    <xdr:to>
      <xdr:col>0</xdr:col>
      <xdr:colOff>781050</xdr:colOff>
      <xdr:row>2130</xdr:row>
      <xdr:rowOff>457200</xdr:rowOff>
    </xdr:to>
    <xdr:cxnSp macro="">
      <xdr:nvCxnSpPr>
        <xdr:cNvPr id="3368" name="Conector recto 3367"/>
        <xdr:cNvCxnSpPr/>
      </xdr:nvCxnSpPr>
      <xdr:spPr>
        <a:xfrm flipV="1">
          <a:off x="390525" y="1419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771525</xdr:colOff>
      <xdr:row>2130</xdr:row>
      <xdr:rowOff>85725</xdr:rowOff>
    </xdr:from>
    <xdr:to>
      <xdr:col>0</xdr:col>
      <xdr:colOff>990600</xdr:colOff>
      <xdr:row>2130</xdr:row>
      <xdr:rowOff>85725</xdr:rowOff>
    </xdr:to>
    <xdr:cxnSp macro="">
      <xdr:nvCxnSpPr>
        <xdr:cNvPr id="3369" name="Conector recto 3368"/>
        <xdr:cNvCxnSpPr/>
      </xdr:nvCxnSpPr>
      <xdr:spPr>
        <a:xfrm>
          <a:off x="771525" y="1419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2130</xdr:row>
      <xdr:rowOff>457200</xdr:rowOff>
    </xdr:from>
    <xdr:to>
      <xdr:col>0</xdr:col>
      <xdr:colOff>400050</xdr:colOff>
      <xdr:row>2130</xdr:row>
      <xdr:rowOff>457200</xdr:rowOff>
    </xdr:to>
    <xdr:cxnSp macro="">
      <xdr:nvCxnSpPr>
        <xdr:cNvPr id="3370" name="Conector recto 3369"/>
        <xdr:cNvCxnSpPr/>
      </xdr:nvCxnSpPr>
      <xdr:spPr>
        <a:xfrm>
          <a:off x="180975" y="1790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2131</xdr:row>
      <xdr:rowOff>66675</xdr:rowOff>
    </xdr:from>
    <xdr:to>
      <xdr:col>0</xdr:col>
      <xdr:colOff>704850</xdr:colOff>
      <xdr:row>2131</xdr:row>
      <xdr:rowOff>438150</xdr:rowOff>
    </xdr:to>
    <xdr:cxnSp macro="">
      <xdr:nvCxnSpPr>
        <xdr:cNvPr id="3371" name="Conector recto 3370"/>
        <xdr:cNvCxnSpPr/>
      </xdr:nvCxnSpPr>
      <xdr:spPr>
        <a:xfrm flipV="1">
          <a:off x="314325" y="19812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695325</xdr:colOff>
      <xdr:row>2131</xdr:row>
      <xdr:rowOff>66675</xdr:rowOff>
    </xdr:from>
    <xdr:to>
      <xdr:col>0</xdr:col>
      <xdr:colOff>914400</xdr:colOff>
      <xdr:row>2131</xdr:row>
      <xdr:rowOff>66675</xdr:rowOff>
    </xdr:to>
    <xdr:cxnSp macro="">
      <xdr:nvCxnSpPr>
        <xdr:cNvPr id="3372" name="Conector recto 3371"/>
        <xdr:cNvCxnSpPr/>
      </xdr:nvCxnSpPr>
      <xdr:spPr>
        <a:xfrm>
          <a:off x="695325" y="19812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2131</xdr:row>
      <xdr:rowOff>438150</xdr:rowOff>
    </xdr:from>
    <xdr:to>
      <xdr:col>0</xdr:col>
      <xdr:colOff>323850</xdr:colOff>
      <xdr:row>2131</xdr:row>
      <xdr:rowOff>438150</xdr:rowOff>
    </xdr:to>
    <xdr:cxnSp macro="">
      <xdr:nvCxnSpPr>
        <xdr:cNvPr id="3373" name="Conector recto 3372"/>
        <xdr:cNvCxnSpPr/>
      </xdr:nvCxnSpPr>
      <xdr:spPr>
        <a:xfrm>
          <a:off x="104775" y="23526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295275</xdr:colOff>
      <xdr:row>2132</xdr:row>
      <xdr:rowOff>76200</xdr:rowOff>
    </xdr:from>
    <xdr:to>
      <xdr:col>0</xdr:col>
      <xdr:colOff>685800</xdr:colOff>
      <xdr:row>2132</xdr:row>
      <xdr:rowOff>447675</xdr:rowOff>
    </xdr:to>
    <xdr:cxnSp macro="">
      <xdr:nvCxnSpPr>
        <xdr:cNvPr id="3374" name="Conector recto 3373"/>
        <xdr:cNvCxnSpPr/>
      </xdr:nvCxnSpPr>
      <xdr:spPr>
        <a:xfrm flipV="1">
          <a:off x="295275" y="25717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2132</xdr:row>
      <xdr:rowOff>76200</xdr:rowOff>
    </xdr:from>
    <xdr:to>
      <xdr:col>0</xdr:col>
      <xdr:colOff>895350</xdr:colOff>
      <xdr:row>2132</xdr:row>
      <xdr:rowOff>76200</xdr:rowOff>
    </xdr:to>
    <xdr:cxnSp macro="">
      <xdr:nvCxnSpPr>
        <xdr:cNvPr id="3375" name="Conector recto 3374"/>
        <xdr:cNvCxnSpPr/>
      </xdr:nvCxnSpPr>
      <xdr:spPr>
        <a:xfrm>
          <a:off x="676275" y="2571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2132</xdr:row>
      <xdr:rowOff>447675</xdr:rowOff>
    </xdr:from>
    <xdr:to>
      <xdr:col>0</xdr:col>
      <xdr:colOff>304800</xdr:colOff>
      <xdr:row>2132</xdr:row>
      <xdr:rowOff>447675</xdr:rowOff>
    </xdr:to>
    <xdr:cxnSp macro="">
      <xdr:nvCxnSpPr>
        <xdr:cNvPr id="3376" name="Conector recto 3375"/>
        <xdr:cNvCxnSpPr/>
      </xdr:nvCxnSpPr>
      <xdr:spPr>
        <a:xfrm>
          <a:off x="85725" y="2943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2133</xdr:row>
      <xdr:rowOff>76200</xdr:rowOff>
    </xdr:from>
    <xdr:to>
      <xdr:col>0</xdr:col>
      <xdr:colOff>714375</xdr:colOff>
      <xdr:row>2133</xdr:row>
      <xdr:rowOff>447675</xdr:rowOff>
    </xdr:to>
    <xdr:cxnSp macro="">
      <xdr:nvCxnSpPr>
        <xdr:cNvPr id="3377" name="Conector recto 3376"/>
        <xdr:cNvCxnSpPr/>
      </xdr:nvCxnSpPr>
      <xdr:spPr>
        <a:xfrm flipV="1">
          <a:off x="323850" y="3143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704850</xdr:colOff>
      <xdr:row>2133</xdr:row>
      <xdr:rowOff>76200</xdr:rowOff>
    </xdr:from>
    <xdr:to>
      <xdr:col>0</xdr:col>
      <xdr:colOff>923925</xdr:colOff>
      <xdr:row>2133</xdr:row>
      <xdr:rowOff>76200</xdr:rowOff>
    </xdr:to>
    <xdr:cxnSp macro="">
      <xdr:nvCxnSpPr>
        <xdr:cNvPr id="3378" name="Conector recto 3377"/>
        <xdr:cNvCxnSpPr/>
      </xdr:nvCxnSpPr>
      <xdr:spPr>
        <a:xfrm>
          <a:off x="704850" y="3143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2133</xdr:row>
      <xdr:rowOff>447675</xdr:rowOff>
    </xdr:from>
    <xdr:to>
      <xdr:col>0</xdr:col>
      <xdr:colOff>333375</xdr:colOff>
      <xdr:row>2133</xdr:row>
      <xdr:rowOff>447675</xdr:rowOff>
    </xdr:to>
    <xdr:cxnSp macro="">
      <xdr:nvCxnSpPr>
        <xdr:cNvPr id="3379" name="Conector recto 3378"/>
        <xdr:cNvCxnSpPr/>
      </xdr:nvCxnSpPr>
      <xdr:spPr>
        <a:xfrm>
          <a:off x="114300" y="3514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2134</xdr:row>
      <xdr:rowOff>66675</xdr:rowOff>
    </xdr:from>
    <xdr:to>
      <xdr:col>0</xdr:col>
      <xdr:colOff>676275</xdr:colOff>
      <xdr:row>2134</xdr:row>
      <xdr:rowOff>438150</xdr:rowOff>
    </xdr:to>
    <xdr:cxnSp macro="">
      <xdr:nvCxnSpPr>
        <xdr:cNvPr id="3380" name="Conector recto 3379"/>
        <xdr:cNvCxnSpPr/>
      </xdr:nvCxnSpPr>
      <xdr:spPr>
        <a:xfrm flipV="1">
          <a:off x="285750" y="37242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2134</xdr:row>
      <xdr:rowOff>66675</xdr:rowOff>
    </xdr:from>
    <xdr:to>
      <xdr:col>0</xdr:col>
      <xdr:colOff>885825</xdr:colOff>
      <xdr:row>2134</xdr:row>
      <xdr:rowOff>66675</xdr:rowOff>
    </xdr:to>
    <xdr:cxnSp macro="">
      <xdr:nvCxnSpPr>
        <xdr:cNvPr id="3381" name="Conector recto 3380"/>
        <xdr:cNvCxnSpPr/>
      </xdr:nvCxnSpPr>
      <xdr:spPr>
        <a:xfrm>
          <a:off x="666750" y="3724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2134</xdr:row>
      <xdr:rowOff>438150</xdr:rowOff>
    </xdr:from>
    <xdr:to>
      <xdr:col>0</xdr:col>
      <xdr:colOff>295275</xdr:colOff>
      <xdr:row>2134</xdr:row>
      <xdr:rowOff>438150</xdr:rowOff>
    </xdr:to>
    <xdr:cxnSp macro="">
      <xdr:nvCxnSpPr>
        <xdr:cNvPr id="3382" name="Conector recto 3381"/>
        <xdr:cNvCxnSpPr/>
      </xdr:nvCxnSpPr>
      <xdr:spPr>
        <a:xfrm>
          <a:off x="76200" y="4095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2135</xdr:row>
      <xdr:rowOff>57150</xdr:rowOff>
    </xdr:from>
    <xdr:to>
      <xdr:col>0</xdr:col>
      <xdr:colOff>695325</xdr:colOff>
      <xdr:row>2135</xdr:row>
      <xdr:rowOff>428625</xdr:rowOff>
    </xdr:to>
    <xdr:cxnSp macro="">
      <xdr:nvCxnSpPr>
        <xdr:cNvPr id="3383" name="Conector recto 3382"/>
        <xdr:cNvCxnSpPr/>
      </xdr:nvCxnSpPr>
      <xdr:spPr>
        <a:xfrm flipV="1">
          <a:off x="304800" y="4295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2135</xdr:row>
      <xdr:rowOff>57150</xdr:rowOff>
    </xdr:from>
    <xdr:to>
      <xdr:col>0</xdr:col>
      <xdr:colOff>904875</xdr:colOff>
      <xdr:row>2135</xdr:row>
      <xdr:rowOff>57150</xdr:rowOff>
    </xdr:to>
    <xdr:cxnSp macro="">
      <xdr:nvCxnSpPr>
        <xdr:cNvPr id="3384" name="Conector recto 3383"/>
        <xdr:cNvCxnSpPr/>
      </xdr:nvCxnSpPr>
      <xdr:spPr>
        <a:xfrm>
          <a:off x="685800" y="4295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2135</xdr:row>
      <xdr:rowOff>428625</xdr:rowOff>
    </xdr:from>
    <xdr:to>
      <xdr:col>0</xdr:col>
      <xdr:colOff>314325</xdr:colOff>
      <xdr:row>2135</xdr:row>
      <xdr:rowOff>428625</xdr:rowOff>
    </xdr:to>
    <xdr:cxnSp macro="">
      <xdr:nvCxnSpPr>
        <xdr:cNvPr id="3385" name="Conector recto 3384"/>
        <xdr:cNvCxnSpPr/>
      </xdr:nvCxnSpPr>
      <xdr:spPr>
        <a:xfrm>
          <a:off x="95250" y="4667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2136</xdr:row>
      <xdr:rowOff>285750</xdr:rowOff>
    </xdr:from>
    <xdr:to>
      <xdr:col>0</xdr:col>
      <xdr:colOff>609600</xdr:colOff>
      <xdr:row>2136</xdr:row>
      <xdr:rowOff>285750</xdr:rowOff>
    </xdr:to>
    <xdr:cxnSp macro="">
      <xdr:nvCxnSpPr>
        <xdr:cNvPr id="3386" name="Conector recto 3385"/>
        <xdr:cNvCxnSpPr/>
      </xdr:nvCxnSpPr>
      <xdr:spPr>
        <a:xfrm>
          <a:off x="390525" y="51054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2136</xdr:row>
      <xdr:rowOff>104775</xdr:rowOff>
    </xdr:from>
    <xdr:to>
      <xdr:col>0</xdr:col>
      <xdr:colOff>828675</xdr:colOff>
      <xdr:row>2136</xdr:row>
      <xdr:rowOff>295276</xdr:rowOff>
    </xdr:to>
    <xdr:cxnSp macro="">
      <xdr:nvCxnSpPr>
        <xdr:cNvPr id="3387" name="Conector recto 3386"/>
        <xdr:cNvCxnSpPr/>
      </xdr:nvCxnSpPr>
      <xdr:spPr>
        <a:xfrm flipV="1">
          <a:off x="600075" y="4924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2136</xdr:row>
      <xdr:rowOff>285750</xdr:rowOff>
    </xdr:from>
    <xdr:to>
      <xdr:col>0</xdr:col>
      <xdr:colOff>390525</xdr:colOff>
      <xdr:row>2136</xdr:row>
      <xdr:rowOff>476251</xdr:rowOff>
    </xdr:to>
    <xdr:cxnSp macro="">
      <xdr:nvCxnSpPr>
        <xdr:cNvPr id="3388" name="Conector recto 3387"/>
        <xdr:cNvCxnSpPr/>
      </xdr:nvCxnSpPr>
      <xdr:spPr>
        <a:xfrm flipV="1">
          <a:off x="161925" y="5105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47627</xdr:rowOff>
    </xdr:from>
    <xdr:to>
      <xdr:col>0</xdr:col>
      <xdr:colOff>657225</xdr:colOff>
      <xdr:row>2137</xdr:row>
      <xdr:rowOff>428625</xdr:rowOff>
    </xdr:to>
    <xdr:cxnSp macro="">
      <xdr:nvCxnSpPr>
        <xdr:cNvPr id="3389" name="Conector recto 3388"/>
        <xdr:cNvCxnSpPr/>
      </xdr:nvCxnSpPr>
      <xdr:spPr>
        <a:xfrm flipV="1">
          <a:off x="219075" y="544830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2137</xdr:row>
      <xdr:rowOff>47625</xdr:rowOff>
    </xdr:from>
    <xdr:to>
      <xdr:col>0</xdr:col>
      <xdr:colOff>866775</xdr:colOff>
      <xdr:row>2137</xdr:row>
      <xdr:rowOff>47625</xdr:rowOff>
    </xdr:to>
    <xdr:cxnSp macro="">
      <xdr:nvCxnSpPr>
        <xdr:cNvPr id="3390" name="Conector recto 3389"/>
        <xdr:cNvCxnSpPr/>
      </xdr:nvCxnSpPr>
      <xdr:spPr>
        <a:xfrm>
          <a:off x="647700" y="5448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419100</xdr:rowOff>
    </xdr:from>
    <xdr:to>
      <xdr:col>0</xdr:col>
      <xdr:colOff>314325</xdr:colOff>
      <xdr:row>2137</xdr:row>
      <xdr:rowOff>561975</xdr:rowOff>
    </xdr:to>
    <xdr:cxnSp macro="">
      <xdr:nvCxnSpPr>
        <xdr:cNvPr id="3391" name="Conector recto 3390"/>
        <xdr:cNvCxnSpPr/>
      </xdr:nvCxnSpPr>
      <xdr:spPr>
        <a:xfrm>
          <a:off x="219075" y="581977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2138</xdr:row>
      <xdr:rowOff>285750</xdr:rowOff>
    </xdr:from>
    <xdr:to>
      <xdr:col>0</xdr:col>
      <xdr:colOff>638175</xdr:colOff>
      <xdr:row>2138</xdr:row>
      <xdr:rowOff>285750</xdr:rowOff>
    </xdr:to>
    <xdr:cxnSp macro="">
      <xdr:nvCxnSpPr>
        <xdr:cNvPr id="3392" name="Conector recto 3391"/>
        <xdr:cNvCxnSpPr/>
      </xdr:nvCxnSpPr>
      <xdr:spPr>
        <a:xfrm>
          <a:off x="419100" y="62674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2138</xdr:row>
      <xdr:rowOff>104775</xdr:rowOff>
    </xdr:from>
    <xdr:to>
      <xdr:col>0</xdr:col>
      <xdr:colOff>857250</xdr:colOff>
      <xdr:row>2138</xdr:row>
      <xdr:rowOff>295276</xdr:rowOff>
    </xdr:to>
    <xdr:cxnSp macro="">
      <xdr:nvCxnSpPr>
        <xdr:cNvPr id="3393" name="Conector recto 3392"/>
        <xdr:cNvCxnSpPr/>
      </xdr:nvCxnSpPr>
      <xdr:spPr>
        <a:xfrm flipV="1">
          <a:off x="628650" y="60864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2138</xdr:row>
      <xdr:rowOff>285750</xdr:rowOff>
    </xdr:from>
    <xdr:to>
      <xdr:col>0</xdr:col>
      <xdr:colOff>419100</xdr:colOff>
      <xdr:row>2138</xdr:row>
      <xdr:rowOff>476251</xdr:rowOff>
    </xdr:to>
    <xdr:cxnSp macro="">
      <xdr:nvCxnSpPr>
        <xdr:cNvPr id="3394" name="Conector recto 3393"/>
        <xdr:cNvCxnSpPr/>
      </xdr:nvCxnSpPr>
      <xdr:spPr>
        <a:xfrm flipV="1">
          <a:off x="190500" y="6267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2140</xdr:row>
      <xdr:rowOff>66677</xdr:rowOff>
    </xdr:from>
    <xdr:to>
      <xdr:col>0</xdr:col>
      <xdr:colOff>590550</xdr:colOff>
      <xdr:row>2140</xdr:row>
      <xdr:rowOff>447675</xdr:rowOff>
    </xdr:to>
    <xdr:cxnSp macro="">
      <xdr:nvCxnSpPr>
        <xdr:cNvPr id="3395" name="Conector recto 3394"/>
        <xdr:cNvCxnSpPr/>
      </xdr:nvCxnSpPr>
      <xdr:spPr>
        <a:xfrm flipV="1">
          <a:off x="152400" y="721995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2140</xdr:row>
      <xdr:rowOff>66675</xdr:rowOff>
    </xdr:from>
    <xdr:to>
      <xdr:col>0</xdr:col>
      <xdr:colOff>800100</xdr:colOff>
      <xdr:row>2140</xdr:row>
      <xdr:rowOff>66675</xdr:rowOff>
    </xdr:to>
    <xdr:cxnSp macro="">
      <xdr:nvCxnSpPr>
        <xdr:cNvPr id="3396" name="Conector recto 3395"/>
        <xdr:cNvCxnSpPr/>
      </xdr:nvCxnSpPr>
      <xdr:spPr>
        <a:xfrm>
          <a:off x="581025" y="72199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809625</xdr:colOff>
      <xdr:row>2140</xdr:row>
      <xdr:rowOff>66675</xdr:rowOff>
    </xdr:from>
    <xdr:to>
      <xdr:col>0</xdr:col>
      <xdr:colOff>809625</xdr:colOff>
      <xdr:row>2140</xdr:row>
      <xdr:rowOff>228600</xdr:rowOff>
    </xdr:to>
    <xdr:cxnSp macro="">
      <xdr:nvCxnSpPr>
        <xdr:cNvPr id="3397" name="Conector recto 3396"/>
        <xdr:cNvCxnSpPr/>
      </xdr:nvCxnSpPr>
      <xdr:spPr>
        <a:xfrm>
          <a:off x="809625" y="721995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2139</xdr:row>
      <xdr:rowOff>247650</xdr:rowOff>
    </xdr:from>
    <xdr:to>
      <xdr:col>0</xdr:col>
      <xdr:colOff>647700</xdr:colOff>
      <xdr:row>2139</xdr:row>
      <xdr:rowOff>247650</xdr:rowOff>
    </xdr:to>
    <xdr:cxnSp macro="">
      <xdr:nvCxnSpPr>
        <xdr:cNvPr id="3398" name="Conector recto 3397"/>
        <xdr:cNvCxnSpPr/>
      </xdr:nvCxnSpPr>
      <xdr:spPr>
        <a:xfrm>
          <a:off x="428625" y="68103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2139</xdr:row>
      <xdr:rowOff>66675</xdr:rowOff>
    </xdr:from>
    <xdr:to>
      <xdr:col>0</xdr:col>
      <xdr:colOff>866775</xdr:colOff>
      <xdr:row>2139</xdr:row>
      <xdr:rowOff>257176</xdr:rowOff>
    </xdr:to>
    <xdr:cxnSp macro="">
      <xdr:nvCxnSpPr>
        <xdr:cNvPr id="3399" name="Conector recto 3398"/>
        <xdr:cNvCxnSpPr/>
      </xdr:nvCxnSpPr>
      <xdr:spPr>
        <a:xfrm flipV="1">
          <a:off x="638175" y="6629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2139</xdr:row>
      <xdr:rowOff>247650</xdr:rowOff>
    </xdr:from>
    <xdr:to>
      <xdr:col>0</xdr:col>
      <xdr:colOff>428625</xdr:colOff>
      <xdr:row>2139</xdr:row>
      <xdr:rowOff>438151</xdr:rowOff>
    </xdr:to>
    <xdr:cxnSp macro="">
      <xdr:nvCxnSpPr>
        <xdr:cNvPr id="3400" name="Conector recto 3399"/>
        <xdr:cNvCxnSpPr/>
      </xdr:nvCxnSpPr>
      <xdr:spPr>
        <a:xfrm flipV="1">
          <a:off x="200025" y="68103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147917</xdr:colOff>
      <xdr:row>2141</xdr:row>
      <xdr:rowOff>274545</xdr:rowOff>
    </xdr:from>
    <xdr:to>
      <xdr:col>0</xdr:col>
      <xdr:colOff>1014692</xdr:colOff>
      <xdr:row>2141</xdr:row>
      <xdr:rowOff>274545</xdr:rowOff>
    </xdr:to>
    <xdr:cxnSp macro="">
      <xdr:nvCxnSpPr>
        <xdr:cNvPr id="3401" name="Conector recto 3400"/>
        <xdr:cNvCxnSpPr/>
      </xdr:nvCxnSpPr>
      <xdr:spPr>
        <a:xfrm>
          <a:off x="147917" y="12869957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2146</xdr:row>
      <xdr:rowOff>104775</xdr:rowOff>
    </xdr:from>
    <xdr:to>
      <xdr:col>0</xdr:col>
      <xdr:colOff>742950</xdr:colOff>
      <xdr:row>2146</xdr:row>
      <xdr:rowOff>476250</xdr:rowOff>
    </xdr:to>
    <xdr:cxnSp macro="">
      <xdr:nvCxnSpPr>
        <xdr:cNvPr id="3402" name="Conector recto 3401"/>
        <xdr:cNvCxnSpPr/>
      </xdr:nvCxnSpPr>
      <xdr:spPr>
        <a:xfrm flipV="1">
          <a:off x="5581650" y="866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2146</xdr:row>
      <xdr:rowOff>104775</xdr:rowOff>
    </xdr:from>
    <xdr:to>
      <xdr:col>0</xdr:col>
      <xdr:colOff>952500</xdr:colOff>
      <xdr:row>2146</xdr:row>
      <xdr:rowOff>104775</xdr:rowOff>
    </xdr:to>
    <xdr:cxnSp macro="">
      <xdr:nvCxnSpPr>
        <xdr:cNvPr id="3403" name="Conector recto 3402"/>
        <xdr:cNvCxnSpPr/>
      </xdr:nvCxnSpPr>
      <xdr:spPr>
        <a:xfrm>
          <a:off x="5962650" y="866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2146</xdr:row>
      <xdr:rowOff>476250</xdr:rowOff>
    </xdr:from>
    <xdr:to>
      <xdr:col>0</xdr:col>
      <xdr:colOff>361950</xdr:colOff>
      <xdr:row>2146</xdr:row>
      <xdr:rowOff>476250</xdr:rowOff>
    </xdr:to>
    <xdr:cxnSp macro="">
      <xdr:nvCxnSpPr>
        <xdr:cNvPr id="3404" name="Conector recto 3403"/>
        <xdr:cNvCxnSpPr/>
      </xdr:nvCxnSpPr>
      <xdr:spPr>
        <a:xfrm>
          <a:off x="5372100" y="1238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2147</xdr:row>
      <xdr:rowOff>114300</xdr:rowOff>
    </xdr:from>
    <xdr:to>
      <xdr:col>0</xdr:col>
      <xdr:colOff>742950</xdr:colOff>
      <xdr:row>2147</xdr:row>
      <xdr:rowOff>485775</xdr:rowOff>
    </xdr:to>
    <xdr:cxnSp macro="">
      <xdr:nvCxnSpPr>
        <xdr:cNvPr id="3405" name="Conector recto 3404"/>
        <xdr:cNvCxnSpPr/>
      </xdr:nvCxnSpPr>
      <xdr:spPr>
        <a:xfrm flipV="1">
          <a:off x="5581650" y="14478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2147</xdr:row>
      <xdr:rowOff>114300</xdr:rowOff>
    </xdr:from>
    <xdr:to>
      <xdr:col>0</xdr:col>
      <xdr:colOff>952500</xdr:colOff>
      <xdr:row>2147</xdr:row>
      <xdr:rowOff>114300</xdr:rowOff>
    </xdr:to>
    <xdr:cxnSp macro="">
      <xdr:nvCxnSpPr>
        <xdr:cNvPr id="3406" name="Conector recto 3405"/>
        <xdr:cNvCxnSpPr/>
      </xdr:nvCxnSpPr>
      <xdr:spPr>
        <a:xfrm>
          <a:off x="5962650" y="1447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2147</xdr:row>
      <xdr:rowOff>485775</xdr:rowOff>
    </xdr:from>
    <xdr:to>
      <xdr:col>0</xdr:col>
      <xdr:colOff>361950</xdr:colOff>
      <xdr:row>2147</xdr:row>
      <xdr:rowOff>485775</xdr:rowOff>
    </xdr:to>
    <xdr:cxnSp macro="">
      <xdr:nvCxnSpPr>
        <xdr:cNvPr id="3407" name="Conector recto 3406"/>
        <xdr:cNvCxnSpPr/>
      </xdr:nvCxnSpPr>
      <xdr:spPr>
        <a:xfrm>
          <a:off x="5372100" y="1819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2148</xdr:row>
      <xdr:rowOff>85725</xdr:rowOff>
    </xdr:from>
    <xdr:to>
      <xdr:col>0</xdr:col>
      <xdr:colOff>790575</xdr:colOff>
      <xdr:row>2148</xdr:row>
      <xdr:rowOff>457200</xdr:rowOff>
    </xdr:to>
    <xdr:cxnSp macro="">
      <xdr:nvCxnSpPr>
        <xdr:cNvPr id="3408" name="Conector recto 3407"/>
        <xdr:cNvCxnSpPr/>
      </xdr:nvCxnSpPr>
      <xdr:spPr>
        <a:xfrm flipV="1">
          <a:off x="5629275" y="2000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781050</xdr:colOff>
      <xdr:row>2148</xdr:row>
      <xdr:rowOff>85725</xdr:rowOff>
    </xdr:from>
    <xdr:to>
      <xdr:col>0</xdr:col>
      <xdr:colOff>1000125</xdr:colOff>
      <xdr:row>2148</xdr:row>
      <xdr:rowOff>85725</xdr:rowOff>
    </xdr:to>
    <xdr:cxnSp macro="">
      <xdr:nvCxnSpPr>
        <xdr:cNvPr id="3409" name="Conector recto 3408"/>
        <xdr:cNvCxnSpPr/>
      </xdr:nvCxnSpPr>
      <xdr:spPr>
        <a:xfrm>
          <a:off x="6010275" y="2000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2148</xdr:row>
      <xdr:rowOff>457200</xdr:rowOff>
    </xdr:from>
    <xdr:to>
      <xdr:col>0</xdr:col>
      <xdr:colOff>409575</xdr:colOff>
      <xdr:row>2148</xdr:row>
      <xdr:rowOff>457200</xdr:rowOff>
    </xdr:to>
    <xdr:cxnSp macro="">
      <xdr:nvCxnSpPr>
        <xdr:cNvPr id="3410" name="Conector recto 3409"/>
        <xdr:cNvCxnSpPr/>
      </xdr:nvCxnSpPr>
      <xdr:spPr>
        <a:xfrm>
          <a:off x="5419725" y="2371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2149</xdr:row>
      <xdr:rowOff>257175</xdr:rowOff>
    </xdr:from>
    <xdr:to>
      <xdr:col>0</xdr:col>
      <xdr:colOff>657225</xdr:colOff>
      <xdr:row>2149</xdr:row>
      <xdr:rowOff>257175</xdr:rowOff>
    </xdr:to>
    <xdr:cxnSp macro="">
      <xdr:nvCxnSpPr>
        <xdr:cNvPr id="3411" name="Conector recto 3410"/>
        <xdr:cNvCxnSpPr/>
      </xdr:nvCxnSpPr>
      <xdr:spPr>
        <a:xfrm>
          <a:off x="5667375" y="2752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2149</xdr:row>
      <xdr:rowOff>76200</xdr:rowOff>
    </xdr:from>
    <xdr:to>
      <xdr:col>0</xdr:col>
      <xdr:colOff>876300</xdr:colOff>
      <xdr:row>2149</xdr:row>
      <xdr:rowOff>266701</xdr:rowOff>
    </xdr:to>
    <xdr:cxnSp macro="">
      <xdr:nvCxnSpPr>
        <xdr:cNvPr id="3412" name="Conector recto 3411"/>
        <xdr:cNvCxnSpPr/>
      </xdr:nvCxnSpPr>
      <xdr:spPr>
        <a:xfrm flipV="1">
          <a:off x="5876925" y="25717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2149</xdr:row>
      <xdr:rowOff>257175</xdr:rowOff>
    </xdr:from>
    <xdr:to>
      <xdr:col>0</xdr:col>
      <xdr:colOff>438150</xdr:colOff>
      <xdr:row>2149</xdr:row>
      <xdr:rowOff>447676</xdr:rowOff>
    </xdr:to>
    <xdr:cxnSp macro="">
      <xdr:nvCxnSpPr>
        <xdr:cNvPr id="3413" name="Conector recto 3412"/>
        <xdr:cNvCxnSpPr/>
      </xdr:nvCxnSpPr>
      <xdr:spPr>
        <a:xfrm flipV="1">
          <a:off x="5438775" y="27527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2150</xdr:row>
      <xdr:rowOff>276225</xdr:rowOff>
    </xdr:from>
    <xdr:to>
      <xdr:col>0</xdr:col>
      <xdr:colOff>638175</xdr:colOff>
      <xdr:row>2150</xdr:row>
      <xdr:rowOff>276225</xdr:rowOff>
    </xdr:to>
    <xdr:cxnSp macro="">
      <xdr:nvCxnSpPr>
        <xdr:cNvPr id="3414" name="Conector recto 3413"/>
        <xdr:cNvCxnSpPr/>
      </xdr:nvCxnSpPr>
      <xdr:spPr>
        <a:xfrm>
          <a:off x="5648325" y="3343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2150</xdr:row>
      <xdr:rowOff>95250</xdr:rowOff>
    </xdr:from>
    <xdr:to>
      <xdr:col>0</xdr:col>
      <xdr:colOff>857250</xdr:colOff>
      <xdr:row>2150</xdr:row>
      <xdr:rowOff>285751</xdr:rowOff>
    </xdr:to>
    <xdr:cxnSp macro="">
      <xdr:nvCxnSpPr>
        <xdr:cNvPr id="3415" name="Conector recto 3414"/>
        <xdr:cNvCxnSpPr/>
      </xdr:nvCxnSpPr>
      <xdr:spPr>
        <a:xfrm flipV="1">
          <a:off x="5857875" y="3162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2150</xdr:row>
      <xdr:rowOff>276225</xdr:rowOff>
    </xdr:from>
    <xdr:to>
      <xdr:col>0</xdr:col>
      <xdr:colOff>419100</xdr:colOff>
      <xdr:row>2150</xdr:row>
      <xdr:rowOff>466726</xdr:rowOff>
    </xdr:to>
    <xdr:cxnSp macro="">
      <xdr:nvCxnSpPr>
        <xdr:cNvPr id="3416" name="Conector recto 3415"/>
        <xdr:cNvCxnSpPr/>
      </xdr:nvCxnSpPr>
      <xdr:spPr>
        <a:xfrm flipV="1">
          <a:off x="5419725" y="33432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2151</xdr:row>
      <xdr:rowOff>266700</xdr:rowOff>
    </xdr:from>
    <xdr:to>
      <xdr:col>0</xdr:col>
      <xdr:colOff>590550</xdr:colOff>
      <xdr:row>2151</xdr:row>
      <xdr:rowOff>266700</xdr:rowOff>
    </xdr:to>
    <xdr:cxnSp macro="">
      <xdr:nvCxnSpPr>
        <xdr:cNvPr id="3417" name="Conector recto 3416"/>
        <xdr:cNvCxnSpPr/>
      </xdr:nvCxnSpPr>
      <xdr:spPr>
        <a:xfrm>
          <a:off x="5600700" y="3924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2151</xdr:row>
      <xdr:rowOff>85725</xdr:rowOff>
    </xdr:from>
    <xdr:to>
      <xdr:col>0</xdr:col>
      <xdr:colOff>809625</xdr:colOff>
      <xdr:row>2151</xdr:row>
      <xdr:rowOff>276226</xdr:rowOff>
    </xdr:to>
    <xdr:cxnSp macro="">
      <xdr:nvCxnSpPr>
        <xdr:cNvPr id="3418" name="Conector recto 3417"/>
        <xdr:cNvCxnSpPr/>
      </xdr:nvCxnSpPr>
      <xdr:spPr>
        <a:xfrm flipV="1">
          <a:off x="5810250" y="37433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2151</xdr:row>
      <xdr:rowOff>266700</xdr:rowOff>
    </xdr:from>
    <xdr:to>
      <xdr:col>0</xdr:col>
      <xdr:colOff>371475</xdr:colOff>
      <xdr:row>2151</xdr:row>
      <xdr:rowOff>457201</xdr:rowOff>
    </xdr:to>
    <xdr:cxnSp macro="">
      <xdr:nvCxnSpPr>
        <xdr:cNvPr id="3419" name="Conector recto 3418"/>
        <xdr:cNvCxnSpPr/>
      </xdr:nvCxnSpPr>
      <xdr:spPr>
        <a:xfrm flipV="1">
          <a:off x="5372100" y="3924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2152</xdr:row>
      <xdr:rowOff>257175</xdr:rowOff>
    </xdr:from>
    <xdr:to>
      <xdr:col>0</xdr:col>
      <xdr:colOff>619125</xdr:colOff>
      <xdr:row>2152</xdr:row>
      <xdr:rowOff>257175</xdr:rowOff>
    </xdr:to>
    <xdr:cxnSp macro="">
      <xdr:nvCxnSpPr>
        <xdr:cNvPr id="3420" name="Conector recto 3419"/>
        <xdr:cNvCxnSpPr/>
      </xdr:nvCxnSpPr>
      <xdr:spPr>
        <a:xfrm>
          <a:off x="5629275" y="4495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2152</xdr:row>
      <xdr:rowOff>76200</xdr:rowOff>
    </xdr:from>
    <xdr:to>
      <xdr:col>0</xdr:col>
      <xdr:colOff>838200</xdr:colOff>
      <xdr:row>2152</xdr:row>
      <xdr:rowOff>266701</xdr:rowOff>
    </xdr:to>
    <xdr:cxnSp macro="">
      <xdr:nvCxnSpPr>
        <xdr:cNvPr id="3421" name="Conector recto 3420"/>
        <xdr:cNvCxnSpPr/>
      </xdr:nvCxnSpPr>
      <xdr:spPr>
        <a:xfrm flipV="1">
          <a:off x="5838825" y="43148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2152</xdr:row>
      <xdr:rowOff>257175</xdr:rowOff>
    </xdr:from>
    <xdr:to>
      <xdr:col>0</xdr:col>
      <xdr:colOff>400050</xdr:colOff>
      <xdr:row>2152</xdr:row>
      <xdr:rowOff>447676</xdr:rowOff>
    </xdr:to>
    <xdr:cxnSp macro="">
      <xdr:nvCxnSpPr>
        <xdr:cNvPr id="3422" name="Conector recto 3421"/>
        <xdr:cNvCxnSpPr/>
      </xdr:nvCxnSpPr>
      <xdr:spPr>
        <a:xfrm flipV="1">
          <a:off x="5400675" y="44958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514350</xdr:colOff>
      <xdr:row>2153</xdr:row>
      <xdr:rowOff>28575</xdr:rowOff>
    </xdr:from>
    <xdr:to>
      <xdr:col>0</xdr:col>
      <xdr:colOff>904875</xdr:colOff>
      <xdr:row>2153</xdr:row>
      <xdr:rowOff>400050</xdr:rowOff>
    </xdr:to>
    <xdr:cxnSp macro="">
      <xdr:nvCxnSpPr>
        <xdr:cNvPr id="3423" name="Conector recto 3422"/>
        <xdr:cNvCxnSpPr/>
      </xdr:nvCxnSpPr>
      <xdr:spPr>
        <a:xfrm flipV="1">
          <a:off x="5743575" y="4848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523875</xdr:colOff>
      <xdr:row>2153</xdr:row>
      <xdr:rowOff>400050</xdr:rowOff>
    </xdr:to>
    <xdr:cxnSp macro="">
      <xdr:nvCxnSpPr>
        <xdr:cNvPr id="3424" name="Conector recto 3423"/>
        <xdr:cNvCxnSpPr/>
      </xdr:nvCxnSpPr>
      <xdr:spPr>
        <a:xfrm>
          <a:off x="5534025" y="5219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304800</xdr:colOff>
      <xdr:row>2153</xdr:row>
      <xdr:rowOff>561975</xdr:rowOff>
    </xdr:to>
    <xdr:cxnSp macro="">
      <xdr:nvCxnSpPr>
        <xdr:cNvPr id="3425" name="Conector recto 3424"/>
        <xdr:cNvCxnSpPr/>
      </xdr:nvCxnSpPr>
      <xdr:spPr>
        <a:xfrm>
          <a:off x="5534025" y="521970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2154</xdr:row>
      <xdr:rowOff>180975</xdr:rowOff>
    </xdr:from>
    <xdr:to>
      <xdr:col>0</xdr:col>
      <xdr:colOff>1028700</xdr:colOff>
      <xdr:row>2154</xdr:row>
      <xdr:rowOff>180975</xdr:rowOff>
    </xdr:to>
    <xdr:cxnSp macro="">
      <xdr:nvCxnSpPr>
        <xdr:cNvPr id="3426" name="Conector recto 3425"/>
        <xdr:cNvCxnSpPr/>
      </xdr:nvCxnSpPr>
      <xdr:spPr>
        <a:xfrm>
          <a:off x="5686425" y="5581650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2154</xdr:row>
      <xdr:rowOff>180975</xdr:rowOff>
    </xdr:from>
    <xdr:to>
      <xdr:col>0</xdr:col>
      <xdr:colOff>457200</xdr:colOff>
      <xdr:row>2154</xdr:row>
      <xdr:rowOff>457200</xdr:rowOff>
    </xdr:to>
    <xdr:cxnSp macro="">
      <xdr:nvCxnSpPr>
        <xdr:cNvPr id="3427" name="Conector recto 3426"/>
        <xdr:cNvCxnSpPr/>
      </xdr:nvCxnSpPr>
      <xdr:spPr>
        <a:xfrm flipV="1">
          <a:off x="5343525" y="55816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2155</xdr:row>
      <xdr:rowOff>57151</xdr:rowOff>
    </xdr:from>
    <xdr:to>
      <xdr:col>0</xdr:col>
      <xdr:colOff>1019175</xdr:colOff>
      <xdr:row>2155</xdr:row>
      <xdr:rowOff>428625</xdr:rowOff>
    </xdr:to>
    <xdr:cxnSp macro="">
      <xdr:nvCxnSpPr>
        <xdr:cNvPr id="3428" name="Conector recto 3427"/>
        <xdr:cNvCxnSpPr/>
      </xdr:nvCxnSpPr>
      <xdr:spPr>
        <a:xfrm flipV="1">
          <a:off x="5857875" y="6038851"/>
          <a:ext cx="390525" cy="371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2155</xdr:row>
      <xdr:rowOff>428625</xdr:rowOff>
    </xdr:from>
    <xdr:to>
      <xdr:col>0</xdr:col>
      <xdr:colOff>638175</xdr:colOff>
      <xdr:row>2155</xdr:row>
      <xdr:rowOff>428625</xdr:rowOff>
    </xdr:to>
    <xdr:cxnSp macro="">
      <xdr:nvCxnSpPr>
        <xdr:cNvPr id="3429" name="Conector recto 3428"/>
        <xdr:cNvCxnSpPr/>
      </xdr:nvCxnSpPr>
      <xdr:spPr>
        <a:xfrm>
          <a:off x="5334000" y="6410325"/>
          <a:ext cx="5334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2156</xdr:row>
      <xdr:rowOff>266700</xdr:rowOff>
    </xdr:from>
    <xdr:to>
      <xdr:col>0</xdr:col>
      <xdr:colOff>695325</xdr:colOff>
      <xdr:row>2156</xdr:row>
      <xdr:rowOff>266700</xdr:rowOff>
    </xdr:to>
    <xdr:cxnSp macro="">
      <xdr:nvCxnSpPr>
        <xdr:cNvPr id="3430" name="Conector recto 3429"/>
        <xdr:cNvCxnSpPr/>
      </xdr:nvCxnSpPr>
      <xdr:spPr>
        <a:xfrm>
          <a:off x="5705475" y="68294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2156</xdr:row>
      <xdr:rowOff>85725</xdr:rowOff>
    </xdr:from>
    <xdr:to>
      <xdr:col>0</xdr:col>
      <xdr:colOff>914400</xdr:colOff>
      <xdr:row>2156</xdr:row>
      <xdr:rowOff>276226</xdr:rowOff>
    </xdr:to>
    <xdr:cxnSp macro="">
      <xdr:nvCxnSpPr>
        <xdr:cNvPr id="3431" name="Conector recto 3430"/>
        <xdr:cNvCxnSpPr/>
      </xdr:nvCxnSpPr>
      <xdr:spPr>
        <a:xfrm flipV="1">
          <a:off x="5915025" y="6648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</xdr:colOff>
      <xdr:row>2156</xdr:row>
      <xdr:rowOff>266700</xdr:rowOff>
    </xdr:from>
    <xdr:to>
      <xdr:col>0</xdr:col>
      <xdr:colOff>476250</xdr:colOff>
      <xdr:row>2156</xdr:row>
      <xdr:rowOff>457201</xdr:rowOff>
    </xdr:to>
    <xdr:cxnSp macro="">
      <xdr:nvCxnSpPr>
        <xdr:cNvPr id="3432" name="Conector recto 3431"/>
        <xdr:cNvCxnSpPr/>
      </xdr:nvCxnSpPr>
      <xdr:spPr>
        <a:xfrm flipV="1">
          <a:off x="5476875" y="6829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2157</xdr:row>
      <xdr:rowOff>276225</xdr:rowOff>
    </xdr:from>
    <xdr:to>
      <xdr:col>0</xdr:col>
      <xdr:colOff>647700</xdr:colOff>
      <xdr:row>2157</xdr:row>
      <xdr:rowOff>276225</xdr:rowOff>
    </xdr:to>
    <xdr:cxnSp macro="">
      <xdr:nvCxnSpPr>
        <xdr:cNvPr id="3433" name="Conector recto 3432"/>
        <xdr:cNvCxnSpPr/>
      </xdr:nvCxnSpPr>
      <xdr:spPr>
        <a:xfrm>
          <a:off x="5657850" y="74295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2157</xdr:row>
      <xdr:rowOff>95250</xdr:rowOff>
    </xdr:from>
    <xdr:to>
      <xdr:col>0</xdr:col>
      <xdr:colOff>866775</xdr:colOff>
      <xdr:row>2157</xdr:row>
      <xdr:rowOff>285751</xdr:rowOff>
    </xdr:to>
    <xdr:cxnSp macro="">
      <xdr:nvCxnSpPr>
        <xdr:cNvPr id="3434" name="Conector recto 3433"/>
        <xdr:cNvCxnSpPr/>
      </xdr:nvCxnSpPr>
      <xdr:spPr>
        <a:xfrm flipV="1">
          <a:off x="5867400" y="72485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2157</xdr:row>
      <xdr:rowOff>276225</xdr:rowOff>
    </xdr:from>
    <xdr:to>
      <xdr:col>0</xdr:col>
      <xdr:colOff>428625</xdr:colOff>
      <xdr:row>2157</xdr:row>
      <xdr:rowOff>466726</xdr:rowOff>
    </xdr:to>
    <xdr:cxnSp macro="">
      <xdr:nvCxnSpPr>
        <xdr:cNvPr id="3435" name="Conector recto 3434"/>
        <xdr:cNvCxnSpPr/>
      </xdr:nvCxnSpPr>
      <xdr:spPr>
        <a:xfrm flipV="1">
          <a:off x="5429250" y="74295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2158</xdr:row>
      <xdr:rowOff>85725</xdr:rowOff>
    </xdr:from>
    <xdr:to>
      <xdr:col>0</xdr:col>
      <xdr:colOff>1028700</xdr:colOff>
      <xdr:row>2158</xdr:row>
      <xdr:rowOff>361950</xdr:rowOff>
    </xdr:to>
    <xdr:cxnSp macro="">
      <xdr:nvCxnSpPr>
        <xdr:cNvPr id="3436" name="Conector recto 3435"/>
        <xdr:cNvCxnSpPr/>
      </xdr:nvCxnSpPr>
      <xdr:spPr>
        <a:xfrm flipV="1">
          <a:off x="5915025" y="78295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2158</xdr:row>
      <xdr:rowOff>361950</xdr:rowOff>
    </xdr:from>
    <xdr:to>
      <xdr:col>0</xdr:col>
      <xdr:colOff>695325</xdr:colOff>
      <xdr:row>2158</xdr:row>
      <xdr:rowOff>361950</xdr:rowOff>
    </xdr:to>
    <xdr:cxnSp macro="">
      <xdr:nvCxnSpPr>
        <xdr:cNvPr id="3437" name="Conector recto 3436"/>
        <xdr:cNvCxnSpPr/>
      </xdr:nvCxnSpPr>
      <xdr:spPr>
        <a:xfrm>
          <a:off x="5353050" y="8105775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2159</xdr:row>
      <xdr:rowOff>104775</xdr:rowOff>
    </xdr:from>
    <xdr:to>
      <xdr:col>0</xdr:col>
      <xdr:colOff>857250</xdr:colOff>
      <xdr:row>2159</xdr:row>
      <xdr:rowOff>495301</xdr:rowOff>
    </xdr:to>
    <xdr:cxnSp macro="">
      <xdr:nvCxnSpPr>
        <xdr:cNvPr id="3438" name="Conector recto 3437"/>
        <xdr:cNvCxnSpPr/>
      </xdr:nvCxnSpPr>
      <xdr:spPr>
        <a:xfrm flipV="1">
          <a:off x="5486400" y="8410575"/>
          <a:ext cx="600075" cy="39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866775</xdr:colOff>
      <xdr:row>2159</xdr:row>
      <xdr:rowOff>104775</xdr:rowOff>
    </xdr:from>
    <xdr:to>
      <xdr:col>0</xdr:col>
      <xdr:colOff>866775</xdr:colOff>
      <xdr:row>2159</xdr:row>
      <xdr:rowOff>266700</xdr:rowOff>
    </xdr:to>
    <xdr:cxnSp macro="">
      <xdr:nvCxnSpPr>
        <xdr:cNvPr id="3439" name="Conector recto 3438"/>
        <xdr:cNvCxnSpPr/>
      </xdr:nvCxnSpPr>
      <xdr:spPr>
        <a:xfrm>
          <a:off x="6096000" y="8410575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2160</xdr:row>
      <xdr:rowOff>274544</xdr:rowOff>
    </xdr:from>
    <xdr:to>
      <xdr:col>0</xdr:col>
      <xdr:colOff>971550</xdr:colOff>
      <xdr:row>2160</xdr:row>
      <xdr:rowOff>274544</xdr:rowOff>
    </xdr:to>
    <xdr:cxnSp macro="">
      <xdr:nvCxnSpPr>
        <xdr:cNvPr id="3440" name="Conector recto 3439"/>
        <xdr:cNvCxnSpPr/>
      </xdr:nvCxnSpPr>
      <xdr:spPr>
        <a:xfrm>
          <a:off x="104775" y="22462191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72</xdr:row>
      <xdr:rowOff>38100</xdr:rowOff>
    </xdr:from>
    <xdr:to>
      <xdr:col>1</xdr:col>
      <xdr:colOff>1266825</xdr:colOff>
      <xdr:row>72</xdr:row>
      <xdr:rowOff>133350</xdr:rowOff>
    </xdr:to>
    <xdr:grpSp>
      <xdr:nvGrpSpPr>
        <xdr:cNvPr id="3002" name="Grupo 329"/>
        <xdr:cNvGrpSpPr>
          <a:grpSpLocks/>
        </xdr:cNvGrpSpPr>
      </xdr:nvGrpSpPr>
      <xdr:grpSpPr bwMode="auto">
        <a:xfrm>
          <a:off x="1292225" y="19596100"/>
          <a:ext cx="1085850" cy="95250"/>
          <a:chOff x="10648950" y="5810250"/>
          <a:chExt cx="1085850" cy="95250"/>
        </a:xfrm>
      </xdr:grpSpPr>
      <xdr:cxnSp macro="">
        <xdr:nvCxnSpPr>
          <xdr:cNvPr id="3329" name="Conector recto 43"/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0" name="Conector recto 13"/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1033096</xdr:colOff>
      <xdr:row>3</xdr:row>
      <xdr:rowOff>227135</xdr:rowOff>
    </xdr:to>
    <xdr:sp macro="" textlink="">
      <xdr:nvSpPr>
        <xdr:cNvPr id="3511" name="CuadroTexto 3510">
          <a:hlinkClick xmlns:r="http://schemas.openxmlformats.org/officeDocument/2006/relationships" r:id="rId1"/>
        </xdr:cNvPr>
        <xdr:cNvSpPr txBox="1"/>
      </xdr:nvSpPr>
      <xdr:spPr>
        <a:xfrm>
          <a:off x="17605375" y="7620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49" name="Rectángulo 15"/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22</xdr:row>
      <xdr:rowOff>152400</xdr:rowOff>
    </xdr:from>
    <xdr:to>
      <xdr:col>1</xdr:col>
      <xdr:colOff>381000</xdr:colOff>
      <xdr:row>24</xdr:row>
      <xdr:rowOff>152400</xdr:rowOff>
    </xdr:to>
    <xdr:cxnSp macro="">
      <xdr:nvCxnSpPr>
        <xdr:cNvPr id="17750" name="Conector recto 16"/>
        <xdr:cNvCxnSpPr>
          <a:cxnSpLocks noChangeShapeType="1"/>
        </xdr:cNvCxnSpPr>
      </xdr:nvCxnSpPr>
      <xdr:spPr bwMode="auto">
        <a:xfrm>
          <a:off x="1143000" y="38576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51" name="Conector recto 17"/>
        <xdr:cNvCxnSpPr>
          <a:cxnSpLocks noChangeShapeType="1"/>
          <a:stCxn id="17749" idx="1"/>
          <a:endCxn id="17749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</xdr:row>
      <xdr:rowOff>0</xdr:rowOff>
    </xdr:from>
    <xdr:to>
      <xdr:col>1</xdr:col>
      <xdr:colOff>647700</xdr:colOff>
      <xdr:row>9</xdr:row>
      <xdr:rowOff>0</xdr:rowOff>
    </xdr:to>
    <xdr:sp macro="" textlink="">
      <xdr:nvSpPr>
        <xdr:cNvPr id="17752" name="Rectángulo 18"/>
        <xdr:cNvSpPr>
          <a:spLocks noChangeArrowheads="1"/>
        </xdr:cNvSpPr>
      </xdr:nvSpPr>
      <xdr:spPr bwMode="auto">
        <a:xfrm>
          <a:off x="923925" y="1362075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53" name="Rectángulo 18"/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10</xdr:row>
      <xdr:rowOff>152400</xdr:rowOff>
    </xdr:from>
    <xdr:to>
      <xdr:col>1</xdr:col>
      <xdr:colOff>381000</xdr:colOff>
      <xdr:row>12</xdr:row>
      <xdr:rowOff>152400</xdr:rowOff>
    </xdr:to>
    <xdr:cxnSp macro="">
      <xdr:nvCxnSpPr>
        <xdr:cNvPr id="17754" name="Conector recto 19"/>
        <xdr:cNvCxnSpPr>
          <a:cxnSpLocks noChangeShapeType="1"/>
        </xdr:cNvCxnSpPr>
      </xdr:nvCxnSpPr>
      <xdr:spPr bwMode="auto">
        <a:xfrm>
          <a:off x="1143000" y="19145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55" name="Conector recto 20"/>
        <xdr:cNvCxnSpPr>
          <a:cxnSpLocks noChangeShapeType="1"/>
          <a:stCxn id="17753" idx="1"/>
          <a:endCxn id="1775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56" name="Rectángulo 18"/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14</xdr:row>
      <xdr:rowOff>152400</xdr:rowOff>
    </xdr:from>
    <xdr:to>
      <xdr:col>1</xdr:col>
      <xdr:colOff>381000</xdr:colOff>
      <xdr:row>16</xdr:row>
      <xdr:rowOff>152400</xdr:rowOff>
    </xdr:to>
    <xdr:cxnSp macro="">
      <xdr:nvCxnSpPr>
        <xdr:cNvPr id="17757" name="Conector recto 19"/>
        <xdr:cNvCxnSpPr>
          <a:cxnSpLocks noChangeShapeType="1"/>
        </xdr:cNvCxnSpPr>
      </xdr:nvCxnSpPr>
      <xdr:spPr bwMode="auto">
        <a:xfrm>
          <a:off x="1143000" y="25622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58" name="Conector recto 20"/>
        <xdr:cNvCxnSpPr>
          <a:cxnSpLocks noChangeShapeType="1"/>
          <a:stCxn id="17756" idx="1"/>
          <a:endCxn id="1775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59" name="Rectángulo 18"/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60" name="Conector recto 20"/>
        <xdr:cNvCxnSpPr>
          <a:cxnSpLocks noChangeShapeType="1"/>
          <a:stCxn id="17759" idx="1"/>
          <a:endCxn id="1775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7</xdr:row>
      <xdr:rowOff>0</xdr:rowOff>
    </xdr:from>
    <xdr:to>
      <xdr:col>1</xdr:col>
      <xdr:colOff>409575</xdr:colOff>
      <xdr:row>9</xdr:row>
      <xdr:rowOff>0</xdr:rowOff>
    </xdr:to>
    <xdr:cxnSp macro="">
      <xdr:nvCxnSpPr>
        <xdr:cNvPr id="17761" name="Conector recto 2"/>
        <xdr:cNvCxnSpPr>
          <a:cxnSpLocks noChangeShapeType="1"/>
          <a:stCxn id="17752" idx="0"/>
          <a:endCxn id="17752" idx="2"/>
        </xdr:cNvCxnSpPr>
      </xdr:nvCxnSpPr>
      <xdr:spPr bwMode="auto">
        <a:xfrm>
          <a:off x="1171575" y="136207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8</xdr:row>
      <xdr:rowOff>0</xdr:rowOff>
    </xdr:from>
    <xdr:to>
      <xdr:col>1</xdr:col>
      <xdr:colOff>647700</xdr:colOff>
      <xdr:row>8</xdr:row>
      <xdr:rowOff>0</xdr:rowOff>
    </xdr:to>
    <xdr:cxnSp macro="">
      <xdr:nvCxnSpPr>
        <xdr:cNvPr id="17762" name="Conector recto 5"/>
        <xdr:cNvCxnSpPr>
          <a:cxnSpLocks noChangeShapeType="1"/>
          <a:stCxn id="17752" idx="1"/>
          <a:endCxn id="17752" idx="3"/>
        </xdr:cNvCxnSpPr>
      </xdr:nvCxnSpPr>
      <xdr:spPr bwMode="auto">
        <a:xfrm>
          <a:off x="923925" y="152400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63" name="Rectángulo 18"/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11</xdr:row>
      <xdr:rowOff>0</xdr:rowOff>
    </xdr:from>
    <xdr:to>
      <xdr:col>1</xdr:col>
      <xdr:colOff>409575</xdr:colOff>
      <xdr:row>13</xdr:row>
      <xdr:rowOff>0</xdr:rowOff>
    </xdr:to>
    <xdr:cxnSp macro="">
      <xdr:nvCxnSpPr>
        <xdr:cNvPr id="17764" name="Conector recto 25"/>
        <xdr:cNvCxnSpPr>
          <a:cxnSpLocks noChangeShapeType="1"/>
          <a:stCxn id="17763" idx="0"/>
          <a:endCxn id="17763" idx="2"/>
        </xdr:cNvCxnSpPr>
      </xdr:nvCxnSpPr>
      <xdr:spPr bwMode="auto">
        <a:xfrm>
          <a:off x="1171575" y="19240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65" name="Conector recto 26"/>
        <xdr:cNvCxnSpPr>
          <a:cxnSpLocks noChangeShapeType="1"/>
          <a:stCxn id="17763" idx="1"/>
          <a:endCxn id="1776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66" name="Rectángulo 18"/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15</xdr:row>
      <xdr:rowOff>0</xdr:rowOff>
    </xdr:from>
    <xdr:to>
      <xdr:col>1</xdr:col>
      <xdr:colOff>409575</xdr:colOff>
      <xdr:row>17</xdr:row>
      <xdr:rowOff>0</xdr:rowOff>
    </xdr:to>
    <xdr:cxnSp macro="">
      <xdr:nvCxnSpPr>
        <xdr:cNvPr id="17767" name="Conector recto 28"/>
        <xdr:cNvCxnSpPr>
          <a:cxnSpLocks noChangeShapeType="1"/>
          <a:stCxn id="17766" idx="0"/>
          <a:endCxn id="17766" idx="2"/>
        </xdr:cNvCxnSpPr>
      </xdr:nvCxnSpPr>
      <xdr:spPr bwMode="auto">
        <a:xfrm>
          <a:off x="1171575" y="25717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68" name="Conector recto 29"/>
        <xdr:cNvCxnSpPr>
          <a:cxnSpLocks noChangeShapeType="1"/>
          <a:stCxn id="17766" idx="1"/>
          <a:endCxn id="1776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69" name="Rectángulo 18"/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19</xdr:row>
      <xdr:rowOff>0</xdr:rowOff>
    </xdr:from>
    <xdr:to>
      <xdr:col>1</xdr:col>
      <xdr:colOff>409575</xdr:colOff>
      <xdr:row>21</xdr:row>
      <xdr:rowOff>0</xdr:rowOff>
    </xdr:to>
    <xdr:cxnSp macro="">
      <xdr:nvCxnSpPr>
        <xdr:cNvPr id="17770" name="Conector recto 31"/>
        <xdr:cNvCxnSpPr>
          <a:cxnSpLocks noChangeShapeType="1"/>
          <a:stCxn id="17769" idx="0"/>
          <a:endCxn id="17769" idx="2"/>
        </xdr:cNvCxnSpPr>
      </xdr:nvCxnSpPr>
      <xdr:spPr bwMode="auto">
        <a:xfrm>
          <a:off x="1171575" y="32194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71" name="Conector recto 32"/>
        <xdr:cNvCxnSpPr>
          <a:cxnSpLocks noChangeShapeType="1"/>
          <a:stCxn id="17769" idx="1"/>
          <a:endCxn id="1776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72" name="Rectángulo 18"/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23</xdr:row>
      <xdr:rowOff>0</xdr:rowOff>
    </xdr:from>
    <xdr:to>
      <xdr:col>1</xdr:col>
      <xdr:colOff>409575</xdr:colOff>
      <xdr:row>25</xdr:row>
      <xdr:rowOff>0</xdr:rowOff>
    </xdr:to>
    <xdr:cxnSp macro="">
      <xdr:nvCxnSpPr>
        <xdr:cNvPr id="17773" name="Conector recto 34"/>
        <xdr:cNvCxnSpPr>
          <a:cxnSpLocks noChangeShapeType="1"/>
          <a:stCxn id="17772" idx="0"/>
          <a:endCxn id="17772" idx="2"/>
        </xdr:cNvCxnSpPr>
      </xdr:nvCxnSpPr>
      <xdr:spPr bwMode="auto">
        <a:xfrm>
          <a:off x="1171575" y="38671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74" name="Conector recto 35"/>
        <xdr:cNvCxnSpPr>
          <a:cxnSpLocks noChangeShapeType="1"/>
          <a:stCxn id="17772" idx="1"/>
          <a:endCxn id="17772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5" name="Rectángulo 15"/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26</xdr:row>
      <xdr:rowOff>152400</xdr:rowOff>
    </xdr:from>
    <xdr:to>
      <xdr:col>1</xdr:col>
      <xdr:colOff>381000</xdr:colOff>
      <xdr:row>28</xdr:row>
      <xdr:rowOff>152400</xdr:rowOff>
    </xdr:to>
    <xdr:cxnSp macro="">
      <xdr:nvCxnSpPr>
        <xdr:cNvPr id="17776" name="Conector recto 16"/>
        <xdr:cNvCxnSpPr>
          <a:cxnSpLocks noChangeShapeType="1"/>
        </xdr:cNvCxnSpPr>
      </xdr:nvCxnSpPr>
      <xdr:spPr bwMode="auto">
        <a:xfrm>
          <a:off x="1143000" y="45053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77" name="Conector recto 17"/>
        <xdr:cNvCxnSpPr>
          <a:cxnSpLocks noChangeShapeType="1"/>
          <a:stCxn id="17775" idx="1"/>
          <a:endCxn id="17775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8" name="Rectángulo 18"/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27</xdr:row>
      <xdr:rowOff>0</xdr:rowOff>
    </xdr:from>
    <xdr:to>
      <xdr:col>1</xdr:col>
      <xdr:colOff>409575</xdr:colOff>
      <xdr:row>29</xdr:row>
      <xdr:rowOff>0</xdr:rowOff>
    </xdr:to>
    <xdr:cxnSp macro="">
      <xdr:nvCxnSpPr>
        <xdr:cNvPr id="17779" name="Conector recto 43"/>
        <xdr:cNvCxnSpPr>
          <a:cxnSpLocks noChangeShapeType="1"/>
          <a:stCxn id="17778" idx="0"/>
          <a:endCxn id="17778" idx="2"/>
        </xdr:cNvCxnSpPr>
      </xdr:nvCxnSpPr>
      <xdr:spPr bwMode="auto">
        <a:xfrm>
          <a:off x="1171575" y="45148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80" name="Conector recto 44"/>
        <xdr:cNvCxnSpPr>
          <a:cxnSpLocks noChangeShapeType="1"/>
          <a:stCxn id="17778" idx="1"/>
          <a:endCxn id="17778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17817" name="Line 1"/>
        <xdr:cNvSpPr>
          <a:spLocks noChangeShapeType="1"/>
        </xdr:cNvSpPr>
      </xdr:nvSpPr>
      <xdr:spPr bwMode="auto">
        <a:xfrm>
          <a:off x="5905500" y="53340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17818" name="Line 3"/>
        <xdr:cNvSpPr>
          <a:spLocks noChangeShapeType="1"/>
        </xdr:cNvSpPr>
      </xdr:nvSpPr>
      <xdr:spPr bwMode="auto">
        <a:xfrm>
          <a:off x="6096000" y="70485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36" name="Rectángulo 15"/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53</xdr:row>
      <xdr:rowOff>152400</xdr:rowOff>
    </xdr:from>
    <xdr:to>
      <xdr:col>1</xdr:col>
      <xdr:colOff>381000</xdr:colOff>
      <xdr:row>55</xdr:row>
      <xdr:rowOff>152400</xdr:rowOff>
    </xdr:to>
    <xdr:cxnSp macro="">
      <xdr:nvCxnSpPr>
        <xdr:cNvPr id="37" name="Conector recto 16"/>
        <xdr:cNvCxnSpPr>
          <a:cxnSpLocks noChangeShapeType="1"/>
        </xdr:cNvCxnSpPr>
      </xdr:nvCxnSpPr>
      <xdr:spPr bwMode="auto">
        <a:xfrm>
          <a:off x="1143000" y="4733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38" name="Conector recto 17"/>
        <xdr:cNvCxnSpPr>
          <a:cxnSpLocks noChangeShapeType="1"/>
          <a:stCxn id="36" idx="1"/>
          <a:endCxn id="36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38</xdr:row>
      <xdr:rowOff>0</xdr:rowOff>
    </xdr:from>
    <xdr:to>
      <xdr:col>1</xdr:col>
      <xdr:colOff>647700</xdr:colOff>
      <xdr:row>40</xdr:row>
      <xdr:rowOff>0</xdr:rowOff>
    </xdr:to>
    <xdr:sp macro="" textlink="">
      <xdr:nvSpPr>
        <xdr:cNvPr id="39" name="Rectángulo 18"/>
        <xdr:cNvSpPr>
          <a:spLocks noChangeArrowheads="1"/>
        </xdr:cNvSpPr>
      </xdr:nvSpPr>
      <xdr:spPr bwMode="auto">
        <a:xfrm>
          <a:off x="923925" y="172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40" name="Rectángulo 18"/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41</xdr:row>
      <xdr:rowOff>152400</xdr:rowOff>
    </xdr:from>
    <xdr:to>
      <xdr:col>1</xdr:col>
      <xdr:colOff>381000</xdr:colOff>
      <xdr:row>43</xdr:row>
      <xdr:rowOff>152400</xdr:rowOff>
    </xdr:to>
    <xdr:cxnSp macro="">
      <xdr:nvCxnSpPr>
        <xdr:cNvPr id="41" name="Conector recto 19"/>
        <xdr:cNvCxnSpPr>
          <a:cxnSpLocks noChangeShapeType="1"/>
        </xdr:cNvCxnSpPr>
      </xdr:nvCxnSpPr>
      <xdr:spPr bwMode="auto">
        <a:xfrm>
          <a:off x="1143000" y="2447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42" name="Conector recto 20"/>
        <xdr:cNvCxnSpPr>
          <a:cxnSpLocks noChangeShapeType="1"/>
          <a:stCxn id="40" idx="1"/>
          <a:endCxn id="4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43" name="Rectángulo 18"/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45</xdr:row>
      <xdr:rowOff>152400</xdr:rowOff>
    </xdr:from>
    <xdr:to>
      <xdr:col>1</xdr:col>
      <xdr:colOff>381000</xdr:colOff>
      <xdr:row>47</xdr:row>
      <xdr:rowOff>152400</xdr:rowOff>
    </xdr:to>
    <xdr:cxnSp macro="">
      <xdr:nvCxnSpPr>
        <xdr:cNvPr id="44" name="Conector recto 19"/>
        <xdr:cNvCxnSpPr>
          <a:cxnSpLocks noChangeShapeType="1"/>
        </xdr:cNvCxnSpPr>
      </xdr:nvCxnSpPr>
      <xdr:spPr bwMode="auto">
        <a:xfrm>
          <a:off x="1143000" y="3209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45" name="Conector recto 20"/>
        <xdr:cNvCxnSpPr>
          <a:cxnSpLocks noChangeShapeType="1"/>
          <a:stCxn id="43" idx="1"/>
          <a:endCxn id="4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46" name="Rectángulo 18"/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47" name="Conector recto 20"/>
        <xdr:cNvCxnSpPr>
          <a:cxnSpLocks noChangeShapeType="1"/>
          <a:stCxn id="46" idx="1"/>
          <a:endCxn id="4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38</xdr:row>
      <xdr:rowOff>0</xdr:rowOff>
    </xdr:from>
    <xdr:to>
      <xdr:col>1</xdr:col>
      <xdr:colOff>409575</xdr:colOff>
      <xdr:row>40</xdr:row>
      <xdr:rowOff>0</xdr:rowOff>
    </xdr:to>
    <xdr:cxnSp macro="">
      <xdr:nvCxnSpPr>
        <xdr:cNvPr id="48" name="Conector recto 2"/>
        <xdr:cNvCxnSpPr>
          <a:cxnSpLocks noChangeShapeType="1"/>
          <a:stCxn id="39" idx="0"/>
          <a:endCxn id="39" idx="2"/>
        </xdr:cNvCxnSpPr>
      </xdr:nvCxnSpPr>
      <xdr:spPr bwMode="auto">
        <a:xfrm>
          <a:off x="1171575" y="172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39</xdr:row>
      <xdr:rowOff>0</xdr:rowOff>
    </xdr:from>
    <xdr:to>
      <xdr:col>1</xdr:col>
      <xdr:colOff>647700</xdr:colOff>
      <xdr:row>39</xdr:row>
      <xdr:rowOff>0</xdr:rowOff>
    </xdr:to>
    <xdr:cxnSp macro="">
      <xdr:nvCxnSpPr>
        <xdr:cNvPr id="49" name="Conector recto 5"/>
        <xdr:cNvCxnSpPr>
          <a:cxnSpLocks noChangeShapeType="1"/>
          <a:stCxn id="39" idx="1"/>
          <a:endCxn id="39" idx="3"/>
        </xdr:cNvCxnSpPr>
      </xdr:nvCxnSpPr>
      <xdr:spPr bwMode="auto">
        <a:xfrm>
          <a:off x="923925" y="191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50" name="Rectángulo 18"/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42</xdr:row>
      <xdr:rowOff>0</xdr:rowOff>
    </xdr:from>
    <xdr:to>
      <xdr:col>1</xdr:col>
      <xdr:colOff>409575</xdr:colOff>
      <xdr:row>44</xdr:row>
      <xdr:rowOff>0</xdr:rowOff>
    </xdr:to>
    <xdr:cxnSp macro="">
      <xdr:nvCxnSpPr>
        <xdr:cNvPr id="51" name="Conector recto 25"/>
        <xdr:cNvCxnSpPr>
          <a:cxnSpLocks noChangeShapeType="1"/>
          <a:stCxn id="50" idx="0"/>
          <a:endCxn id="50" idx="2"/>
        </xdr:cNvCxnSpPr>
      </xdr:nvCxnSpPr>
      <xdr:spPr bwMode="auto">
        <a:xfrm>
          <a:off x="1171575" y="2486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52" name="Conector recto 26"/>
        <xdr:cNvCxnSpPr>
          <a:cxnSpLocks noChangeShapeType="1"/>
          <a:stCxn id="50" idx="1"/>
          <a:endCxn id="5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53" name="Rectángulo 52"/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46</xdr:row>
      <xdr:rowOff>0</xdr:rowOff>
    </xdr:from>
    <xdr:to>
      <xdr:col>1</xdr:col>
      <xdr:colOff>409575</xdr:colOff>
      <xdr:row>48</xdr:row>
      <xdr:rowOff>0</xdr:rowOff>
    </xdr:to>
    <xdr:cxnSp macro="">
      <xdr:nvCxnSpPr>
        <xdr:cNvPr id="54" name="Conector recto 28"/>
        <xdr:cNvCxnSpPr>
          <a:cxnSpLocks noChangeShapeType="1"/>
          <a:stCxn id="53" idx="0"/>
          <a:endCxn id="53" idx="2"/>
        </xdr:cNvCxnSpPr>
      </xdr:nvCxnSpPr>
      <xdr:spPr bwMode="auto">
        <a:xfrm>
          <a:off x="1171575" y="3248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55" name="Conector recto 29"/>
        <xdr:cNvCxnSpPr>
          <a:cxnSpLocks noChangeShapeType="1"/>
          <a:stCxn id="53" idx="1"/>
          <a:endCxn id="5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56" name="Rectángulo 18"/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50</xdr:row>
      <xdr:rowOff>0</xdr:rowOff>
    </xdr:from>
    <xdr:to>
      <xdr:col>1</xdr:col>
      <xdr:colOff>409575</xdr:colOff>
      <xdr:row>52</xdr:row>
      <xdr:rowOff>0</xdr:rowOff>
    </xdr:to>
    <xdr:cxnSp macro="">
      <xdr:nvCxnSpPr>
        <xdr:cNvPr id="57" name="Conector recto 31"/>
        <xdr:cNvCxnSpPr>
          <a:cxnSpLocks noChangeShapeType="1"/>
          <a:stCxn id="56" idx="0"/>
          <a:endCxn id="56" idx="2"/>
        </xdr:cNvCxnSpPr>
      </xdr:nvCxnSpPr>
      <xdr:spPr bwMode="auto">
        <a:xfrm>
          <a:off x="1171575" y="4010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58" name="Conector recto 32"/>
        <xdr:cNvCxnSpPr>
          <a:cxnSpLocks noChangeShapeType="1"/>
          <a:stCxn id="56" idx="1"/>
          <a:endCxn id="5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59" name="Rectángulo 18"/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54</xdr:row>
      <xdr:rowOff>0</xdr:rowOff>
    </xdr:from>
    <xdr:to>
      <xdr:col>1</xdr:col>
      <xdr:colOff>409575</xdr:colOff>
      <xdr:row>56</xdr:row>
      <xdr:rowOff>0</xdr:rowOff>
    </xdr:to>
    <xdr:cxnSp macro="">
      <xdr:nvCxnSpPr>
        <xdr:cNvPr id="60" name="Conector recto 34"/>
        <xdr:cNvCxnSpPr>
          <a:cxnSpLocks noChangeShapeType="1"/>
          <a:stCxn id="59" idx="0"/>
          <a:endCxn id="59" idx="2"/>
        </xdr:cNvCxnSpPr>
      </xdr:nvCxnSpPr>
      <xdr:spPr bwMode="auto">
        <a:xfrm>
          <a:off x="1171575" y="4772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61" name="Conector recto 35"/>
        <xdr:cNvCxnSpPr>
          <a:cxnSpLocks noChangeShapeType="1"/>
          <a:stCxn id="59" idx="1"/>
          <a:endCxn id="59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2" name="Rectángulo 15"/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57</xdr:row>
      <xdr:rowOff>152400</xdr:rowOff>
    </xdr:from>
    <xdr:to>
      <xdr:col>1</xdr:col>
      <xdr:colOff>381000</xdr:colOff>
      <xdr:row>59</xdr:row>
      <xdr:rowOff>152400</xdr:rowOff>
    </xdr:to>
    <xdr:cxnSp macro="">
      <xdr:nvCxnSpPr>
        <xdr:cNvPr id="63" name="Conector recto 16"/>
        <xdr:cNvCxnSpPr>
          <a:cxnSpLocks noChangeShapeType="1"/>
        </xdr:cNvCxnSpPr>
      </xdr:nvCxnSpPr>
      <xdr:spPr bwMode="auto">
        <a:xfrm>
          <a:off x="1143000" y="5495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4" name="Conector recto 17"/>
        <xdr:cNvCxnSpPr>
          <a:cxnSpLocks noChangeShapeType="1"/>
          <a:stCxn id="62" idx="1"/>
          <a:endCxn id="62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5" name="Rectángulo 18"/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58</xdr:row>
      <xdr:rowOff>0</xdr:rowOff>
    </xdr:from>
    <xdr:to>
      <xdr:col>1</xdr:col>
      <xdr:colOff>409575</xdr:colOff>
      <xdr:row>60</xdr:row>
      <xdr:rowOff>0</xdr:rowOff>
    </xdr:to>
    <xdr:cxnSp macro="">
      <xdr:nvCxnSpPr>
        <xdr:cNvPr id="66" name="Conector recto 43"/>
        <xdr:cNvCxnSpPr>
          <a:cxnSpLocks noChangeShapeType="1"/>
          <a:stCxn id="65" idx="0"/>
          <a:endCxn id="65" idx="2"/>
        </xdr:cNvCxnSpPr>
      </xdr:nvCxnSpPr>
      <xdr:spPr bwMode="auto">
        <a:xfrm>
          <a:off x="1171575" y="553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7" name="Conector recto 44"/>
        <xdr:cNvCxnSpPr>
          <a:cxnSpLocks noChangeShapeType="1"/>
          <a:stCxn id="65" idx="1"/>
          <a:endCxn id="65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114300</xdr:rowOff>
    </xdr:from>
    <xdr:to>
      <xdr:col>1</xdr:col>
      <xdr:colOff>647700</xdr:colOff>
      <xdr:row>61</xdr:row>
      <xdr:rowOff>495300</xdr:rowOff>
    </xdr:to>
    <xdr:sp macro="" textlink="">
      <xdr:nvSpPr>
        <xdr:cNvPr id="68" name="Rectángulo 18"/>
        <xdr:cNvSpPr>
          <a:spLocks noChangeArrowheads="1"/>
        </xdr:cNvSpPr>
      </xdr:nvSpPr>
      <xdr:spPr bwMode="auto">
        <a:xfrm>
          <a:off x="923925" y="62198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61</xdr:row>
      <xdr:rowOff>114300</xdr:rowOff>
    </xdr:from>
    <xdr:to>
      <xdr:col>1</xdr:col>
      <xdr:colOff>409575</xdr:colOff>
      <xdr:row>61</xdr:row>
      <xdr:rowOff>495300</xdr:rowOff>
    </xdr:to>
    <xdr:cxnSp macro="">
      <xdr:nvCxnSpPr>
        <xdr:cNvPr id="69" name="Conector recto 43"/>
        <xdr:cNvCxnSpPr>
          <a:cxnSpLocks noChangeShapeType="1"/>
          <a:stCxn id="68" idx="0"/>
          <a:endCxn id="68" idx="2"/>
        </xdr:cNvCxnSpPr>
      </xdr:nvCxnSpPr>
      <xdr:spPr bwMode="auto">
        <a:xfrm>
          <a:off x="1171575" y="62198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314325</xdr:rowOff>
    </xdr:from>
    <xdr:to>
      <xdr:col>1</xdr:col>
      <xdr:colOff>647700</xdr:colOff>
      <xdr:row>61</xdr:row>
      <xdr:rowOff>314325</xdr:rowOff>
    </xdr:to>
    <xdr:cxnSp macro="">
      <xdr:nvCxnSpPr>
        <xdr:cNvPr id="70" name="Conector recto 44"/>
        <xdr:cNvCxnSpPr>
          <a:cxnSpLocks noChangeShapeType="1"/>
        </xdr:cNvCxnSpPr>
      </xdr:nvCxnSpPr>
      <xdr:spPr bwMode="auto">
        <a:xfrm>
          <a:off x="923925" y="641985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114300</xdr:rowOff>
    </xdr:from>
    <xdr:to>
      <xdr:col>1</xdr:col>
      <xdr:colOff>647700</xdr:colOff>
      <xdr:row>62</xdr:row>
      <xdr:rowOff>495300</xdr:rowOff>
    </xdr:to>
    <xdr:sp macro="" textlink="">
      <xdr:nvSpPr>
        <xdr:cNvPr id="71" name="Rectángulo 18"/>
        <xdr:cNvSpPr>
          <a:spLocks noChangeArrowheads="1"/>
        </xdr:cNvSpPr>
      </xdr:nvSpPr>
      <xdr:spPr bwMode="auto">
        <a:xfrm>
          <a:off x="923925" y="6858000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62</xdr:row>
      <xdr:rowOff>114300</xdr:rowOff>
    </xdr:from>
    <xdr:to>
      <xdr:col>1</xdr:col>
      <xdr:colOff>409575</xdr:colOff>
      <xdr:row>62</xdr:row>
      <xdr:rowOff>495300</xdr:rowOff>
    </xdr:to>
    <xdr:cxnSp macro="">
      <xdr:nvCxnSpPr>
        <xdr:cNvPr id="72" name="Conector recto 43"/>
        <xdr:cNvCxnSpPr>
          <a:cxnSpLocks noChangeShapeType="1"/>
          <a:stCxn id="71" idx="0"/>
          <a:endCxn id="71" idx="2"/>
        </xdr:cNvCxnSpPr>
      </xdr:nvCxnSpPr>
      <xdr:spPr bwMode="auto">
        <a:xfrm>
          <a:off x="1171575" y="6858000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314325</xdr:rowOff>
    </xdr:from>
    <xdr:to>
      <xdr:col>1</xdr:col>
      <xdr:colOff>647700</xdr:colOff>
      <xdr:row>62</xdr:row>
      <xdr:rowOff>314325</xdr:rowOff>
    </xdr:to>
    <xdr:cxnSp macro="">
      <xdr:nvCxnSpPr>
        <xdr:cNvPr id="73" name="Conector recto 44"/>
        <xdr:cNvCxnSpPr>
          <a:cxnSpLocks noChangeShapeType="1"/>
        </xdr:cNvCxnSpPr>
      </xdr:nvCxnSpPr>
      <xdr:spPr bwMode="auto">
        <a:xfrm>
          <a:off x="923925" y="70580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238125</xdr:colOff>
      <xdr:row>1</xdr:row>
      <xdr:rowOff>161925</xdr:rowOff>
    </xdr:from>
    <xdr:to>
      <xdr:col>12</xdr:col>
      <xdr:colOff>509221</xdr:colOff>
      <xdr:row>3</xdr:row>
      <xdr:rowOff>46160</xdr:rowOff>
    </xdr:to>
    <xdr:sp macro="" textlink="">
      <xdr:nvSpPr>
        <xdr:cNvPr id="74" name="CuadroTexto 73">
          <a:hlinkClick xmlns:r="http://schemas.openxmlformats.org/officeDocument/2006/relationships" r:id="rId1"/>
        </xdr:cNvPr>
        <xdr:cNvSpPr txBox="1"/>
      </xdr:nvSpPr>
      <xdr:spPr>
        <a:xfrm>
          <a:off x="8677275" y="33337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449036</xdr:colOff>
      <xdr:row>0</xdr:row>
      <xdr:rowOff>136071</xdr:rowOff>
    </xdr:from>
    <xdr:to>
      <xdr:col>12</xdr:col>
      <xdr:colOff>720132</xdr:colOff>
      <xdr:row>2</xdr:row>
      <xdr:rowOff>36635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8708572" y="136071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3" name="Line 1"/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23028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443717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1722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70253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262902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09632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88732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460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8458200" y="161925"/>
          <a:ext cx="3133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88487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18872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47161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0</xdr:rowOff>
    </xdr:from>
    <xdr:to>
      <xdr:col>10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0" y="34290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333375</xdr:colOff>
      <xdr:row>6</xdr:row>
      <xdr:rowOff>28575</xdr:rowOff>
    </xdr:from>
    <xdr:to>
      <xdr:col>1</xdr:col>
      <xdr:colOff>704850</xdr:colOff>
      <xdr:row>6</xdr:row>
      <xdr:rowOff>304800</xdr:rowOff>
    </xdr:to>
    <xdr:grpSp>
      <xdr:nvGrpSpPr>
        <xdr:cNvPr id="12" name="Grupo 11"/>
        <xdr:cNvGrpSpPr/>
      </xdr:nvGrpSpPr>
      <xdr:grpSpPr>
        <a:xfrm>
          <a:off x="1204232" y="1062718"/>
          <a:ext cx="371475" cy="276225"/>
          <a:chOff x="1096347" y="990794"/>
          <a:chExt cx="371475" cy="276225"/>
        </a:xfrm>
      </xdr:grpSpPr>
      <xdr:sp macro="" textlink="">
        <xdr:nvSpPr>
          <xdr:cNvPr id="4" name="Elipse 3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8" name="Rectángulo 7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" name="Conector recto 9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" name="Conector recto 10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7</xdr:row>
      <xdr:rowOff>38878</xdr:rowOff>
    </xdr:from>
    <xdr:to>
      <xdr:col>1</xdr:col>
      <xdr:colOff>728954</xdr:colOff>
      <xdr:row>7</xdr:row>
      <xdr:rowOff>345039</xdr:rowOff>
    </xdr:to>
    <xdr:grpSp>
      <xdr:nvGrpSpPr>
        <xdr:cNvPr id="29" name="Grupo 28"/>
        <xdr:cNvGrpSpPr/>
      </xdr:nvGrpSpPr>
      <xdr:grpSpPr>
        <a:xfrm>
          <a:off x="1177017" y="1426807"/>
          <a:ext cx="422794" cy="306161"/>
          <a:chOff x="1088571" y="1666875"/>
          <a:chExt cx="422794" cy="306161"/>
        </a:xfrm>
      </xdr:grpSpPr>
      <xdr:sp macro="" textlink="">
        <xdr:nvSpPr>
          <xdr:cNvPr id="21" name="Elipse 20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" name="Rectángulo 21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" name="Conector recto 22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" name="Conector recto 23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5" name="Rectángulo 24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</xdr:row>
      <xdr:rowOff>34018</xdr:rowOff>
    </xdr:from>
    <xdr:to>
      <xdr:col>1</xdr:col>
      <xdr:colOff>733815</xdr:colOff>
      <xdr:row>9</xdr:row>
      <xdr:rowOff>340179</xdr:rowOff>
    </xdr:to>
    <xdr:grpSp>
      <xdr:nvGrpSpPr>
        <xdr:cNvPr id="36" name="Grupo 35"/>
        <xdr:cNvGrpSpPr/>
      </xdr:nvGrpSpPr>
      <xdr:grpSpPr>
        <a:xfrm>
          <a:off x="1181878" y="2183947"/>
          <a:ext cx="422794" cy="306161"/>
          <a:chOff x="1073993" y="2060510"/>
          <a:chExt cx="422794" cy="306161"/>
        </a:xfrm>
      </xdr:grpSpPr>
      <xdr:sp macro="" textlink="">
        <xdr:nvSpPr>
          <xdr:cNvPr id="31" name="Elipse 30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" name="Rectángulo 31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" name="Conector recto 32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" name="Conector recto 33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5" name="Rectángulo 34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10</xdr:row>
      <xdr:rowOff>53457</xdr:rowOff>
    </xdr:from>
    <xdr:to>
      <xdr:col>1</xdr:col>
      <xdr:colOff>716515</xdr:colOff>
      <xdr:row>10</xdr:row>
      <xdr:rowOff>329682</xdr:rowOff>
    </xdr:to>
    <xdr:grpSp>
      <xdr:nvGrpSpPr>
        <xdr:cNvPr id="43" name="Grupo 42"/>
        <xdr:cNvGrpSpPr/>
      </xdr:nvGrpSpPr>
      <xdr:grpSpPr>
        <a:xfrm>
          <a:off x="1210238" y="2557171"/>
          <a:ext cx="377134" cy="276225"/>
          <a:chOff x="1102353" y="2434707"/>
          <a:chExt cx="377134" cy="276225"/>
        </a:xfrm>
      </xdr:grpSpPr>
      <xdr:sp macro="" textlink="">
        <xdr:nvSpPr>
          <xdr:cNvPr id="38" name="Elipse 37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" name="Rectángulo 38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0" name="Conector recto 39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" name="Conector recto 40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11</xdr:row>
      <xdr:rowOff>38878</xdr:rowOff>
    </xdr:from>
    <xdr:to>
      <xdr:col>1</xdr:col>
      <xdr:colOff>753252</xdr:colOff>
      <xdr:row>11</xdr:row>
      <xdr:rowOff>315880</xdr:rowOff>
    </xdr:to>
    <xdr:grpSp>
      <xdr:nvGrpSpPr>
        <xdr:cNvPr id="54" name="Grupo 53"/>
        <xdr:cNvGrpSpPr/>
      </xdr:nvGrpSpPr>
      <xdr:grpSpPr>
        <a:xfrm>
          <a:off x="1211036" y="2909985"/>
          <a:ext cx="413073" cy="277002"/>
          <a:chOff x="1103151" y="3144222"/>
          <a:chExt cx="413073" cy="277002"/>
        </a:xfrm>
      </xdr:grpSpPr>
      <xdr:sp macro="" textlink="">
        <xdr:nvSpPr>
          <xdr:cNvPr id="51" name="Rectángulo 50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2" name="Rectángulo 51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3" name="Rectángulo 52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</xdr:row>
      <xdr:rowOff>92333</xdr:rowOff>
    </xdr:from>
    <xdr:to>
      <xdr:col>1</xdr:col>
      <xdr:colOff>869885</xdr:colOff>
      <xdr:row>12</xdr:row>
      <xdr:rowOff>267283</xdr:rowOff>
    </xdr:to>
    <xdr:grpSp>
      <xdr:nvGrpSpPr>
        <xdr:cNvPr id="57" name="Grupo 56"/>
        <xdr:cNvGrpSpPr/>
      </xdr:nvGrpSpPr>
      <xdr:grpSpPr>
        <a:xfrm>
          <a:off x="1186737" y="3317226"/>
          <a:ext cx="554005" cy="174950"/>
          <a:chOff x="1078852" y="3552435"/>
          <a:chExt cx="554005" cy="174950"/>
        </a:xfrm>
      </xdr:grpSpPr>
      <xdr:sp macro="" textlink="">
        <xdr:nvSpPr>
          <xdr:cNvPr id="55" name="Rectángulo 54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6" name="Triángulo rectángulo 55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8</xdr:row>
      <xdr:rowOff>58317</xdr:rowOff>
    </xdr:from>
    <xdr:to>
      <xdr:col>1</xdr:col>
      <xdr:colOff>719234</xdr:colOff>
      <xdr:row>8</xdr:row>
      <xdr:rowOff>301302</xdr:rowOff>
    </xdr:to>
    <xdr:sp macro="" textlink="">
      <xdr:nvSpPr>
        <xdr:cNvPr id="84" name="Rectángulo 83"/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306160</xdr:colOff>
      <xdr:row>17</xdr:row>
      <xdr:rowOff>38878</xdr:rowOff>
    </xdr:from>
    <xdr:to>
      <xdr:col>1</xdr:col>
      <xdr:colOff>728954</xdr:colOff>
      <xdr:row>17</xdr:row>
      <xdr:rowOff>345039</xdr:rowOff>
    </xdr:to>
    <xdr:grpSp>
      <xdr:nvGrpSpPr>
        <xdr:cNvPr id="127" name="Grupo 126"/>
        <xdr:cNvGrpSpPr/>
      </xdr:nvGrpSpPr>
      <xdr:grpSpPr>
        <a:xfrm>
          <a:off x="1177017" y="5032699"/>
          <a:ext cx="422794" cy="306161"/>
          <a:chOff x="1088571" y="1666875"/>
          <a:chExt cx="422794" cy="306161"/>
        </a:xfrm>
      </xdr:grpSpPr>
      <xdr:sp macro="" textlink="">
        <xdr:nvSpPr>
          <xdr:cNvPr id="128" name="Elipse 127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29" name="Rectángulo 128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0" name="Conector recto 129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1" name="Conector recto 130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2" name="Rectángulo 131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18</xdr:row>
      <xdr:rowOff>34018</xdr:rowOff>
    </xdr:from>
    <xdr:to>
      <xdr:col>1</xdr:col>
      <xdr:colOff>733815</xdr:colOff>
      <xdr:row>18</xdr:row>
      <xdr:rowOff>359617</xdr:rowOff>
    </xdr:to>
    <xdr:grpSp>
      <xdr:nvGrpSpPr>
        <xdr:cNvPr id="133" name="Grupo 132"/>
        <xdr:cNvGrpSpPr/>
      </xdr:nvGrpSpPr>
      <xdr:grpSpPr>
        <a:xfrm>
          <a:off x="1181878" y="5395232"/>
          <a:ext cx="422794" cy="325599"/>
          <a:chOff x="1073993" y="2060510"/>
          <a:chExt cx="422794" cy="306161"/>
        </a:xfrm>
      </xdr:grpSpPr>
      <xdr:sp macro="" textlink="">
        <xdr:nvSpPr>
          <xdr:cNvPr id="134" name="Elipse 133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5" name="Rectángulo 134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6" name="Conector recto 135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8" name="Rectángulo 137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20</xdr:row>
      <xdr:rowOff>53457</xdr:rowOff>
    </xdr:from>
    <xdr:to>
      <xdr:col>1</xdr:col>
      <xdr:colOff>716515</xdr:colOff>
      <xdr:row>20</xdr:row>
      <xdr:rowOff>329682</xdr:rowOff>
    </xdr:to>
    <xdr:grpSp>
      <xdr:nvGrpSpPr>
        <xdr:cNvPr id="139" name="Grupo 138"/>
        <xdr:cNvGrpSpPr/>
      </xdr:nvGrpSpPr>
      <xdr:grpSpPr>
        <a:xfrm>
          <a:off x="1210238" y="6203886"/>
          <a:ext cx="377134" cy="276225"/>
          <a:chOff x="1102353" y="2434707"/>
          <a:chExt cx="377134" cy="276225"/>
        </a:xfrm>
      </xdr:grpSpPr>
      <xdr:sp macro="" textlink="">
        <xdr:nvSpPr>
          <xdr:cNvPr id="140" name="Elipse 139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" name="Rectángulo 140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2" name="Conector recto 141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" name="Conector recto 142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21</xdr:row>
      <xdr:rowOff>38878</xdr:rowOff>
    </xdr:from>
    <xdr:to>
      <xdr:col>1</xdr:col>
      <xdr:colOff>753252</xdr:colOff>
      <xdr:row>21</xdr:row>
      <xdr:rowOff>315880</xdr:rowOff>
    </xdr:to>
    <xdr:grpSp>
      <xdr:nvGrpSpPr>
        <xdr:cNvPr id="144" name="Grupo 143"/>
        <xdr:cNvGrpSpPr/>
      </xdr:nvGrpSpPr>
      <xdr:grpSpPr>
        <a:xfrm>
          <a:off x="1211036" y="6556699"/>
          <a:ext cx="413073" cy="277002"/>
          <a:chOff x="1103151" y="3144222"/>
          <a:chExt cx="413073" cy="277002"/>
        </a:xfrm>
      </xdr:grpSpPr>
      <xdr:sp macro="" textlink="">
        <xdr:nvSpPr>
          <xdr:cNvPr id="145" name="Rectángulo 144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6" name="Rectángulo 145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7" name="Rectángulo 146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22</xdr:row>
      <xdr:rowOff>92333</xdr:rowOff>
    </xdr:from>
    <xdr:to>
      <xdr:col>1</xdr:col>
      <xdr:colOff>869885</xdr:colOff>
      <xdr:row>22</xdr:row>
      <xdr:rowOff>267283</xdr:rowOff>
    </xdr:to>
    <xdr:grpSp>
      <xdr:nvGrpSpPr>
        <xdr:cNvPr id="148" name="Grupo 147"/>
        <xdr:cNvGrpSpPr/>
      </xdr:nvGrpSpPr>
      <xdr:grpSpPr>
        <a:xfrm>
          <a:off x="1186737" y="6963940"/>
          <a:ext cx="554005" cy="174950"/>
          <a:chOff x="1078852" y="3552435"/>
          <a:chExt cx="554005" cy="174950"/>
        </a:xfrm>
      </xdr:grpSpPr>
      <xdr:sp macro="" textlink="">
        <xdr:nvSpPr>
          <xdr:cNvPr id="149" name="Rectángulo 148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0" name="Triángulo rectángulo 149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19</xdr:row>
      <xdr:rowOff>43738</xdr:rowOff>
    </xdr:from>
    <xdr:to>
      <xdr:col>1</xdr:col>
      <xdr:colOff>746470</xdr:colOff>
      <xdr:row>19</xdr:row>
      <xdr:rowOff>319963</xdr:rowOff>
    </xdr:to>
    <xdr:grpSp>
      <xdr:nvGrpSpPr>
        <xdr:cNvPr id="159" name="Grupo 158"/>
        <xdr:cNvGrpSpPr/>
      </xdr:nvGrpSpPr>
      <xdr:grpSpPr>
        <a:xfrm>
          <a:off x="1240193" y="5799559"/>
          <a:ext cx="377134" cy="276225"/>
          <a:chOff x="1127449" y="2799184"/>
          <a:chExt cx="377134" cy="276225"/>
        </a:xfrm>
      </xdr:grpSpPr>
      <xdr:sp macro="" textlink="">
        <xdr:nvSpPr>
          <xdr:cNvPr id="160" name="Elipse 159"/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61" name="Conector recto 160"/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" name="Conector recto 161"/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63" name="Acorde 162"/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27</xdr:row>
      <xdr:rowOff>28575</xdr:rowOff>
    </xdr:from>
    <xdr:to>
      <xdr:col>1</xdr:col>
      <xdr:colOff>704850</xdr:colOff>
      <xdr:row>27</xdr:row>
      <xdr:rowOff>304800</xdr:rowOff>
    </xdr:to>
    <xdr:grpSp>
      <xdr:nvGrpSpPr>
        <xdr:cNvPr id="225" name="Grupo 224"/>
        <xdr:cNvGrpSpPr/>
      </xdr:nvGrpSpPr>
      <xdr:grpSpPr>
        <a:xfrm>
          <a:off x="1204232" y="8737146"/>
          <a:ext cx="371475" cy="276225"/>
          <a:chOff x="1096347" y="990794"/>
          <a:chExt cx="371475" cy="276225"/>
        </a:xfrm>
      </xdr:grpSpPr>
      <xdr:sp macro="" textlink="">
        <xdr:nvSpPr>
          <xdr:cNvPr id="226" name="Elipse 225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7" name="Rectángulo 226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28" name="Conector recto 227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" name="Conector recto 228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28</xdr:row>
      <xdr:rowOff>38878</xdr:rowOff>
    </xdr:from>
    <xdr:to>
      <xdr:col>1</xdr:col>
      <xdr:colOff>728954</xdr:colOff>
      <xdr:row>28</xdr:row>
      <xdr:rowOff>345039</xdr:rowOff>
    </xdr:to>
    <xdr:grpSp>
      <xdr:nvGrpSpPr>
        <xdr:cNvPr id="230" name="Grupo 229"/>
        <xdr:cNvGrpSpPr/>
      </xdr:nvGrpSpPr>
      <xdr:grpSpPr>
        <a:xfrm>
          <a:off x="1177017" y="9114842"/>
          <a:ext cx="422794" cy="306161"/>
          <a:chOff x="1088571" y="1666875"/>
          <a:chExt cx="422794" cy="306161"/>
        </a:xfrm>
      </xdr:grpSpPr>
      <xdr:sp macro="" textlink="">
        <xdr:nvSpPr>
          <xdr:cNvPr id="231" name="Elipse 230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2" name="Rectángulo 231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3" name="Conector recto 232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" name="Conector recto 233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35" name="Rectángulo 234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31</xdr:row>
      <xdr:rowOff>34018</xdr:rowOff>
    </xdr:from>
    <xdr:to>
      <xdr:col>1</xdr:col>
      <xdr:colOff>733815</xdr:colOff>
      <xdr:row>31</xdr:row>
      <xdr:rowOff>340179</xdr:rowOff>
    </xdr:to>
    <xdr:grpSp>
      <xdr:nvGrpSpPr>
        <xdr:cNvPr id="236" name="Grupo 235"/>
        <xdr:cNvGrpSpPr/>
      </xdr:nvGrpSpPr>
      <xdr:grpSpPr>
        <a:xfrm>
          <a:off x="1181878" y="10239375"/>
          <a:ext cx="422794" cy="306161"/>
          <a:chOff x="1073993" y="2060510"/>
          <a:chExt cx="422794" cy="306161"/>
        </a:xfrm>
      </xdr:grpSpPr>
      <xdr:sp macro="" textlink="">
        <xdr:nvSpPr>
          <xdr:cNvPr id="237" name="Elipse 236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8" name="Rectángulo 237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9" name="Conector recto 238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" name="Conector recto 239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41" name="Rectángulo 240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32</xdr:row>
      <xdr:rowOff>53457</xdr:rowOff>
    </xdr:from>
    <xdr:to>
      <xdr:col>1</xdr:col>
      <xdr:colOff>716515</xdr:colOff>
      <xdr:row>32</xdr:row>
      <xdr:rowOff>329682</xdr:rowOff>
    </xdr:to>
    <xdr:grpSp>
      <xdr:nvGrpSpPr>
        <xdr:cNvPr id="242" name="Grupo 241"/>
        <xdr:cNvGrpSpPr/>
      </xdr:nvGrpSpPr>
      <xdr:grpSpPr>
        <a:xfrm>
          <a:off x="1210238" y="10639814"/>
          <a:ext cx="377134" cy="276225"/>
          <a:chOff x="1102353" y="2434707"/>
          <a:chExt cx="377134" cy="276225"/>
        </a:xfrm>
      </xdr:grpSpPr>
      <xdr:sp macro="" textlink="">
        <xdr:nvSpPr>
          <xdr:cNvPr id="243" name="Elipse 242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4" name="Rectángulo 243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45" name="Conector recto 244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" name="Conector recto 245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33</xdr:row>
      <xdr:rowOff>38878</xdr:rowOff>
    </xdr:from>
    <xdr:to>
      <xdr:col>1</xdr:col>
      <xdr:colOff>753252</xdr:colOff>
      <xdr:row>33</xdr:row>
      <xdr:rowOff>315880</xdr:rowOff>
    </xdr:to>
    <xdr:grpSp>
      <xdr:nvGrpSpPr>
        <xdr:cNvPr id="247" name="Grupo 246"/>
        <xdr:cNvGrpSpPr/>
      </xdr:nvGrpSpPr>
      <xdr:grpSpPr>
        <a:xfrm>
          <a:off x="1211036" y="11006235"/>
          <a:ext cx="413073" cy="277002"/>
          <a:chOff x="1103151" y="3144222"/>
          <a:chExt cx="413073" cy="277002"/>
        </a:xfrm>
      </xdr:grpSpPr>
      <xdr:sp macro="" textlink="">
        <xdr:nvSpPr>
          <xdr:cNvPr id="248" name="Rectángulo 247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9" name="Rectángulo 248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0" name="Rectángulo 249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34</xdr:row>
      <xdr:rowOff>92333</xdr:rowOff>
    </xdr:from>
    <xdr:to>
      <xdr:col>1</xdr:col>
      <xdr:colOff>869885</xdr:colOff>
      <xdr:row>34</xdr:row>
      <xdr:rowOff>267283</xdr:rowOff>
    </xdr:to>
    <xdr:grpSp>
      <xdr:nvGrpSpPr>
        <xdr:cNvPr id="251" name="Grupo 250"/>
        <xdr:cNvGrpSpPr/>
      </xdr:nvGrpSpPr>
      <xdr:grpSpPr>
        <a:xfrm>
          <a:off x="1186737" y="11495119"/>
          <a:ext cx="554005" cy="174950"/>
          <a:chOff x="1078852" y="3552435"/>
          <a:chExt cx="554005" cy="174950"/>
        </a:xfrm>
      </xdr:grpSpPr>
      <xdr:sp macro="" textlink="">
        <xdr:nvSpPr>
          <xdr:cNvPr id="252" name="Rectángulo 251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3" name="Triángulo rectángulo 252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30</xdr:row>
      <xdr:rowOff>58317</xdr:rowOff>
    </xdr:from>
    <xdr:to>
      <xdr:col>1</xdr:col>
      <xdr:colOff>719234</xdr:colOff>
      <xdr:row>30</xdr:row>
      <xdr:rowOff>301302</xdr:rowOff>
    </xdr:to>
    <xdr:sp macro="" textlink="">
      <xdr:nvSpPr>
        <xdr:cNvPr id="254" name="Rectángulo 253"/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29</xdr:row>
      <xdr:rowOff>43738</xdr:rowOff>
    </xdr:from>
    <xdr:to>
      <xdr:col>1</xdr:col>
      <xdr:colOff>746470</xdr:colOff>
      <xdr:row>29</xdr:row>
      <xdr:rowOff>319963</xdr:rowOff>
    </xdr:to>
    <xdr:grpSp>
      <xdr:nvGrpSpPr>
        <xdr:cNvPr id="274" name="Grupo 273"/>
        <xdr:cNvGrpSpPr/>
      </xdr:nvGrpSpPr>
      <xdr:grpSpPr>
        <a:xfrm>
          <a:off x="1240193" y="9514309"/>
          <a:ext cx="377134" cy="276225"/>
          <a:chOff x="1127449" y="2799184"/>
          <a:chExt cx="377134" cy="276225"/>
        </a:xfrm>
      </xdr:grpSpPr>
      <xdr:sp macro="" textlink="">
        <xdr:nvSpPr>
          <xdr:cNvPr id="275" name="Elipse 274"/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76" name="Conector recto 275"/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7" name="Conector recto 276"/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78" name="Acorde 277"/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37</xdr:row>
      <xdr:rowOff>28575</xdr:rowOff>
    </xdr:from>
    <xdr:to>
      <xdr:col>1</xdr:col>
      <xdr:colOff>704850</xdr:colOff>
      <xdr:row>37</xdr:row>
      <xdr:rowOff>304800</xdr:rowOff>
    </xdr:to>
    <xdr:grpSp>
      <xdr:nvGrpSpPr>
        <xdr:cNvPr id="315" name="Grupo 314"/>
        <xdr:cNvGrpSpPr/>
      </xdr:nvGrpSpPr>
      <xdr:grpSpPr>
        <a:xfrm>
          <a:off x="1204232" y="12628789"/>
          <a:ext cx="371475" cy="276225"/>
          <a:chOff x="1096347" y="990794"/>
          <a:chExt cx="371475" cy="276225"/>
        </a:xfrm>
      </xdr:grpSpPr>
      <xdr:sp macro="" textlink="">
        <xdr:nvSpPr>
          <xdr:cNvPr id="316" name="Elipse 315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7" name="Rectángulo 316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8" name="Conector recto 317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9" name="Conector recto 318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38</xdr:row>
      <xdr:rowOff>38878</xdr:rowOff>
    </xdr:from>
    <xdr:to>
      <xdr:col>1</xdr:col>
      <xdr:colOff>728954</xdr:colOff>
      <xdr:row>38</xdr:row>
      <xdr:rowOff>345039</xdr:rowOff>
    </xdr:to>
    <xdr:grpSp>
      <xdr:nvGrpSpPr>
        <xdr:cNvPr id="320" name="Grupo 319"/>
        <xdr:cNvGrpSpPr/>
      </xdr:nvGrpSpPr>
      <xdr:grpSpPr>
        <a:xfrm>
          <a:off x="1177017" y="13006485"/>
          <a:ext cx="422794" cy="306161"/>
          <a:chOff x="1088571" y="1666875"/>
          <a:chExt cx="422794" cy="306161"/>
        </a:xfrm>
      </xdr:grpSpPr>
      <xdr:sp macro="" textlink="">
        <xdr:nvSpPr>
          <xdr:cNvPr id="321" name="Elipse 320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2" name="Rectángulo 321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3" name="Conector recto 322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323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25" name="Rectángulo 324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40</xdr:row>
      <xdr:rowOff>34018</xdr:rowOff>
    </xdr:from>
    <xdr:to>
      <xdr:col>1</xdr:col>
      <xdr:colOff>733815</xdr:colOff>
      <xdr:row>40</xdr:row>
      <xdr:rowOff>340179</xdr:rowOff>
    </xdr:to>
    <xdr:grpSp>
      <xdr:nvGrpSpPr>
        <xdr:cNvPr id="326" name="Grupo 325"/>
        <xdr:cNvGrpSpPr/>
      </xdr:nvGrpSpPr>
      <xdr:grpSpPr>
        <a:xfrm>
          <a:off x="1181878" y="13736411"/>
          <a:ext cx="422794" cy="306161"/>
          <a:chOff x="1073993" y="2060510"/>
          <a:chExt cx="422794" cy="306161"/>
        </a:xfrm>
      </xdr:grpSpPr>
      <xdr:sp macro="" textlink="">
        <xdr:nvSpPr>
          <xdr:cNvPr id="327" name="Elipse 326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8" name="Rectángulo 327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9" name="Conector recto 328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329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31" name="Rectángulo 330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41</xdr:row>
      <xdr:rowOff>53457</xdr:rowOff>
    </xdr:from>
    <xdr:to>
      <xdr:col>1</xdr:col>
      <xdr:colOff>716515</xdr:colOff>
      <xdr:row>41</xdr:row>
      <xdr:rowOff>329682</xdr:rowOff>
    </xdr:to>
    <xdr:grpSp>
      <xdr:nvGrpSpPr>
        <xdr:cNvPr id="332" name="Grupo 331"/>
        <xdr:cNvGrpSpPr/>
      </xdr:nvGrpSpPr>
      <xdr:grpSpPr>
        <a:xfrm>
          <a:off x="1210238" y="14136850"/>
          <a:ext cx="377134" cy="276225"/>
          <a:chOff x="1102353" y="2434707"/>
          <a:chExt cx="377134" cy="276225"/>
        </a:xfrm>
      </xdr:grpSpPr>
      <xdr:sp macro="" textlink="">
        <xdr:nvSpPr>
          <xdr:cNvPr id="333" name="Elipse 332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4" name="Rectángulo 333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5" name="Conector recto 334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335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42</xdr:row>
      <xdr:rowOff>38878</xdr:rowOff>
    </xdr:from>
    <xdr:to>
      <xdr:col>1</xdr:col>
      <xdr:colOff>753252</xdr:colOff>
      <xdr:row>42</xdr:row>
      <xdr:rowOff>315880</xdr:rowOff>
    </xdr:to>
    <xdr:grpSp>
      <xdr:nvGrpSpPr>
        <xdr:cNvPr id="337" name="Grupo 336"/>
        <xdr:cNvGrpSpPr/>
      </xdr:nvGrpSpPr>
      <xdr:grpSpPr>
        <a:xfrm>
          <a:off x="1211036" y="14503271"/>
          <a:ext cx="413073" cy="277002"/>
          <a:chOff x="1103151" y="3144222"/>
          <a:chExt cx="413073" cy="277002"/>
        </a:xfrm>
      </xdr:grpSpPr>
      <xdr:sp macro="" textlink="">
        <xdr:nvSpPr>
          <xdr:cNvPr id="338" name="Rectángulo 337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9" name="Rectángulo 338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0" name="Rectángulo 339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43</xdr:row>
      <xdr:rowOff>92333</xdr:rowOff>
    </xdr:from>
    <xdr:to>
      <xdr:col>1</xdr:col>
      <xdr:colOff>869885</xdr:colOff>
      <xdr:row>43</xdr:row>
      <xdr:rowOff>267283</xdr:rowOff>
    </xdr:to>
    <xdr:grpSp>
      <xdr:nvGrpSpPr>
        <xdr:cNvPr id="341" name="Grupo 340"/>
        <xdr:cNvGrpSpPr/>
      </xdr:nvGrpSpPr>
      <xdr:grpSpPr>
        <a:xfrm>
          <a:off x="1186737" y="14937726"/>
          <a:ext cx="554005" cy="174950"/>
          <a:chOff x="1078852" y="3552435"/>
          <a:chExt cx="554005" cy="174950"/>
        </a:xfrm>
      </xdr:grpSpPr>
      <xdr:sp macro="" textlink="">
        <xdr:nvSpPr>
          <xdr:cNvPr id="342" name="Rectángulo 341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3" name="Triángulo rectángulo 342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39</xdr:row>
      <xdr:rowOff>43738</xdr:rowOff>
    </xdr:from>
    <xdr:to>
      <xdr:col>1</xdr:col>
      <xdr:colOff>746470</xdr:colOff>
      <xdr:row>39</xdr:row>
      <xdr:rowOff>319963</xdr:rowOff>
    </xdr:to>
    <xdr:grpSp>
      <xdr:nvGrpSpPr>
        <xdr:cNvPr id="345" name="Grupo 344"/>
        <xdr:cNvGrpSpPr/>
      </xdr:nvGrpSpPr>
      <xdr:grpSpPr>
        <a:xfrm>
          <a:off x="1240193" y="13378738"/>
          <a:ext cx="377134" cy="276225"/>
          <a:chOff x="1127449" y="2799184"/>
          <a:chExt cx="377134" cy="276225"/>
        </a:xfrm>
      </xdr:grpSpPr>
      <xdr:sp macro="" textlink="">
        <xdr:nvSpPr>
          <xdr:cNvPr id="346" name="Elipse 345"/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47" name="Conector recto 346"/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8" name="Conector recto 347"/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49" name="Acorde 348"/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44</xdr:row>
      <xdr:rowOff>14580</xdr:rowOff>
    </xdr:from>
    <xdr:to>
      <xdr:col>1</xdr:col>
      <xdr:colOff>716513</xdr:colOff>
      <xdr:row>45</xdr:row>
      <xdr:rowOff>0</xdr:rowOff>
    </xdr:to>
    <xdr:grpSp>
      <xdr:nvGrpSpPr>
        <xdr:cNvPr id="352" name="Grupo 351"/>
        <xdr:cNvGrpSpPr/>
      </xdr:nvGrpSpPr>
      <xdr:grpSpPr>
        <a:xfrm>
          <a:off x="1181877" y="15227366"/>
          <a:ext cx="405493" cy="339205"/>
          <a:chOff x="1073992" y="1287820"/>
          <a:chExt cx="405493" cy="340178"/>
        </a:xfrm>
      </xdr:grpSpPr>
      <xdr:sp macro="" textlink="">
        <xdr:nvSpPr>
          <xdr:cNvPr id="353" name="Elipse 352"/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4" name="Elipse 353"/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5" name="Rectángulo 354"/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56" name="Conector recto 355"/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57" name="Conector recto 356"/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45</xdr:row>
      <xdr:rowOff>39688</xdr:rowOff>
    </xdr:from>
    <xdr:to>
      <xdr:col>1</xdr:col>
      <xdr:colOff>739084</xdr:colOff>
      <xdr:row>45</xdr:row>
      <xdr:rowOff>446089</xdr:rowOff>
    </xdr:to>
    <xdr:grpSp>
      <xdr:nvGrpSpPr>
        <xdr:cNvPr id="372" name="Grupo 371"/>
        <xdr:cNvGrpSpPr/>
      </xdr:nvGrpSpPr>
      <xdr:grpSpPr>
        <a:xfrm>
          <a:off x="1204232" y="15606259"/>
          <a:ext cx="405709" cy="406401"/>
          <a:chOff x="1095375" y="12435795"/>
          <a:chExt cx="405709" cy="406401"/>
        </a:xfrm>
      </xdr:grpSpPr>
      <xdr:sp macro="" textlink="">
        <xdr:nvSpPr>
          <xdr:cNvPr id="359" name="Elipse 358"/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0" name="Rectángulo 359"/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61" name="Conector recto 360"/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361"/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70" name="Forma libre 369"/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1" name="Forma libre 370"/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50</xdr:row>
      <xdr:rowOff>28575</xdr:rowOff>
    </xdr:from>
    <xdr:to>
      <xdr:col>1</xdr:col>
      <xdr:colOff>704850</xdr:colOff>
      <xdr:row>50</xdr:row>
      <xdr:rowOff>304800</xdr:rowOff>
    </xdr:to>
    <xdr:grpSp>
      <xdr:nvGrpSpPr>
        <xdr:cNvPr id="373" name="Grupo 372"/>
        <xdr:cNvGrpSpPr/>
      </xdr:nvGrpSpPr>
      <xdr:grpSpPr>
        <a:xfrm>
          <a:off x="1204232" y="18044432"/>
          <a:ext cx="371475" cy="276225"/>
          <a:chOff x="1096347" y="990794"/>
          <a:chExt cx="371475" cy="276225"/>
        </a:xfrm>
      </xdr:grpSpPr>
      <xdr:sp macro="" textlink="">
        <xdr:nvSpPr>
          <xdr:cNvPr id="374" name="Elipse 373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5" name="Rectángulo 374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76" name="Conector recto 375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76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51</xdr:row>
      <xdr:rowOff>53457</xdr:rowOff>
    </xdr:from>
    <xdr:to>
      <xdr:col>1</xdr:col>
      <xdr:colOff>716515</xdr:colOff>
      <xdr:row>51</xdr:row>
      <xdr:rowOff>329682</xdr:rowOff>
    </xdr:to>
    <xdr:grpSp>
      <xdr:nvGrpSpPr>
        <xdr:cNvPr id="390" name="Grupo 389"/>
        <xdr:cNvGrpSpPr/>
      </xdr:nvGrpSpPr>
      <xdr:grpSpPr>
        <a:xfrm>
          <a:off x="1210238" y="18504743"/>
          <a:ext cx="377134" cy="276225"/>
          <a:chOff x="1102353" y="2434707"/>
          <a:chExt cx="377134" cy="276225"/>
        </a:xfrm>
      </xdr:grpSpPr>
      <xdr:sp macro="" textlink="">
        <xdr:nvSpPr>
          <xdr:cNvPr id="391" name="Elipse 390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2" name="Rectángulo 391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93" name="Conector recto 392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4" name="Conector recto 393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52</xdr:row>
      <xdr:rowOff>38878</xdr:rowOff>
    </xdr:from>
    <xdr:to>
      <xdr:col>1</xdr:col>
      <xdr:colOff>753252</xdr:colOff>
      <xdr:row>52</xdr:row>
      <xdr:rowOff>315880</xdr:rowOff>
    </xdr:to>
    <xdr:grpSp>
      <xdr:nvGrpSpPr>
        <xdr:cNvPr id="395" name="Grupo 394"/>
        <xdr:cNvGrpSpPr/>
      </xdr:nvGrpSpPr>
      <xdr:grpSpPr>
        <a:xfrm>
          <a:off x="1211036" y="19143307"/>
          <a:ext cx="413073" cy="277002"/>
          <a:chOff x="1103151" y="3144222"/>
          <a:chExt cx="413073" cy="277002"/>
        </a:xfrm>
      </xdr:grpSpPr>
      <xdr:sp macro="" textlink="">
        <xdr:nvSpPr>
          <xdr:cNvPr id="396" name="Rectángulo 395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7" name="Rectángulo 396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8" name="Rectángulo 397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53</xdr:row>
      <xdr:rowOff>14580</xdr:rowOff>
    </xdr:from>
    <xdr:to>
      <xdr:col>1</xdr:col>
      <xdr:colOff>716513</xdr:colOff>
      <xdr:row>54</xdr:row>
      <xdr:rowOff>0</xdr:rowOff>
    </xdr:to>
    <xdr:grpSp>
      <xdr:nvGrpSpPr>
        <xdr:cNvPr id="407" name="Grupo 406"/>
        <xdr:cNvGrpSpPr/>
      </xdr:nvGrpSpPr>
      <xdr:grpSpPr>
        <a:xfrm>
          <a:off x="1181877" y="19513616"/>
          <a:ext cx="405493" cy="352813"/>
          <a:chOff x="1073992" y="1287820"/>
          <a:chExt cx="405493" cy="340178"/>
        </a:xfrm>
      </xdr:grpSpPr>
      <xdr:sp macro="" textlink="">
        <xdr:nvSpPr>
          <xdr:cNvPr id="408" name="Elipse 407"/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09" name="Elipse 408"/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0" name="Rectángulo 409"/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1" name="Conector recto 410"/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2" name="Conector recto 411"/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60</xdr:row>
      <xdr:rowOff>28575</xdr:rowOff>
    </xdr:from>
    <xdr:to>
      <xdr:col>1</xdr:col>
      <xdr:colOff>704850</xdr:colOff>
      <xdr:row>60</xdr:row>
      <xdr:rowOff>304800</xdr:rowOff>
    </xdr:to>
    <xdr:grpSp>
      <xdr:nvGrpSpPr>
        <xdr:cNvPr id="206" name="Grupo 205"/>
        <xdr:cNvGrpSpPr/>
      </xdr:nvGrpSpPr>
      <xdr:grpSpPr>
        <a:xfrm>
          <a:off x="1204232" y="22099361"/>
          <a:ext cx="371475" cy="276225"/>
          <a:chOff x="1096347" y="990794"/>
          <a:chExt cx="371475" cy="276225"/>
        </a:xfrm>
      </xdr:grpSpPr>
      <xdr:sp macro="" textlink="">
        <xdr:nvSpPr>
          <xdr:cNvPr id="207" name="Elipse 206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08" name="Rectángulo 207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09" name="Conector recto 208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0" name="Conector recto 209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61</xdr:row>
      <xdr:rowOff>53457</xdr:rowOff>
    </xdr:from>
    <xdr:to>
      <xdr:col>1</xdr:col>
      <xdr:colOff>716515</xdr:colOff>
      <xdr:row>61</xdr:row>
      <xdr:rowOff>329682</xdr:rowOff>
    </xdr:to>
    <xdr:grpSp>
      <xdr:nvGrpSpPr>
        <xdr:cNvPr id="211" name="Grupo 210"/>
        <xdr:cNvGrpSpPr/>
      </xdr:nvGrpSpPr>
      <xdr:grpSpPr>
        <a:xfrm>
          <a:off x="1210238" y="22518850"/>
          <a:ext cx="377134" cy="276225"/>
          <a:chOff x="1102353" y="2434707"/>
          <a:chExt cx="377134" cy="276225"/>
        </a:xfrm>
      </xdr:grpSpPr>
      <xdr:sp macro="" textlink="">
        <xdr:nvSpPr>
          <xdr:cNvPr id="212" name="Elipse 211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3" name="Rectángulo 212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14" name="Conector recto 213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5" name="Conector recto 214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62</xdr:row>
      <xdr:rowOff>38878</xdr:rowOff>
    </xdr:from>
    <xdr:to>
      <xdr:col>1</xdr:col>
      <xdr:colOff>753252</xdr:colOff>
      <xdr:row>62</xdr:row>
      <xdr:rowOff>315880</xdr:rowOff>
    </xdr:to>
    <xdr:grpSp>
      <xdr:nvGrpSpPr>
        <xdr:cNvPr id="216" name="Grupo 215"/>
        <xdr:cNvGrpSpPr/>
      </xdr:nvGrpSpPr>
      <xdr:grpSpPr>
        <a:xfrm>
          <a:off x="1211036" y="22871664"/>
          <a:ext cx="413073" cy="277002"/>
          <a:chOff x="1103151" y="3144222"/>
          <a:chExt cx="413073" cy="277002"/>
        </a:xfrm>
      </xdr:grpSpPr>
      <xdr:sp macro="" textlink="">
        <xdr:nvSpPr>
          <xdr:cNvPr id="217" name="Rectángulo 216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8" name="Rectángulo 217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9" name="Rectángulo 218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63</xdr:row>
      <xdr:rowOff>38878</xdr:rowOff>
    </xdr:from>
    <xdr:to>
      <xdr:col>1</xdr:col>
      <xdr:colOff>728954</xdr:colOff>
      <xdr:row>63</xdr:row>
      <xdr:rowOff>345039</xdr:rowOff>
    </xdr:to>
    <xdr:grpSp>
      <xdr:nvGrpSpPr>
        <xdr:cNvPr id="256" name="Grupo 255"/>
        <xdr:cNvGrpSpPr/>
      </xdr:nvGrpSpPr>
      <xdr:grpSpPr>
        <a:xfrm>
          <a:off x="1177017" y="23266271"/>
          <a:ext cx="422794" cy="306161"/>
          <a:chOff x="1088571" y="1666875"/>
          <a:chExt cx="422794" cy="306161"/>
        </a:xfrm>
      </xdr:grpSpPr>
      <xdr:sp macro="" textlink="">
        <xdr:nvSpPr>
          <xdr:cNvPr id="257" name="Elipse 256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8" name="Rectángulo 257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59" name="Conector recto 258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" name="Conector recto 259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61" name="Rectángulo 260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64</xdr:row>
      <xdr:rowOff>34018</xdr:rowOff>
    </xdr:from>
    <xdr:to>
      <xdr:col>1</xdr:col>
      <xdr:colOff>733815</xdr:colOff>
      <xdr:row>64</xdr:row>
      <xdr:rowOff>340179</xdr:rowOff>
    </xdr:to>
    <xdr:grpSp>
      <xdr:nvGrpSpPr>
        <xdr:cNvPr id="262" name="Grupo 261"/>
        <xdr:cNvGrpSpPr/>
      </xdr:nvGrpSpPr>
      <xdr:grpSpPr>
        <a:xfrm>
          <a:off x="1181878" y="23656018"/>
          <a:ext cx="422794" cy="306161"/>
          <a:chOff x="1073993" y="2060510"/>
          <a:chExt cx="422794" cy="306161"/>
        </a:xfrm>
      </xdr:grpSpPr>
      <xdr:sp macro="" textlink="">
        <xdr:nvSpPr>
          <xdr:cNvPr id="263" name="Elipse 262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64" name="Rectángulo 263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65" name="Conector recto 264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9" name="Conector recto 278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80" name="Rectángulo 279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65</xdr:row>
      <xdr:rowOff>92333</xdr:rowOff>
    </xdr:from>
    <xdr:to>
      <xdr:col>1</xdr:col>
      <xdr:colOff>869885</xdr:colOff>
      <xdr:row>65</xdr:row>
      <xdr:rowOff>267283</xdr:rowOff>
    </xdr:to>
    <xdr:grpSp>
      <xdr:nvGrpSpPr>
        <xdr:cNvPr id="286" name="Grupo 285"/>
        <xdr:cNvGrpSpPr/>
      </xdr:nvGrpSpPr>
      <xdr:grpSpPr>
        <a:xfrm>
          <a:off x="1186737" y="24108940"/>
          <a:ext cx="554005" cy="174950"/>
          <a:chOff x="1078852" y="3552435"/>
          <a:chExt cx="554005" cy="174950"/>
        </a:xfrm>
      </xdr:grpSpPr>
      <xdr:sp macro="" textlink="">
        <xdr:nvSpPr>
          <xdr:cNvPr id="287" name="Rectángulo 286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88" name="Triángulo rectángulo 287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70</xdr:row>
      <xdr:rowOff>28575</xdr:rowOff>
    </xdr:from>
    <xdr:to>
      <xdr:col>1</xdr:col>
      <xdr:colOff>704850</xdr:colOff>
      <xdr:row>70</xdr:row>
      <xdr:rowOff>304800</xdr:rowOff>
    </xdr:to>
    <xdr:grpSp>
      <xdr:nvGrpSpPr>
        <xdr:cNvPr id="289" name="Grupo 288"/>
        <xdr:cNvGrpSpPr/>
      </xdr:nvGrpSpPr>
      <xdr:grpSpPr>
        <a:xfrm>
          <a:off x="1204232" y="26018218"/>
          <a:ext cx="371475" cy="276225"/>
          <a:chOff x="1096347" y="990794"/>
          <a:chExt cx="371475" cy="276225"/>
        </a:xfrm>
      </xdr:grpSpPr>
      <xdr:sp macro="" textlink="">
        <xdr:nvSpPr>
          <xdr:cNvPr id="290" name="Elipse 289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1" name="Rectángulo 290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2" name="Conector recto 291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3" name="Conector recto 292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71</xdr:row>
      <xdr:rowOff>53457</xdr:rowOff>
    </xdr:from>
    <xdr:to>
      <xdr:col>1</xdr:col>
      <xdr:colOff>716515</xdr:colOff>
      <xdr:row>71</xdr:row>
      <xdr:rowOff>329682</xdr:rowOff>
    </xdr:to>
    <xdr:grpSp>
      <xdr:nvGrpSpPr>
        <xdr:cNvPr id="294" name="Grupo 293"/>
        <xdr:cNvGrpSpPr/>
      </xdr:nvGrpSpPr>
      <xdr:grpSpPr>
        <a:xfrm>
          <a:off x="1210238" y="26437707"/>
          <a:ext cx="377134" cy="276225"/>
          <a:chOff x="1102353" y="2434707"/>
          <a:chExt cx="377134" cy="276225"/>
        </a:xfrm>
      </xdr:grpSpPr>
      <xdr:sp macro="" textlink="">
        <xdr:nvSpPr>
          <xdr:cNvPr id="295" name="Elipse 294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6" name="Rectángulo 295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7" name="Conector recto 296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8" name="Conector recto 297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72</xdr:row>
      <xdr:rowOff>38878</xdr:rowOff>
    </xdr:from>
    <xdr:to>
      <xdr:col>1</xdr:col>
      <xdr:colOff>753252</xdr:colOff>
      <xdr:row>72</xdr:row>
      <xdr:rowOff>315880</xdr:rowOff>
    </xdr:to>
    <xdr:grpSp>
      <xdr:nvGrpSpPr>
        <xdr:cNvPr id="299" name="Grupo 298"/>
        <xdr:cNvGrpSpPr/>
      </xdr:nvGrpSpPr>
      <xdr:grpSpPr>
        <a:xfrm>
          <a:off x="1211036" y="26817735"/>
          <a:ext cx="413073" cy="277002"/>
          <a:chOff x="1103151" y="3144222"/>
          <a:chExt cx="413073" cy="277002"/>
        </a:xfrm>
      </xdr:grpSpPr>
      <xdr:sp macro="" textlink="">
        <xdr:nvSpPr>
          <xdr:cNvPr id="300" name="Rectángulo 299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1" name="Rectángulo 300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2" name="Rectángulo 301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73</xdr:row>
      <xdr:rowOff>38878</xdr:rowOff>
    </xdr:from>
    <xdr:to>
      <xdr:col>1</xdr:col>
      <xdr:colOff>728954</xdr:colOff>
      <xdr:row>73</xdr:row>
      <xdr:rowOff>345039</xdr:rowOff>
    </xdr:to>
    <xdr:grpSp>
      <xdr:nvGrpSpPr>
        <xdr:cNvPr id="303" name="Grupo 302"/>
        <xdr:cNvGrpSpPr/>
      </xdr:nvGrpSpPr>
      <xdr:grpSpPr>
        <a:xfrm>
          <a:off x="1177017" y="27212342"/>
          <a:ext cx="422794" cy="306161"/>
          <a:chOff x="1088571" y="1666875"/>
          <a:chExt cx="422794" cy="306161"/>
        </a:xfrm>
      </xdr:grpSpPr>
      <xdr:sp macro="" textlink="">
        <xdr:nvSpPr>
          <xdr:cNvPr id="304" name="Elipse 303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5" name="Rectángulo 304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06" name="Conector recto 305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7" name="Conector recto 306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08" name="Rectángulo 307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74</xdr:row>
      <xdr:rowOff>34018</xdr:rowOff>
    </xdr:from>
    <xdr:to>
      <xdr:col>1</xdr:col>
      <xdr:colOff>733815</xdr:colOff>
      <xdr:row>74</xdr:row>
      <xdr:rowOff>340179</xdr:rowOff>
    </xdr:to>
    <xdr:grpSp>
      <xdr:nvGrpSpPr>
        <xdr:cNvPr id="309" name="Grupo 308"/>
        <xdr:cNvGrpSpPr/>
      </xdr:nvGrpSpPr>
      <xdr:grpSpPr>
        <a:xfrm>
          <a:off x="1181878" y="27602089"/>
          <a:ext cx="422794" cy="306161"/>
          <a:chOff x="1073993" y="2060510"/>
          <a:chExt cx="422794" cy="306161"/>
        </a:xfrm>
      </xdr:grpSpPr>
      <xdr:sp macro="" textlink="">
        <xdr:nvSpPr>
          <xdr:cNvPr id="310" name="Elipse 309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1" name="Rectángulo 310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2" name="Conector recto 311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3" name="Conector recto 312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14" name="Rectángulo 313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75</xdr:row>
      <xdr:rowOff>92333</xdr:rowOff>
    </xdr:from>
    <xdr:to>
      <xdr:col>1</xdr:col>
      <xdr:colOff>869885</xdr:colOff>
      <xdr:row>75</xdr:row>
      <xdr:rowOff>267283</xdr:rowOff>
    </xdr:to>
    <xdr:grpSp>
      <xdr:nvGrpSpPr>
        <xdr:cNvPr id="344" name="Grupo 343"/>
        <xdr:cNvGrpSpPr/>
      </xdr:nvGrpSpPr>
      <xdr:grpSpPr>
        <a:xfrm>
          <a:off x="1186737" y="28055012"/>
          <a:ext cx="554005" cy="174950"/>
          <a:chOff x="1078852" y="3552435"/>
          <a:chExt cx="554005" cy="174950"/>
        </a:xfrm>
      </xdr:grpSpPr>
      <xdr:sp macro="" textlink="">
        <xdr:nvSpPr>
          <xdr:cNvPr id="358" name="Rectángulo 357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3" name="Triángulo rectángulo 362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0</xdr:col>
      <xdr:colOff>0</xdr:colOff>
      <xdr:row>85</xdr:row>
      <xdr:rowOff>92333</xdr:rowOff>
    </xdr:from>
    <xdr:to>
      <xdr:col>0</xdr:col>
      <xdr:colOff>0</xdr:colOff>
      <xdr:row>90</xdr:row>
      <xdr:rowOff>583</xdr:rowOff>
    </xdr:to>
    <xdr:grpSp>
      <xdr:nvGrpSpPr>
        <xdr:cNvPr id="413" name="Grupo 412"/>
        <xdr:cNvGrpSpPr/>
      </xdr:nvGrpSpPr>
      <xdr:grpSpPr>
        <a:xfrm>
          <a:off x="0" y="32069119"/>
          <a:ext cx="0" cy="1949321"/>
          <a:chOff x="1078852" y="3552435"/>
          <a:chExt cx="554005" cy="174950"/>
        </a:xfrm>
      </xdr:grpSpPr>
      <xdr:sp macro="" textlink="">
        <xdr:nvSpPr>
          <xdr:cNvPr id="414" name="Rectángulo 413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5" name="Triángulo rectángulo 414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80</xdr:row>
      <xdr:rowOff>28575</xdr:rowOff>
    </xdr:from>
    <xdr:to>
      <xdr:col>1</xdr:col>
      <xdr:colOff>704850</xdr:colOff>
      <xdr:row>80</xdr:row>
      <xdr:rowOff>304800</xdr:rowOff>
    </xdr:to>
    <xdr:grpSp>
      <xdr:nvGrpSpPr>
        <xdr:cNvPr id="416" name="Grupo 415"/>
        <xdr:cNvGrpSpPr/>
      </xdr:nvGrpSpPr>
      <xdr:grpSpPr>
        <a:xfrm>
          <a:off x="1204232" y="29964289"/>
          <a:ext cx="371475" cy="276225"/>
          <a:chOff x="1096347" y="990794"/>
          <a:chExt cx="371475" cy="276225"/>
        </a:xfrm>
      </xdr:grpSpPr>
      <xdr:sp macro="" textlink="">
        <xdr:nvSpPr>
          <xdr:cNvPr id="417" name="Elipse 416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8" name="Rectángulo 417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9" name="Conector recto 418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419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81</xdr:row>
      <xdr:rowOff>53457</xdr:rowOff>
    </xdr:from>
    <xdr:to>
      <xdr:col>1</xdr:col>
      <xdr:colOff>716515</xdr:colOff>
      <xdr:row>81</xdr:row>
      <xdr:rowOff>329682</xdr:rowOff>
    </xdr:to>
    <xdr:grpSp>
      <xdr:nvGrpSpPr>
        <xdr:cNvPr id="421" name="Grupo 420"/>
        <xdr:cNvGrpSpPr/>
      </xdr:nvGrpSpPr>
      <xdr:grpSpPr>
        <a:xfrm>
          <a:off x="1210238" y="30397386"/>
          <a:ext cx="377134" cy="276225"/>
          <a:chOff x="1102353" y="2434707"/>
          <a:chExt cx="377134" cy="276225"/>
        </a:xfrm>
      </xdr:grpSpPr>
      <xdr:sp macro="" textlink="">
        <xdr:nvSpPr>
          <xdr:cNvPr id="422" name="Elipse 421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3" name="Rectángulo 422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24" name="Conector recto 423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5" name="Conector recto 424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82</xdr:row>
      <xdr:rowOff>38878</xdr:rowOff>
    </xdr:from>
    <xdr:to>
      <xdr:col>1</xdr:col>
      <xdr:colOff>753252</xdr:colOff>
      <xdr:row>82</xdr:row>
      <xdr:rowOff>315880</xdr:rowOff>
    </xdr:to>
    <xdr:grpSp>
      <xdr:nvGrpSpPr>
        <xdr:cNvPr id="426" name="Grupo 425"/>
        <xdr:cNvGrpSpPr/>
      </xdr:nvGrpSpPr>
      <xdr:grpSpPr>
        <a:xfrm>
          <a:off x="1211036" y="30791021"/>
          <a:ext cx="413073" cy="277002"/>
          <a:chOff x="1103151" y="3144222"/>
          <a:chExt cx="413073" cy="277002"/>
        </a:xfrm>
      </xdr:grpSpPr>
      <xdr:sp macro="" textlink="">
        <xdr:nvSpPr>
          <xdr:cNvPr id="427" name="Rectángulo 426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8" name="Rectángulo 427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9" name="Rectángulo 428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83</xdr:row>
      <xdr:rowOff>38878</xdr:rowOff>
    </xdr:from>
    <xdr:to>
      <xdr:col>1</xdr:col>
      <xdr:colOff>728954</xdr:colOff>
      <xdr:row>83</xdr:row>
      <xdr:rowOff>345039</xdr:rowOff>
    </xdr:to>
    <xdr:grpSp>
      <xdr:nvGrpSpPr>
        <xdr:cNvPr id="430" name="Grupo 429"/>
        <xdr:cNvGrpSpPr/>
      </xdr:nvGrpSpPr>
      <xdr:grpSpPr>
        <a:xfrm>
          <a:off x="1177017" y="31199235"/>
          <a:ext cx="422794" cy="306161"/>
          <a:chOff x="1088571" y="1666875"/>
          <a:chExt cx="422794" cy="306161"/>
        </a:xfrm>
      </xdr:grpSpPr>
      <xdr:sp macro="" textlink="">
        <xdr:nvSpPr>
          <xdr:cNvPr id="431" name="Elipse 430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2" name="Rectángulo 431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3" name="Conector recto 432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4" name="Conector recto 433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35" name="Rectángulo 434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84</xdr:row>
      <xdr:rowOff>34018</xdr:rowOff>
    </xdr:from>
    <xdr:to>
      <xdr:col>1</xdr:col>
      <xdr:colOff>733815</xdr:colOff>
      <xdr:row>84</xdr:row>
      <xdr:rowOff>340179</xdr:rowOff>
    </xdr:to>
    <xdr:grpSp>
      <xdr:nvGrpSpPr>
        <xdr:cNvPr id="436" name="Grupo 435"/>
        <xdr:cNvGrpSpPr/>
      </xdr:nvGrpSpPr>
      <xdr:grpSpPr>
        <a:xfrm>
          <a:off x="1181878" y="31602589"/>
          <a:ext cx="422794" cy="306161"/>
          <a:chOff x="1073993" y="2060510"/>
          <a:chExt cx="422794" cy="306161"/>
        </a:xfrm>
      </xdr:grpSpPr>
      <xdr:sp macro="" textlink="">
        <xdr:nvSpPr>
          <xdr:cNvPr id="437" name="Elipse 436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8" name="Rectángulo 437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9" name="Conector recto 438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0" name="Conector recto 439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41" name="Rectángulo 440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85</xdr:row>
      <xdr:rowOff>92333</xdr:rowOff>
    </xdr:from>
    <xdr:to>
      <xdr:col>1</xdr:col>
      <xdr:colOff>869885</xdr:colOff>
      <xdr:row>85</xdr:row>
      <xdr:rowOff>267283</xdr:rowOff>
    </xdr:to>
    <xdr:grpSp>
      <xdr:nvGrpSpPr>
        <xdr:cNvPr id="442" name="Grupo 441"/>
        <xdr:cNvGrpSpPr/>
      </xdr:nvGrpSpPr>
      <xdr:grpSpPr>
        <a:xfrm>
          <a:off x="1186737" y="32069119"/>
          <a:ext cx="554005" cy="174950"/>
          <a:chOff x="1078852" y="3552435"/>
          <a:chExt cx="554005" cy="174950"/>
        </a:xfrm>
      </xdr:grpSpPr>
      <xdr:sp macro="" textlink="">
        <xdr:nvSpPr>
          <xdr:cNvPr id="443" name="Rectángulo 442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4" name="Triángulo rectángulo 443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90</xdr:row>
      <xdr:rowOff>28575</xdr:rowOff>
    </xdr:from>
    <xdr:to>
      <xdr:col>1</xdr:col>
      <xdr:colOff>704850</xdr:colOff>
      <xdr:row>90</xdr:row>
      <xdr:rowOff>304800</xdr:rowOff>
    </xdr:to>
    <xdr:grpSp>
      <xdr:nvGrpSpPr>
        <xdr:cNvPr id="445" name="Grupo 444"/>
        <xdr:cNvGrpSpPr/>
      </xdr:nvGrpSpPr>
      <xdr:grpSpPr>
        <a:xfrm>
          <a:off x="1204232" y="34046432"/>
          <a:ext cx="371475" cy="276225"/>
          <a:chOff x="1096347" y="990794"/>
          <a:chExt cx="371475" cy="276225"/>
        </a:xfrm>
      </xdr:grpSpPr>
      <xdr:sp macro="" textlink="">
        <xdr:nvSpPr>
          <xdr:cNvPr id="446" name="Elipse 445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7" name="Rectángulo 446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48" name="Conector recto 447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9" name="Conector recto 448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91</xdr:row>
      <xdr:rowOff>53457</xdr:rowOff>
    </xdr:from>
    <xdr:to>
      <xdr:col>1</xdr:col>
      <xdr:colOff>716515</xdr:colOff>
      <xdr:row>91</xdr:row>
      <xdr:rowOff>329682</xdr:rowOff>
    </xdr:to>
    <xdr:grpSp>
      <xdr:nvGrpSpPr>
        <xdr:cNvPr id="450" name="Grupo 449"/>
        <xdr:cNvGrpSpPr/>
      </xdr:nvGrpSpPr>
      <xdr:grpSpPr>
        <a:xfrm>
          <a:off x="1210238" y="34479528"/>
          <a:ext cx="377134" cy="276225"/>
          <a:chOff x="1102353" y="2434707"/>
          <a:chExt cx="377134" cy="276225"/>
        </a:xfrm>
      </xdr:grpSpPr>
      <xdr:sp macro="" textlink="">
        <xdr:nvSpPr>
          <xdr:cNvPr id="451" name="Elipse 450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2" name="Rectángulo 451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53" name="Conector recto 452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4" name="Conector recto 453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92</xdr:row>
      <xdr:rowOff>38878</xdr:rowOff>
    </xdr:from>
    <xdr:to>
      <xdr:col>1</xdr:col>
      <xdr:colOff>753252</xdr:colOff>
      <xdr:row>92</xdr:row>
      <xdr:rowOff>315880</xdr:rowOff>
    </xdr:to>
    <xdr:grpSp>
      <xdr:nvGrpSpPr>
        <xdr:cNvPr id="455" name="Grupo 454"/>
        <xdr:cNvGrpSpPr/>
      </xdr:nvGrpSpPr>
      <xdr:grpSpPr>
        <a:xfrm>
          <a:off x="1211036" y="34873164"/>
          <a:ext cx="413073" cy="277002"/>
          <a:chOff x="1103151" y="3144222"/>
          <a:chExt cx="413073" cy="277002"/>
        </a:xfrm>
      </xdr:grpSpPr>
      <xdr:sp macro="" textlink="">
        <xdr:nvSpPr>
          <xdr:cNvPr id="456" name="Rectángulo 455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7" name="Rectángulo 456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8" name="Rectángulo 457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93</xdr:row>
      <xdr:rowOff>38878</xdr:rowOff>
    </xdr:from>
    <xdr:to>
      <xdr:col>1</xdr:col>
      <xdr:colOff>728954</xdr:colOff>
      <xdr:row>93</xdr:row>
      <xdr:rowOff>345039</xdr:rowOff>
    </xdr:to>
    <xdr:grpSp>
      <xdr:nvGrpSpPr>
        <xdr:cNvPr id="459" name="Grupo 458"/>
        <xdr:cNvGrpSpPr/>
      </xdr:nvGrpSpPr>
      <xdr:grpSpPr>
        <a:xfrm>
          <a:off x="1177017" y="35281378"/>
          <a:ext cx="422794" cy="306161"/>
          <a:chOff x="1088571" y="1666875"/>
          <a:chExt cx="422794" cy="306161"/>
        </a:xfrm>
      </xdr:grpSpPr>
      <xdr:sp macro="" textlink="">
        <xdr:nvSpPr>
          <xdr:cNvPr id="460" name="Elipse 459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1" name="Rectángulo 460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2" name="Conector recto 461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3" name="Conector recto 462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64" name="Rectángulo 463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94</xdr:row>
      <xdr:rowOff>34018</xdr:rowOff>
    </xdr:from>
    <xdr:to>
      <xdr:col>1</xdr:col>
      <xdr:colOff>733815</xdr:colOff>
      <xdr:row>94</xdr:row>
      <xdr:rowOff>340179</xdr:rowOff>
    </xdr:to>
    <xdr:grpSp>
      <xdr:nvGrpSpPr>
        <xdr:cNvPr id="465" name="Grupo 464"/>
        <xdr:cNvGrpSpPr/>
      </xdr:nvGrpSpPr>
      <xdr:grpSpPr>
        <a:xfrm>
          <a:off x="1181878" y="35684732"/>
          <a:ext cx="422794" cy="306161"/>
          <a:chOff x="1073993" y="2060510"/>
          <a:chExt cx="422794" cy="306161"/>
        </a:xfrm>
      </xdr:grpSpPr>
      <xdr:sp macro="" textlink="">
        <xdr:nvSpPr>
          <xdr:cNvPr id="466" name="Elipse 465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7" name="Rectángulo 466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8" name="Conector recto 467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9" name="Conector recto 468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70" name="Rectángulo 469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95</xdr:row>
      <xdr:rowOff>92333</xdr:rowOff>
    </xdr:from>
    <xdr:to>
      <xdr:col>1</xdr:col>
      <xdr:colOff>869885</xdr:colOff>
      <xdr:row>95</xdr:row>
      <xdr:rowOff>267283</xdr:rowOff>
    </xdr:to>
    <xdr:grpSp>
      <xdr:nvGrpSpPr>
        <xdr:cNvPr id="471" name="Grupo 470"/>
        <xdr:cNvGrpSpPr/>
      </xdr:nvGrpSpPr>
      <xdr:grpSpPr>
        <a:xfrm>
          <a:off x="1186737" y="36151262"/>
          <a:ext cx="554005" cy="174950"/>
          <a:chOff x="1078852" y="3552435"/>
          <a:chExt cx="554005" cy="174950"/>
        </a:xfrm>
      </xdr:grpSpPr>
      <xdr:sp macro="" textlink="">
        <xdr:nvSpPr>
          <xdr:cNvPr id="472" name="Rectángulo 471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3" name="Triángulo rectángulo 472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96</xdr:row>
      <xdr:rowOff>14580</xdr:rowOff>
    </xdr:from>
    <xdr:to>
      <xdr:col>1</xdr:col>
      <xdr:colOff>716513</xdr:colOff>
      <xdr:row>97</xdr:row>
      <xdr:rowOff>0</xdr:rowOff>
    </xdr:to>
    <xdr:grpSp>
      <xdr:nvGrpSpPr>
        <xdr:cNvPr id="474" name="Grupo 473"/>
        <xdr:cNvGrpSpPr/>
      </xdr:nvGrpSpPr>
      <xdr:grpSpPr>
        <a:xfrm>
          <a:off x="1181877" y="36481723"/>
          <a:ext cx="405493" cy="393634"/>
          <a:chOff x="1073992" y="1287820"/>
          <a:chExt cx="405493" cy="340178"/>
        </a:xfrm>
      </xdr:grpSpPr>
      <xdr:sp macro="" textlink="">
        <xdr:nvSpPr>
          <xdr:cNvPr id="475" name="Elipse 474"/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6" name="Elipse 475"/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7" name="Rectángulo 476"/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78" name="Conector recto 477"/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9" name="Conector recto 478"/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 editAs="oneCell">
    <xdr:from>
      <xdr:col>7</xdr:col>
      <xdr:colOff>28575</xdr:colOff>
      <xdr:row>6</xdr:row>
      <xdr:rowOff>66675</xdr:rowOff>
    </xdr:from>
    <xdr:to>
      <xdr:col>7</xdr:col>
      <xdr:colOff>1746134</xdr:colOff>
      <xdr:row>6</xdr:row>
      <xdr:rowOff>228600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</xdr:row>
      <xdr:rowOff>133351</xdr:rowOff>
    </xdr:from>
    <xdr:to>
      <xdr:col>7</xdr:col>
      <xdr:colOff>1733550</xdr:colOff>
      <xdr:row>7</xdr:row>
      <xdr:rowOff>274568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1428751"/>
          <a:ext cx="1724025" cy="14121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8</xdr:row>
      <xdr:rowOff>95250</xdr:rowOff>
    </xdr:from>
    <xdr:to>
      <xdr:col>7</xdr:col>
      <xdr:colOff>1752601</xdr:colOff>
      <xdr:row>8</xdr:row>
      <xdr:rowOff>289159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771650"/>
          <a:ext cx="1733550" cy="193909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9</xdr:row>
      <xdr:rowOff>19051</xdr:rowOff>
    </xdr:from>
    <xdr:to>
      <xdr:col>7</xdr:col>
      <xdr:colOff>1590676</xdr:colOff>
      <xdr:row>9</xdr:row>
      <xdr:rowOff>301944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81650" y="2076451"/>
          <a:ext cx="1343026" cy="282893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10</xdr:row>
      <xdr:rowOff>38100</xdr:rowOff>
    </xdr:from>
    <xdr:to>
      <xdr:col>7</xdr:col>
      <xdr:colOff>1511473</xdr:colOff>
      <xdr:row>10</xdr:row>
      <xdr:rowOff>314325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2447925"/>
          <a:ext cx="1378123" cy="27622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11</xdr:row>
      <xdr:rowOff>28575</xdr:rowOff>
    </xdr:from>
    <xdr:to>
      <xdr:col>7</xdr:col>
      <xdr:colOff>1584324</xdr:colOff>
      <xdr:row>12</xdr:row>
      <xdr:rowOff>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14</xdr:row>
      <xdr:rowOff>19050</xdr:rowOff>
    </xdr:from>
    <xdr:to>
      <xdr:col>7</xdr:col>
      <xdr:colOff>982200</xdr:colOff>
      <xdr:row>14</xdr:row>
      <xdr:rowOff>333209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17</xdr:row>
      <xdr:rowOff>114300</xdr:rowOff>
    </xdr:from>
    <xdr:to>
      <xdr:col>7</xdr:col>
      <xdr:colOff>1733551</xdr:colOff>
      <xdr:row>17</xdr:row>
      <xdr:rowOff>295743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18</xdr:row>
      <xdr:rowOff>140211</xdr:rowOff>
    </xdr:from>
    <xdr:to>
      <xdr:col>8</xdr:col>
      <xdr:colOff>11905</xdr:colOff>
      <xdr:row>18</xdr:row>
      <xdr:rowOff>266700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104775</xdr:rowOff>
    </xdr:from>
    <xdr:to>
      <xdr:col>8</xdr:col>
      <xdr:colOff>9525</xdr:colOff>
      <xdr:row>19</xdr:row>
      <xdr:rowOff>269875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4714875"/>
          <a:ext cx="1781175" cy="1651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20</xdr:row>
      <xdr:rowOff>38101</xdr:rowOff>
    </xdr:from>
    <xdr:to>
      <xdr:col>7</xdr:col>
      <xdr:colOff>1595609</xdr:colOff>
      <xdr:row>20</xdr:row>
      <xdr:rowOff>319507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5505450" y="6105526"/>
          <a:ext cx="1424159" cy="281406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21</xdr:row>
      <xdr:rowOff>28576</xdr:rowOff>
    </xdr:from>
    <xdr:to>
      <xdr:col>7</xdr:col>
      <xdr:colOff>1676401</xdr:colOff>
      <xdr:row>22</xdr:row>
      <xdr:rowOff>1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22</xdr:row>
      <xdr:rowOff>38100</xdr:rowOff>
    </xdr:from>
    <xdr:to>
      <xdr:col>7</xdr:col>
      <xdr:colOff>1728967</xdr:colOff>
      <xdr:row>22</xdr:row>
      <xdr:rowOff>352425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1625" y="5762625"/>
          <a:ext cx="1681342" cy="314325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695326</xdr:colOff>
      <xdr:row>25</xdr:row>
      <xdr:rowOff>19050</xdr:rowOff>
    </xdr:from>
    <xdr:to>
      <xdr:col>7</xdr:col>
      <xdr:colOff>1038018</xdr:colOff>
      <xdr:row>25</xdr:row>
      <xdr:rowOff>361742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29326" y="6115050"/>
          <a:ext cx="342692" cy="342692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27</xdr:row>
      <xdr:rowOff>66675</xdr:rowOff>
    </xdr:from>
    <xdr:ext cx="1717559" cy="161925"/>
    <xdr:pic>
      <xdr:nvPicPr>
        <xdr:cNvPr id="379" name="Imagen 37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28</xdr:row>
      <xdr:rowOff>95250</xdr:rowOff>
    </xdr:from>
    <xdr:ext cx="1733550" cy="193909"/>
    <xdr:pic>
      <xdr:nvPicPr>
        <xdr:cNvPr id="381" name="Imagen 38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667625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142874</xdr:colOff>
      <xdr:row>29</xdr:row>
      <xdr:rowOff>28576</xdr:rowOff>
    </xdr:from>
    <xdr:ext cx="1447029" cy="304800"/>
    <xdr:pic>
      <xdr:nvPicPr>
        <xdr:cNvPr id="382" name="Imagen 38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76874" y="9401176"/>
          <a:ext cx="1447029" cy="304800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30</xdr:row>
      <xdr:rowOff>28575</xdr:rowOff>
    </xdr:from>
    <xdr:ext cx="1460499" cy="304800"/>
    <xdr:pic>
      <xdr:nvPicPr>
        <xdr:cNvPr id="384" name="Imagen 38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35</xdr:row>
      <xdr:rowOff>19050</xdr:rowOff>
    </xdr:from>
    <xdr:ext cx="334500" cy="314159"/>
    <xdr:pic>
      <xdr:nvPicPr>
        <xdr:cNvPr id="385" name="Imagen 38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39</xdr:row>
      <xdr:rowOff>66675</xdr:rowOff>
    </xdr:from>
    <xdr:ext cx="1717559" cy="161925"/>
    <xdr:pic>
      <xdr:nvPicPr>
        <xdr:cNvPr id="386" name="Imagen 3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69056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180975</xdr:colOff>
      <xdr:row>40</xdr:row>
      <xdr:rowOff>47625</xdr:rowOff>
    </xdr:from>
    <xdr:ext cx="1401815" cy="295276"/>
    <xdr:pic>
      <xdr:nvPicPr>
        <xdr:cNvPr id="388" name="Imagen 38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14975" y="11287125"/>
          <a:ext cx="1401815" cy="295276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48</xdr:row>
      <xdr:rowOff>85725</xdr:rowOff>
    </xdr:from>
    <xdr:ext cx="334500" cy="314159"/>
    <xdr:pic>
      <xdr:nvPicPr>
        <xdr:cNvPr id="399" name="Imagen 39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15449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37</xdr:row>
      <xdr:rowOff>114300</xdr:rowOff>
    </xdr:from>
    <xdr:ext cx="1695450" cy="181443"/>
    <xdr:pic>
      <xdr:nvPicPr>
        <xdr:cNvPr id="400" name="Imagen 39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38</xdr:row>
      <xdr:rowOff>140211</xdr:rowOff>
    </xdr:from>
    <xdr:ext cx="1743075" cy="126489"/>
    <xdr:pic>
      <xdr:nvPicPr>
        <xdr:cNvPr id="401" name="Imagen 40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42</xdr:row>
      <xdr:rowOff>28576</xdr:rowOff>
    </xdr:from>
    <xdr:ext cx="1524000" cy="304800"/>
    <xdr:pic>
      <xdr:nvPicPr>
        <xdr:cNvPr id="350" name="Imagen 349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429702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41</xdr:row>
      <xdr:rowOff>95250</xdr:rowOff>
    </xdr:from>
    <xdr:ext cx="1733550" cy="193909"/>
    <xdr:pic>
      <xdr:nvPicPr>
        <xdr:cNvPr id="351" name="Imagen 35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305675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695325</xdr:colOff>
      <xdr:row>50</xdr:row>
      <xdr:rowOff>24679</xdr:rowOff>
    </xdr:from>
    <xdr:to>
      <xdr:col>7</xdr:col>
      <xdr:colOff>1085850</xdr:colOff>
      <xdr:row>50</xdr:row>
      <xdr:rowOff>399846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29325" y="13616854"/>
          <a:ext cx="390525" cy="375167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695325</xdr:colOff>
      <xdr:row>51</xdr:row>
      <xdr:rowOff>66675</xdr:rowOff>
    </xdr:from>
    <xdr:to>
      <xdr:col>7</xdr:col>
      <xdr:colOff>1071468</xdr:colOff>
      <xdr:row>51</xdr:row>
      <xdr:rowOff>599942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325" y="14097000"/>
          <a:ext cx="376143" cy="533267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52</xdr:row>
      <xdr:rowOff>81051</xdr:rowOff>
    </xdr:from>
    <xdr:to>
      <xdr:col>7</xdr:col>
      <xdr:colOff>1095375</xdr:colOff>
      <xdr:row>52</xdr:row>
      <xdr:rowOff>361889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4768601"/>
          <a:ext cx="352425" cy="280838"/>
        </a:xfrm>
        <a:prstGeom prst="rect">
          <a:avLst/>
        </a:prstGeom>
      </xdr:spPr>
    </xdr:pic>
    <xdr:clientData/>
  </xdr:twoCellAnchor>
  <xdr:oneCellAnchor>
    <xdr:from>
      <xdr:col>7</xdr:col>
      <xdr:colOff>152401</xdr:colOff>
      <xdr:row>53</xdr:row>
      <xdr:rowOff>28576</xdr:rowOff>
    </xdr:from>
    <xdr:ext cx="1524000" cy="304800"/>
    <xdr:pic>
      <xdr:nvPicPr>
        <xdr:cNvPr id="365" name="Imagen 364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20300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266700</xdr:colOff>
      <xdr:row>54</xdr:row>
      <xdr:rowOff>57151</xdr:rowOff>
    </xdr:from>
    <xdr:ext cx="1266151" cy="266700"/>
    <xdr:pic>
      <xdr:nvPicPr>
        <xdr:cNvPr id="364" name="Imagen 36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600700" y="15992476"/>
          <a:ext cx="1266151" cy="2667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58</xdr:row>
      <xdr:rowOff>19050</xdr:rowOff>
    </xdr:from>
    <xdr:ext cx="334500" cy="314159"/>
    <xdr:pic>
      <xdr:nvPicPr>
        <xdr:cNvPr id="366" name="Imagen 36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2401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55</xdr:row>
      <xdr:rowOff>95250</xdr:rowOff>
    </xdr:from>
    <xdr:ext cx="1733550" cy="193909"/>
    <xdr:pic>
      <xdr:nvPicPr>
        <xdr:cNvPr id="367" name="Imagen 36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1715750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9525</xdr:colOff>
      <xdr:row>56</xdr:row>
      <xdr:rowOff>76200</xdr:rowOff>
    </xdr:from>
    <xdr:to>
      <xdr:col>8</xdr:col>
      <xdr:colOff>157</xdr:colOff>
      <xdr:row>56</xdr:row>
      <xdr:rowOff>285750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43525" y="16602075"/>
          <a:ext cx="1762282" cy="209550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57</xdr:row>
      <xdr:rowOff>66675</xdr:rowOff>
    </xdr:from>
    <xdr:ext cx="1717559" cy="161925"/>
    <xdr:pic>
      <xdr:nvPicPr>
        <xdr:cNvPr id="369" name="Imagen 3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9347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60</xdr:row>
      <xdr:rowOff>47626</xdr:rowOff>
    </xdr:from>
    <xdr:ext cx="1537469" cy="323850"/>
    <xdr:pic>
      <xdr:nvPicPr>
        <xdr:cNvPr id="378" name="Imagen 37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6399" y="18154651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61</xdr:row>
      <xdr:rowOff>140211</xdr:rowOff>
    </xdr:from>
    <xdr:ext cx="1743075" cy="126489"/>
    <xdr:pic>
      <xdr:nvPicPr>
        <xdr:cNvPr id="380" name="Imagen 3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0636761"/>
          <a:ext cx="1743075" cy="126489"/>
        </a:xfrm>
        <a:prstGeom prst="rect">
          <a:avLst/>
        </a:prstGeom>
      </xdr:spPr>
    </xdr:pic>
    <xdr:clientData/>
  </xdr:oneCellAnchor>
  <xdr:twoCellAnchor editAs="oneCell">
    <xdr:from>
      <xdr:col>7</xdr:col>
      <xdr:colOff>28575</xdr:colOff>
      <xdr:row>62</xdr:row>
      <xdr:rowOff>139526</xdr:rowOff>
    </xdr:from>
    <xdr:to>
      <xdr:col>8</xdr:col>
      <xdr:colOff>0</xdr:colOff>
      <xdr:row>62</xdr:row>
      <xdr:rowOff>257100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63</xdr:row>
      <xdr:rowOff>66675</xdr:rowOff>
    </xdr:from>
    <xdr:ext cx="1717559" cy="161925"/>
    <xdr:pic>
      <xdr:nvPicPr>
        <xdr:cNvPr id="387" name="Imagen 3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708785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64</xdr:row>
      <xdr:rowOff>28576</xdr:rowOff>
    </xdr:from>
    <xdr:ext cx="1524000" cy="304800"/>
    <xdr:pic>
      <xdr:nvPicPr>
        <xdr:cNvPr id="389" name="Imagen 388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oneCellAnchor>
  <xdr:twoCellAnchor editAs="oneCell">
    <xdr:from>
      <xdr:col>7</xdr:col>
      <xdr:colOff>619126</xdr:colOff>
      <xdr:row>65</xdr:row>
      <xdr:rowOff>9524</xdr:rowOff>
    </xdr:from>
    <xdr:to>
      <xdr:col>7</xdr:col>
      <xdr:colOff>1190356</xdr:colOff>
      <xdr:row>66</xdr:row>
      <xdr:rowOff>1667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66</xdr:row>
      <xdr:rowOff>47625</xdr:rowOff>
    </xdr:from>
    <xdr:to>
      <xdr:col>7</xdr:col>
      <xdr:colOff>1095375</xdr:colOff>
      <xdr:row>66</xdr:row>
      <xdr:rowOff>328463</xdr:rowOff>
    </xdr:to>
    <xdr:pic>
      <xdr:nvPicPr>
        <xdr:cNvPr id="403" name="Imagen 40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0507325"/>
          <a:ext cx="352425" cy="280838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67</xdr:row>
      <xdr:rowOff>38100</xdr:rowOff>
    </xdr:from>
    <xdr:to>
      <xdr:col>7</xdr:col>
      <xdr:colOff>1655393</xdr:colOff>
      <xdr:row>67</xdr:row>
      <xdr:rowOff>342760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68</xdr:row>
      <xdr:rowOff>19050</xdr:rowOff>
    </xdr:from>
    <xdr:ext cx="334500" cy="314159"/>
    <xdr:pic>
      <xdr:nvPicPr>
        <xdr:cNvPr id="480" name="Imagen 47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74021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190500</xdr:colOff>
      <xdr:row>70</xdr:row>
      <xdr:rowOff>56989</xdr:rowOff>
    </xdr:from>
    <xdr:ext cx="1447800" cy="304962"/>
    <xdr:pic>
      <xdr:nvPicPr>
        <xdr:cNvPr id="481" name="Imagen 48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24500" y="22116889"/>
          <a:ext cx="1447800" cy="304962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71</xdr:row>
      <xdr:rowOff>140211</xdr:rowOff>
    </xdr:from>
    <xdr:ext cx="1743075" cy="126489"/>
    <xdr:pic>
      <xdr:nvPicPr>
        <xdr:cNvPr id="482" name="Imagen 48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86377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72</xdr:row>
      <xdr:rowOff>139526</xdr:rowOff>
    </xdr:from>
    <xdr:ext cx="1743075" cy="117574"/>
    <xdr:pic>
      <xdr:nvPicPr>
        <xdr:cNvPr id="483" name="Imagen 48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73</xdr:row>
      <xdr:rowOff>28576</xdr:rowOff>
    </xdr:from>
    <xdr:ext cx="1524000" cy="304800"/>
    <xdr:pic>
      <xdr:nvPicPr>
        <xdr:cNvPr id="485" name="Imagen 484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96881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74</xdr:row>
      <xdr:rowOff>38100</xdr:rowOff>
    </xdr:from>
    <xdr:ext cx="1445843" cy="304660"/>
    <xdr:pic>
      <xdr:nvPicPr>
        <xdr:cNvPr id="486" name="Imagen 4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75</xdr:row>
      <xdr:rowOff>9524</xdr:rowOff>
    </xdr:from>
    <xdr:ext cx="571230" cy="390461"/>
    <xdr:pic>
      <xdr:nvPicPr>
        <xdr:cNvPr id="487" name="Imagen 48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57151</xdr:colOff>
      <xdr:row>76</xdr:row>
      <xdr:rowOff>169746</xdr:rowOff>
    </xdr:from>
    <xdr:to>
      <xdr:col>7</xdr:col>
      <xdr:colOff>1743075</xdr:colOff>
      <xdr:row>76</xdr:row>
      <xdr:rowOff>314254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77</xdr:row>
      <xdr:rowOff>114300</xdr:rowOff>
    </xdr:from>
    <xdr:to>
      <xdr:col>7</xdr:col>
      <xdr:colOff>1726134</xdr:colOff>
      <xdr:row>77</xdr:row>
      <xdr:rowOff>295205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78</xdr:row>
      <xdr:rowOff>19050</xdr:rowOff>
    </xdr:from>
    <xdr:ext cx="334500" cy="314159"/>
    <xdr:pic>
      <xdr:nvPicPr>
        <xdr:cNvPr id="490" name="Imagen 4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16789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80</xdr:row>
      <xdr:rowOff>140211</xdr:rowOff>
    </xdr:from>
    <xdr:ext cx="1743075" cy="126489"/>
    <xdr:pic>
      <xdr:nvPicPr>
        <xdr:cNvPr id="491" name="Imagen 49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300021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133349</xdr:colOff>
      <xdr:row>81</xdr:row>
      <xdr:rowOff>76201</xdr:rowOff>
    </xdr:from>
    <xdr:ext cx="1537469" cy="323850"/>
    <xdr:pic>
      <xdr:nvPicPr>
        <xdr:cNvPr id="492" name="Imagen 49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67349" y="26546176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82</xdr:row>
      <xdr:rowOff>139526</xdr:rowOff>
    </xdr:from>
    <xdr:ext cx="1743075" cy="117574"/>
    <xdr:pic>
      <xdr:nvPicPr>
        <xdr:cNvPr id="493" name="Imagen 49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2339957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83</xdr:row>
      <xdr:rowOff>9524</xdr:rowOff>
    </xdr:from>
    <xdr:ext cx="571230" cy="390461"/>
    <xdr:pic>
      <xdr:nvPicPr>
        <xdr:cNvPr id="494" name="Imagen 49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4469724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84</xdr:row>
      <xdr:rowOff>169746</xdr:rowOff>
    </xdr:from>
    <xdr:ext cx="1685924" cy="144508"/>
    <xdr:pic>
      <xdr:nvPicPr>
        <xdr:cNvPr id="495" name="Imagen 49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85725</xdr:colOff>
      <xdr:row>85</xdr:row>
      <xdr:rowOff>114300</xdr:rowOff>
    </xdr:from>
    <xdr:ext cx="1640409" cy="180905"/>
    <xdr:pic>
      <xdr:nvPicPr>
        <xdr:cNvPr id="496" name="Imagen 49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86</xdr:row>
      <xdr:rowOff>38100</xdr:rowOff>
    </xdr:from>
    <xdr:ext cx="1445843" cy="304660"/>
    <xdr:pic>
      <xdr:nvPicPr>
        <xdr:cNvPr id="497" name="Imagen 49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87</xdr:row>
      <xdr:rowOff>28576</xdr:rowOff>
    </xdr:from>
    <xdr:ext cx="1524000" cy="304800"/>
    <xdr:pic>
      <xdr:nvPicPr>
        <xdr:cNvPr id="498" name="Imagen 497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88</xdr:row>
      <xdr:rowOff>19050</xdr:rowOff>
    </xdr:from>
    <xdr:ext cx="334500" cy="314159"/>
    <xdr:pic>
      <xdr:nvPicPr>
        <xdr:cNvPr id="499" name="Imagen 49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56794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90</xdr:row>
      <xdr:rowOff>66675</xdr:rowOff>
    </xdr:from>
    <xdr:ext cx="1717559" cy="161925"/>
    <xdr:pic>
      <xdr:nvPicPr>
        <xdr:cNvPr id="500" name="Imagen 49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9326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91</xdr:row>
      <xdr:rowOff>140211</xdr:rowOff>
    </xdr:from>
    <xdr:ext cx="1743075" cy="126489"/>
    <xdr:pic>
      <xdr:nvPicPr>
        <xdr:cNvPr id="501" name="Imagen 50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66006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92</xdr:row>
      <xdr:rowOff>28576</xdr:rowOff>
    </xdr:from>
    <xdr:ext cx="1524000" cy="304800"/>
    <xdr:pic>
      <xdr:nvPicPr>
        <xdr:cNvPr id="502" name="Imagen 50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147012</xdr:colOff>
      <xdr:row>93</xdr:row>
      <xdr:rowOff>28575</xdr:rowOff>
    </xdr:from>
    <xdr:ext cx="1582691" cy="333376"/>
    <xdr:pic>
      <xdr:nvPicPr>
        <xdr:cNvPr id="503" name="Imagen 50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1012" y="31413450"/>
          <a:ext cx="1582691" cy="333376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94</xdr:row>
      <xdr:rowOff>9524</xdr:rowOff>
    </xdr:from>
    <xdr:ext cx="571230" cy="390461"/>
    <xdr:pic>
      <xdr:nvPicPr>
        <xdr:cNvPr id="504" name="Imagen 50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7698699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38100</xdr:colOff>
      <xdr:row>95</xdr:row>
      <xdr:rowOff>123825</xdr:rowOff>
    </xdr:from>
    <xdr:to>
      <xdr:col>7</xdr:col>
      <xdr:colOff>1706049</xdr:colOff>
      <xdr:row>95</xdr:row>
      <xdr:rowOff>304719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72100" y="32727900"/>
          <a:ext cx="1667949" cy="180894"/>
        </a:xfrm>
        <a:prstGeom prst="rect">
          <a:avLst/>
        </a:prstGeom>
      </xdr:spPr>
    </xdr:pic>
    <xdr:clientData/>
  </xdr:twoCellAnchor>
  <xdr:oneCellAnchor>
    <xdr:from>
      <xdr:col>7</xdr:col>
      <xdr:colOff>209550</xdr:colOff>
      <xdr:row>96</xdr:row>
      <xdr:rowOff>38100</xdr:rowOff>
    </xdr:from>
    <xdr:ext cx="1445843" cy="304660"/>
    <xdr:pic>
      <xdr:nvPicPr>
        <xdr:cNvPr id="507" name="Imagen 50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97</xdr:row>
      <xdr:rowOff>19050</xdr:rowOff>
    </xdr:from>
    <xdr:ext cx="334500" cy="314159"/>
    <xdr:pic>
      <xdr:nvPicPr>
        <xdr:cNvPr id="508" name="Imagen 50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twoCellAnchor editAs="oneCell">
    <xdr:from>
      <xdr:col>7</xdr:col>
      <xdr:colOff>114300</xdr:colOff>
      <xdr:row>12</xdr:row>
      <xdr:rowOff>28575</xdr:rowOff>
    </xdr:from>
    <xdr:to>
      <xdr:col>7</xdr:col>
      <xdr:colOff>1676400</xdr:colOff>
      <xdr:row>13</xdr:row>
      <xdr:rowOff>5141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twoCellAnchor>
  <xdr:oneCellAnchor>
    <xdr:from>
      <xdr:col>7</xdr:col>
      <xdr:colOff>742950</xdr:colOff>
      <xdr:row>13</xdr:row>
      <xdr:rowOff>47625</xdr:rowOff>
    </xdr:from>
    <xdr:ext cx="352425" cy="280838"/>
    <xdr:pic>
      <xdr:nvPicPr>
        <xdr:cNvPr id="509" name="Imagen 50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1564600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23</xdr:row>
      <xdr:rowOff>28575</xdr:rowOff>
    </xdr:from>
    <xdr:ext cx="1562100" cy="309941"/>
    <xdr:pic>
      <xdr:nvPicPr>
        <xdr:cNvPr id="510" name="Imagen 50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24</xdr:row>
      <xdr:rowOff>47625</xdr:rowOff>
    </xdr:from>
    <xdr:ext cx="352425" cy="280838"/>
    <xdr:pic>
      <xdr:nvPicPr>
        <xdr:cNvPr id="511" name="Imagen 51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35337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31</xdr:row>
      <xdr:rowOff>28575</xdr:rowOff>
    </xdr:from>
    <xdr:ext cx="1562100" cy="309941"/>
    <xdr:pic>
      <xdr:nvPicPr>
        <xdr:cNvPr id="512" name="Imagen 5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718185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32</xdr:row>
      <xdr:rowOff>28576</xdr:rowOff>
    </xdr:from>
    <xdr:ext cx="1524000" cy="304800"/>
    <xdr:pic>
      <xdr:nvPicPr>
        <xdr:cNvPr id="513" name="Imagen 51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6457951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33</xdr:row>
      <xdr:rowOff>47625</xdr:rowOff>
    </xdr:from>
    <xdr:ext cx="352425" cy="280838"/>
    <xdr:pic>
      <xdr:nvPicPr>
        <xdr:cNvPr id="514" name="Imagen 51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75723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34</xdr:row>
      <xdr:rowOff>47624</xdr:rowOff>
    </xdr:from>
    <xdr:ext cx="571230" cy="390461"/>
    <xdr:pic>
      <xdr:nvPicPr>
        <xdr:cNvPr id="515" name="Imagen 51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44</xdr:row>
      <xdr:rowOff>28575</xdr:rowOff>
    </xdr:from>
    <xdr:ext cx="1460499" cy="304800"/>
    <xdr:pic>
      <xdr:nvPicPr>
        <xdr:cNvPr id="516" name="Imagen 5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976312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43</xdr:row>
      <xdr:rowOff>38100</xdr:rowOff>
    </xdr:from>
    <xdr:ext cx="1445843" cy="304660"/>
    <xdr:pic>
      <xdr:nvPicPr>
        <xdr:cNvPr id="517" name="Imagen 51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349186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45</xdr:row>
      <xdr:rowOff>104775</xdr:rowOff>
    </xdr:from>
    <xdr:ext cx="1781175" cy="165100"/>
    <xdr:pic>
      <xdr:nvPicPr>
        <xdr:cNvPr id="518" name="Imagen 5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5772150"/>
          <a:ext cx="1781175" cy="165100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46</xdr:row>
      <xdr:rowOff>47624</xdr:rowOff>
    </xdr:from>
    <xdr:ext cx="571230" cy="390461"/>
    <xdr:pic>
      <xdr:nvPicPr>
        <xdr:cNvPr id="519" name="Imagen 51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47</xdr:row>
      <xdr:rowOff>47625</xdr:rowOff>
    </xdr:from>
    <xdr:ext cx="352425" cy="280838"/>
    <xdr:pic>
      <xdr:nvPicPr>
        <xdr:cNvPr id="520" name="Imagen 5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0906125"/>
          <a:ext cx="352425" cy="280838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27</xdr:row>
      <xdr:rowOff>28576</xdr:rowOff>
    </xdr:from>
    <xdr:to>
      <xdr:col>13</xdr:col>
      <xdr:colOff>981074</xdr:colOff>
      <xdr:row>27</xdr:row>
      <xdr:rowOff>314326</xdr:rowOff>
    </xdr:to>
    <xdr:grpSp>
      <xdr:nvGrpSpPr>
        <xdr:cNvPr id="63" name="Grupo 62"/>
        <xdr:cNvGrpSpPr/>
      </xdr:nvGrpSpPr>
      <xdr:grpSpPr>
        <a:xfrm>
          <a:off x="12155261" y="8737147"/>
          <a:ext cx="323849" cy="285750"/>
          <a:chOff x="11277600" y="1028700"/>
          <a:chExt cx="447675" cy="361950"/>
        </a:xfrm>
      </xdr:grpSpPr>
      <xdr:sp macro="" textlink="">
        <xdr:nvSpPr>
          <xdr:cNvPr id="47" name="Rectángulo 46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2" name="Grupo 61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1" name="Rectángulo 60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8" name="CuadroTexto 57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28</xdr:row>
      <xdr:rowOff>9525</xdr:rowOff>
    </xdr:from>
    <xdr:to>
      <xdr:col>13</xdr:col>
      <xdr:colOff>1009650</xdr:colOff>
      <xdr:row>29</xdr:row>
      <xdr:rowOff>0</xdr:rowOff>
    </xdr:to>
    <xdr:grpSp>
      <xdr:nvGrpSpPr>
        <xdr:cNvPr id="65" name="Grupo 64"/>
        <xdr:cNvGrpSpPr/>
      </xdr:nvGrpSpPr>
      <xdr:grpSpPr>
        <a:xfrm>
          <a:off x="12155261" y="9085489"/>
          <a:ext cx="352425" cy="385082"/>
          <a:chOff x="11553825" y="1685925"/>
          <a:chExt cx="352425" cy="361950"/>
        </a:xfrm>
      </xdr:grpSpPr>
      <xdr:sp macro="" textlink="">
        <xdr:nvSpPr>
          <xdr:cNvPr id="64" name="Elipse 63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06" name="Grupo 505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21" name="Rectángulo 520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2" name="CuadroTexto 521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29</xdr:row>
      <xdr:rowOff>53141</xdr:rowOff>
    </xdr:from>
    <xdr:to>
      <xdr:col>13</xdr:col>
      <xdr:colOff>1142999</xdr:colOff>
      <xdr:row>29</xdr:row>
      <xdr:rowOff>304801</xdr:rowOff>
    </xdr:to>
    <xdr:grpSp>
      <xdr:nvGrpSpPr>
        <xdr:cNvPr id="402" name="Grupo 401"/>
        <xdr:cNvGrpSpPr/>
      </xdr:nvGrpSpPr>
      <xdr:grpSpPr>
        <a:xfrm>
          <a:off x="12116726" y="9523712"/>
          <a:ext cx="524309" cy="251660"/>
          <a:chOff x="11413250" y="1550036"/>
          <a:chExt cx="553749" cy="318769"/>
        </a:xfrm>
      </xdr:grpSpPr>
      <xdr:sp macro="" textlink="">
        <xdr:nvSpPr>
          <xdr:cNvPr id="489" name="Rectángulo 488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05" name="CuadroTexto 504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17</xdr:row>
      <xdr:rowOff>28576</xdr:rowOff>
    </xdr:from>
    <xdr:to>
      <xdr:col>13</xdr:col>
      <xdr:colOff>981074</xdr:colOff>
      <xdr:row>17</xdr:row>
      <xdr:rowOff>314326</xdr:rowOff>
    </xdr:to>
    <xdr:grpSp>
      <xdr:nvGrpSpPr>
        <xdr:cNvPr id="523" name="Grupo 522"/>
        <xdr:cNvGrpSpPr/>
      </xdr:nvGrpSpPr>
      <xdr:grpSpPr>
        <a:xfrm>
          <a:off x="12155261" y="5022397"/>
          <a:ext cx="323849" cy="285750"/>
          <a:chOff x="11277600" y="1028700"/>
          <a:chExt cx="447675" cy="361950"/>
        </a:xfrm>
      </xdr:grpSpPr>
      <xdr:sp macro="" textlink="">
        <xdr:nvSpPr>
          <xdr:cNvPr id="524" name="Rectángulo 523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8" name="Grupo 527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9" name="Rectángulo 528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0" name="CuadroTexto 529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18</xdr:row>
      <xdr:rowOff>9525</xdr:rowOff>
    </xdr:from>
    <xdr:to>
      <xdr:col>13</xdr:col>
      <xdr:colOff>1009650</xdr:colOff>
      <xdr:row>18</xdr:row>
      <xdr:rowOff>371475</xdr:rowOff>
    </xdr:to>
    <xdr:grpSp>
      <xdr:nvGrpSpPr>
        <xdr:cNvPr id="536" name="Grupo 535"/>
        <xdr:cNvGrpSpPr/>
      </xdr:nvGrpSpPr>
      <xdr:grpSpPr>
        <a:xfrm>
          <a:off x="12155261" y="5370739"/>
          <a:ext cx="352425" cy="361950"/>
          <a:chOff x="11553825" y="1685925"/>
          <a:chExt cx="352425" cy="361950"/>
        </a:xfrm>
      </xdr:grpSpPr>
      <xdr:sp macro="" textlink="">
        <xdr:nvSpPr>
          <xdr:cNvPr id="537" name="Elipse 536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8" name="Grupo 537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39" name="Rectángulo 538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0" name="CuadroTexto 539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30</xdr:row>
      <xdr:rowOff>38100</xdr:rowOff>
    </xdr:from>
    <xdr:to>
      <xdr:col>13</xdr:col>
      <xdr:colOff>1209685</xdr:colOff>
      <xdr:row>30</xdr:row>
      <xdr:rowOff>333375</xdr:rowOff>
    </xdr:to>
    <xdr:grpSp>
      <xdr:nvGrpSpPr>
        <xdr:cNvPr id="552" name="Grupo 551"/>
        <xdr:cNvGrpSpPr/>
      </xdr:nvGrpSpPr>
      <xdr:grpSpPr>
        <a:xfrm>
          <a:off x="12021915" y="9876064"/>
          <a:ext cx="685806" cy="295275"/>
          <a:chOff x="11277600" y="1028700"/>
          <a:chExt cx="565489" cy="361950"/>
        </a:xfrm>
      </xdr:grpSpPr>
      <xdr:sp macro="" textlink="">
        <xdr:nvSpPr>
          <xdr:cNvPr id="553" name="Rectángulo 552"/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4" name="Grupo 553"/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555" name="Rectángulo 554"/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6" name="CuadroTexto 555"/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31</xdr:row>
      <xdr:rowOff>71745</xdr:rowOff>
    </xdr:from>
    <xdr:to>
      <xdr:col>13</xdr:col>
      <xdr:colOff>1162049</xdr:colOff>
      <xdr:row>31</xdr:row>
      <xdr:rowOff>352425</xdr:rowOff>
    </xdr:to>
    <xdr:grpSp>
      <xdr:nvGrpSpPr>
        <xdr:cNvPr id="560" name="Grupo 559"/>
        <xdr:cNvGrpSpPr/>
      </xdr:nvGrpSpPr>
      <xdr:grpSpPr>
        <a:xfrm>
          <a:off x="12041350" y="10277102"/>
          <a:ext cx="618735" cy="280680"/>
          <a:chOff x="11418775" y="1551457"/>
          <a:chExt cx="242720" cy="178053"/>
        </a:xfrm>
      </xdr:grpSpPr>
      <xdr:sp macro="" textlink="">
        <xdr:nvSpPr>
          <xdr:cNvPr id="561" name="Rectángulo 560"/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62" name="CuadroTexto 561"/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657225</xdr:colOff>
      <xdr:row>37</xdr:row>
      <xdr:rowOff>28576</xdr:rowOff>
    </xdr:from>
    <xdr:to>
      <xdr:col>13</xdr:col>
      <xdr:colOff>981074</xdr:colOff>
      <xdr:row>37</xdr:row>
      <xdr:rowOff>314326</xdr:rowOff>
    </xdr:to>
    <xdr:grpSp>
      <xdr:nvGrpSpPr>
        <xdr:cNvPr id="563" name="Grupo 562"/>
        <xdr:cNvGrpSpPr/>
      </xdr:nvGrpSpPr>
      <xdr:grpSpPr>
        <a:xfrm>
          <a:off x="12155261" y="12628790"/>
          <a:ext cx="323849" cy="285750"/>
          <a:chOff x="11277600" y="1028700"/>
          <a:chExt cx="447675" cy="361950"/>
        </a:xfrm>
      </xdr:grpSpPr>
      <xdr:sp macro="" textlink="">
        <xdr:nvSpPr>
          <xdr:cNvPr id="564" name="Rectángulo 563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65" name="Grupo 564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66" name="Rectángulo 565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67" name="CuadroTexto 566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38</xdr:row>
      <xdr:rowOff>9525</xdr:rowOff>
    </xdr:from>
    <xdr:to>
      <xdr:col>13</xdr:col>
      <xdr:colOff>1009650</xdr:colOff>
      <xdr:row>39</xdr:row>
      <xdr:rowOff>0</xdr:rowOff>
    </xdr:to>
    <xdr:grpSp>
      <xdr:nvGrpSpPr>
        <xdr:cNvPr id="568" name="Grupo 567"/>
        <xdr:cNvGrpSpPr/>
      </xdr:nvGrpSpPr>
      <xdr:grpSpPr>
        <a:xfrm>
          <a:off x="12155261" y="12977132"/>
          <a:ext cx="352425" cy="357868"/>
          <a:chOff x="11553825" y="1685925"/>
          <a:chExt cx="352425" cy="361950"/>
        </a:xfrm>
      </xdr:grpSpPr>
      <xdr:sp macro="" textlink="">
        <xdr:nvSpPr>
          <xdr:cNvPr id="569" name="Elipse 568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70" name="Grupo 569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71" name="Rectángulo 570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72" name="CuadroTexto 571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39</xdr:row>
      <xdr:rowOff>53141</xdr:rowOff>
    </xdr:from>
    <xdr:to>
      <xdr:col>13</xdr:col>
      <xdr:colOff>1142999</xdr:colOff>
      <xdr:row>39</xdr:row>
      <xdr:rowOff>304801</xdr:rowOff>
    </xdr:to>
    <xdr:grpSp>
      <xdr:nvGrpSpPr>
        <xdr:cNvPr id="573" name="Grupo 572"/>
        <xdr:cNvGrpSpPr/>
      </xdr:nvGrpSpPr>
      <xdr:grpSpPr>
        <a:xfrm>
          <a:off x="12116726" y="13388141"/>
          <a:ext cx="524309" cy="251660"/>
          <a:chOff x="11413250" y="1550036"/>
          <a:chExt cx="553749" cy="318769"/>
        </a:xfrm>
      </xdr:grpSpPr>
      <xdr:sp macro="" textlink="">
        <xdr:nvSpPr>
          <xdr:cNvPr id="574" name="Rectángulo 573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75" name="CuadroTexto 574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6</xdr:row>
      <xdr:rowOff>28576</xdr:rowOff>
    </xdr:from>
    <xdr:to>
      <xdr:col>13</xdr:col>
      <xdr:colOff>981074</xdr:colOff>
      <xdr:row>6</xdr:row>
      <xdr:rowOff>314326</xdr:rowOff>
    </xdr:to>
    <xdr:grpSp>
      <xdr:nvGrpSpPr>
        <xdr:cNvPr id="484" name="Grupo 483"/>
        <xdr:cNvGrpSpPr/>
      </xdr:nvGrpSpPr>
      <xdr:grpSpPr>
        <a:xfrm>
          <a:off x="12155261" y="1062719"/>
          <a:ext cx="323849" cy="285750"/>
          <a:chOff x="11277600" y="1028700"/>
          <a:chExt cx="447675" cy="361950"/>
        </a:xfrm>
      </xdr:grpSpPr>
      <xdr:sp macro="" textlink="">
        <xdr:nvSpPr>
          <xdr:cNvPr id="488" name="Rectángulo 487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5" name="Grupo 524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6" name="Rectángulo 525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7" name="CuadroTexto 526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7</xdr:row>
      <xdr:rowOff>28575</xdr:rowOff>
    </xdr:from>
    <xdr:to>
      <xdr:col>13</xdr:col>
      <xdr:colOff>1095374</xdr:colOff>
      <xdr:row>7</xdr:row>
      <xdr:rowOff>352425</xdr:rowOff>
    </xdr:to>
    <xdr:grpSp>
      <xdr:nvGrpSpPr>
        <xdr:cNvPr id="531" name="Grupo 530"/>
        <xdr:cNvGrpSpPr/>
      </xdr:nvGrpSpPr>
      <xdr:grpSpPr>
        <a:xfrm>
          <a:off x="12050485" y="1416504"/>
          <a:ext cx="542925" cy="323850"/>
          <a:chOff x="11277600" y="1028700"/>
          <a:chExt cx="447675" cy="361950"/>
        </a:xfrm>
      </xdr:grpSpPr>
      <xdr:sp macro="" textlink="">
        <xdr:nvSpPr>
          <xdr:cNvPr id="532" name="Rectángulo 531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3" name="Grupo 532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34" name="Rectángulo 533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5" name="CuadroTexto 534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</xdr:row>
      <xdr:rowOff>9525</xdr:rowOff>
    </xdr:from>
    <xdr:to>
      <xdr:col>13</xdr:col>
      <xdr:colOff>1009650</xdr:colOff>
      <xdr:row>8</xdr:row>
      <xdr:rowOff>371475</xdr:rowOff>
    </xdr:to>
    <xdr:grpSp>
      <xdr:nvGrpSpPr>
        <xdr:cNvPr id="541" name="Grupo 540"/>
        <xdr:cNvGrpSpPr/>
      </xdr:nvGrpSpPr>
      <xdr:grpSpPr>
        <a:xfrm>
          <a:off x="12155261" y="1778454"/>
          <a:ext cx="352425" cy="361950"/>
          <a:chOff x="11553825" y="1685925"/>
          <a:chExt cx="352425" cy="361950"/>
        </a:xfrm>
      </xdr:grpSpPr>
      <xdr:sp macro="" textlink="">
        <xdr:nvSpPr>
          <xdr:cNvPr id="542" name="Elipse 541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43" name="Grupo 542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44" name="Rectángulo 543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5" name="CuadroTexto 544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9</xdr:row>
      <xdr:rowOff>43616</xdr:rowOff>
    </xdr:from>
    <xdr:to>
      <xdr:col>13</xdr:col>
      <xdr:colOff>990590</xdr:colOff>
      <xdr:row>9</xdr:row>
      <xdr:rowOff>295276</xdr:rowOff>
    </xdr:to>
    <xdr:grpSp>
      <xdr:nvGrpSpPr>
        <xdr:cNvPr id="546" name="Grupo 545"/>
        <xdr:cNvGrpSpPr/>
      </xdr:nvGrpSpPr>
      <xdr:grpSpPr>
        <a:xfrm>
          <a:off x="12231046" y="2193545"/>
          <a:ext cx="257580" cy="251660"/>
          <a:chOff x="11434483" y="1562101"/>
          <a:chExt cx="356068" cy="318769"/>
        </a:xfrm>
      </xdr:grpSpPr>
      <xdr:sp macro="" textlink="">
        <xdr:nvSpPr>
          <xdr:cNvPr id="547" name="Rectángulo 546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48" name="CuadroTexto 547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552449</xdr:colOff>
      <xdr:row>40</xdr:row>
      <xdr:rowOff>28575</xdr:rowOff>
    </xdr:from>
    <xdr:to>
      <xdr:col>13</xdr:col>
      <xdr:colOff>1095374</xdr:colOff>
      <xdr:row>40</xdr:row>
      <xdr:rowOff>352425</xdr:rowOff>
    </xdr:to>
    <xdr:grpSp>
      <xdr:nvGrpSpPr>
        <xdr:cNvPr id="549" name="Grupo 548"/>
        <xdr:cNvGrpSpPr/>
      </xdr:nvGrpSpPr>
      <xdr:grpSpPr>
        <a:xfrm>
          <a:off x="12050485" y="13730968"/>
          <a:ext cx="542925" cy="323850"/>
          <a:chOff x="11277600" y="1028700"/>
          <a:chExt cx="447675" cy="361950"/>
        </a:xfrm>
      </xdr:grpSpPr>
      <xdr:sp macro="" textlink="">
        <xdr:nvSpPr>
          <xdr:cNvPr id="550" name="Rectángulo 549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1" name="Grupo 550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57" name="Rectángulo 556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8" name="CuadroTexto 557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615639</xdr:colOff>
      <xdr:row>10</xdr:row>
      <xdr:rowOff>45619</xdr:rowOff>
    </xdr:from>
    <xdr:to>
      <xdr:col>13</xdr:col>
      <xdr:colOff>1047466</xdr:colOff>
      <xdr:row>10</xdr:row>
      <xdr:rowOff>330833</xdr:rowOff>
    </xdr:to>
    <xdr:grpSp>
      <xdr:nvGrpSpPr>
        <xdr:cNvPr id="585" name="Grupo 584"/>
        <xdr:cNvGrpSpPr/>
      </xdr:nvGrpSpPr>
      <xdr:grpSpPr>
        <a:xfrm>
          <a:off x="12113675" y="2549333"/>
          <a:ext cx="431827" cy="285214"/>
          <a:chOff x="11434483" y="1562101"/>
          <a:chExt cx="356068" cy="318769"/>
        </a:xfrm>
      </xdr:grpSpPr>
      <xdr:sp macro="" textlink="">
        <xdr:nvSpPr>
          <xdr:cNvPr id="586" name="Rectángulo 585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7" name="CuadroTexto 586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11</xdr:row>
      <xdr:rowOff>99579</xdr:rowOff>
    </xdr:from>
    <xdr:to>
      <xdr:col>13</xdr:col>
      <xdr:colOff>938471</xdr:colOff>
      <xdr:row>11</xdr:row>
      <xdr:rowOff>294409</xdr:rowOff>
    </xdr:to>
    <xdr:grpSp>
      <xdr:nvGrpSpPr>
        <xdr:cNvPr id="74" name="Grupo 73"/>
        <xdr:cNvGrpSpPr/>
      </xdr:nvGrpSpPr>
      <xdr:grpSpPr>
        <a:xfrm>
          <a:off x="12125820" y="2970686"/>
          <a:ext cx="310687" cy="194830"/>
          <a:chOff x="11352068" y="2861829"/>
          <a:chExt cx="310687" cy="194830"/>
        </a:xfrm>
      </xdr:grpSpPr>
      <xdr:cxnSp macro="">
        <xdr:nvCxnSpPr>
          <xdr:cNvPr id="72" name="Conector recto 71"/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8" name="Conector recto 587"/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73" name="Elipse 72"/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9" name="Elipse 588"/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666750</xdr:colOff>
      <xdr:row>50</xdr:row>
      <xdr:rowOff>47625</xdr:rowOff>
    </xdr:from>
    <xdr:to>
      <xdr:col>13</xdr:col>
      <xdr:colOff>1019175</xdr:colOff>
      <xdr:row>50</xdr:row>
      <xdr:rowOff>409575</xdr:rowOff>
    </xdr:to>
    <xdr:grpSp>
      <xdr:nvGrpSpPr>
        <xdr:cNvPr id="636" name="Grupo 635"/>
        <xdr:cNvGrpSpPr/>
      </xdr:nvGrpSpPr>
      <xdr:grpSpPr>
        <a:xfrm>
          <a:off x="12164786" y="18063482"/>
          <a:ext cx="352425" cy="361950"/>
          <a:chOff x="11553825" y="1685925"/>
          <a:chExt cx="352425" cy="361950"/>
        </a:xfrm>
      </xdr:grpSpPr>
      <xdr:sp macro="" textlink="">
        <xdr:nvSpPr>
          <xdr:cNvPr id="637" name="Elipse 636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38" name="Grupo 637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39" name="Rectángulo 638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0" name="CuadroTexto 639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642503</xdr:colOff>
      <xdr:row>51</xdr:row>
      <xdr:rowOff>196016</xdr:rowOff>
    </xdr:from>
    <xdr:to>
      <xdr:col>13</xdr:col>
      <xdr:colOff>1166812</xdr:colOff>
      <xdr:row>51</xdr:row>
      <xdr:rowOff>447676</xdr:rowOff>
    </xdr:to>
    <xdr:grpSp>
      <xdr:nvGrpSpPr>
        <xdr:cNvPr id="641" name="Grupo 640"/>
        <xdr:cNvGrpSpPr/>
      </xdr:nvGrpSpPr>
      <xdr:grpSpPr>
        <a:xfrm>
          <a:off x="12140539" y="18647302"/>
          <a:ext cx="524309" cy="251660"/>
          <a:chOff x="11413250" y="1550036"/>
          <a:chExt cx="553749" cy="318769"/>
        </a:xfrm>
      </xdr:grpSpPr>
      <xdr:sp macro="" textlink="">
        <xdr:nvSpPr>
          <xdr:cNvPr id="642" name="Rectángulo 641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43" name="CuadroTexto 642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60</xdr:row>
      <xdr:rowOff>47625</xdr:rowOff>
    </xdr:from>
    <xdr:to>
      <xdr:col>13</xdr:col>
      <xdr:colOff>1019175</xdr:colOff>
      <xdr:row>61</xdr:row>
      <xdr:rowOff>0</xdr:rowOff>
    </xdr:to>
    <xdr:grpSp>
      <xdr:nvGrpSpPr>
        <xdr:cNvPr id="644" name="Grupo 643"/>
        <xdr:cNvGrpSpPr/>
      </xdr:nvGrpSpPr>
      <xdr:grpSpPr>
        <a:xfrm>
          <a:off x="12164786" y="22118411"/>
          <a:ext cx="352425" cy="346982"/>
          <a:chOff x="11553825" y="1685925"/>
          <a:chExt cx="352425" cy="361950"/>
        </a:xfrm>
      </xdr:grpSpPr>
      <xdr:sp macro="" textlink="">
        <xdr:nvSpPr>
          <xdr:cNvPr id="645" name="Elipse 644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46" name="Grupo 645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47" name="Rectángulo 646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8" name="CuadroTexto 647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61</xdr:row>
      <xdr:rowOff>28576</xdr:rowOff>
    </xdr:from>
    <xdr:to>
      <xdr:col>13</xdr:col>
      <xdr:colOff>981074</xdr:colOff>
      <xdr:row>61</xdr:row>
      <xdr:rowOff>314326</xdr:rowOff>
    </xdr:to>
    <xdr:grpSp>
      <xdr:nvGrpSpPr>
        <xdr:cNvPr id="654" name="Grupo 653"/>
        <xdr:cNvGrpSpPr/>
      </xdr:nvGrpSpPr>
      <xdr:grpSpPr>
        <a:xfrm>
          <a:off x="12155261" y="22493969"/>
          <a:ext cx="323849" cy="285750"/>
          <a:chOff x="11277600" y="1028700"/>
          <a:chExt cx="447675" cy="361950"/>
        </a:xfrm>
      </xdr:grpSpPr>
      <xdr:sp macro="" textlink="">
        <xdr:nvSpPr>
          <xdr:cNvPr id="655" name="Rectángulo 654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56" name="Grupo 655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57" name="Rectángulo 656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58" name="CuadroTexto 657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62</xdr:row>
      <xdr:rowOff>38100</xdr:rowOff>
    </xdr:from>
    <xdr:to>
      <xdr:col>13</xdr:col>
      <xdr:colOff>1209685</xdr:colOff>
      <xdr:row>62</xdr:row>
      <xdr:rowOff>333375</xdr:rowOff>
    </xdr:to>
    <xdr:grpSp>
      <xdr:nvGrpSpPr>
        <xdr:cNvPr id="659" name="Grupo 658"/>
        <xdr:cNvGrpSpPr/>
      </xdr:nvGrpSpPr>
      <xdr:grpSpPr>
        <a:xfrm>
          <a:off x="12021915" y="22870886"/>
          <a:ext cx="685806" cy="295275"/>
          <a:chOff x="11277600" y="1028700"/>
          <a:chExt cx="565489" cy="361950"/>
        </a:xfrm>
      </xdr:grpSpPr>
      <xdr:sp macro="" textlink="">
        <xdr:nvSpPr>
          <xdr:cNvPr id="660" name="Rectángulo 659"/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61" name="Grupo 660"/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62" name="Rectángulo 661"/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63" name="CuadroTexto 662"/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63</xdr:row>
      <xdr:rowOff>71745</xdr:rowOff>
    </xdr:from>
    <xdr:to>
      <xdr:col>13</xdr:col>
      <xdr:colOff>1162049</xdr:colOff>
      <xdr:row>63</xdr:row>
      <xdr:rowOff>352425</xdr:rowOff>
    </xdr:to>
    <xdr:grpSp>
      <xdr:nvGrpSpPr>
        <xdr:cNvPr id="664" name="Grupo 663"/>
        <xdr:cNvGrpSpPr/>
      </xdr:nvGrpSpPr>
      <xdr:grpSpPr>
        <a:xfrm>
          <a:off x="12041350" y="23299138"/>
          <a:ext cx="618735" cy="280680"/>
          <a:chOff x="11418775" y="1551457"/>
          <a:chExt cx="242720" cy="178053"/>
        </a:xfrm>
      </xdr:grpSpPr>
      <xdr:sp macro="" textlink="">
        <xdr:nvSpPr>
          <xdr:cNvPr id="665" name="Rectángulo 664"/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6" name="CuadroTexto 665"/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64</xdr:row>
      <xdr:rowOff>43616</xdr:rowOff>
    </xdr:from>
    <xdr:to>
      <xdr:col>13</xdr:col>
      <xdr:colOff>990590</xdr:colOff>
      <xdr:row>64</xdr:row>
      <xdr:rowOff>295276</xdr:rowOff>
    </xdr:to>
    <xdr:grpSp>
      <xdr:nvGrpSpPr>
        <xdr:cNvPr id="667" name="Grupo 666"/>
        <xdr:cNvGrpSpPr/>
      </xdr:nvGrpSpPr>
      <xdr:grpSpPr>
        <a:xfrm>
          <a:off x="12231046" y="23665616"/>
          <a:ext cx="257580" cy="251660"/>
          <a:chOff x="11434483" y="1562101"/>
          <a:chExt cx="356068" cy="318769"/>
        </a:xfrm>
      </xdr:grpSpPr>
      <xdr:sp macro="" textlink="">
        <xdr:nvSpPr>
          <xdr:cNvPr id="668" name="Rectángulo 667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9" name="CuadroTexto 668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65</xdr:row>
      <xdr:rowOff>53141</xdr:rowOff>
    </xdr:from>
    <xdr:to>
      <xdr:col>13</xdr:col>
      <xdr:colOff>1142999</xdr:colOff>
      <xdr:row>65</xdr:row>
      <xdr:rowOff>304801</xdr:rowOff>
    </xdr:to>
    <xdr:grpSp>
      <xdr:nvGrpSpPr>
        <xdr:cNvPr id="670" name="Grupo 669"/>
        <xdr:cNvGrpSpPr/>
      </xdr:nvGrpSpPr>
      <xdr:grpSpPr>
        <a:xfrm>
          <a:off x="12116726" y="24069748"/>
          <a:ext cx="524309" cy="251660"/>
          <a:chOff x="11413250" y="1550036"/>
          <a:chExt cx="553749" cy="318769"/>
        </a:xfrm>
      </xdr:grpSpPr>
      <xdr:sp macro="" textlink="">
        <xdr:nvSpPr>
          <xdr:cNvPr id="671" name="Rectángulo 670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72" name="CuadroTexto 671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70</xdr:row>
      <xdr:rowOff>47625</xdr:rowOff>
    </xdr:from>
    <xdr:to>
      <xdr:col>13</xdr:col>
      <xdr:colOff>1019175</xdr:colOff>
      <xdr:row>71</xdr:row>
      <xdr:rowOff>0</xdr:rowOff>
    </xdr:to>
    <xdr:grpSp>
      <xdr:nvGrpSpPr>
        <xdr:cNvPr id="673" name="Grupo 672"/>
        <xdr:cNvGrpSpPr/>
      </xdr:nvGrpSpPr>
      <xdr:grpSpPr>
        <a:xfrm>
          <a:off x="12164786" y="26037268"/>
          <a:ext cx="352425" cy="346982"/>
          <a:chOff x="11553825" y="1685925"/>
          <a:chExt cx="352425" cy="361950"/>
        </a:xfrm>
      </xdr:grpSpPr>
      <xdr:sp macro="" textlink="">
        <xdr:nvSpPr>
          <xdr:cNvPr id="674" name="Elipse 673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75" name="Grupo 674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76" name="Rectángulo 675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77" name="CuadroTexto 676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71</xdr:row>
      <xdr:rowOff>28576</xdr:rowOff>
    </xdr:from>
    <xdr:to>
      <xdr:col>13</xdr:col>
      <xdr:colOff>981074</xdr:colOff>
      <xdr:row>71</xdr:row>
      <xdr:rowOff>314326</xdr:rowOff>
    </xdr:to>
    <xdr:grpSp>
      <xdr:nvGrpSpPr>
        <xdr:cNvPr id="678" name="Grupo 677"/>
        <xdr:cNvGrpSpPr/>
      </xdr:nvGrpSpPr>
      <xdr:grpSpPr>
        <a:xfrm>
          <a:off x="12155261" y="26412826"/>
          <a:ext cx="323849" cy="285750"/>
          <a:chOff x="11277600" y="1028700"/>
          <a:chExt cx="447675" cy="361950"/>
        </a:xfrm>
      </xdr:grpSpPr>
      <xdr:sp macro="" textlink="">
        <xdr:nvSpPr>
          <xdr:cNvPr id="679" name="Rectángulo 678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0" name="Grupo 679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81" name="Rectángulo 680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2" name="CuadroTexto 681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72</xdr:row>
      <xdr:rowOff>38100</xdr:rowOff>
    </xdr:from>
    <xdr:to>
      <xdr:col>13</xdr:col>
      <xdr:colOff>1209685</xdr:colOff>
      <xdr:row>72</xdr:row>
      <xdr:rowOff>333375</xdr:rowOff>
    </xdr:to>
    <xdr:grpSp>
      <xdr:nvGrpSpPr>
        <xdr:cNvPr id="683" name="Grupo 682"/>
        <xdr:cNvGrpSpPr/>
      </xdr:nvGrpSpPr>
      <xdr:grpSpPr>
        <a:xfrm>
          <a:off x="12021915" y="26816957"/>
          <a:ext cx="685806" cy="295275"/>
          <a:chOff x="11277600" y="1028700"/>
          <a:chExt cx="565489" cy="361950"/>
        </a:xfrm>
      </xdr:grpSpPr>
      <xdr:sp macro="" textlink="">
        <xdr:nvSpPr>
          <xdr:cNvPr id="684" name="Rectángulo 683"/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5" name="Grupo 684"/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86" name="Rectángulo 685"/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7" name="CuadroTexto 686"/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73</xdr:row>
      <xdr:rowOff>71745</xdr:rowOff>
    </xdr:from>
    <xdr:to>
      <xdr:col>13</xdr:col>
      <xdr:colOff>1162049</xdr:colOff>
      <xdr:row>73</xdr:row>
      <xdr:rowOff>352425</xdr:rowOff>
    </xdr:to>
    <xdr:grpSp>
      <xdr:nvGrpSpPr>
        <xdr:cNvPr id="688" name="Grupo 687"/>
        <xdr:cNvGrpSpPr/>
      </xdr:nvGrpSpPr>
      <xdr:grpSpPr>
        <a:xfrm>
          <a:off x="12041350" y="27245209"/>
          <a:ext cx="618735" cy="280680"/>
          <a:chOff x="11418775" y="1551457"/>
          <a:chExt cx="242720" cy="178053"/>
        </a:xfrm>
      </xdr:grpSpPr>
      <xdr:sp macro="" textlink="">
        <xdr:nvSpPr>
          <xdr:cNvPr id="689" name="Rectángulo 688"/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0" name="CuadroTexto 689"/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74</xdr:row>
      <xdr:rowOff>43616</xdr:rowOff>
    </xdr:from>
    <xdr:to>
      <xdr:col>13</xdr:col>
      <xdr:colOff>990590</xdr:colOff>
      <xdr:row>74</xdr:row>
      <xdr:rowOff>295276</xdr:rowOff>
    </xdr:to>
    <xdr:grpSp>
      <xdr:nvGrpSpPr>
        <xdr:cNvPr id="691" name="Grupo 690"/>
        <xdr:cNvGrpSpPr/>
      </xdr:nvGrpSpPr>
      <xdr:grpSpPr>
        <a:xfrm>
          <a:off x="12231046" y="27611687"/>
          <a:ext cx="257580" cy="251660"/>
          <a:chOff x="11434483" y="1562101"/>
          <a:chExt cx="356068" cy="318769"/>
        </a:xfrm>
      </xdr:grpSpPr>
      <xdr:sp macro="" textlink="">
        <xdr:nvSpPr>
          <xdr:cNvPr id="692" name="Rectángulo 691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3" name="CuadroTexto 692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75</xdr:row>
      <xdr:rowOff>53141</xdr:rowOff>
    </xdr:from>
    <xdr:to>
      <xdr:col>13</xdr:col>
      <xdr:colOff>1142999</xdr:colOff>
      <xdr:row>75</xdr:row>
      <xdr:rowOff>304801</xdr:rowOff>
    </xdr:to>
    <xdr:grpSp>
      <xdr:nvGrpSpPr>
        <xdr:cNvPr id="694" name="Grupo 693"/>
        <xdr:cNvGrpSpPr/>
      </xdr:nvGrpSpPr>
      <xdr:grpSpPr>
        <a:xfrm>
          <a:off x="12116726" y="28015820"/>
          <a:ext cx="524309" cy="251660"/>
          <a:chOff x="11413250" y="1550036"/>
          <a:chExt cx="553749" cy="318769"/>
        </a:xfrm>
      </xdr:grpSpPr>
      <xdr:sp macro="" textlink="">
        <xdr:nvSpPr>
          <xdr:cNvPr id="695" name="Rectángulo 694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6" name="CuadroTexto 695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80</xdr:row>
      <xdr:rowOff>47625</xdr:rowOff>
    </xdr:from>
    <xdr:to>
      <xdr:col>13</xdr:col>
      <xdr:colOff>1019175</xdr:colOff>
      <xdr:row>81</xdr:row>
      <xdr:rowOff>0</xdr:rowOff>
    </xdr:to>
    <xdr:grpSp>
      <xdr:nvGrpSpPr>
        <xdr:cNvPr id="697" name="Grupo 696"/>
        <xdr:cNvGrpSpPr/>
      </xdr:nvGrpSpPr>
      <xdr:grpSpPr>
        <a:xfrm>
          <a:off x="12164786" y="29983339"/>
          <a:ext cx="352425" cy="360590"/>
          <a:chOff x="11553825" y="1685925"/>
          <a:chExt cx="352425" cy="361950"/>
        </a:xfrm>
      </xdr:grpSpPr>
      <xdr:sp macro="" textlink="">
        <xdr:nvSpPr>
          <xdr:cNvPr id="698" name="Elipse 697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99" name="Grupo 698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00" name="Rectángulo 699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1" name="CuadroTexto 700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81</xdr:row>
      <xdr:rowOff>28576</xdr:rowOff>
    </xdr:from>
    <xdr:to>
      <xdr:col>13</xdr:col>
      <xdr:colOff>981074</xdr:colOff>
      <xdr:row>81</xdr:row>
      <xdr:rowOff>314326</xdr:rowOff>
    </xdr:to>
    <xdr:grpSp>
      <xdr:nvGrpSpPr>
        <xdr:cNvPr id="702" name="Grupo 701"/>
        <xdr:cNvGrpSpPr/>
      </xdr:nvGrpSpPr>
      <xdr:grpSpPr>
        <a:xfrm>
          <a:off x="12155261" y="30372505"/>
          <a:ext cx="323849" cy="285750"/>
          <a:chOff x="11277600" y="1028700"/>
          <a:chExt cx="447675" cy="361950"/>
        </a:xfrm>
      </xdr:grpSpPr>
      <xdr:sp macro="" textlink="">
        <xdr:nvSpPr>
          <xdr:cNvPr id="703" name="Rectángulo 702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4" name="Grupo 703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05" name="Rectángulo 704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6" name="CuadroTexto 705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82</xdr:row>
      <xdr:rowOff>38100</xdr:rowOff>
    </xdr:from>
    <xdr:to>
      <xdr:col>13</xdr:col>
      <xdr:colOff>1209685</xdr:colOff>
      <xdr:row>82</xdr:row>
      <xdr:rowOff>333375</xdr:rowOff>
    </xdr:to>
    <xdr:grpSp>
      <xdr:nvGrpSpPr>
        <xdr:cNvPr id="707" name="Grupo 706"/>
        <xdr:cNvGrpSpPr/>
      </xdr:nvGrpSpPr>
      <xdr:grpSpPr>
        <a:xfrm>
          <a:off x="12021915" y="30790243"/>
          <a:ext cx="685806" cy="295275"/>
          <a:chOff x="11277600" y="1028700"/>
          <a:chExt cx="565489" cy="361950"/>
        </a:xfrm>
      </xdr:grpSpPr>
      <xdr:sp macro="" textlink="">
        <xdr:nvSpPr>
          <xdr:cNvPr id="708" name="Rectángulo 707"/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9" name="Grupo 708"/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10" name="Rectángulo 709"/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11" name="CuadroTexto 710"/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83</xdr:row>
      <xdr:rowOff>71745</xdr:rowOff>
    </xdr:from>
    <xdr:to>
      <xdr:col>13</xdr:col>
      <xdr:colOff>1162049</xdr:colOff>
      <xdr:row>83</xdr:row>
      <xdr:rowOff>352425</xdr:rowOff>
    </xdr:to>
    <xdr:grpSp>
      <xdr:nvGrpSpPr>
        <xdr:cNvPr id="712" name="Grupo 711"/>
        <xdr:cNvGrpSpPr/>
      </xdr:nvGrpSpPr>
      <xdr:grpSpPr>
        <a:xfrm>
          <a:off x="12041350" y="31232102"/>
          <a:ext cx="618735" cy="280680"/>
          <a:chOff x="11418775" y="1551457"/>
          <a:chExt cx="242720" cy="178053"/>
        </a:xfrm>
      </xdr:grpSpPr>
      <xdr:sp macro="" textlink="">
        <xdr:nvSpPr>
          <xdr:cNvPr id="713" name="Rectángulo 712"/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4" name="CuadroTexto 713"/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84</xdr:row>
      <xdr:rowOff>43616</xdr:rowOff>
    </xdr:from>
    <xdr:to>
      <xdr:col>13</xdr:col>
      <xdr:colOff>990590</xdr:colOff>
      <xdr:row>84</xdr:row>
      <xdr:rowOff>295276</xdr:rowOff>
    </xdr:to>
    <xdr:grpSp>
      <xdr:nvGrpSpPr>
        <xdr:cNvPr id="715" name="Grupo 714"/>
        <xdr:cNvGrpSpPr/>
      </xdr:nvGrpSpPr>
      <xdr:grpSpPr>
        <a:xfrm>
          <a:off x="12231046" y="31612187"/>
          <a:ext cx="257580" cy="251660"/>
          <a:chOff x="11434483" y="1562101"/>
          <a:chExt cx="356068" cy="318769"/>
        </a:xfrm>
      </xdr:grpSpPr>
      <xdr:sp macro="" textlink="">
        <xdr:nvSpPr>
          <xdr:cNvPr id="716" name="Rectángulo 715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7" name="CuadroTexto 716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85</xdr:row>
      <xdr:rowOff>53141</xdr:rowOff>
    </xdr:from>
    <xdr:to>
      <xdr:col>13</xdr:col>
      <xdr:colOff>1142999</xdr:colOff>
      <xdr:row>85</xdr:row>
      <xdr:rowOff>304801</xdr:rowOff>
    </xdr:to>
    <xdr:grpSp>
      <xdr:nvGrpSpPr>
        <xdr:cNvPr id="718" name="Grupo 717"/>
        <xdr:cNvGrpSpPr/>
      </xdr:nvGrpSpPr>
      <xdr:grpSpPr>
        <a:xfrm>
          <a:off x="12116726" y="32029927"/>
          <a:ext cx="524309" cy="251660"/>
          <a:chOff x="11413250" y="1550036"/>
          <a:chExt cx="553749" cy="318769"/>
        </a:xfrm>
      </xdr:grpSpPr>
      <xdr:sp macro="" textlink="">
        <xdr:nvSpPr>
          <xdr:cNvPr id="719" name="Rectángulo 718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20" name="CuadroTexto 719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90</xdr:row>
      <xdr:rowOff>47625</xdr:rowOff>
    </xdr:from>
    <xdr:to>
      <xdr:col>13</xdr:col>
      <xdr:colOff>1019175</xdr:colOff>
      <xdr:row>91</xdr:row>
      <xdr:rowOff>0</xdr:rowOff>
    </xdr:to>
    <xdr:grpSp>
      <xdr:nvGrpSpPr>
        <xdr:cNvPr id="721" name="Grupo 720"/>
        <xdr:cNvGrpSpPr/>
      </xdr:nvGrpSpPr>
      <xdr:grpSpPr>
        <a:xfrm>
          <a:off x="12164786" y="34065482"/>
          <a:ext cx="352425" cy="360589"/>
          <a:chOff x="11553825" y="1685925"/>
          <a:chExt cx="352425" cy="361950"/>
        </a:xfrm>
      </xdr:grpSpPr>
      <xdr:sp macro="" textlink="">
        <xdr:nvSpPr>
          <xdr:cNvPr id="722" name="Elipse 721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3" name="Grupo 722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24" name="Rectángulo 723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25" name="CuadroTexto 724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91</xdr:row>
      <xdr:rowOff>28576</xdr:rowOff>
    </xdr:from>
    <xdr:to>
      <xdr:col>13</xdr:col>
      <xdr:colOff>981074</xdr:colOff>
      <xdr:row>91</xdr:row>
      <xdr:rowOff>314326</xdr:rowOff>
    </xdr:to>
    <xdr:grpSp>
      <xdr:nvGrpSpPr>
        <xdr:cNvPr id="726" name="Grupo 725"/>
        <xdr:cNvGrpSpPr/>
      </xdr:nvGrpSpPr>
      <xdr:grpSpPr>
        <a:xfrm>
          <a:off x="12155261" y="34454647"/>
          <a:ext cx="323849" cy="285750"/>
          <a:chOff x="11277600" y="1028700"/>
          <a:chExt cx="447675" cy="361950"/>
        </a:xfrm>
      </xdr:grpSpPr>
      <xdr:sp macro="" textlink="">
        <xdr:nvSpPr>
          <xdr:cNvPr id="727" name="Rectángulo 726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8" name="Grupo 727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29" name="Rectángulo 728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0" name="CuadroTexto 729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92</xdr:row>
      <xdr:rowOff>38100</xdr:rowOff>
    </xdr:from>
    <xdr:to>
      <xdr:col>13</xdr:col>
      <xdr:colOff>1209685</xdr:colOff>
      <xdr:row>92</xdr:row>
      <xdr:rowOff>333375</xdr:rowOff>
    </xdr:to>
    <xdr:grpSp>
      <xdr:nvGrpSpPr>
        <xdr:cNvPr id="731" name="Grupo 730"/>
        <xdr:cNvGrpSpPr/>
      </xdr:nvGrpSpPr>
      <xdr:grpSpPr>
        <a:xfrm>
          <a:off x="12021915" y="34872386"/>
          <a:ext cx="685806" cy="295275"/>
          <a:chOff x="11277600" y="1028700"/>
          <a:chExt cx="565489" cy="361950"/>
        </a:xfrm>
      </xdr:grpSpPr>
      <xdr:sp macro="" textlink="">
        <xdr:nvSpPr>
          <xdr:cNvPr id="732" name="Rectángulo 731"/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33" name="Grupo 732"/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34" name="Rectángulo 733"/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5" name="CuadroTexto 734"/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93</xdr:row>
      <xdr:rowOff>71745</xdr:rowOff>
    </xdr:from>
    <xdr:to>
      <xdr:col>13</xdr:col>
      <xdr:colOff>1162049</xdr:colOff>
      <xdr:row>93</xdr:row>
      <xdr:rowOff>352425</xdr:rowOff>
    </xdr:to>
    <xdr:grpSp>
      <xdr:nvGrpSpPr>
        <xdr:cNvPr id="736" name="Grupo 735"/>
        <xdr:cNvGrpSpPr/>
      </xdr:nvGrpSpPr>
      <xdr:grpSpPr>
        <a:xfrm>
          <a:off x="12041350" y="35314245"/>
          <a:ext cx="618735" cy="280680"/>
          <a:chOff x="11418775" y="1551457"/>
          <a:chExt cx="242720" cy="178053"/>
        </a:xfrm>
      </xdr:grpSpPr>
      <xdr:sp macro="" textlink="">
        <xdr:nvSpPr>
          <xdr:cNvPr id="737" name="Rectángulo 736"/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38" name="CuadroTexto 737"/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94</xdr:row>
      <xdr:rowOff>43616</xdr:rowOff>
    </xdr:from>
    <xdr:to>
      <xdr:col>13</xdr:col>
      <xdr:colOff>990590</xdr:colOff>
      <xdr:row>94</xdr:row>
      <xdr:rowOff>295276</xdr:rowOff>
    </xdr:to>
    <xdr:grpSp>
      <xdr:nvGrpSpPr>
        <xdr:cNvPr id="739" name="Grupo 738"/>
        <xdr:cNvGrpSpPr/>
      </xdr:nvGrpSpPr>
      <xdr:grpSpPr>
        <a:xfrm>
          <a:off x="12231046" y="35694330"/>
          <a:ext cx="257580" cy="251660"/>
          <a:chOff x="11434483" y="1562101"/>
          <a:chExt cx="356068" cy="318769"/>
        </a:xfrm>
      </xdr:grpSpPr>
      <xdr:sp macro="" textlink="">
        <xdr:nvSpPr>
          <xdr:cNvPr id="740" name="Rectángulo 739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1" name="CuadroTexto 740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95</xdr:row>
      <xdr:rowOff>53141</xdr:rowOff>
    </xdr:from>
    <xdr:to>
      <xdr:col>13</xdr:col>
      <xdr:colOff>1142999</xdr:colOff>
      <xdr:row>95</xdr:row>
      <xdr:rowOff>304801</xdr:rowOff>
    </xdr:to>
    <xdr:grpSp>
      <xdr:nvGrpSpPr>
        <xdr:cNvPr id="742" name="Grupo 741"/>
        <xdr:cNvGrpSpPr/>
      </xdr:nvGrpSpPr>
      <xdr:grpSpPr>
        <a:xfrm>
          <a:off x="12116726" y="36112070"/>
          <a:ext cx="524309" cy="251660"/>
          <a:chOff x="11413250" y="1550036"/>
          <a:chExt cx="553749" cy="318769"/>
        </a:xfrm>
      </xdr:grpSpPr>
      <xdr:sp macro="" textlink="">
        <xdr:nvSpPr>
          <xdr:cNvPr id="743" name="Rectángulo 742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4" name="CuadroTexto 743"/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19</xdr:col>
      <xdr:colOff>466115</xdr:colOff>
      <xdr:row>6</xdr:row>
      <xdr:rowOff>39315</xdr:rowOff>
    </xdr:from>
    <xdr:to>
      <xdr:col>19</xdr:col>
      <xdr:colOff>742747</xdr:colOff>
      <xdr:row>6</xdr:row>
      <xdr:rowOff>296491</xdr:rowOff>
    </xdr:to>
    <xdr:grpSp>
      <xdr:nvGrpSpPr>
        <xdr:cNvPr id="82" name="Grupo 81"/>
        <xdr:cNvGrpSpPr/>
      </xdr:nvGrpSpPr>
      <xdr:grpSpPr>
        <a:xfrm>
          <a:off x="17202901" y="1073458"/>
          <a:ext cx="276632" cy="257176"/>
          <a:chOff x="16172232" y="991815"/>
          <a:chExt cx="276632" cy="257176"/>
        </a:xfrm>
      </xdr:grpSpPr>
      <xdr:sp macro="" textlink="">
        <xdr:nvSpPr>
          <xdr:cNvPr id="75" name="Rectángulo 74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6" name="Triángulo isósceles 75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</xdr:row>
      <xdr:rowOff>32844</xdr:rowOff>
    </xdr:from>
    <xdr:to>
      <xdr:col>19</xdr:col>
      <xdr:colOff>1059656</xdr:colOff>
      <xdr:row>7</xdr:row>
      <xdr:rowOff>297180</xdr:rowOff>
    </xdr:to>
    <xdr:grpSp>
      <xdr:nvGrpSpPr>
        <xdr:cNvPr id="100" name="Grupo 99"/>
        <xdr:cNvGrpSpPr/>
      </xdr:nvGrpSpPr>
      <xdr:grpSpPr>
        <a:xfrm>
          <a:off x="16937280" y="1420773"/>
          <a:ext cx="859162" cy="264336"/>
          <a:chOff x="15926269" y="1328244"/>
          <a:chExt cx="859162" cy="264336"/>
        </a:xfrm>
      </xdr:grpSpPr>
      <xdr:grpSp>
        <xdr:nvGrpSpPr>
          <xdr:cNvPr id="802" name="Grupo 801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803" name="Rectángulo 802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804" name="Triángulo isósceles 803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99" name="Grupo 98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5" name="Conector recto 84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05" name="Conector recto 804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98" name="Grupo 97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806" name="Conector recto 805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7" name="Conector recto 806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6" name="Grupo 95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08" name="Conector recto 807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9" name="Conector recto 808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0" name="Conector recto 809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5" name="Grupo 94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811" name="Conector recto 810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2" name="Conector recto 811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3" name="Conector recto 812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14" name="Conector recto 813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15" name="Grupo 814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16" name="Conector recto 815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7" name="Conector recto 816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8" name="Conector recto 817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7" name="Grupo 96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19" name="Grupo 818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20" name="Conector recto 819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1" name="Conector recto 820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2" name="Conector recto 821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31" name="Conector recto 830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33" name="Grupo 832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35" name="Conector recto 834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6" name="Conector recto 835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7" name="Conector recto 836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17</xdr:row>
      <xdr:rowOff>39315</xdr:rowOff>
    </xdr:from>
    <xdr:to>
      <xdr:col>19</xdr:col>
      <xdr:colOff>742747</xdr:colOff>
      <xdr:row>17</xdr:row>
      <xdr:rowOff>296491</xdr:rowOff>
    </xdr:to>
    <xdr:grpSp>
      <xdr:nvGrpSpPr>
        <xdr:cNvPr id="838" name="Grupo 837"/>
        <xdr:cNvGrpSpPr/>
      </xdr:nvGrpSpPr>
      <xdr:grpSpPr>
        <a:xfrm>
          <a:off x="17202901" y="5033136"/>
          <a:ext cx="276632" cy="257176"/>
          <a:chOff x="16172232" y="991815"/>
          <a:chExt cx="276632" cy="257176"/>
        </a:xfrm>
      </xdr:grpSpPr>
      <xdr:sp macro="" textlink="">
        <xdr:nvSpPr>
          <xdr:cNvPr id="839" name="Rectángulo 838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40" name="Triángulo isósceles 839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466115</xdr:colOff>
      <xdr:row>27</xdr:row>
      <xdr:rowOff>39315</xdr:rowOff>
    </xdr:from>
    <xdr:to>
      <xdr:col>19</xdr:col>
      <xdr:colOff>742747</xdr:colOff>
      <xdr:row>27</xdr:row>
      <xdr:rowOff>296491</xdr:rowOff>
    </xdr:to>
    <xdr:grpSp>
      <xdr:nvGrpSpPr>
        <xdr:cNvPr id="874" name="Grupo 873"/>
        <xdr:cNvGrpSpPr/>
      </xdr:nvGrpSpPr>
      <xdr:grpSpPr>
        <a:xfrm>
          <a:off x="17202901" y="8747886"/>
          <a:ext cx="276632" cy="257176"/>
          <a:chOff x="16172232" y="991815"/>
          <a:chExt cx="276632" cy="257176"/>
        </a:xfrm>
      </xdr:grpSpPr>
      <xdr:sp macro="" textlink="">
        <xdr:nvSpPr>
          <xdr:cNvPr id="875" name="Rectángulo 874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76" name="Triángulo isósceles 875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28</xdr:row>
      <xdr:rowOff>32844</xdr:rowOff>
    </xdr:from>
    <xdr:to>
      <xdr:col>19</xdr:col>
      <xdr:colOff>1059656</xdr:colOff>
      <xdr:row>28</xdr:row>
      <xdr:rowOff>297180</xdr:rowOff>
    </xdr:to>
    <xdr:grpSp>
      <xdr:nvGrpSpPr>
        <xdr:cNvPr id="877" name="Grupo 876"/>
        <xdr:cNvGrpSpPr/>
      </xdr:nvGrpSpPr>
      <xdr:grpSpPr>
        <a:xfrm>
          <a:off x="16937280" y="9108808"/>
          <a:ext cx="859162" cy="264336"/>
          <a:chOff x="15926269" y="1328244"/>
          <a:chExt cx="859162" cy="264336"/>
        </a:xfrm>
      </xdr:grpSpPr>
      <xdr:grpSp>
        <xdr:nvGrpSpPr>
          <xdr:cNvPr id="878" name="Grupo 877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908" name="Rectángulo 907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909" name="Triángulo isósceles 908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879" name="Grupo 878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80" name="Conector recto 879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81" name="Conector recto 880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2" name="Grupo 881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906" name="Conector recto 905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7" name="Conector recto 906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3" name="Grupo 882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903" name="Conector recto 902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4" name="Conector recto 903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5" name="Conector recto 904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4" name="Grupo 883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900" name="Conector recto 899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1" name="Conector recto 900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2" name="Conector recto 901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85" name="Conector recto 884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6" name="Grupo 885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97" name="Conector recto 896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8" name="Conector recto 897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9" name="Conector recto 898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7" name="Grupo 886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92" name="Grupo 891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94" name="Conector recto 893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5" name="Conector recto 894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6" name="Conector recto 895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93" name="Conector recto 892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8" name="Grupo 887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89" name="Conector recto 888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0" name="Conector recto 889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1" name="Conector recto 890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37</xdr:row>
      <xdr:rowOff>39315</xdr:rowOff>
    </xdr:from>
    <xdr:to>
      <xdr:col>19</xdr:col>
      <xdr:colOff>742747</xdr:colOff>
      <xdr:row>37</xdr:row>
      <xdr:rowOff>296491</xdr:rowOff>
    </xdr:to>
    <xdr:grpSp>
      <xdr:nvGrpSpPr>
        <xdr:cNvPr id="1126" name="Grupo 1125"/>
        <xdr:cNvGrpSpPr/>
      </xdr:nvGrpSpPr>
      <xdr:grpSpPr>
        <a:xfrm>
          <a:off x="17202901" y="12639529"/>
          <a:ext cx="276632" cy="257176"/>
          <a:chOff x="16172232" y="991815"/>
          <a:chExt cx="276632" cy="257176"/>
        </a:xfrm>
      </xdr:grpSpPr>
      <xdr:sp macro="" textlink="">
        <xdr:nvSpPr>
          <xdr:cNvPr id="1127" name="Rectángulo 1126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28" name="Triángulo isósceles 1127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38</xdr:row>
      <xdr:rowOff>32844</xdr:rowOff>
    </xdr:from>
    <xdr:to>
      <xdr:col>19</xdr:col>
      <xdr:colOff>1059656</xdr:colOff>
      <xdr:row>38</xdr:row>
      <xdr:rowOff>297180</xdr:rowOff>
    </xdr:to>
    <xdr:grpSp>
      <xdr:nvGrpSpPr>
        <xdr:cNvPr id="1129" name="Grupo 1128"/>
        <xdr:cNvGrpSpPr/>
      </xdr:nvGrpSpPr>
      <xdr:grpSpPr>
        <a:xfrm>
          <a:off x="16937280" y="13000451"/>
          <a:ext cx="859162" cy="264336"/>
          <a:chOff x="15926269" y="1328244"/>
          <a:chExt cx="859162" cy="264336"/>
        </a:xfrm>
      </xdr:grpSpPr>
      <xdr:grpSp>
        <xdr:nvGrpSpPr>
          <xdr:cNvPr id="1130" name="Grupo 1129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60" name="Rectángulo 1159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61" name="Triángulo isósceles 1160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31" name="Grupo 1130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32" name="Conector recto 1131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33" name="Conector recto 1132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4" name="Grupo 1133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58" name="Conector recto 1157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9" name="Conector recto 1158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5" name="Grupo 1134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55" name="Conector recto 1154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6" name="Conector recto 1155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7" name="Conector recto 1156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6" name="Grupo 1135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52" name="Conector recto 1151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3" name="Conector recto 1152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4" name="Conector recto 1153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37" name="Conector recto 1136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8" name="Grupo 1137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49" name="Conector recto 1148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0" name="Conector recto 1149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1" name="Conector recto 1150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9" name="Grupo 1138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44" name="Grupo 1143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46" name="Conector recto 1145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7" name="Conector recto 1146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8" name="Conector recto 1147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45" name="Conector recto 1144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40" name="Grupo 1139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41" name="Conector recto 1140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2" name="Conector recto 1141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3" name="Conector recto 1142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50</xdr:row>
      <xdr:rowOff>39315</xdr:rowOff>
    </xdr:from>
    <xdr:to>
      <xdr:col>19</xdr:col>
      <xdr:colOff>742747</xdr:colOff>
      <xdr:row>50</xdr:row>
      <xdr:rowOff>296491</xdr:rowOff>
    </xdr:to>
    <xdr:grpSp>
      <xdr:nvGrpSpPr>
        <xdr:cNvPr id="1162" name="Grupo 1161"/>
        <xdr:cNvGrpSpPr/>
      </xdr:nvGrpSpPr>
      <xdr:grpSpPr>
        <a:xfrm>
          <a:off x="17202901" y="18055172"/>
          <a:ext cx="276632" cy="257176"/>
          <a:chOff x="16172232" y="991815"/>
          <a:chExt cx="276632" cy="257176"/>
        </a:xfrm>
      </xdr:grpSpPr>
      <xdr:sp macro="" textlink="">
        <xdr:nvSpPr>
          <xdr:cNvPr id="1163" name="Rectángulo 1162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64" name="Triángulo isósceles 1163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51</xdr:row>
      <xdr:rowOff>32844</xdr:rowOff>
    </xdr:from>
    <xdr:to>
      <xdr:col>19</xdr:col>
      <xdr:colOff>1059656</xdr:colOff>
      <xdr:row>51</xdr:row>
      <xdr:rowOff>297180</xdr:rowOff>
    </xdr:to>
    <xdr:grpSp>
      <xdr:nvGrpSpPr>
        <xdr:cNvPr id="1165" name="Grupo 1164"/>
        <xdr:cNvGrpSpPr/>
      </xdr:nvGrpSpPr>
      <xdr:grpSpPr>
        <a:xfrm>
          <a:off x="16937280" y="18484130"/>
          <a:ext cx="859162" cy="264336"/>
          <a:chOff x="15926269" y="1328244"/>
          <a:chExt cx="859162" cy="264336"/>
        </a:xfrm>
      </xdr:grpSpPr>
      <xdr:grpSp>
        <xdr:nvGrpSpPr>
          <xdr:cNvPr id="1166" name="Grupo 1165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96" name="Rectángulo 1195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97" name="Triángulo isósceles 1196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67" name="Grupo 1166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68" name="Conector recto 1167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69" name="Conector recto 1168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0" name="Grupo 1169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94" name="Conector recto 1193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5" name="Conector recto 1194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1" name="Grupo 1170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91" name="Conector recto 1190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2" name="Conector recto 1191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3" name="Conector recto 1192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2" name="Grupo 1171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88" name="Conector recto 1187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9" name="Conector recto 1188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0" name="Conector recto 1189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73" name="Conector recto 1172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4" name="Grupo 1173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85" name="Conector recto 1184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6" name="Conector recto 1185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7" name="Conector recto 1186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5" name="Grupo 1174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80" name="Grupo 1179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82" name="Conector recto 1181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3" name="Conector recto 1182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4" name="Conector recto 1183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81" name="Conector recto 1180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6" name="Grupo 1175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77" name="Conector recto 1176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8" name="Conector recto 1177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9" name="Conector recto 1178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60</xdr:row>
      <xdr:rowOff>39315</xdr:rowOff>
    </xdr:from>
    <xdr:to>
      <xdr:col>19</xdr:col>
      <xdr:colOff>742747</xdr:colOff>
      <xdr:row>60</xdr:row>
      <xdr:rowOff>296491</xdr:rowOff>
    </xdr:to>
    <xdr:grpSp>
      <xdr:nvGrpSpPr>
        <xdr:cNvPr id="1198" name="Grupo 1197"/>
        <xdr:cNvGrpSpPr/>
      </xdr:nvGrpSpPr>
      <xdr:grpSpPr>
        <a:xfrm>
          <a:off x="17202901" y="22110101"/>
          <a:ext cx="276632" cy="257176"/>
          <a:chOff x="16172232" y="991815"/>
          <a:chExt cx="276632" cy="257176"/>
        </a:xfrm>
      </xdr:grpSpPr>
      <xdr:sp macro="" textlink="">
        <xdr:nvSpPr>
          <xdr:cNvPr id="1199" name="Rectángulo 1198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00" name="Triángulo isósceles 1199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61</xdr:row>
      <xdr:rowOff>32844</xdr:rowOff>
    </xdr:from>
    <xdr:to>
      <xdr:col>19</xdr:col>
      <xdr:colOff>1059656</xdr:colOff>
      <xdr:row>61</xdr:row>
      <xdr:rowOff>297180</xdr:rowOff>
    </xdr:to>
    <xdr:grpSp>
      <xdr:nvGrpSpPr>
        <xdr:cNvPr id="1201" name="Grupo 1200"/>
        <xdr:cNvGrpSpPr/>
      </xdr:nvGrpSpPr>
      <xdr:grpSpPr>
        <a:xfrm>
          <a:off x="16937280" y="22498237"/>
          <a:ext cx="859162" cy="264336"/>
          <a:chOff x="15926269" y="1328244"/>
          <a:chExt cx="859162" cy="264336"/>
        </a:xfrm>
      </xdr:grpSpPr>
      <xdr:grpSp>
        <xdr:nvGrpSpPr>
          <xdr:cNvPr id="1202" name="Grupo 1201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32" name="Rectángulo 1231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33" name="Triángulo isósceles 1232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03" name="Grupo 1202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04" name="Conector recto 1203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05" name="Conector recto 1204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06" name="Grupo 1205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30" name="Conector recto 1229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31" name="Conector recto 1230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7" name="Grupo 1206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7" name="Conector recto 1226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8" name="Conector recto 1227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9" name="Conector recto 1228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8" name="Grupo 1207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24" name="Conector recto 1223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5" name="Conector recto 1224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6" name="Conector recto 1225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09" name="Conector recto 1208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10" name="Grupo 1209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1" name="Conector recto 1220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2" name="Conector recto 1221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3" name="Conector recto 1222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1" name="Grupo 1210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16" name="Grupo 1215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18" name="Conector recto 1217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19" name="Conector recto 1218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20" name="Conector recto 1219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17" name="Conector recto 1216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2" name="Grupo 1211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13" name="Conector recto 1212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4" name="Conector recto 1213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5" name="Conector recto 1214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70</xdr:row>
      <xdr:rowOff>39315</xdr:rowOff>
    </xdr:from>
    <xdr:to>
      <xdr:col>19</xdr:col>
      <xdr:colOff>742747</xdr:colOff>
      <xdr:row>70</xdr:row>
      <xdr:rowOff>296491</xdr:rowOff>
    </xdr:to>
    <xdr:grpSp>
      <xdr:nvGrpSpPr>
        <xdr:cNvPr id="1234" name="Grupo 1233"/>
        <xdr:cNvGrpSpPr/>
      </xdr:nvGrpSpPr>
      <xdr:grpSpPr>
        <a:xfrm>
          <a:off x="17202901" y="26028958"/>
          <a:ext cx="276632" cy="257176"/>
          <a:chOff x="16172232" y="991815"/>
          <a:chExt cx="276632" cy="257176"/>
        </a:xfrm>
      </xdr:grpSpPr>
      <xdr:sp macro="" textlink="">
        <xdr:nvSpPr>
          <xdr:cNvPr id="1235" name="Rectángulo 1234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36" name="Triángulo isósceles 1235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71</xdr:row>
      <xdr:rowOff>32844</xdr:rowOff>
    </xdr:from>
    <xdr:to>
      <xdr:col>19</xdr:col>
      <xdr:colOff>1059656</xdr:colOff>
      <xdr:row>71</xdr:row>
      <xdr:rowOff>297180</xdr:rowOff>
    </xdr:to>
    <xdr:grpSp>
      <xdr:nvGrpSpPr>
        <xdr:cNvPr id="1237" name="Grupo 1236"/>
        <xdr:cNvGrpSpPr/>
      </xdr:nvGrpSpPr>
      <xdr:grpSpPr>
        <a:xfrm>
          <a:off x="16937280" y="26417094"/>
          <a:ext cx="859162" cy="264336"/>
          <a:chOff x="15926269" y="1328244"/>
          <a:chExt cx="859162" cy="264336"/>
        </a:xfrm>
      </xdr:grpSpPr>
      <xdr:grpSp>
        <xdr:nvGrpSpPr>
          <xdr:cNvPr id="1238" name="Grupo 1237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68" name="Rectángulo 1267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69" name="Triángulo isósceles 1268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39" name="Grupo 1238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40" name="Conector recto 1239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41" name="Conector recto 1240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2" name="Grupo 1241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66" name="Conector recto 1265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7" name="Conector recto 1266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3" name="Grupo 1242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63" name="Conector recto 1262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4" name="Conector recto 1263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5" name="Conector recto 1264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4" name="Grupo 1243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60" name="Conector recto 1259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1" name="Conector recto 1260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2" name="Conector recto 1261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45" name="Conector recto 1244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6" name="Grupo 1245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57" name="Conector recto 1256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8" name="Conector recto 1257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9" name="Conector recto 1258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7" name="Grupo 1246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52" name="Grupo 1251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54" name="Conector recto 1253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5" name="Conector recto 1254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6" name="Conector recto 1255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53" name="Conector recto 1252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8" name="Grupo 1247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49" name="Conector recto 1248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0" name="Conector recto 1249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1" name="Conector recto 1250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80</xdr:row>
      <xdr:rowOff>39315</xdr:rowOff>
    </xdr:from>
    <xdr:to>
      <xdr:col>19</xdr:col>
      <xdr:colOff>742747</xdr:colOff>
      <xdr:row>80</xdr:row>
      <xdr:rowOff>296491</xdr:rowOff>
    </xdr:to>
    <xdr:grpSp>
      <xdr:nvGrpSpPr>
        <xdr:cNvPr id="1270" name="Grupo 1269"/>
        <xdr:cNvGrpSpPr/>
      </xdr:nvGrpSpPr>
      <xdr:grpSpPr>
        <a:xfrm>
          <a:off x="17202901" y="29975029"/>
          <a:ext cx="276632" cy="257176"/>
          <a:chOff x="16172232" y="991815"/>
          <a:chExt cx="276632" cy="257176"/>
        </a:xfrm>
      </xdr:grpSpPr>
      <xdr:sp macro="" textlink="">
        <xdr:nvSpPr>
          <xdr:cNvPr id="1271" name="Rectángulo 1270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72" name="Triángulo isósceles 1271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81</xdr:row>
      <xdr:rowOff>32844</xdr:rowOff>
    </xdr:from>
    <xdr:to>
      <xdr:col>19</xdr:col>
      <xdr:colOff>1059656</xdr:colOff>
      <xdr:row>81</xdr:row>
      <xdr:rowOff>297180</xdr:rowOff>
    </xdr:to>
    <xdr:grpSp>
      <xdr:nvGrpSpPr>
        <xdr:cNvPr id="1273" name="Grupo 1272"/>
        <xdr:cNvGrpSpPr/>
      </xdr:nvGrpSpPr>
      <xdr:grpSpPr>
        <a:xfrm>
          <a:off x="16937280" y="30376773"/>
          <a:ext cx="859162" cy="264336"/>
          <a:chOff x="15926269" y="1328244"/>
          <a:chExt cx="859162" cy="264336"/>
        </a:xfrm>
      </xdr:grpSpPr>
      <xdr:grpSp>
        <xdr:nvGrpSpPr>
          <xdr:cNvPr id="1274" name="Grupo 1273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04" name="Rectángulo 1303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05" name="Triángulo isósceles 1304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75" name="Grupo 1274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76" name="Conector recto 1275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77" name="Conector recto 1276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78" name="Grupo 1277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02" name="Conector recto 1301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3" name="Conector recto 1302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79" name="Grupo 1278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9" name="Conector recto 1298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0" name="Conector recto 1299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1" name="Conector recto 1300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0" name="Grupo 1279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96" name="Conector recto 1295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7" name="Conector recto 1296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8" name="Conector recto 1297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81" name="Conector recto 1280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82" name="Grupo 1281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3" name="Conector recto 1292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4" name="Conector recto 1293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5" name="Conector recto 1294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3" name="Grupo 1282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88" name="Grupo 1287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90" name="Conector recto 1289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1" name="Conector recto 1290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2" name="Conector recto 1291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89" name="Conector recto 1288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4" name="Grupo 1283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85" name="Conector recto 1284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6" name="Conector recto 1285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7" name="Conector recto 1286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90</xdr:row>
      <xdr:rowOff>39315</xdr:rowOff>
    </xdr:from>
    <xdr:to>
      <xdr:col>19</xdr:col>
      <xdr:colOff>742747</xdr:colOff>
      <xdr:row>90</xdr:row>
      <xdr:rowOff>296491</xdr:rowOff>
    </xdr:to>
    <xdr:grpSp>
      <xdr:nvGrpSpPr>
        <xdr:cNvPr id="1306" name="Grupo 1305"/>
        <xdr:cNvGrpSpPr/>
      </xdr:nvGrpSpPr>
      <xdr:grpSpPr>
        <a:xfrm>
          <a:off x="17202901" y="34057172"/>
          <a:ext cx="276632" cy="257176"/>
          <a:chOff x="16172232" y="991815"/>
          <a:chExt cx="276632" cy="257176"/>
        </a:xfrm>
      </xdr:grpSpPr>
      <xdr:sp macro="" textlink="">
        <xdr:nvSpPr>
          <xdr:cNvPr id="1307" name="Rectángulo 1306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08" name="Triángulo isósceles 1307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91</xdr:row>
      <xdr:rowOff>32844</xdr:rowOff>
    </xdr:from>
    <xdr:to>
      <xdr:col>19</xdr:col>
      <xdr:colOff>1059656</xdr:colOff>
      <xdr:row>91</xdr:row>
      <xdr:rowOff>297180</xdr:rowOff>
    </xdr:to>
    <xdr:grpSp>
      <xdr:nvGrpSpPr>
        <xdr:cNvPr id="1309" name="Grupo 1308"/>
        <xdr:cNvGrpSpPr/>
      </xdr:nvGrpSpPr>
      <xdr:grpSpPr>
        <a:xfrm>
          <a:off x="16937280" y="34458915"/>
          <a:ext cx="859162" cy="264336"/>
          <a:chOff x="15926269" y="1328244"/>
          <a:chExt cx="859162" cy="264336"/>
        </a:xfrm>
      </xdr:grpSpPr>
      <xdr:grpSp>
        <xdr:nvGrpSpPr>
          <xdr:cNvPr id="1310" name="Grupo 1309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40" name="Rectángulo 1339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41" name="Triángulo isósceles 1340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11" name="Grupo 1310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12" name="Conector recto 1311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13" name="Conector recto 1312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4" name="Grupo 1313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38" name="Conector recto 1337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9" name="Conector recto 1338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5" name="Grupo 1314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35" name="Conector recto 1334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6" name="Conector recto 1335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7" name="Conector recto 1336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6" name="Grupo 1315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32" name="Conector recto 1331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3" name="Conector recto 1332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4" name="Conector recto 1333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17" name="Conector recto 1316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8" name="Grupo 1317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29" name="Conector recto 1328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0" name="Conector recto 1329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1" name="Conector recto 1330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9" name="Grupo 1318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24" name="Grupo 1323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26" name="Conector recto 1325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7" name="Conector recto 1326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8" name="Conector recto 1327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25" name="Conector recto 1324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20" name="Grupo 1319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21" name="Conector recto 1320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2" name="Conector recto 1321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3" name="Conector recto 1322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99</xdr:row>
      <xdr:rowOff>39315</xdr:rowOff>
    </xdr:from>
    <xdr:to>
      <xdr:col>19</xdr:col>
      <xdr:colOff>742747</xdr:colOff>
      <xdr:row>99</xdr:row>
      <xdr:rowOff>296491</xdr:rowOff>
    </xdr:to>
    <xdr:grpSp>
      <xdr:nvGrpSpPr>
        <xdr:cNvPr id="1342" name="Grupo 1341"/>
        <xdr:cNvGrpSpPr/>
      </xdr:nvGrpSpPr>
      <xdr:grpSpPr>
        <a:xfrm>
          <a:off x="17202901" y="37731101"/>
          <a:ext cx="276632" cy="257176"/>
          <a:chOff x="16172232" y="991815"/>
          <a:chExt cx="276632" cy="257176"/>
        </a:xfrm>
      </xdr:grpSpPr>
      <xdr:sp macro="" textlink="">
        <xdr:nvSpPr>
          <xdr:cNvPr id="1343" name="Rectángulo 1342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44" name="Triángulo isósceles 1343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100</xdr:row>
      <xdr:rowOff>32844</xdr:rowOff>
    </xdr:from>
    <xdr:to>
      <xdr:col>19</xdr:col>
      <xdr:colOff>1059656</xdr:colOff>
      <xdr:row>100</xdr:row>
      <xdr:rowOff>297180</xdr:rowOff>
    </xdr:to>
    <xdr:grpSp>
      <xdr:nvGrpSpPr>
        <xdr:cNvPr id="1345" name="Grupo 1344"/>
        <xdr:cNvGrpSpPr/>
      </xdr:nvGrpSpPr>
      <xdr:grpSpPr>
        <a:xfrm>
          <a:off x="16937280" y="38282523"/>
          <a:ext cx="859162" cy="264336"/>
          <a:chOff x="15926269" y="1328244"/>
          <a:chExt cx="859162" cy="264336"/>
        </a:xfrm>
      </xdr:grpSpPr>
      <xdr:grpSp>
        <xdr:nvGrpSpPr>
          <xdr:cNvPr id="1346" name="Grupo 1345"/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76" name="Rectángulo 1375"/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77" name="Triángulo isósceles 1376"/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47" name="Grupo 1346"/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48" name="Conector recto 1347"/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49" name="Conector recto 1348"/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0" name="Grupo 1349"/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74" name="Conector recto 1373"/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5" name="Conector recto 1374"/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1" name="Grupo 1350"/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71" name="Conector recto 1370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2" name="Conector recto 1371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3" name="Conector recto 1372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2" name="Grupo 1351"/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68" name="Conector recto 1367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9" name="Conector recto 1368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0" name="Conector recto 1369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53" name="Conector recto 1352"/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4" name="Grupo 1353"/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65" name="Conector recto 1364"/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6" name="Conector recto 1365"/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7" name="Conector recto 1366"/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5" name="Grupo 1354"/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60" name="Grupo 1359"/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62" name="Conector recto 1361"/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3" name="Conector recto 1362"/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4" name="Conector recto 1363"/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61" name="Conector recto 1360"/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6" name="Grupo 1355"/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57" name="Conector recto 1356"/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8" name="Conector recto 1357"/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9" name="Conector recto 1358"/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43</xdr:col>
      <xdr:colOff>649234</xdr:colOff>
      <xdr:row>6</xdr:row>
      <xdr:rowOff>28577</xdr:rowOff>
    </xdr:from>
    <xdr:to>
      <xdr:col>43</xdr:col>
      <xdr:colOff>933450</xdr:colOff>
      <xdr:row>7</xdr:row>
      <xdr:rowOff>9526</xdr:rowOff>
    </xdr:to>
    <xdr:grpSp>
      <xdr:nvGrpSpPr>
        <xdr:cNvPr id="1380" name="Grupo 1379"/>
        <xdr:cNvGrpSpPr/>
      </xdr:nvGrpSpPr>
      <xdr:grpSpPr>
        <a:xfrm>
          <a:off x="39851413" y="1062720"/>
          <a:ext cx="284216" cy="334735"/>
          <a:chOff x="40217992" y="1876425"/>
          <a:chExt cx="863333" cy="827859"/>
        </a:xfrm>
      </xdr:grpSpPr>
      <xdr:sp macro="" textlink="">
        <xdr:nvSpPr>
          <xdr:cNvPr id="1379" name="CuadroTexto 1378"/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378" name="Triángulo isósceles 1377"/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7</xdr:row>
      <xdr:rowOff>342900</xdr:rowOff>
    </xdr:from>
    <xdr:to>
      <xdr:col>43</xdr:col>
      <xdr:colOff>990600</xdr:colOff>
      <xdr:row>8</xdr:row>
      <xdr:rowOff>304800</xdr:rowOff>
    </xdr:to>
    <xdr:sp macro="" textlink="">
      <xdr:nvSpPr>
        <xdr:cNvPr id="1381" name="Octágono 1380"/>
        <xdr:cNvSpPr/>
      </xdr:nvSpPr>
      <xdr:spPr bwMode="auto">
        <a:xfrm>
          <a:off x="40319325" y="1704975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10</xdr:row>
      <xdr:rowOff>47625</xdr:rowOff>
    </xdr:from>
    <xdr:to>
      <xdr:col>43</xdr:col>
      <xdr:colOff>933450</xdr:colOff>
      <xdr:row>10</xdr:row>
      <xdr:rowOff>323850</xdr:rowOff>
    </xdr:to>
    <xdr:sp macro="" textlink="">
      <xdr:nvSpPr>
        <xdr:cNvPr id="1382" name="Rectángulo 1381"/>
        <xdr:cNvSpPr/>
      </xdr:nvSpPr>
      <xdr:spPr bwMode="auto">
        <a:xfrm>
          <a:off x="40366950" y="1790700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6</xdr:row>
      <xdr:rowOff>38099</xdr:rowOff>
    </xdr:from>
    <xdr:to>
      <xdr:col>49</xdr:col>
      <xdr:colOff>838200</xdr:colOff>
      <xdr:row>6</xdr:row>
      <xdr:rowOff>333374</xdr:rowOff>
    </xdr:to>
    <xdr:grpSp>
      <xdr:nvGrpSpPr>
        <xdr:cNvPr id="1387" name="Grupo 1386"/>
        <xdr:cNvGrpSpPr/>
      </xdr:nvGrpSpPr>
      <xdr:grpSpPr>
        <a:xfrm>
          <a:off x="44336154" y="1072242"/>
          <a:ext cx="561975" cy="295275"/>
          <a:chOff x="44342523" y="1043290"/>
          <a:chExt cx="561975" cy="295275"/>
        </a:xfrm>
      </xdr:grpSpPr>
      <xdr:grpSp>
        <xdr:nvGrpSpPr>
          <xdr:cNvPr id="1384" name="Grupo 1383"/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383" name="Rectángulo redondeado 1382"/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3" name="Rectángulo redondeado 912"/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386" name="Grupo 1385"/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385" name="Rectángulo redondeado 1384"/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4" name="Rectángulo redondeado 913"/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5" name="Rectángulo redondeado 914"/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6" name="Rectángulo redondeado 915"/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7" name="Rectángulo redondeado 916"/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8" name="Rectángulo redondeado 917"/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9" name="Rectángulo redondeado 918"/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0" name="Rectángulo redondeado 919"/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1" name="Rectángulo redondeado 920"/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</xdr:row>
      <xdr:rowOff>28372</xdr:rowOff>
    </xdr:from>
    <xdr:to>
      <xdr:col>49</xdr:col>
      <xdr:colOff>729574</xdr:colOff>
      <xdr:row>7</xdr:row>
      <xdr:rowOff>348574</xdr:rowOff>
    </xdr:to>
    <xdr:grpSp>
      <xdr:nvGrpSpPr>
        <xdr:cNvPr id="1390" name="Grupo 1389"/>
        <xdr:cNvGrpSpPr/>
      </xdr:nvGrpSpPr>
      <xdr:grpSpPr>
        <a:xfrm>
          <a:off x="44457142" y="1416301"/>
          <a:ext cx="332361" cy="320202"/>
          <a:chOff x="44463511" y="1386191"/>
          <a:chExt cx="332361" cy="320202"/>
        </a:xfrm>
      </xdr:grpSpPr>
      <xdr:sp macro="" textlink="">
        <xdr:nvSpPr>
          <xdr:cNvPr id="1388" name="Elipse 1387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389" name="Anillo 1388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</xdr:row>
      <xdr:rowOff>44584</xdr:rowOff>
    </xdr:from>
    <xdr:to>
      <xdr:col>49</xdr:col>
      <xdr:colOff>640404</xdr:colOff>
      <xdr:row>8</xdr:row>
      <xdr:rowOff>351005</xdr:rowOff>
    </xdr:to>
    <xdr:grpSp>
      <xdr:nvGrpSpPr>
        <xdr:cNvPr id="1393" name="Grupo 1392"/>
        <xdr:cNvGrpSpPr/>
      </xdr:nvGrpSpPr>
      <xdr:grpSpPr>
        <a:xfrm>
          <a:off x="44540637" y="1813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391" name="Rectángulo 1390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392" name="Acorde 1391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22" name="Acorde 921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17</xdr:row>
      <xdr:rowOff>28372</xdr:rowOff>
    </xdr:from>
    <xdr:to>
      <xdr:col>49</xdr:col>
      <xdr:colOff>729574</xdr:colOff>
      <xdr:row>17</xdr:row>
      <xdr:rowOff>348574</xdr:rowOff>
    </xdr:to>
    <xdr:grpSp>
      <xdr:nvGrpSpPr>
        <xdr:cNvPr id="937" name="Grupo 936"/>
        <xdr:cNvGrpSpPr/>
      </xdr:nvGrpSpPr>
      <xdr:grpSpPr>
        <a:xfrm>
          <a:off x="44457142" y="5022193"/>
          <a:ext cx="332361" cy="320202"/>
          <a:chOff x="44463511" y="1386191"/>
          <a:chExt cx="332361" cy="320202"/>
        </a:xfrm>
      </xdr:grpSpPr>
      <xdr:sp macro="" textlink="">
        <xdr:nvSpPr>
          <xdr:cNvPr id="938" name="Elipse 937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39" name="Anillo 938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18</xdr:row>
      <xdr:rowOff>44584</xdr:rowOff>
    </xdr:from>
    <xdr:to>
      <xdr:col>49</xdr:col>
      <xdr:colOff>640404</xdr:colOff>
      <xdr:row>18</xdr:row>
      <xdr:rowOff>351005</xdr:rowOff>
    </xdr:to>
    <xdr:grpSp>
      <xdr:nvGrpSpPr>
        <xdr:cNvPr id="940" name="Grupo 939"/>
        <xdr:cNvGrpSpPr/>
      </xdr:nvGrpSpPr>
      <xdr:grpSpPr>
        <a:xfrm>
          <a:off x="44540637" y="5405798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1" name="Rectángulo 940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2" name="Acorde 941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3" name="Acorde 942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480708</xdr:colOff>
      <xdr:row>27</xdr:row>
      <xdr:rowOff>44584</xdr:rowOff>
    </xdr:from>
    <xdr:to>
      <xdr:col>49</xdr:col>
      <xdr:colOff>640404</xdr:colOff>
      <xdr:row>27</xdr:row>
      <xdr:rowOff>351005</xdr:rowOff>
    </xdr:to>
    <xdr:grpSp>
      <xdr:nvGrpSpPr>
        <xdr:cNvPr id="944" name="Grupo 943"/>
        <xdr:cNvGrpSpPr/>
      </xdr:nvGrpSpPr>
      <xdr:grpSpPr>
        <a:xfrm>
          <a:off x="44540637" y="87531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5" name="Rectángulo 944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6" name="Acorde 945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7" name="Acorde 946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462643</xdr:colOff>
      <xdr:row>28</xdr:row>
      <xdr:rowOff>44768</xdr:rowOff>
    </xdr:from>
    <xdr:to>
      <xdr:col>49</xdr:col>
      <xdr:colOff>669472</xdr:colOff>
      <xdr:row>28</xdr:row>
      <xdr:rowOff>351744</xdr:rowOff>
    </xdr:to>
    <xdr:grpSp>
      <xdr:nvGrpSpPr>
        <xdr:cNvPr id="66" name="Grupo 65"/>
        <xdr:cNvGrpSpPr/>
      </xdr:nvGrpSpPr>
      <xdr:grpSpPr>
        <a:xfrm>
          <a:off x="44522572" y="9120732"/>
          <a:ext cx="206829" cy="306976"/>
          <a:chOff x="44533457" y="9169038"/>
          <a:chExt cx="206829" cy="306976"/>
        </a:xfrm>
        <a:noFill/>
      </xdr:grpSpPr>
      <xdr:grpSp>
        <xdr:nvGrpSpPr>
          <xdr:cNvPr id="1400" name="Grupo 1399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394" name="Elipse 1393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396" name="Conector recto 1395"/>
            <xdr:cNvCxnSpPr>
              <a:stCxn id="139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8" name="Conector recto 947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98" name="Conector recto 1397"/>
            <xdr:cNvCxnSpPr>
              <a:stCxn id="139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9" name="Conector recto 948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60" name="Forma libre 59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0" name="Forma libre 949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29</xdr:row>
      <xdr:rowOff>28372</xdr:rowOff>
    </xdr:from>
    <xdr:to>
      <xdr:col>49</xdr:col>
      <xdr:colOff>729574</xdr:colOff>
      <xdr:row>29</xdr:row>
      <xdr:rowOff>348574</xdr:rowOff>
    </xdr:to>
    <xdr:grpSp>
      <xdr:nvGrpSpPr>
        <xdr:cNvPr id="952" name="Grupo 951"/>
        <xdr:cNvGrpSpPr/>
      </xdr:nvGrpSpPr>
      <xdr:grpSpPr>
        <a:xfrm>
          <a:off x="44457142" y="9498943"/>
          <a:ext cx="332361" cy="320202"/>
          <a:chOff x="44463511" y="1386191"/>
          <a:chExt cx="332361" cy="320202"/>
        </a:xfrm>
      </xdr:grpSpPr>
      <xdr:sp macro="" textlink="">
        <xdr:nvSpPr>
          <xdr:cNvPr id="953" name="Elipse 952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4" name="Anillo 953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37</xdr:row>
      <xdr:rowOff>38099</xdr:rowOff>
    </xdr:from>
    <xdr:to>
      <xdr:col>49</xdr:col>
      <xdr:colOff>838200</xdr:colOff>
      <xdr:row>37</xdr:row>
      <xdr:rowOff>333374</xdr:rowOff>
    </xdr:to>
    <xdr:grpSp>
      <xdr:nvGrpSpPr>
        <xdr:cNvPr id="969" name="Grupo 968"/>
        <xdr:cNvGrpSpPr/>
      </xdr:nvGrpSpPr>
      <xdr:grpSpPr>
        <a:xfrm>
          <a:off x="44336154" y="12638313"/>
          <a:ext cx="561975" cy="295275"/>
          <a:chOff x="44342523" y="1043290"/>
          <a:chExt cx="561975" cy="295275"/>
        </a:xfrm>
      </xdr:grpSpPr>
      <xdr:grpSp>
        <xdr:nvGrpSpPr>
          <xdr:cNvPr id="970" name="Grupo 969"/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981" name="Rectángulo redondeado 980"/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2" name="Rectángulo redondeado 981"/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971" name="Grupo 970"/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972" name="Rectángulo redondeado 971"/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3" name="Rectángulo redondeado 972"/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4" name="Rectángulo redondeado 973"/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5" name="Rectángulo redondeado 974"/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6" name="Rectángulo redondeado 975"/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7" name="Rectángulo redondeado 976"/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8" name="Rectángulo redondeado 977"/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9" name="Rectángulo redondeado 978"/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0" name="Rectángulo redondeado 979"/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38</xdr:row>
      <xdr:rowOff>32862</xdr:rowOff>
    </xdr:from>
    <xdr:to>
      <xdr:col>49</xdr:col>
      <xdr:colOff>633754</xdr:colOff>
      <xdr:row>38</xdr:row>
      <xdr:rowOff>339838</xdr:rowOff>
    </xdr:to>
    <xdr:grpSp>
      <xdr:nvGrpSpPr>
        <xdr:cNvPr id="983" name="Grupo 982"/>
        <xdr:cNvGrpSpPr/>
      </xdr:nvGrpSpPr>
      <xdr:grpSpPr>
        <a:xfrm>
          <a:off x="44486854" y="13000469"/>
          <a:ext cx="206829" cy="306976"/>
          <a:chOff x="44533457" y="9169038"/>
          <a:chExt cx="206829" cy="306976"/>
        </a:xfrm>
        <a:noFill/>
      </xdr:grpSpPr>
      <xdr:grpSp>
        <xdr:nvGrpSpPr>
          <xdr:cNvPr id="984" name="Grupo 983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987" name="Elipse 986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988" name="Conector recto 987"/>
            <xdr:cNvCxnSpPr>
              <a:stCxn id="98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89" name="Conector recto 988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0" name="Conector recto 989"/>
            <xdr:cNvCxnSpPr>
              <a:stCxn id="98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1" name="Conector recto 990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985" name="Forma libre 984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86" name="Forma libre 985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39</xdr:row>
      <xdr:rowOff>44584</xdr:rowOff>
    </xdr:from>
    <xdr:to>
      <xdr:col>49</xdr:col>
      <xdr:colOff>640404</xdr:colOff>
      <xdr:row>39</xdr:row>
      <xdr:rowOff>351005</xdr:rowOff>
    </xdr:to>
    <xdr:grpSp>
      <xdr:nvGrpSpPr>
        <xdr:cNvPr id="992" name="Grupo 991"/>
        <xdr:cNvGrpSpPr/>
      </xdr:nvGrpSpPr>
      <xdr:grpSpPr>
        <a:xfrm>
          <a:off x="44540637" y="1337958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93" name="Rectángulo 992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4" name="Acorde 993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5" name="Acorde 994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40</xdr:row>
      <xdr:rowOff>28372</xdr:rowOff>
    </xdr:from>
    <xdr:to>
      <xdr:col>49</xdr:col>
      <xdr:colOff>729574</xdr:colOff>
      <xdr:row>40</xdr:row>
      <xdr:rowOff>348574</xdr:rowOff>
    </xdr:to>
    <xdr:grpSp>
      <xdr:nvGrpSpPr>
        <xdr:cNvPr id="996" name="Grupo 995"/>
        <xdr:cNvGrpSpPr/>
      </xdr:nvGrpSpPr>
      <xdr:grpSpPr>
        <a:xfrm>
          <a:off x="44457142" y="13730765"/>
          <a:ext cx="332361" cy="320202"/>
          <a:chOff x="44463511" y="1386191"/>
          <a:chExt cx="332361" cy="320202"/>
        </a:xfrm>
      </xdr:grpSpPr>
      <xdr:sp macro="" textlink="">
        <xdr:nvSpPr>
          <xdr:cNvPr id="997" name="Elipse 996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98" name="Anillo 997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50</xdr:row>
      <xdr:rowOff>28372</xdr:rowOff>
    </xdr:from>
    <xdr:to>
      <xdr:col>49</xdr:col>
      <xdr:colOff>729574</xdr:colOff>
      <xdr:row>50</xdr:row>
      <xdr:rowOff>348574</xdr:rowOff>
    </xdr:to>
    <xdr:grpSp>
      <xdr:nvGrpSpPr>
        <xdr:cNvPr id="999" name="Grupo 998"/>
        <xdr:cNvGrpSpPr/>
      </xdr:nvGrpSpPr>
      <xdr:grpSpPr>
        <a:xfrm>
          <a:off x="44457142" y="18044229"/>
          <a:ext cx="332361" cy="320202"/>
          <a:chOff x="44463511" y="1386191"/>
          <a:chExt cx="332361" cy="320202"/>
        </a:xfrm>
      </xdr:grpSpPr>
      <xdr:sp macro="" textlink="">
        <xdr:nvSpPr>
          <xdr:cNvPr id="1000" name="Elipse 999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1" name="Anillo 1000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426925</xdr:colOff>
      <xdr:row>51</xdr:row>
      <xdr:rowOff>32862</xdr:rowOff>
    </xdr:from>
    <xdr:to>
      <xdr:col>49</xdr:col>
      <xdr:colOff>633754</xdr:colOff>
      <xdr:row>51</xdr:row>
      <xdr:rowOff>339838</xdr:rowOff>
    </xdr:to>
    <xdr:grpSp>
      <xdr:nvGrpSpPr>
        <xdr:cNvPr id="1002" name="Grupo 1001"/>
        <xdr:cNvGrpSpPr/>
      </xdr:nvGrpSpPr>
      <xdr:grpSpPr>
        <a:xfrm>
          <a:off x="44486854" y="18484148"/>
          <a:ext cx="206829" cy="306976"/>
          <a:chOff x="44533457" y="9169038"/>
          <a:chExt cx="206829" cy="306976"/>
        </a:xfrm>
        <a:noFill/>
      </xdr:grpSpPr>
      <xdr:grpSp>
        <xdr:nvGrpSpPr>
          <xdr:cNvPr id="1003" name="Grupo 1002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06" name="Elipse 1005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07" name="Conector recto 1006"/>
            <xdr:cNvCxnSpPr>
              <a:stCxn id="1006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8" name="Conector recto 1007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9" name="Conector recto 1008"/>
            <xdr:cNvCxnSpPr>
              <a:stCxn id="1006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10" name="Conector recto 1009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04" name="Forma libre 1003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5" name="Forma libre 1004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60</xdr:row>
      <xdr:rowOff>28372</xdr:rowOff>
    </xdr:from>
    <xdr:to>
      <xdr:col>49</xdr:col>
      <xdr:colOff>729574</xdr:colOff>
      <xdr:row>60</xdr:row>
      <xdr:rowOff>348574</xdr:rowOff>
    </xdr:to>
    <xdr:grpSp>
      <xdr:nvGrpSpPr>
        <xdr:cNvPr id="1011" name="Grupo 1010"/>
        <xdr:cNvGrpSpPr/>
      </xdr:nvGrpSpPr>
      <xdr:grpSpPr>
        <a:xfrm>
          <a:off x="44457142" y="22099158"/>
          <a:ext cx="332361" cy="320202"/>
          <a:chOff x="44463511" y="1386191"/>
          <a:chExt cx="332361" cy="320202"/>
        </a:xfrm>
      </xdr:grpSpPr>
      <xdr:sp macro="" textlink="">
        <xdr:nvSpPr>
          <xdr:cNvPr id="1012" name="Elipse 1011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13" name="Anillo 1012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61</xdr:row>
      <xdr:rowOff>44584</xdr:rowOff>
    </xdr:from>
    <xdr:to>
      <xdr:col>49</xdr:col>
      <xdr:colOff>640404</xdr:colOff>
      <xdr:row>61</xdr:row>
      <xdr:rowOff>351005</xdr:rowOff>
    </xdr:to>
    <xdr:grpSp>
      <xdr:nvGrpSpPr>
        <xdr:cNvPr id="1014" name="Grupo 1013"/>
        <xdr:cNvGrpSpPr/>
      </xdr:nvGrpSpPr>
      <xdr:grpSpPr>
        <a:xfrm>
          <a:off x="44540637" y="22509977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15" name="Rectángulo 1014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6" name="Acorde 1015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7" name="Acorde 1016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63</xdr:row>
      <xdr:rowOff>32862</xdr:rowOff>
    </xdr:from>
    <xdr:to>
      <xdr:col>49</xdr:col>
      <xdr:colOff>633754</xdr:colOff>
      <xdr:row>63</xdr:row>
      <xdr:rowOff>339838</xdr:rowOff>
    </xdr:to>
    <xdr:grpSp>
      <xdr:nvGrpSpPr>
        <xdr:cNvPr id="1018" name="Grupo 1017"/>
        <xdr:cNvGrpSpPr/>
      </xdr:nvGrpSpPr>
      <xdr:grpSpPr>
        <a:xfrm>
          <a:off x="44486854" y="23260255"/>
          <a:ext cx="206829" cy="306976"/>
          <a:chOff x="44533457" y="9169038"/>
          <a:chExt cx="206829" cy="306976"/>
        </a:xfrm>
        <a:noFill/>
      </xdr:grpSpPr>
      <xdr:grpSp>
        <xdr:nvGrpSpPr>
          <xdr:cNvPr id="1019" name="Grupo 1018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22" name="Elipse 1021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23" name="Conector recto 1022"/>
            <xdr:cNvCxnSpPr>
              <a:stCxn id="102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4" name="Conector recto 1023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5" name="Conector recto 1024"/>
            <xdr:cNvCxnSpPr>
              <a:stCxn id="102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6" name="Conector recto 1025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20" name="Forma libre 1019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21" name="Forma libre 1020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62</xdr:row>
      <xdr:rowOff>38099</xdr:rowOff>
    </xdr:from>
    <xdr:to>
      <xdr:col>49</xdr:col>
      <xdr:colOff>838200</xdr:colOff>
      <xdr:row>62</xdr:row>
      <xdr:rowOff>333374</xdr:rowOff>
    </xdr:to>
    <xdr:grpSp>
      <xdr:nvGrpSpPr>
        <xdr:cNvPr id="1027" name="Grupo 1026"/>
        <xdr:cNvGrpSpPr/>
      </xdr:nvGrpSpPr>
      <xdr:grpSpPr>
        <a:xfrm>
          <a:off x="44336154" y="22870885"/>
          <a:ext cx="561975" cy="295275"/>
          <a:chOff x="44342523" y="1043290"/>
          <a:chExt cx="561975" cy="295275"/>
        </a:xfrm>
      </xdr:grpSpPr>
      <xdr:grpSp>
        <xdr:nvGrpSpPr>
          <xdr:cNvPr id="1028" name="Grupo 1027"/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039" name="Rectángulo redondeado 1038"/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40" name="Rectángulo redondeado 1039"/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029" name="Grupo 1028"/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030" name="Rectángulo redondeado 1029"/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1" name="Rectángulo redondeado 1030"/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2" name="Rectángulo redondeado 1031"/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3" name="Rectángulo redondeado 1032"/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4" name="Rectángulo redondeado 1033"/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5" name="Rectángulo redondeado 1034"/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6" name="Rectángulo redondeado 1035"/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7" name="Rectángulo redondeado 1036"/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8" name="Rectángulo redondeado 1037"/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70</xdr:row>
      <xdr:rowOff>28372</xdr:rowOff>
    </xdr:from>
    <xdr:to>
      <xdr:col>49</xdr:col>
      <xdr:colOff>729574</xdr:colOff>
      <xdr:row>70</xdr:row>
      <xdr:rowOff>348574</xdr:rowOff>
    </xdr:to>
    <xdr:grpSp>
      <xdr:nvGrpSpPr>
        <xdr:cNvPr id="1041" name="Grupo 1040"/>
        <xdr:cNvGrpSpPr/>
      </xdr:nvGrpSpPr>
      <xdr:grpSpPr>
        <a:xfrm>
          <a:off x="44457142" y="26018015"/>
          <a:ext cx="332361" cy="320202"/>
          <a:chOff x="44463511" y="1386191"/>
          <a:chExt cx="332361" cy="320202"/>
        </a:xfrm>
      </xdr:grpSpPr>
      <xdr:sp macro="" textlink="">
        <xdr:nvSpPr>
          <xdr:cNvPr id="1042" name="Elipse 1041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43" name="Anillo 1042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71</xdr:row>
      <xdr:rowOff>44584</xdr:rowOff>
    </xdr:from>
    <xdr:to>
      <xdr:col>49</xdr:col>
      <xdr:colOff>640404</xdr:colOff>
      <xdr:row>71</xdr:row>
      <xdr:rowOff>351005</xdr:rowOff>
    </xdr:to>
    <xdr:grpSp>
      <xdr:nvGrpSpPr>
        <xdr:cNvPr id="1044" name="Grupo 1043"/>
        <xdr:cNvGrpSpPr/>
      </xdr:nvGrpSpPr>
      <xdr:grpSpPr>
        <a:xfrm>
          <a:off x="44540637" y="2642883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45" name="Rectángulo 1044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6" name="Acorde 1045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7" name="Acorde 1046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72</xdr:row>
      <xdr:rowOff>32862</xdr:rowOff>
    </xdr:from>
    <xdr:to>
      <xdr:col>49</xdr:col>
      <xdr:colOff>633754</xdr:colOff>
      <xdr:row>72</xdr:row>
      <xdr:rowOff>339838</xdr:rowOff>
    </xdr:to>
    <xdr:grpSp>
      <xdr:nvGrpSpPr>
        <xdr:cNvPr id="1048" name="Grupo 1047"/>
        <xdr:cNvGrpSpPr/>
      </xdr:nvGrpSpPr>
      <xdr:grpSpPr>
        <a:xfrm>
          <a:off x="44486854" y="26811719"/>
          <a:ext cx="206829" cy="306976"/>
          <a:chOff x="44533457" y="9169038"/>
          <a:chExt cx="206829" cy="306976"/>
        </a:xfrm>
        <a:noFill/>
      </xdr:grpSpPr>
      <xdr:grpSp>
        <xdr:nvGrpSpPr>
          <xdr:cNvPr id="1049" name="Grupo 1048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52" name="Elipse 1051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53" name="Conector recto 1052"/>
            <xdr:cNvCxnSpPr>
              <a:stCxn id="105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4" name="Conector recto 1053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5" name="Conector recto 1054"/>
            <xdr:cNvCxnSpPr>
              <a:stCxn id="105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6" name="Conector recto 1055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50" name="Forma libre 1049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1" name="Forma libre 1050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80</xdr:row>
      <xdr:rowOff>28372</xdr:rowOff>
    </xdr:from>
    <xdr:to>
      <xdr:col>49</xdr:col>
      <xdr:colOff>729574</xdr:colOff>
      <xdr:row>80</xdr:row>
      <xdr:rowOff>348574</xdr:rowOff>
    </xdr:to>
    <xdr:grpSp>
      <xdr:nvGrpSpPr>
        <xdr:cNvPr id="1057" name="Grupo 1056"/>
        <xdr:cNvGrpSpPr/>
      </xdr:nvGrpSpPr>
      <xdr:grpSpPr>
        <a:xfrm>
          <a:off x="44457142" y="29964086"/>
          <a:ext cx="332361" cy="320202"/>
          <a:chOff x="44463511" y="1386191"/>
          <a:chExt cx="332361" cy="320202"/>
        </a:xfrm>
      </xdr:grpSpPr>
      <xdr:sp macro="" textlink="">
        <xdr:nvSpPr>
          <xdr:cNvPr id="1058" name="Elipse 1057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9" name="Anillo 1058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81</xdr:row>
      <xdr:rowOff>44584</xdr:rowOff>
    </xdr:from>
    <xdr:to>
      <xdr:col>49</xdr:col>
      <xdr:colOff>640404</xdr:colOff>
      <xdr:row>81</xdr:row>
      <xdr:rowOff>351005</xdr:rowOff>
    </xdr:to>
    <xdr:grpSp>
      <xdr:nvGrpSpPr>
        <xdr:cNvPr id="1060" name="Grupo 1059"/>
        <xdr:cNvGrpSpPr/>
      </xdr:nvGrpSpPr>
      <xdr:grpSpPr>
        <a:xfrm>
          <a:off x="44540637" y="30388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61" name="Rectángulo 1060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2" name="Acorde 1061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3" name="Acorde 1062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82</xdr:row>
      <xdr:rowOff>32862</xdr:rowOff>
    </xdr:from>
    <xdr:to>
      <xdr:col>49</xdr:col>
      <xdr:colOff>633754</xdr:colOff>
      <xdr:row>82</xdr:row>
      <xdr:rowOff>339838</xdr:rowOff>
    </xdr:to>
    <xdr:grpSp>
      <xdr:nvGrpSpPr>
        <xdr:cNvPr id="1064" name="Grupo 1063"/>
        <xdr:cNvGrpSpPr/>
      </xdr:nvGrpSpPr>
      <xdr:grpSpPr>
        <a:xfrm>
          <a:off x="44486854" y="30785005"/>
          <a:ext cx="206829" cy="306976"/>
          <a:chOff x="44533457" y="9169038"/>
          <a:chExt cx="206829" cy="306976"/>
        </a:xfrm>
        <a:noFill/>
      </xdr:grpSpPr>
      <xdr:grpSp>
        <xdr:nvGrpSpPr>
          <xdr:cNvPr id="1065" name="Grupo 1064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68" name="Elipse 1067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69" name="Conector recto 1068"/>
            <xdr:cNvCxnSpPr>
              <a:stCxn id="1068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0" name="Conector recto 1069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1" name="Conector recto 1070"/>
            <xdr:cNvCxnSpPr>
              <a:stCxn id="1068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2" name="Conector recto 1071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66" name="Forma libre 1065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67" name="Forma libre 1066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90</xdr:row>
      <xdr:rowOff>28372</xdr:rowOff>
    </xdr:from>
    <xdr:to>
      <xdr:col>49</xdr:col>
      <xdr:colOff>729574</xdr:colOff>
      <xdr:row>90</xdr:row>
      <xdr:rowOff>348574</xdr:rowOff>
    </xdr:to>
    <xdr:grpSp>
      <xdr:nvGrpSpPr>
        <xdr:cNvPr id="1073" name="Grupo 1072"/>
        <xdr:cNvGrpSpPr/>
      </xdr:nvGrpSpPr>
      <xdr:grpSpPr>
        <a:xfrm>
          <a:off x="44457142" y="34046229"/>
          <a:ext cx="332361" cy="320202"/>
          <a:chOff x="44463511" y="1386191"/>
          <a:chExt cx="332361" cy="320202"/>
        </a:xfrm>
      </xdr:grpSpPr>
      <xdr:sp macro="" textlink="">
        <xdr:nvSpPr>
          <xdr:cNvPr id="1074" name="Elipse 1073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75" name="Anillo 1074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91</xdr:row>
      <xdr:rowOff>44584</xdr:rowOff>
    </xdr:from>
    <xdr:to>
      <xdr:col>49</xdr:col>
      <xdr:colOff>640404</xdr:colOff>
      <xdr:row>91</xdr:row>
      <xdr:rowOff>351005</xdr:rowOff>
    </xdr:to>
    <xdr:grpSp>
      <xdr:nvGrpSpPr>
        <xdr:cNvPr id="1076" name="Grupo 1075"/>
        <xdr:cNvGrpSpPr/>
      </xdr:nvGrpSpPr>
      <xdr:grpSpPr>
        <a:xfrm>
          <a:off x="44540637" y="344706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77" name="Rectángulo 1076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8" name="Acorde 1077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9" name="Acorde 1078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92</xdr:row>
      <xdr:rowOff>32862</xdr:rowOff>
    </xdr:from>
    <xdr:to>
      <xdr:col>49</xdr:col>
      <xdr:colOff>633754</xdr:colOff>
      <xdr:row>92</xdr:row>
      <xdr:rowOff>339838</xdr:rowOff>
    </xdr:to>
    <xdr:grpSp>
      <xdr:nvGrpSpPr>
        <xdr:cNvPr id="1080" name="Grupo 1079"/>
        <xdr:cNvGrpSpPr/>
      </xdr:nvGrpSpPr>
      <xdr:grpSpPr>
        <a:xfrm>
          <a:off x="44486854" y="34867148"/>
          <a:ext cx="206829" cy="306976"/>
          <a:chOff x="44533457" y="9169038"/>
          <a:chExt cx="206829" cy="306976"/>
        </a:xfrm>
        <a:noFill/>
      </xdr:grpSpPr>
      <xdr:grpSp>
        <xdr:nvGrpSpPr>
          <xdr:cNvPr id="1081" name="Grupo 1080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84" name="Elipse 1083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85" name="Conector recto 1084"/>
            <xdr:cNvCxnSpPr>
              <a:stCxn id="108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6" name="Conector recto 1085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7" name="Conector recto 1086"/>
            <xdr:cNvCxnSpPr>
              <a:stCxn id="108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8" name="Conector recto 1087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82" name="Forma libre 1081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83" name="Forma libre 1082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</xdr:col>
      <xdr:colOff>333375</xdr:colOff>
      <xdr:row>119</xdr:row>
      <xdr:rowOff>28575</xdr:rowOff>
    </xdr:from>
    <xdr:to>
      <xdr:col>1</xdr:col>
      <xdr:colOff>704850</xdr:colOff>
      <xdr:row>119</xdr:row>
      <xdr:rowOff>304800</xdr:rowOff>
    </xdr:to>
    <xdr:grpSp>
      <xdr:nvGrpSpPr>
        <xdr:cNvPr id="1089" name="Grupo 1088"/>
        <xdr:cNvGrpSpPr/>
      </xdr:nvGrpSpPr>
      <xdr:grpSpPr>
        <a:xfrm>
          <a:off x="1204232" y="46973218"/>
          <a:ext cx="371475" cy="276225"/>
          <a:chOff x="1096347" y="990794"/>
          <a:chExt cx="371475" cy="276225"/>
        </a:xfrm>
      </xdr:grpSpPr>
      <xdr:sp macro="" textlink="">
        <xdr:nvSpPr>
          <xdr:cNvPr id="1090" name="Elipse 1089"/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1" name="Rectángulo 1090"/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2" name="Conector recto 1091"/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3" name="Conector recto 1092"/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120</xdr:row>
      <xdr:rowOff>38878</xdr:rowOff>
    </xdr:from>
    <xdr:to>
      <xdr:col>1</xdr:col>
      <xdr:colOff>728954</xdr:colOff>
      <xdr:row>120</xdr:row>
      <xdr:rowOff>345039</xdr:rowOff>
    </xdr:to>
    <xdr:grpSp>
      <xdr:nvGrpSpPr>
        <xdr:cNvPr id="1094" name="Grupo 1093"/>
        <xdr:cNvGrpSpPr/>
      </xdr:nvGrpSpPr>
      <xdr:grpSpPr>
        <a:xfrm>
          <a:off x="1177017" y="47500592"/>
          <a:ext cx="422794" cy="306161"/>
          <a:chOff x="1088571" y="1666875"/>
          <a:chExt cx="422794" cy="306161"/>
        </a:xfrm>
      </xdr:grpSpPr>
      <xdr:sp macro="" textlink="">
        <xdr:nvSpPr>
          <xdr:cNvPr id="1095" name="Elipse 1094"/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6" name="Rectángulo 1095"/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7" name="Conector recto 1096"/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097"/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099" name="Rectángulo 1098"/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122</xdr:row>
      <xdr:rowOff>34018</xdr:rowOff>
    </xdr:from>
    <xdr:to>
      <xdr:col>1</xdr:col>
      <xdr:colOff>733815</xdr:colOff>
      <xdr:row>122</xdr:row>
      <xdr:rowOff>340179</xdr:rowOff>
    </xdr:to>
    <xdr:grpSp>
      <xdr:nvGrpSpPr>
        <xdr:cNvPr id="1100" name="Grupo 1099"/>
        <xdr:cNvGrpSpPr/>
      </xdr:nvGrpSpPr>
      <xdr:grpSpPr>
        <a:xfrm>
          <a:off x="1181878" y="48529875"/>
          <a:ext cx="422794" cy="306161"/>
          <a:chOff x="1073993" y="2060510"/>
          <a:chExt cx="422794" cy="306161"/>
        </a:xfrm>
      </xdr:grpSpPr>
      <xdr:sp macro="" textlink="">
        <xdr:nvSpPr>
          <xdr:cNvPr id="1101" name="Elipse 1100"/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2" name="Rectángulo 1101"/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3" name="Conector recto 1102"/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4" name="Conector recto 1103"/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05" name="Rectángulo 1104"/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123</xdr:row>
      <xdr:rowOff>53457</xdr:rowOff>
    </xdr:from>
    <xdr:to>
      <xdr:col>1</xdr:col>
      <xdr:colOff>716515</xdr:colOff>
      <xdr:row>123</xdr:row>
      <xdr:rowOff>329682</xdr:rowOff>
    </xdr:to>
    <xdr:grpSp>
      <xdr:nvGrpSpPr>
        <xdr:cNvPr id="1106" name="Grupo 1105"/>
        <xdr:cNvGrpSpPr/>
      </xdr:nvGrpSpPr>
      <xdr:grpSpPr>
        <a:xfrm>
          <a:off x="1210238" y="49066386"/>
          <a:ext cx="377134" cy="276225"/>
          <a:chOff x="1102353" y="2434707"/>
          <a:chExt cx="377134" cy="276225"/>
        </a:xfrm>
      </xdr:grpSpPr>
      <xdr:sp macro="" textlink="">
        <xdr:nvSpPr>
          <xdr:cNvPr id="1107" name="Elipse 1106"/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8" name="Rectángulo 1107"/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9" name="Conector recto 1108"/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0" name="Conector recto 1109"/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124</xdr:row>
      <xdr:rowOff>38878</xdr:rowOff>
    </xdr:from>
    <xdr:to>
      <xdr:col>1</xdr:col>
      <xdr:colOff>753252</xdr:colOff>
      <xdr:row>124</xdr:row>
      <xdr:rowOff>315880</xdr:rowOff>
    </xdr:to>
    <xdr:grpSp>
      <xdr:nvGrpSpPr>
        <xdr:cNvPr id="1111" name="Grupo 1110"/>
        <xdr:cNvGrpSpPr/>
      </xdr:nvGrpSpPr>
      <xdr:grpSpPr>
        <a:xfrm>
          <a:off x="1211036" y="49568878"/>
          <a:ext cx="413073" cy="277002"/>
          <a:chOff x="1103151" y="3144222"/>
          <a:chExt cx="413073" cy="277002"/>
        </a:xfrm>
      </xdr:grpSpPr>
      <xdr:sp macro="" textlink="">
        <xdr:nvSpPr>
          <xdr:cNvPr id="1112" name="Rectángulo 1111"/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3" name="Rectángulo 1112"/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4" name="Rectángulo 1113"/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125</xdr:row>
      <xdr:rowOff>92333</xdr:rowOff>
    </xdr:from>
    <xdr:to>
      <xdr:col>1</xdr:col>
      <xdr:colOff>869885</xdr:colOff>
      <xdr:row>125</xdr:row>
      <xdr:rowOff>267283</xdr:rowOff>
    </xdr:to>
    <xdr:grpSp>
      <xdr:nvGrpSpPr>
        <xdr:cNvPr id="1115" name="Grupo 1114"/>
        <xdr:cNvGrpSpPr/>
      </xdr:nvGrpSpPr>
      <xdr:grpSpPr>
        <a:xfrm>
          <a:off x="1186737" y="50139404"/>
          <a:ext cx="554005" cy="174950"/>
          <a:chOff x="1078852" y="3552435"/>
          <a:chExt cx="554005" cy="174950"/>
        </a:xfrm>
      </xdr:grpSpPr>
      <xdr:sp macro="" textlink="">
        <xdr:nvSpPr>
          <xdr:cNvPr id="1116" name="Rectángulo 1115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7" name="Triángulo rectángulo 1116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121</xdr:row>
      <xdr:rowOff>58317</xdr:rowOff>
    </xdr:from>
    <xdr:to>
      <xdr:col>1</xdr:col>
      <xdr:colOff>719234</xdr:colOff>
      <xdr:row>121</xdr:row>
      <xdr:rowOff>301302</xdr:rowOff>
    </xdr:to>
    <xdr:sp macro="" textlink="">
      <xdr:nvSpPr>
        <xdr:cNvPr id="1118" name="Rectángulo 1117"/>
        <xdr:cNvSpPr/>
      </xdr:nvSpPr>
      <xdr:spPr bwMode="auto">
        <a:xfrm>
          <a:off x="1162925" y="179663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126</xdr:row>
      <xdr:rowOff>43738</xdr:rowOff>
    </xdr:from>
    <xdr:to>
      <xdr:col>1</xdr:col>
      <xdr:colOff>746470</xdr:colOff>
      <xdr:row>126</xdr:row>
      <xdr:rowOff>319963</xdr:rowOff>
    </xdr:to>
    <xdr:grpSp>
      <xdr:nvGrpSpPr>
        <xdr:cNvPr id="1119" name="Grupo 1118"/>
        <xdr:cNvGrpSpPr/>
      </xdr:nvGrpSpPr>
      <xdr:grpSpPr>
        <a:xfrm>
          <a:off x="1240193" y="50607881"/>
          <a:ext cx="377134" cy="276225"/>
          <a:chOff x="1127449" y="2799184"/>
          <a:chExt cx="377134" cy="276225"/>
        </a:xfrm>
      </xdr:grpSpPr>
      <xdr:sp macro="" textlink="">
        <xdr:nvSpPr>
          <xdr:cNvPr id="1120" name="Elipse 1119"/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21" name="Conector recto 1120"/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121"/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23" name="Acorde 1122"/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127</xdr:row>
      <xdr:rowOff>14580</xdr:rowOff>
    </xdr:from>
    <xdr:to>
      <xdr:col>1</xdr:col>
      <xdr:colOff>716513</xdr:colOff>
      <xdr:row>128</xdr:row>
      <xdr:rowOff>0</xdr:rowOff>
    </xdr:to>
    <xdr:grpSp>
      <xdr:nvGrpSpPr>
        <xdr:cNvPr id="1124" name="Grupo 1123"/>
        <xdr:cNvGrpSpPr/>
      </xdr:nvGrpSpPr>
      <xdr:grpSpPr>
        <a:xfrm>
          <a:off x="1181877" y="51095794"/>
          <a:ext cx="405493" cy="502492"/>
          <a:chOff x="1073992" y="1287820"/>
          <a:chExt cx="405493" cy="340178"/>
        </a:xfrm>
      </xdr:grpSpPr>
      <xdr:sp macro="" textlink="">
        <xdr:nvSpPr>
          <xdr:cNvPr id="1125" name="Elipse 1124"/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5" name="Elipse 1394"/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7" name="Rectángulo 1396"/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99" name="Conector recto 1398"/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1" name="Conector recto 1400"/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128</xdr:row>
      <xdr:rowOff>39688</xdr:rowOff>
    </xdr:from>
    <xdr:to>
      <xdr:col>1</xdr:col>
      <xdr:colOff>739084</xdr:colOff>
      <xdr:row>128</xdr:row>
      <xdr:rowOff>379414</xdr:rowOff>
    </xdr:to>
    <xdr:grpSp>
      <xdr:nvGrpSpPr>
        <xdr:cNvPr id="1402" name="Grupo 1401"/>
        <xdr:cNvGrpSpPr/>
      </xdr:nvGrpSpPr>
      <xdr:grpSpPr>
        <a:xfrm>
          <a:off x="1204232" y="51637974"/>
          <a:ext cx="405709" cy="339726"/>
          <a:chOff x="1095375" y="12435795"/>
          <a:chExt cx="405709" cy="406401"/>
        </a:xfrm>
      </xdr:grpSpPr>
      <xdr:sp macro="" textlink="">
        <xdr:nvSpPr>
          <xdr:cNvPr id="1403" name="Elipse 1402"/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4" name="Rectángulo 1403"/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05" name="Conector recto 1404"/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6" name="Conector recto 1405"/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07" name="Forma libre 1406"/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8" name="Forma libre 1407"/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oneCellAnchor>
    <xdr:from>
      <xdr:col>7</xdr:col>
      <xdr:colOff>28575</xdr:colOff>
      <xdr:row>124</xdr:row>
      <xdr:rowOff>66675</xdr:rowOff>
    </xdr:from>
    <xdr:ext cx="1717559" cy="161925"/>
    <xdr:pic>
      <xdr:nvPicPr>
        <xdr:cNvPr id="1457" name="Imagen 14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9763" y="10668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125</xdr:row>
      <xdr:rowOff>133351</xdr:rowOff>
    </xdr:from>
    <xdr:ext cx="1724025" cy="141217"/>
    <xdr:pic>
      <xdr:nvPicPr>
        <xdr:cNvPr id="1458" name="Imagen 14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0713" y="1490664"/>
          <a:ext cx="1724025" cy="141217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120</xdr:row>
      <xdr:rowOff>95250</xdr:rowOff>
    </xdr:from>
    <xdr:ext cx="1733550" cy="193909"/>
    <xdr:pic>
      <xdr:nvPicPr>
        <xdr:cNvPr id="1459" name="Imagen 145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0239" y="47434500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247650</xdr:colOff>
      <xdr:row>119</xdr:row>
      <xdr:rowOff>19051</xdr:rowOff>
    </xdr:from>
    <xdr:ext cx="1343026" cy="282893"/>
    <xdr:pic>
      <xdr:nvPicPr>
        <xdr:cNvPr id="1460" name="Imagen 145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938838" y="2138364"/>
          <a:ext cx="1343026" cy="282893"/>
        </a:xfrm>
        <a:prstGeom prst="rect">
          <a:avLst/>
        </a:prstGeom>
      </xdr:spPr>
    </xdr:pic>
    <xdr:clientData/>
  </xdr:oneCellAnchor>
  <xdr:oneCellAnchor>
    <xdr:from>
      <xdr:col>7</xdr:col>
      <xdr:colOff>133350</xdr:colOff>
      <xdr:row>122</xdr:row>
      <xdr:rowOff>38100</xdr:rowOff>
    </xdr:from>
    <xdr:ext cx="1378123" cy="276225"/>
    <xdr:pic>
      <xdr:nvPicPr>
        <xdr:cNvPr id="1461" name="Imagen 146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4538" y="2514600"/>
          <a:ext cx="1378123" cy="276225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123</xdr:row>
      <xdr:rowOff>28575</xdr:rowOff>
    </xdr:from>
    <xdr:ext cx="1460499" cy="328612"/>
    <xdr:pic>
      <xdr:nvPicPr>
        <xdr:cNvPr id="1462" name="Imagen 14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5013" y="2874169"/>
          <a:ext cx="1460499" cy="328612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130</xdr:row>
      <xdr:rowOff>19050</xdr:rowOff>
    </xdr:from>
    <xdr:ext cx="334500" cy="314159"/>
    <xdr:pic>
      <xdr:nvPicPr>
        <xdr:cNvPr id="1463" name="Imagen 146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8888" y="3936206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128</xdr:row>
      <xdr:rowOff>28575</xdr:rowOff>
    </xdr:from>
    <xdr:ext cx="1562100" cy="333754"/>
    <xdr:pic>
      <xdr:nvPicPr>
        <xdr:cNvPr id="1464" name="Imagen 146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05488" y="3231356"/>
          <a:ext cx="1562100" cy="333754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129</xdr:row>
      <xdr:rowOff>47625</xdr:rowOff>
    </xdr:from>
    <xdr:ext cx="352425" cy="280838"/>
    <xdr:pic>
      <xdr:nvPicPr>
        <xdr:cNvPr id="1465" name="Imagen 146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34138" y="3607594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126</xdr:row>
      <xdr:rowOff>104775</xdr:rowOff>
    </xdr:from>
    <xdr:ext cx="1783556" cy="165100"/>
    <xdr:pic>
      <xdr:nvPicPr>
        <xdr:cNvPr id="1466" name="Imagen 146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1188" y="5867400"/>
          <a:ext cx="1783556" cy="165100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127</xdr:row>
      <xdr:rowOff>114300</xdr:rowOff>
    </xdr:from>
    <xdr:ext cx="1695450" cy="181443"/>
    <xdr:pic>
      <xdr:nvPicPr>
        <xdr:cNvPr id="1467" name="Imagen 146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9289" y="5103019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121</xdr:row>
      <xdr:rowOff>169746</xdr:rowOff>
    </xdr:from>
    <xdr:ext cx="1685924" cy="144508"/>
    <xdr:pic>
      <xdr:nvPicPr>
        <xdr:cNvPr id="1468" name="Imagen 146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48339" y="31876090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131</xdr:row>
      <xdr:rowOff>47624</xdr:rowOff>
    </xdr:from>
    <xdr:ext cx="571230" cy="390461"/>
    <xdr:pic>
      <xdr:nvPicPr>
        <xdr:cNvPr id="1469" name="Imagen 146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57939" y="11453812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132</xdr:row>
      <xdr:rowOff>24679</xdr:rowOff>
    </xdr:from>
    <xdr:ext cx="390525" cy="375167"/>
    <xdr:pic>
      <xdr:nvPicPr>
        <xdr:cNvPr id="1470" name="Imagen 1469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86513" y="18086460"/>
          <a:ext cx="390525" cy="375167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133</xdr:row>
      <xdr:rowOff>66675</xdr:rowOff>
    </xdr:from>
    <xdr:ext cx="376143" cy="533267"/>
    <xdr:pic>
      <xdr:nvPicPr>
        <xdr:cNvPr id="1471" name="Imagen 147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6513" y="18568988"/>
          <a:ext cx="376143" cy="533267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119</xdr:row>
      <xdr:rowOff>28576</xdr:rowOff>
    </xdr:from>
    <xdr:to>
      <xdr:col>13</xdr:col>
      <xdr:colOff>981074</xdr:colOff>
      <xdr:row>119</xdr:row>
      <xdr:rowOff>314326</xdr:rowOff>
    </xdr:to>
    <xdr:grpSp>
      <xdr:nvGrpSpPr>
        <xdr:cNvPr id="1472" name="Grupo 1471"/>
        <xdr:cNvGrpSpPr/>
      </xdr:nvGrpSpPr>
      <xdr:grpSpPr>
        <a:xfrm>
          <a:off x="12155261" y="46973219"/>
          <a:ext cx="323849" cy="285750"/>
          <a:chOff x="11277600" y="1028700"/>
          <a:chExt cx="447675" cy="361950"/>
        </a:xfrm>
      </xdr:grpSpPr>
      <xdr:sp macro="" textlink="">
        <xdr:nvSpPr>
          <xdr:cNvPr id="1473" name="Rectángulo 1472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4" name="Grupo 1473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75" name="Rectángulo 1474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76" name="CuadroTexto 1475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120</xdr:row>
      <xdr:rowOff>28575</xdr:rowOff>
    </xdr:from>
    <xdr:to>
      <xdr:col>13</xdr:col>
      <xdr:colOff>1095374</xdr:colOff>
      <xdr:row>120</xdr:row>
      <xdr:rowOff>352425</xdr:rowOff>
    </xdr:to>
    <xdr:grpSp>
      <xdr:nvGrpSpPr>
        <xdr:cNvPr id="1477" name="Grupo 1476"/>
        <xdr:cNvGrpSpPr/>
      </xdr:nvGrpSpPr>
      <xdr:grpSpPr>
        <a:xfrm>
          <a:off x="12050485" y="47490289"/>
          <a:ext cx="542925" cy="323850"/>
          <a:chOff x="11277600" y="1028700"/>
          <a:chExt cx="447675" cy="361950"/>
        </a:xfrm>
      </xdr:grpSpPr>
      <xdr:sp macro="" textlink="">
        <xdr:nvSpPr>
          <xdr:cNvPr id="1478" name="Rectángulo 1477"/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9" name="Grupo 1478"/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80" name="Rectángulo 1479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1" name="CuadroTexto 1480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121</xdr:row>
      <xdr:rowOff>9525</xdr:rowOff>
    </xdr:from>
    <xdr:to>
      <xdr:col>13</xdr:col>
      <xdr:colOff>1009650</xdr:colOff>
      <xdr:row>121</xdr:row>
      <xdr:rowOff>352425</xdr:rowOff>
    </xdr:to>
    <xdr:grpSp>
      <xdr:nvGrpSpPr>
        <xdr:cNvPr id="1482" name="Grupo 1481"/>
        <xdr:cNvGrpSpPr/>
      </xdr:nvGrpSpPr>
      <xdr:grpSpPr>
        <a:xfrm>
          <a:off x="12155261" y="47988311"/>
          <a:ext cx="352425" cy="342900"/>
          <a:chOff x="11553825" y="1685925"/>
          <a:chExt cx="352425" cy="361950"/>
        </a:xfrm>
      </xdr:grpSpPr>
      <xdr:sp macro="" textlink="">
        <xdr:nvSpPr>
          <xdr:cNvPr id="1483" name="Elipse 1482"/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84" name="Grupo 1483"/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1485" name="Rectángulo 1484"/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6" name="CuadroTexto 1485"/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122</xdr:row>
      <xdr:rowOff>43616</xdr:rowOff>
    </xdr:from>
    <xdr:to>
      <xdr:col>13</xdr:col>
      <xdr:colOff>990590</xdr:colOff>
      <xdr:row>122</xdr:row>
      <xdr:rowOff>295276</xdr:rowOff>
    </xdr:to>
    <xdr:grpSp>
      <xdr:nvGrpSpPr>
        <xdr:cNvPr id="1487" name="Grupo 1486"/>
        <xdr:cNvGrpSpPr/>
      </xdr:nvGrpSpPr>
      <xdr:grpSpPr>
        <a:xfrm>
          <a:off x="12231046" y="48539473"/>
          <a:ext cx="257580" cy="251660"/>
          <a:chOff x="11434483" y="1562101"/>
          <a:chExt cx="356068" cy="318769"/>
        </a:xfrm>
      </xdr:grpSpPr>
      <xdr:sp macro="" textlink="">
        <xdr:nvSpPr>
          <xdr:cNvPr id="1488" name="Rectángulo 1487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89" name="CuadroTexto 1488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615639</xdr:colOff>
      <xdr:row>123</xdr:row>
      <xdr:rowOff>45619</xdr:rowOff>
    </xdr:from>
    <xdr:to>
      <xdr:col>13</xdr:col>
      <xdr:colOff>1047466</xdr:colOff>
      <xdr:row>123</xdr:row>
      <xdr:rowOff>330833</xdr:rowOff>
    </xdr:to>
    <xdr:grpSp>
      <xdr:nvGrpSpPr>
        <xdr:cNvPr id="1490" name="Grupo 1489"/>
        <xdr:cNvGrpSpPr/>
      </xdr:nvGrpSpPr>
      <xdr:grpSpPr>
        <a:xfrm>
          <a:off x="12113675" y="49058548"/>
          <a:ext cx="431827" cy="285214"/>
          <a:chOff x="11434483" y="1562101"/>
          <a:chExt cx="356068" cy="318769"/>
        </a:xfrm>
      </xdr:grpSpPr>
      <xdr:sp macro="" textlink="">
        <xdr:nvSpPr>
          <xdr:cNvPr id="1491" name="Rectángulo 1490"/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2" name="CuadroTexto 1491"/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124</xdr:row>
      <xdr:rowOff>99579</xdr:rowOff>
    </xdr:from>
    <xdr:to>
      <xdr:col>13</xdr:col>
      <xdr:colOff>938471</xdr:colOff>
      <xdr:row>124</xdr:row>
      <xdr:rowOff>294409</xdr:rowOff>
    </xdr:to>
    <xdr:grpSp>
      <xdr:nvGrpSpPr>
        <xdr:cNvPr id="1493" name="Grupo 1492"/>
        <xdr:cNvGrpSpPr/>
      </xdr:nvGrpSpPr>
      <xdr:grpSpPr>
        <a:xfrm>
          <a:off x="12125820" y="49629579"/>
          <a:ext cx="310687" cy="194830"/>
          <a:chOff x="11352068" y="2861829"/>
          <a:chExt cx="310687" cy="194830"/>
        </a:xfrm>
      </xdr:grpSpPr>
      <xdr:cxnSp macro="">
        <xdr:nvCxnSpPr>
          <xdr:cNvPr id="1494" name="Conector recto 1493"/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95" name="Conector recto 1494"/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96" name="Elipse 1495"/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7" name="Elipse 1496"/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523879</xdr:colOff>
      <xdr:row>125</xdr:row>
      <xdr:rowOff>38100</xdr:rowOff>
    </xdr:from>
    <xdr:to>
      <xdr:col>13</xdr:col>
      <xdr:colOff>1209685</xdr:colOff>
      <xdr:row>125</xdr:row>
      <xdr:rowOff>333375</xdr:rowOff>
    </xdr:to>
    <xdr:grpSp>
      <xdr:nvGrpSpPr>
        <xdr:cNvPr id="1498" name="Grupo 1497"/>
        <xdr:cNvGrpSpPr/>
      </xdr:nvGrpSpPr>
      <xdr:grpSpPr>
        <a:xfrm>
          <a:off x="12021915" y="50085171"/>
          <a:ext cx="685806" cy="295275"/>
          <a:chOff x="11277600" y="1028700"/>
          <a:chExt cx="565489" cy="361950"/>
        </a:xfrm>
      </xdr:grpSpPr>
      <xdr:sp macro="" textlink="">
        <xdr:nvSpPr>
          <xdr:cNvPr id="1499" name="Rectángulo 1498"/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500" name="Grupo 1499"/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1501" name="Rectángulo 1500"/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502" name="CuadroTexto 1501"/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126</xdr:row>
      <xdr:rowOff>71745</xdr:rowOff>
    </xdr:from>
    <xdr:to>
      <xdr:col>13</xdr:col>
      <xdr:colOff>1162049</xdr:colOff>
      <xdr:row>126</xdr:row>
      <xdr:rowOff>352425</xdr:rowOff>
    </xdr:to>
    <xdr:grpSp>
      <xdr:nvGrpSpPr>
        <xdr:cNvPr id="1503" name="Grupo 1502"/>
        <xdr:cNvGrpSpPr/>
      </xdr:nvGrpSpPr>
      <xdr:grpSpPr>
        <a:xfrm>
          <a:off x="12041350" y="50635888"/>
          <a:ext cx="618735" cy="280680"/>
          <a:chOff x="11418775" y="1551457"/>
          <a:chExt cx="242720" cy="178053"/>
        </a:xfrm>
      </xdr:grpSpPr>
      <xdr:sp macro="" textlink="">
        <xdr:nvSpPr>
          <xdr:cNvPr id="1504" name="Rectángulo 1503"/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5" name="CuadroTexto 1504"/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19</xdr:col>
      <xdr:colOff>466115</xdr:colOff>
      <xdr:row>119</xdr:row>
      <xdr:rowOff>39315</xdr:rowOff>
    </xdr:from>
    <xdr:to>
      <xdr:col>19</xdr:col>
      <xdr:colOff>742747</xdr:colOff>
      <xdr:row>119</xdr:row>
      <xdr:rowOff>296491</xdr:rowOff>
    </xdr:to>
    <xdr:grpSp>
      <xdr:nvGrpSpPr>
        <xdr:cNvPr id="1506" name="Grupo 1505"/>
        <xdr:cNvGrpSpPr/>
      </xdr:nvGrpSpPr>
      <xdr:grpSpPr>
        <a:xfrm>
          <a:off x="17202901" y="46983958"/>
          <a:ext cx="276632" cy="257176"/>
          <a:chOff x="16172232" y="991815"/>
          <a:chExt cx="276632" cy="257176"/>
        </a:xfrm>
      </xdr:grpSpPr>
      <xdr:sp macro="" textlink="">
        <xdr:nvSpPr>
          <xdr:cNvPr id="1507" name="Rectángulo 1506"/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8" name="Triángulo isósceles 1507"/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43</xdr:col>
      <xdr:colOff>649234</xdr:colOff>
      <xdr:row>119</xdr:row>
      <xdr:rowOff>28577</xdr:rowOff>
    </xdr:from>
    <xdr:to>
      <xdr:col>43</xdr:col>
      <xdr:colOff>933450</xdr:colOff>
      <xdr:row>120</xdr:row>
      <xdr:rowOff>9526</xdr:rowOff>
    </xdr:to>
    <xdr:grpSp>
      <xdr:nvGrpSpPr>
        <xdr:cNvPr id="1509" name="Grupo 1508"/>
        <xdr:cNvGrpSpPr/>
      </xdr:nvGrpSpPr>
      <xdr:grpSpPr>
        <a:xfrm>
          <a:off x="39851413" y="46973220"/>
          <a:ext cx="284216" cy="498020"/>
          <a:chOff x="40217992" y="1876425"/>
          <a:chExt cx="863333" cy="827859"/>
        </a:xfrm>
      </xdr:grpSpPr>
      <xdr:sp macro="" textlink="">
        <xdr:nvSpPr>
          <xdr:cNvPr id="1510" name="CuadroTexto 1509"/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511" name="Triángulo isósceles 1510"/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120</xdr:row>
      <xdr:rowOff>342900</xdr:rowOff>
    </xdr:from>
    <xdr:to>
      <xdr:col>43</xdr:col>
      <xdr:colOff>990600</xdr:colOff>
      <xdr:row>121</xdr:row>
      <xdr:rowOff>304800</xdr:rowOff>
    </xdr:to>
    <xdr:sp macro="" textlink="">
      <xdr:nvSpPr>
        <xdr:cNvPr id="1512" name="Octágono 1511"/>
        <xdr:cNvSpPr/>
      </xdr:nvSpPr>
      <xdr:spPr bwMode="auto">
        <a:xfrm>
          <a:off x="39795450" y="1700213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123</xdr:row>
      <xdr:rowOff>47625</xdr:rowOff>
    </xdr:from>
    <xdr:to>
      <xdr:col>43</xdr:col>
      <xdr:colOff>933450</xdr:colOff>
      <xdr:row>123</xdr:row>
      <xdr:rowOff>323850</xdr:rowOff>
    </xdr:to>
    <xdr:sp macro="" textlink="">
      <xdr:nvSpPr>
        <xdr:cNvPr id="1513" name="Rectángulo 1512"/>
        <xdr:cNvSpPr/>
      </xdr:nvSpPr>
      <xdr:spPr bwMode="auto">
        <a:xfrm>
          <a:off x="39843075" y="2524125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119</xdr:row>
      <xdr:rowOff>38099</xdr:rowOff>
    </xdr:from>
    <xdr:to>
      <xdr:col>49</xdr:col>
      <xdr:colOff>838200</xdr:colOff>
      <xdr:row>119</xdr:row>
      <xdr:rowOff>333374</xdr:rowOff>
    </xdr:to>
    <xdr:grpSp>
      <xdr:nvGrpSpPr>
        <xdr:cNvPr id="1519" name="Grupo 1518"/>
        <xdr:cNvGrpSpPr/>
      </xdr:nvGrpSpPr>
      <xdr:grpSpPr>
        <a:xfrm>
          <a:off x="44336154" y="46982742"/>
          <a:ext cx="561975" cy="295275"/>
          <a:chOff x="44342523" y="1043290"/>
          <a:chExt cx="561975" cy="295275"/>
        </a:xfrm>
      </xdr:grpSpPr>
      <xdr:grpSp>
        <xdr:nvGrpSpPr>
          <xdr:cNvPr id="1520" name="Grupo 1519"/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531" name="Rectángulo redondeado 1530"/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2" name="Rectángulo redondeado 1531"/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521" name="Grupo 1520"/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522" name="Rectángulo redondeado 1521"/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3" name="Rectángulo redondeado 1522"/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4" name="Rectángulo redondeado 1523"/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5" name="Rectángulo redondeado 1524"/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6" name="Rectángulo redondeado 1525"/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7" name="Rectángulo redondeado 1526"/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8" name="Rectángulo redondeado 1527"/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9" name="Rectángulo redondeado 1528"/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0" name="Rectángulo redondeado 1529"/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120</xdr:row>
      <xdr:rowOff>32862</xdr:rowOff>
    </xdr:from>
    <xdr:to>
      <xdr:col>49</xdr:col>
      <xdr:colOff>633754</xdr:colOff>
      <xdr:row>120</xdr:row>
      <xdr:rowOff>339838</xdr:rowOff>
    </xdr:to>
    <xdr:grpSp>
      <xdr:nvGrpSpPr>
        <xdr:cNvPr id="1533" name="Grupo 1532"/>
        <xdr:cNvGrpSpPr/>
      </xdr:nvGrpSpPr>
      <xdr:grpSpPr>
        <a:xfrm>
          <a:off x="44486854" y="47494576"/>
          <a:ext cx="206829" cy="306976"/>
          <a:chOff x="44533457" y="9169038"/>
          <a:chExt cx="206829" cy="306976"/>
        </a:xfrm>
        <a:noFill/>
      </xdr:grpSpPr>
      <xdr:grpSp>
        <xdr:nvGrpSpPr>
          <xdr:cNvPr id="1534" name="Grupo 1533"/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537" name="Elipse 1536"/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538" name="Conector recto 1537"/>
            <xdr:cNvCxnSpPr>
              <a:stCxn id="153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39" name="Conector recto 1538"/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0" name="Conector recto 1539"/>
            <xdr:cNvCxnSpPr>
              <a:stCxn id="153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1" name="Conector recto 1540"/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535" name="Forma libre 1534"/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36" name="Forma libre 1535"/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121</xdr:row>
      <xdr:rowOff>44584</xdr:rowOff>
    </xdr:from>
    <xdr:to>
      <xdr:col>49</xdr:col>
      <xdr:colOff>640404</xdr:colOff>
      <xdr:row>121</xdr:row>
      <xdr:rowOff>351005</xdr:rowOff>
    </xdr:to>
    <xdr:grpSp>
      <xdr:nvGrpSpPr>
        <xdr:cNvPr id="1542" name="Grupo 1541"/>
        <xdr:cNvGrpSpPr/>
      </xdr:nvGrpSpPr>
      <xdr:grpSpPr>
        <a:xfrm>
          <a:off x="44540637" y="48023370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543" name="Rectángulo 1542"/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4" name="Acorde 1543"/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5" name="Acorde 1544"/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122</xdr:row>
      <xdr:rowOff>28372</xdr:rowOff>
    </xdr:from>
    <xdr:to>
      <xdr:col>49</xdr:col>
      <xdr:colOff>729574</xdr:colOff>
      <xdr:row>122</xdr:row>
      <xdr:rowOff>348574</xdr:rowOff>
    </xdr:to>
    <xdr:grpSp>
      <xdr:nvGrpSpPr>
        <xdr:cNvPr id="1546" name="Grupo 1545"/>
        <xdr:cNvGrpSpPr/>
      </xdr:nvGrpSpPr>
      <xdr:grpSpPr>
        <a:xfrm>
          <a:off x="44457142" y="48524229"/>
          <a:ext cx="332361" cy="320202"/>
          <a:chOff x="44463511" y="1386191"/>
          <a:chExt cx="332361" cy="320202"/>
        </a:xfrm>
      </xdr:grpSpPr>
      <xdr:sp macro="" textlink="">
        <xdr:nvSpPr>
          <xdr:cNvPr id="1547" name="Elipse 1546"/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48" name="Anillo 1547"/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1033096</xdr:colOff>
      <xdr:row>2</xdr:row>
      <xdr:rowOff>60448</xdr:rowOff>
    </xdr:to>
    <xdr:sp macro="" textlink="">
      <xdr:nvSpPr>
        <xdr:cNvPr id="1409" name="CuadroTexto 1408">
          <a:hlinkClick xmlns:r="http://schemas.openxmlformats.org/officeDocument/2006/relationships" r:id="rId27"/>
        </xdr:cNvPr>
        <xdr:cNvSpPr txBox="1"/>
      </xdr:nvSpPr>
      <xdr:spPr>
        <a:xfrm>
          <a:off x="11489531" y="166688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1</xdr:col>
      <xdr:colOff>315880</xdr:colOff>
      <xdr:row>54</xdr:row>
      <xdr:rowOff>92333</xdr:rowOff>
    </xdr:from>
    <xdr:to>
      <xdr:col>1</xdr:col>
      <xdr:colOff>869885</xdr:colOff>
      <xdr:row>54</xdr:row>
      <xdr:rowOff>267283</xdr:rowOff>
    </xdr:to>
    <xdr:grpSp>
      <xdr:nvGrpSpPr>
        <xdr:cNvPr id="1410" name="Grupo 1409"/>
        <xdr:cNvGrpSpPr/>
      </xdr:nvGrpSpPr>
      <xdr:grpSpPr>
        <a:xfrm>
          <a:off x="1186737" y="19958762"/>
          <a:ext cx="554005" cy="174950"/>
          <a:chOff x="1078852" y="3552435"/>
          <a:chExt cx="554005" cy="174950"/>
        </a:xfrm>
      </xdr:grpSpPr>
      <xdr:sp macro="" textlink="">
        <xdr:nvSpPr>
          <xdr:cNvPr id="1411" name="Rectángulo 1410"/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2" name="Triángulo rectángulo 1411"/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590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6096000" y="323850"/>
          <a:ext cx="1247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185658</xdr:colOff>
      <xdr:row>19</xdr:row>
      <xdr:rowOff>32289</xdr:rowOff>
    </xdr:from>
    <xdr:to>
      <xdr:col>2</xdr:col>
      <xdr:colOff>984789</xdr:colOff>
      <xdr:row>19</xdr:row>
      <xdr:rowOff>115635</xdr:rowOff>
    </xdr:to>
    <xdr:grpSp>
      <xdr:nvGrpSpPr>
        <xdr:cNvPr id="4" name="Grupo 3"/>
        <xdr:cNvGrpSpPr/>
      </xdr:nvGrpSpPr>
      <xdr:grpSpPr>
        <a:xfrm>
          <a:off x="2352596" y="3663695"/>
          <a:ext cx="799131" cy="83346"/>
          <a:chOff x="2405496" y="12615305"/>
          <a:chExt cx="639288" cy="59130"/>
        </a:xfrm>
      </xdr:grpSpPr>
      <xdr:cxnSp macro="">
        <xdr:nvCxnSpPr>
          <xdr:cNvPr id="5" name="Conector recto 4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" name="Conector recto 6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" name="Conector recto 7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185656</xdr:colOff>
      <xdr:row>41</xdr:row>
      <xdr:rowOff>137225</xdr:rowOff>
    </xdr:from>
    <xdr:to>
      <xdr:col>2</xdr:col>
      <xdr:colOff>1000932</xdr:colOff>
      <xdr:row>42</xdr:row>
      <xdr:rowOff>17371</xdr:rowOff>
    </xdr:to>
    <xdr:grpSp>
      <xdr:nvGrpSpPr>
        <xdr:cNvPr id="11" name="Grupo 10"/>
        <xdr:cNvGrpSpPr/>
      </xdr:nvGrpSpPr>
      <xdr:grpSpPr>
        <a:xfrm>
          <a:off x="2352594" y="8221569"/>
          <a:ext cx="815276" cy="82552"/>
          <a:chOff x="2405496" y="12615305"/>
          <a:chExt cx="639288" cy="59130"/>
        </a:xfrm>
      </xdr:grpSpPr>
      <xdr:cxnSp macro="">
        <xdr:nvCxnSpPr>
          <xdr:cNvPr id="12" name="Conector recto 11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" name="Conector recto 12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" name="Conector recto 13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" name="Conector recto 14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" name="Conector recto 15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7" name="Conector recto 16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201800</xdr:colOff>
      <xdr:row>16</xdr:row>
      <xdr:rowOff>40360</xdr:rowOff>
    </xdr:from>
    <xdr:to>
      <xdr:col>2</xdr:col>
      <xdr:colOff>1025147</xdr:colOff>
      <xdr:row>16</xdr:row>
      <xdr:rowOff>117809</xdr:rowOff>
    </xdr:to>
    <xdr:grpSp>
      <xdr:nvGrpSpPr>
        <xdr:cNvPr id="18" name="Grupo 17"/>
        <xdr:cNvGrpSpPr/>
      </xdr:nvGrpSpPr>
      <xdr:grpSpPr>
        <a:xfrm>
          <a:off x="2368738" y="3064548"/>
          <a:ext cx="823347" cy="77449"/>
          <a:chOff x="2162547" y="8009659"/>
          <a:chExt cx="750619" cy="78179"/>
        </a:xfrm>
      </xdr:grpSpPr>
      <xdr:cxnSp macro="">
        <xdr:nvCxnSpPr>
          <xdr:cNvPr id="19" name="Conector recto 18"/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" name="Conector recto 19"/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161440</xdr:colOff>
      <xdr:row>12</xdr:row>
      <xdr:rowOff>129152</xdr:rowOff>
    </xdr:from>
    <xdr:to>
      <xdr:col>2</xdr:col>
      <xdr:colOff>984787</xdr:colOff>
      <xdr:row>13</xdr:row>
      <xdr:rowOff>4800</xdr:rowOff>
    </xdr:to>
    <xdr:grpSp>
      <xdr:nvGrpSpPr>
        <xdr:cNvPr id="21" name="Grupo 20"/>
        <xdr:cNvGrpSpPr/>
      </xdr:nvGrpSpPr>
      <xdr:grpSpPr>
        <a:xfrm>
          <a:off x="2328378" y="2343715"/>
          <a:ext cx="823347" cy="78054"/>
          <a:chOff x="2162547" y="8009659"/>
          <a:chExt cx="750619" cy="78179"/>
        </a:xfrm>
      </xdr:grpSpPr>
      <xdr:cxnSp macro="">
        <xdr:nvCxnSpPr>
          <xdr:cNvPr id="22" name="Conector recto 21"/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" name="Conector recto 22"/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8</xdr:row>
      <xdr:rowOff>64576</xdr:rowOff>
    </xdr:from>
    <xdr:to>
      <xdr:col>2</xdr:col>
      <xdr:colOff>992860</xdr:colOff>
      <xdr:row>8</xdr:row>
      <xdr:rowOff>142025</xdr:rowOff>
    </xdr:to>
    <xdr:grpSp>
      <xdr:nvGrpSpPr>
        <xdr:cNvPr id="24" name="Grupo 23"/>
        <xdr:cNvGrpSpPr/>
      </xdr:nvGrpSpPr>
      <xdr:grpSpPr>
        <a:xfrm>
          <a:off x="2336451" y="1469514"/>
          <a:ext cx="823347" cy="77449"/>
          <a:chOff x="2162547" y="8009659"/>
          <a:chExt cx="750619" cy="78179"/>
        </a:xfrm>
      </xdr:grpSpPr>
      <xdr:cxnSp macro="">
        <xdr:nvCxnSpPr>
          <xdr:cNvPr id="25" name="Conector recto 24"/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" name="Conector recto 25"/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22</xdr:row>
      <xdr:rowOff>153369</xdr:rowOff>
    </xdr:from>
    <xdr:to>
      <xdr:col>2</xdr:col>
      <xdr:colOff>968644</xdr:colOff>
      <xdr:row>23</xdr:row>
      <xdr:rowOff>34915</xdr:rowOff>
    </xdr:to>
    <xdr:grpSp>
      <xdr:nvGrpSpPr>
        <xdr:cNvPr id="27" name="Grupo 26"/>
        <xdr:cNvGrpSpPr/>
      </xdr:nvGrpSpPr>
      <xdr:grpSpPr>
        <a:xfrm>
          <a:off x="2336451" y="4391994"/>
          <a:ext cx="799131" cy="83952"/>
          <a:chOff x="2405496" y="12615305"/>
          <a:chExt cx="639288" cy="59130"/>
        </a:xfrm>
      </xdr:grpSpPr>
      <xdr:cxnSp macro="">
        <xdr:nvCxnSpPr>
          <xdr:cNvPr id="28" name="Conector recto 27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" name="Conector recto 28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" name="Conector recto 29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" name="Conector recto 30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" name="Conector recto 31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" name="Conector recto 32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27</xdr:row>
      <xdr:rowOff>153368</xdr:rowOff>
    </xdr:from>
    <xdr:to>
      <xdr:col>2</xdr:col>
      <xdr:colOff>976716</xdr:colOff>
      <xdr:row>28</xdr:row>
      <xdr:rowOff>34913</xdr:rowOff>
    </xdr:to>
    <xdr:grpSp>
      <xdr:nvGrpSpPr>
        <xdr:cNvPr id="34" name="Grupo 33"/>
        <xdr:cNvGrpSpPr/>
      </xdr:nvGrpSpPr>
      <xdr:grpSpPr>
        <a:xfrm>
          <a:off x="2344523" y="5404024"/>
          <a:ext cx="799131" cy="83952"/>
          <a:chOff x="2405496" y="12615305"/>
          <a:chExt cx="639288" cy="59130"/>
        </a:xfrm>
      </xdr:grpSpPr>
      <xdr:cxnSp macro="">
        <xdr:nvCxnSpPr>
          <xdr:cNvPr id="35" name="Conector recto 34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" name="Conector recto 35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" name="Conector recto 36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8" name="Conector recto 37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" name="Conector recto 38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" name="Conector recto 39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33</xdr:row>
      <xdr:rowOff>32287</xdr:rowOff>
    </xdr:from>
    <xdr:to>
      <xdr:col>2</xdr:col>
      <xdr:colOff>976716</xdr:colOff>
      <xdr:row>33</xdr:row>
      <xdr:rowOff>115633</xdr:rowOff>
    </xdr:to>
    <xdr:grpSp>
      <xdr:nvGrpSpPr>
        <xdr:cNvPr id="41" name="Grupo 40"/>
        <xdr:cNvGrpSpPr/>
      </xdr:nvGrpSpPr>
      <xdr:grpSpPr>
        <a:xfrm>
          <a:off x="2344523" y="6497381"/>
          <a:ext cx="799131" cy="83346"/>
          <a:chOff x="2405496" y="12615305"/>
          <a:chExt cx="639288" cy="59130"/>
        </a:xfrm>
      </xdr:grpSpPr>
      <xdr:cxnSp macro="">
        <xdr:nvCxnSpPr>
          <xdr:cNvPr id="42" name="Conector recto 41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" name="Conector recto 42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" name="Conector recto 43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" name="Conector recto 44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" name="Conector recto 45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" name="Conector recto 46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185657</xdr:colOff>
      <xdr:row>36</xdr:row>
      <xdr:rowOff>177585</xdr:rowOff>
    </xdr:from>
    <xdr:to>
      <xdr:col>2</xdr:col>
      <xdr:colOff>984788</xdr:colOff>
      <xdr:row>37</xdr:row>
      <xdr:rowOff>59130</xdr:rowOff>
    </xdr:to>
    <xdr:grpSp>
      <xdr:nvGrpSpPr>
        <xdr:cNvPr id="48" name="Grupo 47"/>
        <xdr:cNvGrpSpPr/>
      </xdr:nvGrpSpPr>
      <xdr:grpSpPr>
        <a:xfrm>
          <a:off x="2352595" y="7249898"/>
          <a:ext cx="799131" cy="83951"/>
          <a:chOff x="2405496" y="12615305"/>
          <a:chExt cx="639288" cy="59130"/>
        </a:xfrm>
      </xdr:grpSpPr>
      <xdr:cxnSp macro="">
        <xdr:nvCxnSpPr>
          <xdr:cNvPr id="49" name="Conector recto 48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" name="Conector recto 49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1" name="Conector recto 50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2" name="Conector recto 51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" name="Conector recto 52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4" name="Conector recto 53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201801</xdr:colOff>
      <xdr:row>38</xdr:row>
      <xdr:rowOff>72648</xdr:rowOff>
    </xdr:from>
    <xdr:to>
      <xdr:col>2</xdr:col>
      <xdr:colOff>1000932</xdr:colOff>
      <xdr:row>38</xdr:row>
      <xdr:rowOff>155994</xdr:rowOff>
    </xdr:to>
    <xdr:grpSp>
      <xdr:nvGrpSpPr>
        <xdr:cNvPr id="55" name="Grupo 54"/>
        <xdr:cNvGrpSpPr/>
      </xdr:nvGrpSpPr>
      <xdr:grpSpPr>
        <a:xfrm>
          <a:off x="2368739" y="7549773"/>
          <a:ext cx="799131" cy="83346"/>
          <a:chOff x="2405496" y="12615305"/>
          <a:chExt cx="639288" cy="59130"/>
        </a:xfrm>
      </xdr:grpSpPr>
      <xdr:cxnSp macro="">
        <xdr:nvCxnSpPr>
          <xdr:cNvPr id="56" name="Conector recto 55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7" name="Conector recto 56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" name="Conector recto 57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9" name="Conector recto 58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0" name="Conector recto 59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1" name="Conector recto 60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193728</xdr:colOff>
      <xdr:row>39</xdr:row>
      <xdr:rowOff>153368</xdr:rowOff>
    </xdr:from>
    <xdr:to>
      <xdr:col>2</xdr:col>
      <xdr:colOff>992859</xdr:colOff>
      <xdr:row>40</xdr:row>
      <xdr:rowOff>34913</xdr:rowOff>
    </xdr:to>
    <xdr:grpSp>
      <xdr:nvGrpSpPr>
        <xdr:cNvPr id="62" name="Grupo 61"/>
        <xdr:cNvGrpSpPr/>
      </xdr:nvGrpSpPr>
      <xdr:grpSpPr>
        <a:xfrm>
          <a:off x="2360666" y="7832899"/>
          <a:ext cx="799131" cy="83952"/>
          <a:chOff x="2405496" y="12615305"/>
          <a:chExt cx="639288" cy="59130"/>
        </a:xfrm>
      </xdr:grpSpPr>
      <xdr:cxnSp macro="">
        <xdr:nvCxnSpPr>
          <xdr:cNvPr id="63" name="Conector recto 62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" name="Conector recto 63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" name="Conector recto 64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" name="Conector recto 65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" name="Conector recto 66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" name="Conector recto 67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145297</xdr:colOff>
      <xdr:row>44</xdr:row>
      <xdr:rowOff>16144</xdr:rowOff>
    </xdr:from>
    <xdr:to>
      <xdr:col>2</xdr:col>
      <xdr:colOff>960573</xdr:colOff>
      <xdr:row>44</xdr:row>
      <xdr:rowOff>98091</xdr:rowOff>
    </xdr:to>
    <xdr:grpSp>
      <xdr:nvGrpSpPr>
        <xdr:cNvPr id="69" name="Grupo 68"/>
        <xdr:cNvGrpSpPr/>
      </xdr:nvGrpSpPr>
      <xdr:grpSpPr>
        <a:xfrm>
          <a:off x="2312235" y="8707707"/>
          <a:ext cx="815276" cy="81947"/>
          <a:chOff x="2405496" y="12615305"/>
          <a:chExt cx="639288" cy="59130"/>
        </a:xfrm>
      </xdr:grpSpPr>
      <xdr:cxnSp macro="">
        <xdr:nvCxnSpPr>
          <xdr:cNvPr id="70" name="Conector recto 69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" name="Conector recto 70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" name="Conector recto 71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" name="Conector recto 72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" name="Conector recto 73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" name="Conector recto 74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169512</xdr:colOff>
      <xdr:row>46</xdr:row>
      <xdr:rowOff>145296</xdr:rowOff>
    </xdr:from>
    <xdr:to>
      <xdr:col>2</xdr:col>
      <xdr:colOff>984788</xdr:colOff>
      <xdr:row>47</xdr:row>
      <xdr:rowOff>25442</xdr:rowOff>
    </xdr:to>
    <xdr:grpSp>
      <xdr:nvGrpSpPr>
        <xdr:cNvPr id="76" name="Grupo 75"/>
        <xdr:cNvGrpSpPr/>
      </xdr:nvGrpSpPr>
      <xdr:grpSpPr>
        <a:xfrm>
          <a:off x="2336450" y="9241671"/>
          <a:ext cx="815276" cy="82552"/>
          <a:chOff x="2405496" y="12615305"/>
          <a:chExt cx="639288" cy="59130"/>
        </a:xfrm>
      </xdr:grpSpPr>
      <xdr:cxnSp macro="">
        <xdr:nvCxnSpPr>
          <xdr:cNvPr id="77" name="Conector recto 76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8" name="Conector recto 77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9" name="Conector recto 78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0" name="Conector recto 79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1" name="Conector recto 80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2" name="Conector recto 81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48</xdr:row>
      <xdr:rowOff>64577</xdr:rowOff>
    </xdr:from>
    <xdr:to>
      <xdr:col>2</xdr:col>
      <xdr:colOff>984789</xdr:colOff>
      <xdr:row>48</xdr:row>
      <xdr:rowOff>146524</xdr:rowOff>
    </xdr:to>
    <xdr:grpSp>
      <xdr:nvGrpSpPr>
        <xdr:cNvPr id="83" name="Grupo 82"/>
        <xdr:cNvGrpSpPr/>
      </xdr:nvGrpSpPr>
      <xdr:grpSpPr>
        <a:xfrm>
          <a:off x="2336451" y="9565765"/>
          <a:ext cx="815276" cy="81947"/>
          <a:chOff x="2405496" y="12615305"/>
          <a:chExt cx="639288" cy="59130"/>
        </a:xfrm>
      </xdr:grpSpPr>
      <xdr:cxnSp macro="">
        <xdr:nvCxnSpPr>
          <xdr:cNvPr id="84" name="Conector recto 83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5" name="Conector recto 84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6" name="Conector recto 85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7" name="Conector recto 86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8" name="Conector recto 87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9" name="Conector recto 88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121081</xdr:colOff>
      <xdr:row>70</xdr:row>
      <xdr:rowOff>16145</xdr:rowOff>
    </xdr:from>
    <xdr:to>
      <xdr:col>2</xdr:col>
      <xdr:colOff>1065509</xdr:colOff>
      <xdr:row>70</xdr:row>
      <xdr:rowOff>16145</xdr:rowOff>
    </xdr:to>
    <xdr:cxnSp macro="">
      <xdr:nvCxnSpPr>
        <xdr:cNvPr id="90" name="Conector recto 89"/>
        <xdr:cNvCxnSpPr/>
      </xdr:nvCxnSpPr>
      <xdr:spPr bwMode="auto">
        <a:xfrm>
          <a:off x="1645081" y="11350895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90</xdr:row>
      <xdr:rowOff>56505</xdr:rowOff>
    </xdr:from>
    <xdr:to>
      <xdr:col>2</xdr:col>
      <xdr:colOff>984789</xdr:colOff>
      <xdr:row>90</xdr:row>
      <xdr:rowOff>138452</xdr:rowOff>
    </xdr:to>
    <xdr:grpSp>
      <xdr:nvGrpSpPr>
        <xdr:cNvPr id="91" name="Grupo 90"/>
        <xdr:cNvGrpSpPr/>
      </xdr:nvGrpSpPr>
      <xdr:grpSpPr>
        <a:xfrm>
          <a:off x="2336451" y="18606443"/>
          <a:ext cx="815276" cy="81947"/>
          <a:chOff x="2405496" y="12615305"/>
          <a:chExt cx="639288" cy="59130"/>
        </a:xfrm>
      </xdr:grpSpPr>
      <xdr:cxnSp macro="">
        <xdr:nvCxnSpPr>
          <xdr:cNvPr id="92" name="Conector recto 91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" name="Conector recto 92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" name="Conector recto 93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" name="Conector recto 94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" name="Conector recto 95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" name="Conector recto 96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72</xdr:row>
      <xdr:rowOff>72648</xdr:rowOff>
    </xdr:from>
    <xdr:to>
      <xdr:col>2</xdr:col>
      <xdr:colOff>1049364</xdr:colOff>
      <xdr:row>72</xdr:row>
      <xdr:rowOff>72648</xdr:rowOff>
    </xdr:to>
    <xdr:cxnSp macro="">
      <xdr:nvCxnSpPr>
        <xdr:cNvPr id="98" name="Conector recto 97"/>
        <xdr:cNvCxnSpPr/>
      </xdr:nvCxnSpPr>
      <xdr:spPr bwMode="auto">
        <a:xfrm>
          <a:off x="1628936" y="11731248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113009</xdr:colOff>
      <xdr:row>74</xdr:row>
      <xdr:rowOff>209873</xdr:rowOff>
    </xdr:from>
    <xdr:to>
      <xdr:col>2</xdr:col>
      <xdr:colOff>1057437</xdr:colOff>
      <xdr:row>74</xdr:row>
      <xdr:rowOff>209873</xdr:rowOff>
    </xdr:to>
    <xdr:cxnSp macro="">
      <xdr:nvCxnSpPr>
        <xdr:cNvPr id="99" name="Conector recto 98"/>
        <xdr:cNvCxnSpPr/>
      </xdr:nvCxnSpPr>
      <xdr:spPr bwMode="auto">
        <a:xfrm>
          <a:off x="1637009" y="12144698"/>
          <a:ext cx="64915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177585</xdr:colOff>
      <xdr:row>93</xdr:row>
      <xdr:rowOff>185657</xdr:rowOff>
    </xdr:from>
    <xdr:to>
      <xdr:col>2</xdr:col>
      <xdr:colOff>992861</xdr:colOff>
      <xdr:row>94</xdr:row>
      <xdr:rowOff>41587</xdr:rowOff>
    </xdr:to>
    <xdr:grpSp>
      <xdr:nvGrpSpPr>
        <xdr:cNvPr id="100" name="Grupo 99"/>
        <xdr:cNvGrpSpPr/>
      </xdr:nvGrpSpPr>
      <xdr:grpSpPr>
        <a:xfrm>
          <a:off x="2344523" y="19414251"/>
          <a:ext cx="815276" cy="82149"/>
          <a:chOff x="2405496" y="12615305"/>
          <a:chExt cx="639288" cy="59130"/>
        </a:xfrm>
      </xdr:grpSpPr>
      <xdr:cxnSp macro="">
        <xdr:nvCxnSpPr>
          <xdr:cNvPr id="101" name="Conector recto 100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" name="Conector recto 101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" name="Conector recto 102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" name="Conector recto 103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" name="Conector recto 104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" name="Conector recto 105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161441</xdr:colOff>
      <xdr:row>97</xdr:row>
      <xdr:rowOff>96864</xdr:rowOff>
    </xdr:from>
    <xdr:to>
      <xdr:col>2</xdr:col>
      <xdr:colOff>976717</xdr:colOff>
      <xdr:row>97</xdr:row>
      <xdr:rowOff>178811</xdr:rowOff>
    </xdr:to>
    <xdr:grpSp>
      <xdr:nvGrpSpPr>
        <xdr:cNvPr id="107" name="Grupo 106"/>
        <xdr:cNvGrpSpPr/>
      </xdr:nvGrpSpPr>
      <xdr:grpSpPr>
        <a:xfrm>
          <a:off x="2328379" y="20230333"/>
          <a:ext cx="815276" cy="81947"/>
          <a:chOff x="2405496" y="12615305"/>
          <a:chExt cx="639288" cy="59130"/>
        </a:xfrm>
      </xdr:grpSpPr>
      <xdr:cxnSp macro="">
        <xdr:nvCxnSpPr>
          <xdr:cNvPr id="108" name="Conector recto 107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" name="Conector recto 108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" name="Conector recto 109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" name="Conector recto 110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" name="Conector recto 111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" name="Conector recto 112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77</xdr:row>
      <xdr:rowOff>113008</xdr:rowOff>
    </xdr:from>
    <xdr:to>
      <xdr:col>2</xdr:col>
      <xdr:colOff>1073581</xdr:colOff>
      <xdr:row>77</xdr:row>
      <xdr:rowOff>113008</xdr:rowOff>
    </xdr:to>
    <xdr:cxnSp macro="">
      <xdr:nvCxnSpPr>
        <xdr:cNvPr id="114" name="Conector recto 113"/>
        <xdr:cNvCxnSpPr/>
      </xdr:nvCxnSpPr>
      <xdr:spPr bwMode="auto">
        <a:xfrm>
          <a:off x="1653153" y="12581233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145297</xdr:colOff>
      <xdr:row>100</xdr:row>
      <xdr:rowOff>16144</xdr:rowOff>
    </xdr:from>
    <xdr:to>
      <xdr:col>2</xdr:col>
      <xdr:colOff>960573</xdr:colOff>
      <xdr:row>100</xdr:row>
      <xdr:rowOff>98091</xdr:rowOff>
    </xdr:to>
    <xdr:grpSp>
      <xdr:nvGrpSpPr>
        <xdr:cNvPr id="115" name="Grupo 114"/>
        <xdr:cNvGrpSpPr/>
      </xdr:nvGrpSpPr>
      <xdr:grpSpPr>
        <a:xfrm>
          <a:off x="2312235" y="20828269"/>
          <a:ext cx="815276" cy="81947"/>
          <a:chOff x="2405496" y="12615305"/>
          <a:chExt cx="639288" cy="59130"/>
        </a:xfrm>
      </xdr:grpSpPr>
      <xdr:cxnSp macro="">
        <xdr:nvCxnSpPr>
          <xdr:cNvPr id="116" name="Conector recto 115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7" name="Conector recto 116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" name="Conector recto 117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" name="Conector recto 118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0" name="Conector recto 119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1" name="Conector recto 120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81</xdr:row>
      <xdr:rowOff>8072</xdr:rowOff>
    </xdr:from>
    <xdr:to>
      <xdr:col>2</xdr:col>
      <xdr:colOff>1049364</xdr:colOff>
      <xdr:row>81</xdr:row>
      <xdr:rowOff>8072</xdr:rowOff>
    </xdr:to>
    <xdr:cxnSp macro="">
      <xdr:nvCxnSpPr>
        <xdr:cNvPr id="122" name="Conector recto 121"/>
        <xdr:cNvCxnSpPr/>
      </xdr:nvCxnSpPr>
      <xdr:spPr bwMode="auto">
        <a:xfrm>
          <a:off x="1628936" y="13123997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104</xdr:row>
      <xdr:rowOff>48432</xdr:rowOff>
    </xdr:from>
    <xdr:to>
      <xdr:col>2</xdr:col>
      <xdr:colOff>984789</xdr:colOff>
      <xdr:row>104</xdr:row>
      <xdr:rowOff>130379</xdr:rowOff>
    </xdr:to>
    <xdr:grpSp>
      <xdr:nvGrpSpPr>
        <xdr:cNvPr id="123" name="Grupo 122"/>
        <xdr:cNvGrpSpPr/>
      </xdr:nvGrpSpPr>
      <xdr:grpSpPr>
        <a:xfrm>
          <a:off x="2336451" y="21765432"/>
          <a:ext cx="815276" cy="81947"/>
          <a:chOff x="2405496" y="12615305"/>
          <a:chExt cx="639288" cy="59130"/>
        </a:xfrm>
      </xdr:grpSpPr>
      <xdr:cxnSp macro="">
        <xdr:nvCxnSpPr>
          <xdr:cNvPr id="124" name="Conector recto 123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" name="Conector recto 124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6" name="Conector recto 125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" name="Conector recto 126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" name="Conector recto 127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9" name="Conector recto 128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84</xdr:row>
      <xdr:rowOff>121080</xdr:rowOff>
    </xdr:from>
    <xdr:to>
      <xdr:col>2</xdr:col>
      <xdr:colOff>1073581</xdr:colOff>
      <xdr:row>84</xdr:row>
      <xdr:rowOff>121080</xdr:rowOff>
    </xdr:to>
    <xdr:cxnSp macro="">
      <xdr:nvCxnSpPr>
        <xdr:cNvPr id="130" name="Conector recto 129"/>
        <xdr:cNvCxnSpPr/>
      </xdr:nvCxnSpPr>
      <xdr:spPr bwMode="auto">
        <a:xfrm>
          <a:off x="1653153" y="13722780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185657</xdr:colOff>
      <xdr:row>108</xdr:row>
      <xdr:rowOff>56504</xdr:rowOff>
    </xdr:from>
    <xdr:to>
      <xdr:col>2</xdr:col>
      <xdr:colOff>1000933</xdr:colOff>
      <xdr:row>108</xdr:row>
      <xdr:rowOff>138451</xdr:rowOff>
    </xdr:to>
    <xdr:grpSp>
      <xdr:nvGrpSpPr>
        <xdr:cNvPr id="131" name="Grupo 130"/>
        <xdr:cNvGrpSpPr/>
      </xdr:nvGrpSpPr>
      <xdr:grpSpPr>
        <a:xfrm>
          <a:off x="2352595" y="22678379"/>
          <a:ext cx="815276" cy="81947"/>
          <a:chOff x="2405496" y="12615305"/>
          <a:chExt cx="639288" cy="59130"/>
        </a:xfrm>
      </xdr:grpSpPr>
      <xdr:cxnSp macro="">
        <xdr:nvCxnSpPr>
          <xdr:cNvPr id="132" name="Conector recto 131"/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3" name="Conector recto 132"/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4" name="Conector recto 133"/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5" name="Conector recto 134"/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6" name="Conector recto 135"/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/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121080</xdr:colOff>
      <xdr:row>87</xdr:row>
      <xdr:rowOff>96865</xdr:rowOff>
    </xdr:from>
    <xdr:to>
      <xdr:col>2</xdr:col>
      <xdr:colOff>1065508</xdr:colOff>
      <xdr:row>87</xdr:row>
      <xdr:rowOff>96865</xdr:rowOff>
    </xdr:to>
    <xdr:cxnSp macro="">
      <xdr:nvCxnSpPr>
        <xdr:cNvPr id="138" name="Conector recto 137"/>
        <xdr:cNvCxnSpPr/>
      </xdr:nvCxnSpPr>
      <xdr:spPr bwMode="auto">
        <a:xfrm>
          <a:off x="1645080" y="14184340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129153</xdr:colOff>
      <xdr:row>81</xdr:row>
      <xdr:rowOff>96863</xdr:rowOff>
    </xdr:from>
    <xdr:to>
      <xdr:col>7</xdr:col>
      <xdr:colOff>952500</xdr:colOff>
      <xdr:row>81</xdr:row>
      <xdr:rowOff>174312</xdr:rowOff>
    </xdr:to>
    <xdr:grpSp>
      <xdr:nvGrpSpPr>
        <xdr:cNvPr id="139" name="Grupo 138"/>
        <xdr:cNvGrpSpPr/>
      </xdr:nvGrpSpPr>
      <xdr:grpSpPr>
        <a:xfrm>
          <a:off x="7701528" y="16610832"/>
          <a:ext cx="823347" cy="77449"/>
          <a:chOff x="2162547" y="8009659"/>
          <a:chExt cx="750619" cy="78179"/>
        </a:xfrm>
      </xdr:grpSpPr>
      <xdr:cxnSp macro="">
        <xdr:nvCxnSpPr>
          <xdr:cNvPr id="140" name="Conector recto 139"/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1" name="Conector recto 140"/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7</xdr:col>
      <xdr:colOff>161442</xdr:colOff>
      <xdr:row>83</xdr:row>
      <xdr:rowOff>145297</xdr:rowOff>
    </xdr:from>
    <xdr:to>
      <xdr:col>7</xdr:col>
      <xdr:colOff>984789</xdr:colOff>
      <xdr:row>83</xdr:row>
      <xdr:rowOff>222746</xdr:rowOff>
    </xdr:to>
    <xdr:grpSp>
      <xdr:nvGrpSpPr>
        <xdr:cNvPr id="142" name="Grupo 141"/>
        <xdr:cNvGrpSpPr/>
      </xdr:nvGrpSpPr>
      <xdr:grpSpPr>
        <a:xfrm>
          <a:off x="7733817" y="17111703"/>
          <a:ext cx="823347" cy="77449"/>
          <a:chOff x="2162547" y="8009659"/>
          <a:chExt cx="750619" cy="78179"/>
        </a:xfrm>
      </xdr:grpSpPr>
      <xdr:cxnSp macro="">
        <xdr:nvCxnSpPr>
          <xdr:cNvPr id="143" name="Conector recto 142"/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4" name="Conector recto 143"/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266378</xdr:colOff>
      <xdr:row>83</xdr:row>
      <xdr:rowOff>169513</xdr:rowOff>
    </xdr:from>
    <xdr:to>
      <xdr:col>13</xdr:col>
      <xdr:colOff>789445</xdr:colOff>
      <xdr:row>84</xdr:row>
      <xdr:rowOff>20945</xdr:rowOff>
    </xdr:to>
    <xdr:grpSp>
      <xdr:nvGrpSpPr>
        <xdr:cNvPr id="145" name="Grupo 144"/>
        <xdr:cNvGrpSpPr/>
      </xdr:nvGrpSpPr>
      <xdr:grpSpPr>
        <a:xfrm>
          <a:off x="14839628" y="17135919"/>
          <a:ext cx="523067" cy="77651"/>
          <a:chOff x="2162547" y="8009659"/>
          <a:chExt cx="750619" cy="78179"/>
        </a:xfrm>
      </xdr:grpSpPr>
      <xdr:cxnSp macro="">
        <xdr:nvCxnSpPr>
          <xdr:cNvPr id="146" name="Conector recto 145"/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7" name="Conector recto 146"/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11</xdr:col>
      <xdr:colOff>238125</xdr:colOff>
      <xdr:row>0</xdr:row>
      <xdr:rowOff>83344</xdr:rowOff>
    </xdr:from>
    <xdr:to>
      <xdr:col>11</xdr:col>
      <xdr:colOff>1271221</xdr:colOff>
      <xdr:row>1</xdr:row>
      <xdr:rowOff>143791</xdr:rowOff>
    </xdr:to>
    <xdr:sp macro="" textlink="">
      <xdr:nvSpPr>
        <xdr:cNvPr id="148" name="CuadroTexto 147">
          <a:hlinkClick xmlns:r="http://schemas.openxmlformats.org/officeDocument/2006/relationships" r:id="rId1"/>
        </xdr:cNvPr>
        <xdr:cNvSpPr txBox="1"/>
      </xdr:nvSpPr>
      <xdr:spPr>
        <a:xfrm>
          <a:off x="11477625" y="83344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068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4</xdr:row>
      <xdr:rowOff>0</xdr:rowOff>
    </xdr:from>
    <xdr:to>
      <xdr:col>12</xdr:col>
      <xdr:colOff>271096</xdr:colOff>
      <xdr:row>4</xdr:row>
      <xdr:rowOff>227135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0734675" y="7715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0506075" y="1619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542925</xdr:colOff>
      <xdr:row>5</xdr:row>
      <xdr:rowOff>95250</xdr:rowOff>
    </xdr:from>
    <xdr:to>
      <xdr:col>0</xdr:col>
      <xdr:colOff>1247775</xdr:colOff>
      <xdr:row>5</xdr:row>
      <xdr:rowOff>438150</xdr:rowOff>
    </xdr:to>
    <xdr:grpSp>
      <xdr:nvGrpSpPr>
        <xdr:cNvPr id="4" name="Grupo 3"/>
        <xdr:cNvGrpSpPr/>
      </xdr:nvGrpSpPr>
      <xdr:grpSpPr>
        <a:xfrm>
          <a:off x="542925" y="904875"/>
          <a:ext cx="704850" cy="342900"/>
          <a:chOff x="619125" y="895350"/>
          <a:chExt cx="704850" cy="342900"/>
        </a:xfrm>
      </xdr:grpSpPr>
      <xdr:cxnSp macro="">
        <xdr:nvCxnSpPr>
          <xdr:cNvPr id="5" name="Conector recto 4"/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/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542925</xdr:colOff>
      <xdr:row>6</xdr:row>
      <xdr:rowOff>66675</xdr:rowOff>
    </xdr:from>
    <xdr:to>
      <xdr:col>0</xdr:col>
      <xdr:colOff>1247775</xdr:colOff>
      <xdr:row>6</xdr:row>
      <xdr:rowOff>409575</xdr:rowOff>
    </xdr:to>
    <xdr:grpSp>
      <xdr:nvGrpSpPr>
        <xdr:cNvPr id="7" name="Grupo 6"/>
        <xdr:cNvGrpSpPr/>
      </xdr:nvGrpSpPr>
      <xdr:grpSpPr>
        <a:xfrm>
          <a:off x="542925" y="1343025"/>
          <a:ext cx="704850" cy="342900"/>
          <a:chOff x="571500" y="1333500"/>
          <a:chExt cx="704850" cy="342900"/>
        </a:xfrm>
      </xdr:grpSpPr>
      <xdr:cxnSp macro="">
        <xdr:nvCxnSpPr>
          <xdr:cNvPr id="8" name="Conector recto 7"/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/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/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1</xdr:row>
      <xdr:rowOff>0</xdr:rowOff>
    </xdr:from>
    <xdr:to>
      <xdr:col>14</xdr:col>
      <xdr:colOff>271096</xdr:colOff>
      <xdr:row>2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</xdr:cNvPr>
        <xdr:cNvSpPr txBox="1"/>
      </xdr:nvSpPr>
      <xdr:spPr>
        <a:xfrm>
          <a:off x="147256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0572750" y="161925"/>
          <a:ext cx="295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619125</xdr:colOff>
      <xdr:row>5</xdr:row>
      <xdr:rowOff>85725</xdr:rowOff>
    </xdr:from>
    <xdr:to>
      <xdr:col>0</xdr:col>
      <xdr:colOff>1323975</xdr:colOff>
      <xdr:row>5</xdr:row>
      <xdr:rowOff>428625</xdr:rowOff>
    </xdr:to>
    <xdr:grpSp>
      <xdr:nvGrpSpPr>
        <xdr:cNvPr id="4" name="Grupo 3"/>
        <xdr:cNvGrpSpPr/>
      </xdr:nvGrpSpPr>
      <xdr:grpSpPr>
        <a:xfrm>
          <a:off x="619125" y="895350"/>
          <a:ext cx="704850" cy="342900"/>
          <a:chOff x="619125" y="895350"/>
          <a:chExt cx="704850" cy="342900"/>
        </a:xfrm>
      </xdr:grpSpPr>
      <xdr:cxnSp macro="">
        <xdr:nvCxnSpPr>
          <xdr:cNvPr id="5" name="Conector recto 4"/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/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571500</xdr:colOff>
      <xdr:row>6</xdr:row>
      <xdr:rowOff>76200</xdr:rowOff>
    </xdr:from>
    <xdr:to>
      <xdr:col>0</xdr:col>
      <xdr:colOff>1276350</xdr:colOff>
      <xdr:row>6</xdr:row>
      <xdr:rowOff>419100</xdr:rowOff>
    </xdr:to>
    <xdr:grpSp>
      <xdr:nvGrpSpPr>
        <xdr:cNvPr id="7" name="Grupo 6"/>
        <xdr:cNvGrpSpPr/>
      </xdr:nvGrpSpPr>
      <xdr:grpSpPr>
        <a:xfrm>
          <a:off x="571500" y="1333500"/>
          <a:ext cx="704850" cy="342900"/>
          <a:chOff x="571500" y="1333500"/>
          <a:chExt cx="704850" cy="342900"/>
        </a:xfrm>
      </xdr:grpSpPr>
      <xdr:cxnSp macro="">
        <xdr:nvCxnSpPr>
          <xdr:cNvPr id="8" name="Conector recto 7"/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/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/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0</xdr:row>
      <xdr:rowOff>0</xdr:rowOff>
    </xdr:from>
    <xdr:to>
      <xdr:col>14</xdr:col>
      <xdr:colOff>271096</xdr:colOff>
      <xdr:row>1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</xdr:cNvPr>
        <xdr:cNvSpPr txBox="1"/>
      </xdr:nvSpPr>
      <xdr:spPr>
        <a:xfrm>
          <a:off x="147351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129540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956277</xdr:colOff>
      <xdr:row>12</xdr:row>
      <xdr:rowOff>19050</xdr:rowOff>
    </xdr:from>
    <xdr:to>
      <xdr:col>12</xdr:col>
      <xdr:colOff>619895</xdr:colOff>
      <xdr:row>29</xdr:row>
      <xdr:rowOff>123825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252" y="2209800"/>
          <a:ext cx="3483143" cy="2857500"/>
        </a:xfrm>
        <a:prstGeom prst="rect">
          <a:avLst/>
        </a:prstGeom>
      </xdr:spPr>
    </xdr:pic>
    <xdr:clientData/>
  </xdr:twoCellAnchor>
  <xdr:twoCellAnchor>
    <xdr:from>
      <xdr:col>9</xdr:col>
      <xdr:colOff>971550</xdr:colOff>
      <xdr:row>9</xdr:row>
      <xdr:rowOff>66675</xdr:rowOff>
    </xdr:from>
    <xdr:to>
      <xdr:col>13</xdr:col>
      <xdr:colOff>0</xdr:colOff>
      <xdr:row>12</xdr:row>
      <xdr:rowOff>0</xdr:rowOff>
    </xdr:to>
    <xdr:sp macro="" textlink="">
      <xdr:nvSpPr>
        <xdr:cNvPr id="4" name="CuadroTexto 3"/>
        <xdr:cNvSpPr txBox="1"/>
      </xdr:nvSpPr>
      <xdr:spPr>
        <a:xfrm>
          <a:off x="9534525" y="1771650"/>
          <a:ext cx="36099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/>
            <a:t>CANTIDAD Y UBICACIÓN DE PREFABRICADO GRC</a:t>
          </a:r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271096</xdr:colOff>
      <xdr:row>2</xdr:row>
      <xdr:rowOff>17585</xdr:rowOff>
    </xdr:to>
    <xdr:sp macro="" textlink="">
      <xdr:nvSpPr>
        <xdr:cNvPr id="5" name="CuadroTexto 4">
          <a:hlinkClick xmlns:r="http://schemas.openxmlformats.org/officeDocument/2006/relationships" r:id="rId2"/>
        </xdr:cNvPr>
        <xdr:cNvSpPr txBox="1"/>
      </xdr:nvSpPr>
      <xdr:spPr>
        <a:xfrm>
          <a:off x="14668500" y="200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</xdr:row>
      <xdr:rowOff>0</xdr:rowOff>
    </xdr:from>
    <xdr:to>
      <xdr:col>12</xdr:col>
      <xdr:colOff>271096</xdr:colOff>
      <xdr:row>2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</xdr:cNvPr>
        <xdr:cNvSpPr txBox="1"/>
      </xdr:nvSpPr>
      <xdr:spPr>
        <a:xfrm>
          <a:off x="1112520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15373" name="Line 1"/>
        <xdr:cNvSpPr>
          <a:spLocks noChangeShapeType="1"/>
        </xdr:cNvSpPr>
      </xdr:nvSpPr>
      <xdr:spPr bwMode="auto">
        <a:xfrm>
          <a:off x="5448300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742950</xdr:colOff>
      <xdr:row>2</xdr:row>
      <xdr:rowOff>0</xdr:rowOff>
    </xdr:from>
    <xdr:to>
      <xdr:col>9</xdr:col>
      <xdr:colOff>28575</xdr:colOff>
      <xdr:row>2</xdr:row>
      <xdr:rowOff>0</xdr:rowOff>
    </xdr:to>
    <xdr:sp macro="" textlink="">
      <xdr:nvSpPr>
        <xdr:cNvPr id="15374" name="Line 3"/>
        <xdr:cNvSpPr>
          <a:spLocks noChangeShapeType="1"/>
        </xdr:cNvSpPr>
      </xdr:nvSpPr>
      <xdr:spPr bwMode="auto">
        <a:xfrm>
          <a:off x="5438775" y="523875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65210</xdr:rowOff>
    </xdr:to>
    <xdr:sp macro="" textlink="">
      <xdr:nvSpPr>
        <xdr:cNvPr id="4" name="CuadroTexto 3">
          <a:hlinkClick xmlns:r="http://schemas.openxmlformats.org/officeDocument/2006/relationships" r:id="rId1"/>
        </xdr:cNvPr>
        <xdr:cNvSpPr txBox="1"/>
      </xdr:nvSpPr>
      <xdr:spPr>
        <a:xfrm>
          <a:off x="698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271096</xdr:colOff>
      <xdr:row>4</xdr:row>
      <xdr:rowOff>65210</xdr:rowOff>
    </xdr:to>
    <xdr:sp macro="" textlink="">
      <xdr:nvSpPr>
        <xdr:cNvPr id="2" name="CuadroTexto 1">
          <a:hlinkClick xmlns:r="http://schemas.openxmlformats.org/officeDocument/2006/relationships" r:id="rId1"/>
        </xdr:cNvPr>
        <xdr:cNvSpPr txBox="1"/>
      </xdr:nvSpPr>
      <xdr:spPr>
        <a:xfrm>
          <a:off x="86677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3" name="Line 1"/>
        <xdr:cNvSpPr>
          <a:spLocks noChangeShapeType="1"/>
        </xdr:cNvSpPr>
      </xdr:nvSpPr>
      <xdr:spPr bwMode="auto">
        <a:xfrm>
          <a:off x="5448300" y="171450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talia%20Convers\Desktop\EAFIT%202016\REVCantidades_CentroDeIdiomasEAFIT_SAR_JCM_NG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garci10\Downloads\Presupuestos%2030-05-2016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Estructura de Presupuesto"/>
      <sheetName val="Costos Indirectos"/>
      <sheetName val="APU"/>
      <sheetName val="Tenores"/>
      <sheetName val="1. Preliminares"/>
      <sheetName val="2. Movimiento de tierra"/>
      <sheetName val="3.Concreto"/>
      <sheetName val="4. Refuerzo"/>
      <sheetName val="5. Malla"/>
      <sheetName val="6. Mampostería"/>
      <sheetName val="7. Revoque"/>
      <sheetName val="8. Estuco y pintura"/>
      <sheetName val="8. Pisos y zócalos"/>
      <sheetName val="9. Carpintería metálica"/>
      <sheetName val="10. Carpintería en madera"/>
      <sheetName val="11. Acabados y accesorios"/>
      <sheetName val="12. Perfilería de metal"/>
      <sheetName val="13. Ap. sanitarios y de cocina"/>
      <sheetName val="13. Inst. Hidro-Sanitarias"/>
      <sheetName val="14. Instalaciones Eléctricas"/>
      <sheetName val="15. Escaleras 5-9 Acero"/>
      <sheetName val="16. Escaleras Emergencia 5-9"/>
      <sheetName val="17. Cubierta"/>
      <sheetName val="18. Fachada"/>
      <sheetName val="19. Casetones"/>
      <sheetName val="20. Equipos"/>
    </sheetNames>
    <sheetDataSet>
      <sheetData sheetId="0"/>
      <sheetData sheetId="1">
        <row r="307">
          <cell r="J30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2. Movimiento de tierra"/>
      <sheetName val="Resumen CD"/>
      <sheetName val="Costos indirectos"/>
      <sheetName val="Gastos Generales"/>
      <sheetName val="Costos totales"/>
      <sheetName val="Estructura de Presupuesto"/>
      <sheetName val="Tenores"/>
      <sheetName val="3.Concreto"/>
      <sheetName val="4. Refuerzo"/>
      <sheetName val="APU"/>
      <sheetName val="13. Inst. Hidro-Sanitarias"/>
      <sheetName val="Cuadro de programación"/>
      <sheetName val="9. Carpintería metálica"/>
      <sheetName val="12. Perfilería de metal"/>
      <sheetName val="8. Pisos y zócalos"/>
      <sheetName val="8. Estuco y pintura"/>
      <sheetName val="7. Revoque"/>
      <sheetName val="6. Mampostería"/>
      <sheetName val="14. Instalaciones Eléctricas"/>
      <sheetName val="10. Carpintería en madera"/>
      <sheetName val="11. Acabados y accesorios"/>
      <sheetName val="Flujo de caja"/>
      <sheetName val="1. Preliminares"/>
      <sheetName val="5. Malla"/>
      <sheetName val="13. Ap. sanitarios y de cocina"/>
      <sheetName val="15. Escaleras 5-9 Acero"/>
      <sheetName val="16. Escaleras Emergencia 5-9"/>
      <sheetName val="18. Fachada"/>
      <sheetName val="17. Cubierta"/>
      <sheetName val="19. Casetones"/>
      <sheetName val="20. 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O6">
            <v>999.21159999999998</v>
          </cell>
        </row>
      </sheetData>
      <sheetData sheetId="8"/>
      <sheetData sheetId="9">
        <row r="7">
          <cell r="H7" t="str">
            <v>1/4 (0.25)</v>
          </cell>
          <cell r="I7" t="str">
            <v>3/8 (0.56)</v>
          </cell>
          <cell r="J7" t="str">
            <v>1/2 (1.00)</v>
          </cell>
          <cell r="K7" t="str">
            <v>5/8 (1.55)</v>
          </cell>
          <cell r="L7" t="str">
            <v>3/4 (2.24)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Full name" refreshedDate="42522.261360300923" createdVersion="6" refreshedVersion="6" minRefreshableVersion="3" recordCount="0" supportSubquery="1" supportAdvancedDrill="1">
  <cacheSource type="external" connectionId="1"/>
  <cacheFields count="48">
    <cacheField name="[Measures].[Costo]" caption="Costo" numFmtId="0" hierarchy="54"/>
    <cacheField name="[Measures].[Costo acumulado]" caption="Costo acumulado" numFmtId="0" hierarchy="59"/>
    <cacheField name="[Hora].[Semanal].[Año]" caption="Año" numFmtId="0" level="1">
      <sharedItems count="2">
        <s v="[Hora].[Semanal].[Año].&amp;[2016]" c="2016"/>
        <s v="[Hora].[Semanal].[Año].&amp;[2017]" c="2017"/>
      </sharedItems>
    </cacheField>
    <cacheField name="[Hora].[Semanal].[Trimestre]" caption="Trimestre" numFmtId="0" level="2">
      <sharedItems count="6">
        <s v="[Hora].[Semanal].[Año].&amp;[2016].&amp;[T2]" c="T2"/>
        <s v="[Hora].[Semanal].[Año].&amp;[2016].&amp;[T3]" c="T3"/>
        <s v="[Hora].[Semanal].[Año].&amp;[2016].&amp;[T4]" c="T4"/>
        <s v="[Hora].[Semanal].[Año].&amp;[2017].&amp;[T1]" c="T1"/>
        <s v="[Hora].[Semanal].[Año].&amp;[2017].&amp;[T2]" c="T2"/>
        <s v="[Hora].[Semanal].[Año].&amp;[2017].&amp;[T3]" c="T3"/>
      </sharedItems>
    </cacheField>
    <cacheField name="[Hora].[Semanal].[Semana]" caption="Semana" numFmtId="0" level="3">
      <sharedItems containsSemiMixedTypes="0" containsString="0"/>
    </cacheField>
    <cacheField name="[Tareas].[Tareas].[Tarea ]" caption="Tarea " numFmtId="0" hierarchy="1" level="1">
      <sharedItems containsSemiMixedTypes="0" containsString="0"/>
    </cacheField>
    <cacheField name="[Tareas].[Tareas].[Tarea  1]" caption="Tarea  1" numFmtId="0" hierarchy="1" level="2">
      <sharedItems containsSemiMixedTypes="0" containsString="0"/>
    </cacheField>
    <cacheField name="[Tareas].[Tareas].[Tarea  2]" caption="Tarea  2" numFmtId="0" hierarchy="1" level="3">
      <sharedItems containsSemiMixedTypes="0" containsString="0"/>
    </cacheField>
    <cacheField name="[Tareas].[Tareas].[Tarea  3]" caption="Tarea  3" numFmtId="0" hierarchy="1" level="4">
      <sharedItems containsSemiMixedTypes="0" containsString="0"/>
    </cacheField>
    <cacheField name="[Tareas].[Tareas].[Com_ant_redistribución]" caption="Com_ant_redistribución" propertyName="Com_ant_redistribución" numFmtId="0" hierarchy="1" level="32767" memberPropertyField="1">
      <sharedItems containsSemiMixedTypes="0" containsString="0"/>
    </cacheField>
    <cacheField name="[Tareas].[Tareas].[Comienzo anticipado]" caption="Comienzo anticipado" propertyName="Comienzo anticipado" numFmtId="0" hierarchy="1" level="32767" memberPropertyField="1">
      <sharedItems containsSemiMixedTypes="0" containsString="0"/>
    </cacheField>
    <cacheField name="[Tareas].[Tareas].[Comienzo estimado de línea base]" caption="Comienzo estimado de línea base" propertyName="Comienzo estimado de línea base" numFmtId="0" hierarchy="1" level="32767" memberPropertyField="1">
      <sharedItems containsSemiMixedTypes="0" containsString="0"/>
    </cacheField>
    <cacheField name="[Tareas].[Tareas].[Comienzo real]" caption="Comienzo real" propertyName="Comienzo real" numFmtId="0" hierarchy="1" level="32767" memberPropertyField="1">
      <sharedItems containsSemiMixedTypes="0" containsString="0"/>
    </cacheField>
    <cacheField name="[Tareas].[Tareas].[Costo de línea base]" caption="Costo de línea base" propertyName="Costo de línea base" numFmtId="0" hierarchy="1" level="32767" memberPropertyField="1">
      <sharedItems containsSemiMixedTypes="0" containsString="0"/>
    </cacheField>
    <cacheField name="[Tareas].[Tareas].[Costo fijo previsto]" caption="Costo fijo previsto" propertyName="Costo fijo previsto" numFmtId="0" hierarchy="1" level="32767" memberPropertyField="1">
      <sharedItems containsSemiMixedTypes="0" containsString="0"/>
    </cacheField>
    <cacheField name="[Tareas].[Tareas].[Creado]" caption="Creado" propertyName="Creado" numFmtId="0" hierarchy="1" level="32767" memberPropertyField="1">
      <sharedItems containsSemiMixedTypes="0" containsString="0"/>
    </cacheField>
    <cacheField name="[Tareas].[Tareas].[Demora de comienzo]" caption="Demora de comienzo" propertyName="Demora de comienzo" numFmtId="0" hierarchy="1" level="32767" memberPropertyField="1">
      <sharedItems containsSemiMixedTypes="0" containsString="0"/>
    </cacheField>
    <cacheField name="[Tareas].[Tareas].[Demora de fin]" caption="Demora de fin" propertyName="Demora de fin" numFmtId="0" hierarchy="1" level="32767" memberPropertyField="1">
      <sharedItems containsSemiMixedTypes="0" containsString="0"/>
    </cacheField>
    <cacheField name="[Tareas].[Tareas].[Detener]" caption="Detener" propertyName="Detener" numFmtId="0" hierarchy="1" level="32767" memberPropertyField="1">
      <sharedItems containsSemiMixedTypes="0" containsString="0"/>
    </cacheField>
    <cacheField name="[Tareas].[Tareas].[Duración estimada de línea base]" caption="Duración estimada de línea base" propertyName="Duración estimada de línea base" numFmtId="0" hierarchy="1" level="32767" memberPropertyField="1">
      <sharedItems containsSemiMixedTypes="0" containsString="0"/>
    </cacheField>
    <cacheField name="[Tareas].[Tareas].[Duración programada]" caption="Duración programada" propertyName="Duración programada" numFmtId="0" hierarchy="1" level="32767" memberPropertyField="1">
      <sharedItems containsSemiMixedTypes="0" containsString="0"/>
    </cacheField>
    <cacheField name="[Tareas].[Tareas].[Duración real]" caption="Duración real" propertyName="Duración real" numFmtId="0" hierarchy="1" level="32767" memberPropertyField="1">
      <sharedItems containsSemiMixedTypes="0" containsString="0"/>
    </cacheField>
    <cacheField name="[Tareas].[Tareas].[Duración restante]" caption="Duración restante" propertyName="Duración restante" numFmtId="0" hierarchy="1" level="32767" memberPropertyField="1">
      <sharedItems containsSemiMixedTypes="0" containsString="0"/>
    </cacheField>
    <cacheField name="[Tareas].[Tareas].[EDT]" caption="EDT" propertyName="EDT" numFmtId="0" hierarchy="1" level="32767" memberPropertyField="1">
      <sharedItems containsSemiMixedTypes="0" containsString="0"/>
    </cacheField>
    <cacheField name="[Tareas].[Tareas].[Fecha de restricción]" caption="Fecha de restricción" propertyName="Fecha de restricción" numFmtId="0" hierarchy="1" level="32767" memberPropertyField="1">
      <sharedItems containsSemiMixedTypes="0" containsString="0"/>
    </cacheField>
    <cacheField name="[Tareas].[Tareas].[Fecha límite]" caption="Fecha límite" propertyName="Fecha límite" numFmtId="0" hierarchy="1" level="32767" memberPropertyField="1">
      <sharedItems containsSemiMixedTypes="0" containsString="0"/>
    </cacheField>
    <cacheField name="[Tareas].[Tareas].[Fin ant_redistribución]" caption="Fin ant_redistribución" propertyName="Fin ant_redistribución" numFmtId="0" hierarchy="1" level="32767" memberPropertyField="1">
      <sharedItems containsSemiMixedTypes="0" containsString="0"/>
    </cacheField>
    <cacheField name="[Tareas].[Tareas].[Fin anticipado]" caption="Fin anticipado" propertyName="Fin anticipado" numFmtId="0" hierarchy="1" level="32767" memberPropertyField="1">
      <sharedItems containsSemiMixedTypes="0" containsString="0"/>
    </cacheField>
    <cacheField name="[Tareas].[Tareas].[Fin estimado de línea base]" caption="Fin estimado de línea base" propertyName="Fin estimado de línea base" numFmtId="0" hierarchy="1" level="32767" memberPropertyField="1">
      <sharedItems containsSemiMixedTypes="0" containsString="0"/>
    </cacheField>
    <cacheField name="[Tareas].[Tareas].[Fin programado]" caption="Fin programado" propertyName="Fin programado" numFmtId="0" hierarchy="1" level="32767" memberPropertyField="1">
      <sharedItems containsSemiMixedTypes="0" containsString="0"/>
    </cacheField>
    <cacheField name="[Tareas].[Tareas].[Fin real]" caption="Fin real" propertyName="Fin real" numFmtId="0" hierarchy="1" level="32767" memberPropertyField="1">
      <sharedItems containsSemiMixedTypes="0" containsString="0"/>
    </cacheField>
    <cacheField name="[Tareas].[Tareas].[Holgura libre]" caption="Holgura libre" propertyName="Holgura libre" numFmtId="0" hierarchy="1" level="32767" memberPropertyField="1">
      <sharedItems containsSemiMixedTypes="0" containsString="0"/>
    </cacheField>
    <cacheField name="[Tareas].[Tareas].[Holgura total]" caption="Holgura total" propertyName="Holgura total" numFmtId="0" hierarchy="1" level="32767" memberPropertyField="1">
      <sharedItems containsSemiMixedTypes="0" containsString="0"/>
    </cacheField>
    <cacheField name="[Tareas].[Tareas].[Inicio programado]" caption="Inicio programado" propertyName="Inicio programado" numFmtId="0" hierarchy="1" level="32767" memberPropertyField="1">
      <sharedItems containsSemiMixedTypes="0" containsString="0"/>
    </cacheField>
    <cacheField name="[Tareas].[Tareas].[Límite de comienzo]" caption="Límite de comienzo" propertyName="Límite de comienzo" numFmtId="0" hierarchy="1" level="32767" memberPropertyField="1">
      <sharedItems containsSemiMixedTypes="0" containsString="0"/>
    </cacheField>
    <cacheField name="[Tareas].[Tareas].[Límite de finalización]" caption="Límite de finalización" propertyName="Límite de finalización" numFmtId="0" hierarchy="1" level="32767" memberPropertyField="1">
      <sharedItems containsSemiMixedTypes="0" containsString="0"/>
    </cacheField>
    <cacheField name="[Tareas].[Tareas].[Porcentaje completado]" caption="Porcentaje completado" propertyName="Porcentaje completado" numFmtId="0" hierarchy="1" level="32767" memberPropertyField="1">
      <sharedItems containsSemiMixedTypes="0" containsString="0"/>
    </cacheField>
    <cacheField name="[Tareas].[Tareas].[Porcentaje del trabajo completado]" caption="Porcentaje del trabajo completado" propertyName="Porcentaje del trabajo completado" numFmtId="0" hierarchy="1" level="32767" memberPropertyField="1">
      <sharedItems containsSemiMixedTypes="0" containsString="0"/>
    </cacheField>
    <cacheField name="[Tareas].[Tareas].[Porcentaje físico completado]" caption="Porcentaje físico completado" propertyName="Porcentaje físico completado" numFmtId="0" hierarchy="1" level="32767" memberPropertyField="1">
      <sharedItems containsSemiMixedTypes="0" containsString="0"/>
    </cacheField>
    <cacheField name="[Tareas].[Tareas].[Prioridad]" caption="Prioridad" propertyName="Prioridad" numFmtId="0" hierarchy="1" level="32767" memberPropertyField="1">
      <sharedItems containsSemiMixedTypes="0" containsString="0"/>
    </cacheField>
    <cacheField name="[Tareas].[Tareas].[Retraso por redist]" caption="Retraso por redist" propertyName="Retraso por redist" numFmtId="0" hierarchy="1" level="32767" memberPropertyField="1">
      <sharedItems containsSemiMixedTypes="0" containsString="0"/>
    </cacheField>
    <cacheField name="[Tareas].[Tareas].[Tareas]" caption="Tareas" propertyName="Tareas" numFmtId="0" hierarchy="1" level="32767" memberPropertyField="1">
      <sharedItems containsSemiMixedTypes="0" containsString="0"/>
    </cacheField>
    <cacheField name="[Tareas].[Tareas].[TaskID]" caption="TaskID" propertyName="TaskID" numFmtId="0" hierarchy="1" level="32767" memberPropertyField="1">
      <sharedItems containsSemiMixedTypes="0" containsString="0"/>
    </cacheField>
    <cacheField name="[Tareas].[Tareas].[Trabajo previsto]" caption="Trabajo previsto" propertyName="Trabajo previsto" numFmtId="0" hierarchy="1" level="32767" memberPropertyField="1">
      <sharedItems containsSemiMixedTypes="0" containsString="0"/>
    </cacheField>
    <cacheField name="[Tareas].[Tareas].[VAF]" caption="VAF" propertyName="VAF" numFmtId="0" hierarchy="1" level="32767" memberPropertyField="1">
      <sharedItems containsSemiMixedTypes="0" containsString="0"/>
    </cacheField>
    <cacheField name="[Tareas].[Tareas].[Variación de comienzo]" caption="Variación de comienzo" propertyName="Variación de comienzo" numFmtId="0" hierarchy="1" level="32767" memberPropertyField="1">
      <sharedItems containsSemiMixedTypes="0" containsString="0"/>
    </cacheField>
    <cacheField name="[Tareas].[Tareas].[Variación de duración]" caption="Variación de duración" propertyName="Variación de duración" numFmtId="0" hierarchy="1" level="32767" memberPropertyField="1">
      <sharedItems containsSemiMixedTypes="0" containsString="0"/>
    </cacheField>
    <cacheField name="[Tareas].[Tareas].[Variación de fin]" caption="Variación de fin" propertyName="Variación de fin" numFmtId="0" hierarchy="1" level="32767" memberPropertyField="1">
      <sharedItems containsSemiMixedTypes="0" containsString="0"/>
    </cacheField>
  </cacheFields>
  <cacheHierarchies count="63">
    <cacheHierarchy uniqueName="[Hora].[Semanal]" caption="Semanal" time="1" defaultMemberUniqueName="[Hora].[Semanal].[Todos]" allUniqueName="[Hora].[Semanal].[Todos]" dimensionUniqueName="[Hora]" displayFolder="" count="4" unbalanced="0">
      <fieldsUsage count="4">
        <fieldUsage x="-1"/>
        <fieldUsage x="2"/>
        <fieldUsage x="3"/>
        <fieldUsage x="4"/>
      </fieldsUsage>
    </cacheHierarchy>
    <cacheHierarchy uniqueName="[Tareas].[Tareas]" caption="Tareas" defaultMemberUniqueName="[Tareas].[Tareas].[Todos]" allUniqueName="[Tareas].[Tareas].[Todos]" dimensionUniqueName="[Tareas]" displayFolder="" count="5" unbalanced="1">
      <fieldsUsage count="5">
        <fieldUsage x="-1"/>
        <fieldUsage x="5"/>
        <fieldUsage x="6"/>
        <fieldUsage x="7"/>
        <fieldUsage x="8"/>
      </fieldsUsage>
    </cacheHierarchy>
    <cacheHierarchy uniqueName="[Hora].[TIME_ID]" caption="TIME_ID" attribute="1" time="1" defaultMemberUniqueName="[Hora].[TIME_ID].[Todos]" allUniqueName="[Hora].[TIME_ID].[Todos]" dimensionUniqueName="[Hora]" displayFolder="" count="0" unbalanced="0" hidden="1"/>
    <cacheHierarchy uniqueName="[Hora].[TimeByDay]" caption="TimeByDay" attribute="1" time="1" keyAttribute="1" defaultMemberUniqueName="[Hora].[TimeByDay].[Todos]" allUniqueName="[Hora].[TimeByDay].[Todos]" dimensionUniqueName="[Hora]" displayFolder="" count="0" memberValueDatatype="130" unbalanced="0" hidden="1"/>
    <cacheHierarchy uniqueName="[Hora].[TimeNumericalWeekOfTheYear]" caption="TimeNumericalWeekOfTheYear" attribute="1" time="1" defaultMemberUniqueName="[Hora].[TimeNumericalWeekOfTheYear].[Todos]" allUniqueName="[Hora].[TimeNumericalWeekOfTheYear].[Todos]" dimensionUniqueName="[Hora]" displayFolder="" count="0" unbalanced="0" hidden="1"/>
    <cacheHierarchy uniqueName="[Hora].[TimeQuarter]" caption="TimeQuarter" attribute="1" time="1" defaultMemberUniqueName="[Hora].[TimeQuarter].[Todos]" allUniqueName="[Hora].[TimeQuarter].[Todos]" dimensionUniqueName="[Hora]" displayFolder="" count="0" unbalanced="0" hidden="1"/>
    <cacheHierarchy uniqueName="[Hora].[TimeYear]" caption="TimeYear" attribute="1" time="1" defaultMemberUniqueName="[Hora].[TimeYear].[Todos]" allUniqueName="[Hora].[TimeYear].[Todos]" dimensionUniqueName="[Hora]" displayFolder="" count="0" unbalanced="0" hidden="1"/>
    <cacheHierarchy uniqueName="[Tareas].[Com_ant_redistribución]" caption="Com_ant_redistribución" attribute="1" defaultMemberUniqueName="[Tareas].[Com_ant_redistribución].[Todos]" allUniqueName="[Tareas].[Com_ant_redistribución].[Todos]" dimensionUniqueName="[Tareas]" displayFolder="" count="0" unbalanced="0" hidden="1"/>
    <cacheHierarchy uniqueName="[Tareas].[Comienzo anticipado]" caption="Comienzo anticipado" attribute="1" defaultMemberUniqueName="[Tareas].[Comienzo anticipado].[Todos]" allUniqueName="[Tareas].[Comienzo anticipado].[Todos]" dimensionUniqueName="[Tareas]" displayFolder="" count="0" unbalanced="0" hidden="1"/>
    <cacheHierarchy uniqueName="[Tareas].[Comienzo estimado de línea base]" caption="Comienzo estimado de línea base" attribute="1" defaultMemberUniqueName="[Tareas].[Comienzo estimado de línea base].[Todos]" allUniqueName="[Tareas].[Comienzo estimado de línea base].[Todos]" dimensionUniqueName="[Tareas]" displayFolder="" count="0" unbalanced="0" hidden="1"/>
    <cacheHierarchy uniqueName="[Tareas].[Comienzo real]" caption="Comienzo real" attribute="1" defaultMemberUniqueName="[Tareas].[Comienzo real].[Todos]" allUniqueName="[Tareas].[Comienzo real].[Todos]" dimensionUniqueName="[Tareas]" displayFolder="" count="0" unbalanced="0" hidden="1"/>
    <cacheHierarchy uniqueName="[Tareas].[Costo de línea base]" caption="Costo de línea base" attribute="1" defaultMemberUniqueName="[Tareas].[Costo de línea base].[Todos]" allUniqueName="[Tareas].[Costo de línea base].[Todos]" dimensionUniqueName="[Tareas]" displayFolder="" count="0" unbalanced="0" hidden="1"/>
    <cacheHierarchy uniqueName="[Tareas].[Costo fijo previsto]" caption="Costo fijo previsto" attribute="1" defaultMemberUniqueName="[Tareas].[Costo fijo previsto].[Todos]" allUniqueName="[Tareas].[Costo fijo previsto].[Todos]" dimensionUniqueName="[Tareas]" displayFolder="" count="0" unbalanced="0" hidden="1"/>
    <cacheHierarchy uniqueName="[Tareas].[Creado]" caption="Creado" attribute="1" defaultMemberUniqueName="[Tareas].[Creado].[Todos]" allUniqueName="[Tareas].[Creado].[Todos]" dimensionUniqueName="[Tareas]" displayFolder="" count="0" unbalanced="0" hidden="1"/>
    <cacheHierarchy uniqueName="[Tareas].[Demora de comienzo]" caption="Demora de comienzo" attribute="1" defaultMemberUniqueName="[Tareas].[Demora de comienzo].[Todos]" allUniqueName="[Tareas].[Demora de comienzo].[Todos]" dimensionUniqueName="[Tareas]" displayFolder="" count="0" unbalanced="0" hidden="1"/>
    <cacheHierarchy uniqueName="[Tareas].[Demora de fin]" caption="Demora de fin" attribute="1" defaultMemberUniqueName="[Tareas].[Demora de fin].[Todos]" allUniqueName="[Tareas].[Demora de fin].[Todos]" dimensionUniqueName="[Tareas]" displayFolder="" count="0" unbalanced="0" hidden="1"/>
    <cacheHierarchy uniqueName="[Tareas].[Detener]" caption="Detener" attribute="1" defaultMemberUniqueName="[Tareas].[Detener].[Todos]" allUniqueName="[Tareas].[Detener].[Todos]" dimensionUniqueName="[Tareas]" displayFolder="" count="0" unbalanced="0" hidden="1"/>
    <cacheHierarchy uniqueName="[Tareas].[Duración estimada de línea base]" caption="Duración estimada de línea base" attribute="1" defaultMemberUniqueName="[Tareas].[Duración estimada de línea base].[Todos]" allUniqueName="[Tareas].[Duración estimada de línea base].[Todos]" dimensionUniqueName="[Tareas]" displayFolder="" count="0" unbalanced="0" hidden="1"/>
    <cacheHierarchy uniqueName="[Tareas].[Duración programada]" caption="Duración programada" attribute="1" defaultMemberUniqueName="[Tareas].[Duración programada].[Todos]" allUniqueName="[Tareas].[Duración programada].[Todos]" dimensionUniqueName="[Tareas]" displayFolder="" count="0" unbalanced="0" hidden="1"/>
    <cacheHierarchy uniqueName="[Tareas].[Duración real]" caption="Duración real" attribute="1" defaultMemberUniqueName="[Tareas].[Duración real].[Todos]" allUniqueName="[Tareas].[Duración real].[Todos]" dimensionUniqueName="[Tareas]" displayFolder="" count="0" unbalanced="0" hidden="1"/>
    <cacheHierarchy uniqueName="[Tareas].[Duración restante]" caption="Duración restante" attribute="1" defaultMemberUniqueName="[Tareas].[Duración restante].[Todos]" allUniqueName="[Tareas].[Duración restante].[Todos]" dimensionUniqueName="[Tareas]" displayFolder="" count="0" unbalanced="0" hidden="1"/>
    <cacheHierarchy uniqueName="[Tareas].[EDT]" caption="EDT" attribute="1" defaultMemberUniqueName="[Tareas].[EDT].[Todos]" allUniqueName="[Tareas].[EDT].[Todos]" dimensionUniqueName="[Tareas]" displayFolder="" count="0" unbalanced="0" hidden="1"/>
    <cacheHierarchy uniqueName="[Tareas].[Fecha de restricción]" caption="Fecha de restricción" attribute="1" defaultMemberUniqueName="[Tareas].[Fecha de restricción].[Todos]" allUniqueName="[Tareas].[Fecha de restricción].[Todos]" dimensionUniqueName="[Tareas]" displayFolder="" count="0" unbalanced="0" hidden="1"/>
    <cacheHierarchy uniqueName="[Tareas].[Fecha límite]" caption="Fecha límite" attribute="1" defaultMemberUniqueName="[Tareas].[Fecha límite].[Todos]" allUniqueName="[Tareas].[Fecha límite].[Todos]" dimensionUniqueName="[Tareas]" displayFolder="" count="0" unbalanced="0" hidden="1"/>
    <cacheHierarchy uniqueName="[Tareas].[Fin ant_redistribución]" caption="Fin ant_redistribución" attribute="1" defaultMemberUniqueName="[Tareas].[Fin ant_redistribución].[Todos]" allUniqueName="[Tareas].[Fin ant_redistribución].[Todos]" dimensionUniqueName="[Tareas]" displayFolder="" count="0" unbalanced="0" hidden="1"/>
    <cacheHierarchy uniqueName="[Tareas].[Fin anticipado]" caption="Fin anticipado" attribute="1" defaultMemberUniqueName="[Tareas].[Fin anticipado].[Todos]" allUniqueName="[Tareas].[Fin anticipado].[Todos]" dimensionUniqueName="[Tareas]" displayFolder="" count="0" unbalanced="0" hidden="1"/>
    <cacheHierarchy uniqueName="[Tareas].[Fin estimado de línea base]" caption="Fin estimado de línea base" attribute="1" defaultMemberUniqueName="[Tareas].[Fin estimado de línea base].[Todos]" allUniqueName="[Tareas].[Fin estimado de línea base].[Todos]" dimensionUniqueName="[Tareas]" displayFolder="" count="0" unbalanced="0" hidden="1"/>
    <cacheHierarchy uniqueName="[Tareas].[Fin programado]" caption="Fin programado" attribute="1" defaultMemberUniqueName="[Tareas].[Fin programado].[Todos]" allUniqueName="[Tareas].[Fin programado].[Todos]" dimensionUniqueName="[Tareas]" displayFolder="" count="0" unbalanced="0" hidden="1"/>
    <cacheHierarchy uniqueName="[Tareas].[Fin real]" caption="Fin real" attribute="1" defaultMemberUniqueName="[Tareas].[Fin real].[Todos]" allUniqueName="[Tareas].[Fin real].[Todos]" dimensionUniqueName="[Tareas]" displayFolder="" count="0" unbalanced="0" hidden="1"/>
    <cacheHierarchy uniqueName="[Tareas].[Holgura libre]" caption="Holgura libre" attribute="1" defaultMemberUniqueName="[Tareas].[Holgura libre].[Todos]" allUniqueName="[Tareas].[Holgura libre].[Todos]" dimensionUniqueName="[Tareas]" displayFolder="" count="0" unbalanced="0" hidden="1"/>
    <cacheHierarchy uniqueName="[Tareas].[Holgura total]" caption="Holgura total" attribute="1" defaultMemberUniqueName="[Tareas].[Holgura total].[Todos]" allUniqueName="[Tareas].[Holgura total].[Todos]" dimensionUniqueName="[Tareas]" displayFolder="" count="0" unbalanced="0" hidden="1"/>
    <cacheHierarchy uniqueName="[Tareas].[Inicio programado]" caption="Inicio programado" attribute="1" defaultMemberUniqueName="[Tareas].[Inicio programado].[Todos]" allUniqueName="[Tareas].[Inicio programado].[Todos]" dimensionUniqueName="[Tareas]" displayFolder="" count="0" unbalanced="0" hidden="1"/>
    <cacheHierarchy uniqueName="[Tareas].[Límite de comienzo]" caption="Límite de comienzo" attribute="1" defaultMemberUniqueName="[Tareas].[Límite de comienzo].[Todos]" allUniqueName="[Tareas].[Límite de comienzo].[Todos]" dimensionUniqueName="[Tareas]" displayFolder="" count="0" unbalanced="0" hidden="1"/>
    <cacheHierarchy uniqueName="[Tareas].[Límite de finalización]" caption="Límite de finalización" attribute="1" defaultMemberUniqueName="[Tareas].[Límite de finalización].[Todos]" allUniqueName="[Tareas].[Límite de finalización].[Todos]" dimensionUniqueName="[Tareas]" displayFolder="" count="0" unbalanced="0" hidden="1"/>
    <cacheHierarchy uniqueName="[Tareas].[Porcentaje completado]" caption="Porcentaje completado" attribute="1" defaultMemberUniqueName="[Tareas].[Porcentaje completado].[Todos]" allUniqueName="[Tareas].[Porcentaje completado].[Todos]" dimensionUniqueName="[Tareas]" displayFolder="" count="0" unbalanced="0" hidden="1"/>
    <cacheHierarchy uniqueName="[Tareas].[Porcentaje del trabajo completado]" caption="Porcentaje del trabajo completado" attribute="1" defaultMemberUniqueName="[Tareas].[Porcentaje del trabajo completado].[Todos]" allUniqueName="[Tareas].[Porcentaje del trabajo completado].[Todos]" dimensionUniqueName="[Tareas]" displayFolder="" count="0" unbalanced="0" hidden="1"/>
    <cacheHierarchy uniqueName="[Tareas].[Porcentaje físico completado]" caption="Porcentaje físico completado" attribute="1" defaultMemberUniqueName="[Tareas].[Porcentaje físico completado].[Todos]" allUniqueName="[Tareas].[Porcentaje físico completado].[Todos]" dimensionUniqueName="[Tareas]" displayFolder="" count="0" unbalanced="0" hidden="1"/>
    <cacheHierarchy uniqueName="[Tareas].[Prioridad]" caption="Prioridad" attribute="1" defaultMemberUniqueName="[Tareas].[Prioridad].[Todos]" allUniqueName="[Tareas].[Prioridad].[Todos]" dimensionUniqueName="[Tareas]" displayFolder="" count="0" unbalanced="0" hidden="1"/>
    <cacheHierarchy uniqueName="[Tareas].[Retraso por redist]" caption="Retraso por redist" attribute="1" defaultMemberUniqueName="[Tareas].[Retraso por redist].[Todos]" allUniqueName="[Tareas].[Retraso por redist].[Todos]" dimensionUniqueName="[Tareas]" displayFolder="" count="0" unbalanced="0" hidden="1"/>
    <cacheHierarchy uniqueName="[Tareas].[TaskID]" caption="TaskID" attribute="1" defaultMemberUniqueName="[Tareas].[TaskID].[Todos]" allUniqueName="[Tareas].[TaskID].[Todos]" dimensionUniqueName="[Tareas]" displayFolder="" count="0" unbalanced="0" hidden="1"/>
    <cacheHierarchy uniqueName="[Tareas].[TaskUID]" caption="TaskUID" attribute="1" keyAttribute="1" defaultMemberUniqueName="[Tareas].[TaskUID].[Todos]" allUniqueName="[Tareas].[TaskUID].[Todos]" dimensionUniqueName="[Tareas]" displayFolder="" count="0" unbalanced="0" hidden="1"/>
    <cacheHierarchy uniqueName="[Tareas].[Trabajo previsto]" caption="Trabajo previsto" attribute="1" defaultMemberUniqueName="[Tareas].[Trabajo previsto].[Todos]" allUniqueName="[Tareas].[Trabajo previsto].[Todos]" dimensionUniqueName="[Tareas]" displayFolder="" count="0" unbalanced="0" hidden="1"/>
    <cacheHierarchy uniqueName="[Tareas].[VAF]" caption="VAF" attribute="1" defaultMemberUniqueName="[Tareas].[VAF].[Todos]" allUniqueName="[Tareas].[VAF].[Todos]" dimensionUniqueName="[Tareas]" displayFolder="" count="0" unbalanced="0" hidden="1"/>
    <cacheHierarchy uniqueName="[Tareas].[Variación de comienzo]" caption="Variación de comienzo" attribute="1" defaultMemberUniqueName="[Tareas].[Variación de comienzo].[Todos]" allUniqueName="[Tareas].[Variación de comienzo].[Todos]" dimensionUniqueName="[Tareas]" displayFolder="" count="0" unbalanced="0" hidden="1"/>
    <cacheHierarchy uniqueName="[Tareas].[Variación de duración]" caption="Variación de duración" attribute="1" defaultMemberUniqueName="[Tareas].[Variación de duración].[Todos]" allUniqueName="[Tareas].[Variación de duración].[Todos]" dimensionUniqueName="[Tareas]" displayFolder="" count="0" unbalanced="0" hidden="1"/>
    <cacheHierarchy uniqueName="[Tareas].[Variación de fin]" caption="Variación de fin" attribute="1" defaultMemberUniqueName="[Tareas].[Variación de fin].[Todos]" allUniqueName="[Tareas].[Variación de fin].[Todos]" dimensionUniqueName="[Tareas]" displayFolder="" count="0" unbalanced="0" hidden="1"/>
    <cacheHierarchy uniqueName="[Measures].[Costo real]" caption="Costo real" measure="1" displayFolder="" measureGroup="Valores" count="0"/>
    <cacheHierarchy uniqueName="[Measures].[Costo fijo real]" caption="Costo fijo real" measure="1" displayFolder="" measureGroup="Valores" count="0"/>
    <cacheHierarchy uniqueName="[Measures].[Trab_real de horas extra]" caption="Trab_real de horas extra" measure="1" displayFolder="" measureGroup="Valores" count="0"/>
    <cacheHierarchy uniqueName="[Measures].[Trabajo real]" caption="Trabajo real" measure="1" displayFolder="" measureGroup="Valores" count="0"/>
    <cacheHierarchy uniqueName="[Measures].[Costo presup_previsto]" caption="Costo presup_previsto" measure="1" displayFolder="" measureGroup="Valores" count="0"/>
    <cacheHierarchy uniqueName="[Measures].[Trabajo presupuestado de línea base]" caption="Trabajo presupuestado de línea base" measure="1" displayFolder="" measureGroup="Valores" count="0"/>
    <cacheHierarchy uniqueName="[Measures].[Costo presupuestado]" caption="Costo presupuestado" measure="1" displayFolder="" measureGroup="Valores" count="0"/>
    <cacheHierarchy uniqueName="[Measures].[Trabajo presupuestado]" caption="Trabajo presupuestado" measure="1" displayFolder="" measureGroup="Valores" count="0"/>
    <cacheHierarchy uniqueName="[Measures].[Costo]" caption="Costo" measure="1" displayFolder="" measureGroup="Valores" count="0" oneField="1">
      <fieldsUsage count="1">
        <fieldUsage x="0"/>
      </fieldsUsage>
    </cacheHierarchy>
    <cacheHierarchy uniqueName="[Measures].[Costo fijo]" caption="Costo fijo" measure="1" displayFolder="" measureGroup="Valores" count="0"/>
    <cacheHierarchy uniqueName="[Measures].[Trabajo de horas extra]" caption="Trabajo de horas extra" measure="1" displayFolder="" measureGroup="Valores" count="0"/>
    <cacheHierarchy uniqueName="[Measures].[Trabajo normal]" caption="Trabajo normal" measure="1" displayFolder="" measureGroup="Valores" count="0"/>
    <cacheHierarchy uniqueName="[Measures].[Trabajo]" caption="Trabajo" measure="1" displayFolder="" measureGroup="Valores" count="0"/>
    <cacheHierarchy uniqueName="[Measures].[Costo acumulado]" caption="Costo acumulado" measure="1" displayFolder="" count="0" oneField="1">
      <fieldsUsage count="1">
        <fieldUsage x="1"/>
      </fieldsUsage>
    </cacheHierarchy>
    <cacheHierarchy uniqueName="[Measures].[Trabajo acumulado]" caption="Trabajo acumulado" measure="1" displayFolder="" count="0"/>
    <cacheHierarchy uniqueName="[Measures].[_ADRCUMULCOST]" caption="_ADRCUMULCOST" measure="1" displayFolder="" measureGroup="Valores" count="0" hidden="1"/>
    <cacheHierarchy uniqueName="[Measures].[_ADRCUMULWORK]" caption="_ADRCUMULWORK" measure="1" displayFolder="" measureGroup="Valores" count="0" hidden="1"/>
  </cacheHierarchies>
  <kpis count="0"/>
  <dimensions count="3">
    <dimension name="Hora" uniqueName="[Hora]" caption="Hora"/>
    <dimension measure="1" name="Measures" uniqueName="[Measures]" caption="Measures"/>
    <dimension name="Tareas" uniqueName="[Tareas]" caption="Tareas"/>
  </dimensions>
  <measureGroups count="1">
    <measureGroup name="Valores" caption="Valores"/>
  </measureGroups>
  <maps count="2">
    <map measureGroup="0" dimension="0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os" grandTotalCaption="Total general" updatedVersion="6" minRefreshableVersion="3" useAutoFormatting="1" itemPrintTitles="1" createdVersion="6" indent="0" compact="0" compactData="0" gridDropZones="1" chartFormat="4" fieldListSortAscending="1">
  <location ref="A3:D13" firstHeaderRow="1" firstDataRow="2" firstDataCol="2" rowPageCount="1" colPageCount="1"/>
  <pivotFields count="48">
    <pivotField name="Costo" dataField="1" compact="0" outline="0" subtotalTop="0" showAll="0" includeNewItemsInFilter="1"/>
    <pivotField name="Costo acumulado" dataField="1" compact="0" outline="0" subtotalTop="0" showAll="0" includeNewItemsInFilter="1"/>
    <pivotField name="Año" axis="axisRow" subtotalCaption="Total ?" compact="0" allDrilled="1" outline="0" subtotalTop="0" showAll="0" includeNewItemsInFilter="1" dataSourceSort="1">
      <items count="3">
        <item c="1" x="0" d="1"/>
        <item c="1" x="1" d="1"/>
        <item t="default"/>
      </items>
    </pivotField>
    <pivotField name="Trimestre" axis="axisRow" compact="0" outline="0" subtotalTop="0" showAll="0" includeNewItemsInFilter="1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Row" compact="0" outline="0" showAll="0" dataSourceSort="1">
      <items count="1">
        <item t="default"/>
      </items>
    </pivotField>
    <pivotField axis="axisPage" compact="0" allDrilled="1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2"/>
    <field x="3"/>
  </rowFields>
  <rowItems count="9">
    <i>
      <x/>
      <x/>
    </i>
    <i r="1">
      <x v="1"/>
    </i>
    <i r="1">
      <x v="2"/>
    </i>
    <i t="default">
      <x/>
    </i>
    <i>
      <x v="1"/>
      <x v="3"/>
    </i>
    <i r="1">
      <x v="4"/>
    </i>
    <i r="1"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1" name="[Tareas].[Tareas].[Todos]" cap="Todos"/>
  </pageFields>
  <dataFields count="2">
    <dataField name="Costo" fld="0" baseField="0" baseItem="0"/>
    <dataField name="Costo acumulado" fld="1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3">
    <pivotHierarchy includeNewItemsInFilter="1"/>
    <pivotHierarchy>
      <mps count="39"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30"/>
        <mp field="31"/>
        <mp field="32"/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4" zoomScale="80" zoomScaleNormal="80" workbookViewId="0">
      <selection sqref="A1:XFD1048576"/>
    </sheetView>
  </sheetViews>
  <sheetFormatPr baseColWidth="10" defaultColWidth="11.42578125" defaultRowHeight="12.75"/>
  <cols>
    <col min="1" max="16384" width="11.42578125" style="1492"/>
  </cols>
  <sheetData/>
  <mergeCells count="1">
    <mergeCell ref="A1:XFD10485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Y20"/>
  <sheetViews>
    <sheetView tabSelected="1" zoomScale="60" zoomScaleNormal="60" workbookViewId="0">
      <selection activeCell="AA5" sqref="AA5"/>
    </sheetView>
  </sheetViews>
  <sheetFormatPr baseColWidth="10" defaultRowHeight="12.75"/>
  <sheetData>
    <row r="2" spans="18:25" ht="15">
      <c r="R2" s="1493" t="s">
        <v>3587</v>
      </c>
      <c r="S2" s="1493"/>
      <c r="T2" s="1493"/>
      <c r="U2" s="1493"/>
      <c r="V2" s="1493"/>
      <c r="W2" s="1493"/>
      <c r="X2" s="1493"/>
    </row>
    <row r="3" spans="18:25" ht="15">
      <c r="R3" s="1494" t="s">
        <v>3588</v>
      </c>
      <c r="S3" s="1494"/>
      <c r="T3" s="1494"/>
      <c r="U3" s="1494"/>
      <c r="V3" s="1494"/>
      <c r="W3" s="1494"/>
      <c r="X3" s="1494"/>
    </row>
    <row r="4" spans="18:25" ht="15">
      <c r="R4" s="1494" t="s">
        <v>3589</v>
      </c>
      <c r="S4" s="1494"/>
      <c r="T4" s="1494"/>
      <c r="U4" s="1494"/>
      <c r="V4" s="1494"/>
      <c r="W4" s="1494"/>
      <c r="X4" s="1494"/>
    </row>
    <row r="7" spans="18:25" ht="13.5" thickBot="1"/>
    <row r="8" spans="18:25">
      <c r="V8" s="1503" t="s">
        <v>3575</v>
      </c>
      <c r="W8" s="1504"/>
      <c r="X8" s="1504"/>
      <c r="Y8" s="1505"/>
    </row>
    <row r="9" spans="18:25" ht="13.5" thickBot="1">
      <c r="V9" s="1506"/>
      <c r="W9" s="1507"/>
      <c r="X9" s="1507"/>
      <c r="Y9" s="1508"/>
    </row>
    <row r="10" spans="18:25" ht="15.75" thickBot="1">
      <c r="V10" s="1509" t="s">
        <v>3576</v>
      </c>
      <c r="W10" s="1510"/>
      <c r="X10" s="1509" t="s">
        <v>3577</v>
      </c>
      <c r="Y10" s="1511"/>
    </row>
    <row r="11" spans="18:25" ht="15">
      <c r="V11" s="1495" t="s">
        <v>3578</v>
      </c>
      <c r="W11" s="1496"/>
      <c r="X11" s="1501">
        <f>+SUM('9. Pisos y zócalos'!D6:D9)</f>
        <v>240.18550000000005</v>
      </c>
      <c r="Y11" s="1502"/>
    </row>
    <row r="12" spans="18:25" ht="15">
      <c r="V12" s="1499" t="s">
        <v>3579</v>
      </c>
      <c r="W12" s="1500"/>
      <c r="X12" s="1501">
        <f>+'9. Pisos y zócalos'!D10+'9. Pisos y zócalos'!D11+'9. Pisos y zócalos'!D13</f>
        <v>275.28460000000001</v>
      </c>
      <c r="Y12" s="1502"/>
    </row>
    <row r="13" spans="18:25" ht="15">
      <c r="V13" s="1499" t="s">
        <v>3580</v>
      </c>
      <c r="W13" s="1500"/>
      <c r="X13" s="1501">
        <f>+SUM('9. Pisos y zócalos'!D15:D21)</f>
        <v>915.07859999999994</v>
      </c>
      <c r="Y13" s="1502"/>
    </row>
    <row r="14" spans="18:25" ht="15">
      <c r="V14" s="1495" t="s">
        <v>3581</v>
      </c>
      <c r="W14" s="1496"/>
      <c r="X14" s="1497">
        <f>+SUM('9. Pisos y zócalos'!D22:D27)</f>
        <v>621.9529</v>
      </c>
      <c r="Y14" s="1498"/>
    </row>
    <row r="15" spans="18:25" ht="15">
      <c r="V15" s="1499" t="s">
        <v>3582</v>
      </c>
      <c r="W15" s="1500"/>
      <c r="X15" s="1497">
        <f>+SUM('9. Pisos y zócalos'!D28:D33)</f>
        <v>1055.6867000000002</v>
      </c>
      <c r="Y15" s="1498"/>
    </row>
    <row r="16" spans="18:25" ht="15">
      <c r="V16" s="1499" t="s">
        <v>3583</v>
      </c>
      <c r="W16" s="1500"/>
      <c r="X16" s="1497">
        <f>+SUM('9. Pisos y zócalos'!D34:D38)</f>
        <v>885.01089999999988</v>
      </c>
      <c r="Y16" s="1498"/>
    </row>
    <row r="17" spans="22:25" ht="15">
      <c r="V17" s="1495" t="s">
        <v>3584</v>
      </c>
      <c r="W17" s="1496"/>
      <c r="X17" s="1497">
        <f>+SUM('9. Pisos y zócalos'!D39:D43)</f>
        <v>848.00069999999994</v>
      </c>
      <c r="Y17" s="1498"/>
    </row>
    <row r="18" spans="22:25" ht="15">
      <c r="V18" s="1499" t="s">
        <v>3585</v>
      </c>
      <c r="W18" s="1500"/>
      <c r="X18" s="1497">
        <f>+SUM('9. Pisos y zócalos'!D44:D48)</f>
        <v>848.00069999999994</v>
      </c>
      <c r="Y18" s="1498"/>
    </row>
    <row r="19" spans="22:25" ht="15">
      <c r="V19" s="1495" t="s">
        <v>3586</v>
      </c>
      <c r="W19" s="1496"/>
      <c r="X19" s="1497">
        <f>+SUM('9. Pisos y zócalos'!D49:D54)</f>
        <v>895.98019999999997</v>
      </c>
      <c r="Y19" s="1498"/>
    </row>
    <row r="20" spans="22:25" ht="15.75" thickBot="1">
      <c r="V20" s="1512" t="s">
        <v>1999</v>
      </c>
      <c r="W20" s="1513"/>
      <c r="X20" s="1514">
        <f>SUM(X11:Y19)</f>
        <v>6585.1807999999992</v>
      </c>
      <c r="Y20" s="1515"/>
    </row>
  </sheetData>
  <mergeCells count="26">
    <mergeCell ref="V12:W12"/>
    <mergeCell ref="X12:Y12"/>
    <mergeCell ref="V20:W20"/>
    <mergeCell ref="X20:Y20"/>
    <mergeCell ref="V16:W16"/>
    <mergeCell ref="X16:Y16"/>
    <mergeCell ref="V17:W17"/>
    <mergeCell ref="X17:Y17"/>
    <mergeCell ref="V18:W18"/>
    <mergeCell ref="X18:Y18"/>
    <mergeCell ref="R2:X2"/>
    <mergeCell ref="R3:X3"/>
    <mergeCell ref="R4:X4"/>
    <mergeCell ref="V19:W19"/>
    <mergeCell ref="X19:Y19"/>
    <mergeCell ref="V13:W13"/>
    <mergeCell ref="X13:Y13"/>
    <mergeCell ref="V14:W14"/>
    <mergeCell ref="X14:Y14"/>
    <mergeCell ref="V15:W15"/>
    <mergeCell ref="X15:Y15"/>
    <mergeCell ref="V8:Y9"/>
    <mergeCell ref="V10:W10"/>
    <mergeCell ref="X10:Y10"/>
    <mergeCell ref="V11:W11"/>
    <mergeCell ref="X11:Y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>
      <selection activeCell="A12" sqref="A12:C14"/>
    </sheetView>
  </sheetViews>
  <sheetFormatPr baseColWidth="10" defaultColWidth="10.85546875" defaultRowHeight="15"/>
  <cols>
    <col min="1" max="1" width="10.85546875" style="1357" bestFit="1" customWidth="1"/>
    <col min="2" max="2" width="85.42578125" style="1357" customWidth="1"/>
    <col min="3" max="3" width="54" style="1357" bestFit="1" customWidth="1"/>
    <col min="4" max="16384" width="10.85546875" style="1357"/>
  </cols>
  <sheetData>
    <row r="1" spans="1:7" ht="15.75" thickBot="1">
      <c r="A1" s="1537" t="s">
        <v>3466</v>
      </c>
      <c r="B1" s="1538"/>
      <c r="C1" s="1539"/>
    </row>
    <row r="2" spans="1:7" ht="15.75" thickBot="1">
      <c r="A2" s="1542" t="s">
        <v>3467</v>
      </c>
      <c r="B2" s="1543"/>
      <c r="C2" s="1540"/>
    </row>
    <row r="3" spans="1:7" ht="15.75" thickBot="1">
      <c r="A3" s="1537"/>
      <c r="B3" s="1538"/>
      <c r="C3" s="1541"/>
    </row>
    <row r="4" spans="1:7">
      <c r="A4" s="1544" t="s">
        <v>3468</v>
      </c>
      <c r="B4" s="1545"/>
      <c r="C4" s="1358" t="s">
        <v>3469</v>
      </c>
    </row>
    <row r="5" spans="1:7">
      <c r="A5" s="1529" t="s">
        <v>3470</v>
      </c>
      <c r="B5" s="1530"/>
      <c r="C5" s="1359" t="s">
        <v>3471</v>
      </c>
      <c r="D5" s="1360"/>
      <c r="E5" s="1360"/>
      <c r="F5" s="1360"/>
      <c r="G5" s="1361"/>
    </row>
    <row r="6" spans="1:7">
      <c r="A6" s="1529" t="s">
        <v>3472</v>
      </c>
      <c r="B6" s="1530"/>
      <c r="C6" s="1362">
        <v>7534.5996999999998</v>
      </c>
    </row>
    <row r="7" spans="1:7">
      <c r="A7" s="1531" t="s">
        <v>3473</v>
      </c>
      <c r="B7" s="1532"/>
      <c r="C7" s="1363">
        <v>9</v>
      </c>
    </row>
    <row r="8" spans="1:7">
      <c r="A8" s="1531" t="s">
        <v>3474</v>
      </c>
      <c r="B8" s="1532"/>
      <c r="C8" s="1364" t="s">
        <v>3475</v>
      </c>
    </row>
    <row r="9" spans="1:7">
      <c r="A9" s="1529" t="s">
        <v>3476</v>
      </c>
      <c r="B9" s="1530"/>
      <c r="C9" s="1365" t="s">
        <v>3477</v>
      </c>
    </row>
    <row r="10" spans="1:7">
      <c r="A10" s="1529" t="s">
        <v>3478</v>
      </c>
      <c r="B10" s="1530"/>
      <c r="C10" s="1365" t="s">
        <v>3479</v>
      </c>
    </row>
    <row r="11" spans="1:7" ht="15.75" thickBot="1">
      <c r="A11" s="1533" t="s">
        <v>3480</v>
      </c>
      <c r="B11" s="1534"/>
      <c r="C11" s="1366" t="s">
        <v>3481</v>
      </c>
    </row>
    <row r="12" spans="1:7" ht="15.75" thickBot="1">
      <c r="A12" s="1535" t="s">
        <v>3482</v>
      </c>
      <c r="B12" s="1535"/>
      <c r="C12" s="1535"/>
    </row>
    <row r="13" spans="1:7" ht="15.75" thickBot="1">
      <c r="A13" s="1398" t="s">
        <v>30</v>
      </c>
      <c r="B13" s="1536" t="s">
        <v>3483</v>
      </c>
      <c r="C13" s="1536"/>
    </row>
    <row r="14" spans="1:7">
      <c r="A14" s="1523" t="s">
        <v>3484</v>
      </c>
      <c r="B14" s="1524"/>
      <c r="C14" s="1525"/>
    </row>
    <row r="15" spans="1:7">
      <c r="A15" s="1367" t="s">
        <v>3485</v>
      </c>
      <c r="B15" s="1516" t="s">
        <v>3486</v>
      </c>
      <c r="C15" s="1517"/>
    </row>
    <row r="16" spans="1:7">
      <c r="A16" s="1367" t="s">
        <v>3487</v>
      </c>
      <c r="B16" s="1516" t="s">
        <v>3488</v>
      </c>
      <c r="C16" s="1517"/>
    </row>
    <row r="17" spans="1:3">
      <c r="A17" s="1367" t="s">
        <v>3489</v>
      </c>
      <c r="B17" s="1516" t="s">
        <v>3490</v>
      </c>
      <c r="C17" s="1517"/>
    </row>
    <row r="18" spans="1:3">
      <c r="A18" s="1367" t="s">
        <v>3491</v>
      </c>
      <c r="B18" s="1368" t="s">
        <v>3492</v>
      </c>
      <c r="C18" s="1369"/>
    </row>
    <row r="19" spans="1:3">
      <c r="A19" s="1367" t="s">
        <v>3493</v>
      </c>
      <c r="B19" s="1516" t="s">
        <v>3494</v>
      </c>
      <c r="C19" s="1517"/>
    </row>
    <row r="20" spans="1:3">
      <c r="A20" s="1367" t="s">
        <v>3495</v>
      </c>
      <c r="B20" s="1516" t="s">
        <v>3496</v>
      </c>
      <c r="C20" s="1517"/>
    </row>
    <row r="21" spans="1:3">
      <c r="A21" s="1367" t="s">
        <v>3497</v>
      </c>
      <c r="B21" s="1516" t="s">
        <v>3498</v>
      </c>
      <c r="C21" s="1517"/>
    </row>
    <row r="22" spans="1:3">
      <c r="A22" s="1367" t="s">
        <v>3499</v>
      </c>
      <c r="B22" s="1516" t="s">
        <v>3500</v>
      </c>
      <c r="C22" s="1517"/>
    </row>
    <row r="23" spans="1:3">
      <c r="A23" s="1367" t="s">
        <v>3501</v>
      </c>
      <c r="B23" s="1516" t="s">
        <v>3502</v>
      </c>
      <c r="C23" s="1517"/>
    </row>
    <row r="24" spans="1:3">
      <c r="A24" s="1367" t="s">
        <v>3503</v>
      </c>
      <c r="B24" s="1516" t="s">
        <v>3504</v>
      </c>
      <c r="C24" s="1517"/>
    </row>
    <row r="25" spans="1:3">
      <c r="A25" s="1367" t="s">
        <v>3505</v>
      </c>
      <c r="B25" s="1516" t="s">
        <v>3506</v>
      </c>
      <c r="C25" s="1517"/>
    </row>
    <row r="26" spans="1:3">
      <c r="A26" s="1367" t="s">
        <v>3507</v>
      </c>
      <c r="B26" s="1516" t="s">
        <v>3508</v>
      </c>
      <c r="C26" s="1517"/>
    </row>
    <row r="27" spans="1:3">
      <c r="A27" s="1367" t="s">
        <v>3509</v>
      </c>
      <c r="B27" s="1516" t="s">
        <v>3510</v>
      </c>
      <c r="C27" s="1517"/>
    </row>
    <row r="28" spans="1:3">
      <c r="A28" s="1367" t="s">
        <v>3511</v>
      </c>
      <c r="B28" s="1516" t="s">
        <v>3512</v>
      </c>
      <c r="C28" s="1517"/>
    </row>
    <row r="29" spans="1:3">
      <c r="A29" s="1367" t="s">
        <v>3513</v>
      </c>
      <c r="B29" s="1516" t="s">
        <v>3514</v>
      </c>
      <c r="C29" s="1517"/>
    </row>
    <row r="30" spans="1:3">
      <c r="A30" s="1367" t="s">
        <v>3515</v>
      </c>
      <c r="B30" s="1516" t="s">
        <v>3516</v>
      </c>
      <c r="C30" s="1517"/>
    </row>
    <row r="31" spans="1:3">
      <c r="A31" s="1367" t="s">
        <v>3517</v>
      </c>
      <c r="B31" s="1516" t="s">
        <v>3518</v>
      </c>
      <c r="C31" s="1517"/>
    </row>
    <row r="32" spans="1:3">
      <c r="A32" s="1370" t="s">
        <v>3519</v>
      </c>
      <c r="B32" s="1516" t="s">
        <v>3520</v>
      </c>
      <c r="C32" s="1517"/>
    </row>
    <row r="33" spans="1:3">
      <c r="A33" s="1526" t="s">
        <v>3521</v>
      </c>
      <c r="B33" s="1527"/>
      <c r="C33" s="1528"/>
    </row>
    <row r="34" spans="1:3">
      <c r="A34" s="1371" t="s">
        <v>3522</v>
      </c>
      <c r="B34" s="1516" t="s">
        <v>3523</v>
      </c>
      <c r="C34" s="1517"/>
    </row>
    <row r="35" spans="1:3">
      <c r="A35" s="1371" t="s">
        <v>3524</v>
      </c>
      <c r="B35" s="1516" t="s">
        <v>3525</v>
      </c>
      <c r="C35" s="1517"/>
    </row>
    <row r="36" spans="1:3">
      <c r="A36" s="1371" t="s">
        <v>3526</v>
      </c>
      <c r="B36" s="1516" t="s">
        <v>3527</v>
      </c>
      <c r="C36" s="1517"/>
    </row>
    <row r="37" spans="1:3">
      <c r="A37" s="1371" t="s">
        <v>3528</v>
      </c>
      <c r="B37" s="1516" t="s">
        <v>3529</v>
      </c>
      <c r="C37" s="1517"/>
    </row>
    <row r="38" spans="1:3">
      <c r="A38" s="1371" t="s">
        <v>3530</v>
      </c>
      <c r="B38" s="1516" t="s">
        <v>3531</v>
      </c>
      <c r="C38" s="1517"/>
    </row>
    <row r="39" spans="1:3">
      <c r="A39" s="1371" t="s">
        <v>3532</v>
      </c>
      <c r="B39" s="1516" t="s">
        <v>3533</v>
      </c>
      <c r="C39" s="1517"/>
    </row>
    <row r="40" spans="1:3">
      <c r="A40" s="1371" t="s">
        <v>3534</v>
      </c>
      <c r="B40" s="1516" t="s">
        <v>3535</v>
      </c>
      <c r="C40" s="1517"/>
    </row>
    <row r="41" spans="1:3">
      <c r="A41" s="1371" t="s">
        <v>3536</v>
      </c>
      <c r="B41" s="1516" t="s">
        <v>3537</v>
      </c>
      <c r="C41" s="1517"/>
    </row>
    <row r="42" spans="1:3">
      <c r="A42" s="1371" t="s">
        <v>3538</v>
      </c>
      <c r="B42" s="1516" t="s">
        <v>3539</v>
      </c>
      <c r="C42" s="1517"/>
    </row>
    <row r="43" spans="1:3">
      <c r="A43" s="1371" t="s">
        <v>3540</v>
      </c>
      <c r="B43" s="1516" t="s">
        <v>3541</v>
      </c>
      <c r="C43" s="1517"/>
    </row>
    <row r="44" spans="1:3" ht="15.75" thickBot="1">
      <c r="A44" s="1371" t="s">
        <v>3542</v>
      </c>
      <c r="B44" s="1516" t="s">
        <v>3543</v>
      </c>
      <c r="C44" s="1517"/>
    </row>
    <row r="45" spans="1:3">
      <c r="A45" s="1518" t="s">
        <v>3544</v>
      </c>
      <c r="B45" s="1519"/>
      <c r="C45" s="1520"/>
    </row>
    <row r="46" spans="1:3">
      <c r="A46" s="1372" t="s">
        <v>3545</v>
      </c>
      <c r="B46" s="1521" t="s">
        <v>3546</v>
      </c>
      <c r="C46" s="1522"/>
    </row>
    <row r="47" spans="1:3">
      <c r="A47" s="1372" t="s">
        <v>3547</v>
      </c>
      <c r="B47" s="1521" t="s">
        <v>3548</v>
      </c>
      <c r="C47" s="1522"/>
    </row>
    <row r="48" spans="1:3">
      <c r="A48" s="1372" t="s">
        <v>3549</v>
      </c>
      <c r="B48" s="1373" t="s">
        <v>3550</v>
      </c>
      <c r="C48" s="1374"/>
    </row>
    <row r="49" spans="1:3">
      <c r="A49" s="1372" t="s">
        <v>3551</v>
      </c>
      <c r="B49" s="1521" t="s">
        <v>3552</v>
      </c>
      <c r="C49" s="1522"/>
    </row>
    <row r="50" spans="1:3">
      <c r="A50" s="1372" t="s">
        <v>3553</v>
      </c>
      <c r="B50" s="1521" t="s">
        <v>3554</v>
      </c>
      <c r="C50" s="1522"/>
    </row>
    <row r="51" spans="1:3">
      <c r="A51" s="1372" t="s">
        <v>3555</v>
      </c>
      <c r="B51" s="1521" t="s">
        <v>3556</v>
      </c>
      <c r="C51" s="1522"/>
    </row>
    <row r="52" spans="1:3">
      <c r="A52" s="1372" t="s">
        <v>3557</v>
      </c>
      <c r="B52" s="1373" t="s">
        <v>3558</v>
      </c>
      <c r="C52" s="1374"/>
    </row>
    <row r="53" spans="1:3">
      <c r="A53" s="1372" t="s">
        <v>3559</v>
      </c>
      <c r="B53" s="1373" t="s">
        <v>3560</v>
      </c>
      <c r="C53" s="1374"/>
    </row>
    <row r="54" spans="1:3">
      <c r="A54" s="1372" t="s">
        <v>3561</v>
      </c>
      <c r="B54" s="1373" t="s">
        <v>3562</v>
      </c>
      <c r="C54" s="1374"/>
    </row>
    <row r="55" spans="1:3">
      <c r="A55" s="1372" t="s">
        <v>3563</v>
      </c>
      <c r="B55" s="1373" t="s">
        <v>393</v>
      </c>
      <c r="C55" s="1374"/>
    </row>
    <row r="56" spans="1:3">
      <c r="A56" s="1372" t="s">
        <v>3564</v>
      </c>
      <c r="B56" s="1373" t="s">
        <v>3565</v>
      </c>
      <c r="C56" s="1374"/>
    </row>
    <row r="57" spans="1:3" ht="15.75" thickBot="1">
      <c r="A57" s="1372" t="s">
        <v>3566</v>
      </c>
      <c r="B57" s="1373" t="s">
        <v>3567</v>
      </c>
      <c r="C57" s="1374"/>
    </row>
    <row r="58" spans="1:3">
      <c r="A58" s="1523" t="s">
        <v>3568</v>
      </c>
      <c r="B58" s="1524"/>
      <c r="C58" s="1525"/>
    </row>
    <row r="59" spans="1:3">
      <c r="A59" s="1371" t="s">
        <v>3569</v>
      </c>
      <c r="B59" s="1521" t="s">
        <v>3570</v>
      </c>
      <c r="C59" s="1522"/>
    </row>
    <row r="60" spans="1:3">
      <c r="A60" s="1371" t="s">
        <v>3571</v>
      </c>
      <c r="B60" s="1516" t="s">
        <v>3572</v>
      </c>
      <c r="C60" s="1517"/>
    </row>
    <row r="61" spans="1:3">
      <c r="A61" s="1371" t="s">
        <v>3573</v>
      </c>
      <c r="B61" s="1516" t="s">
        <v>3574</v>
      </c>
      <c r="C61" s="1517"/>
    </row>
  </sheetData>
  <mergeCells count="54">
    <mergeCell ref="A5:B5"/>
    <mergeCell ref="A1:B1"/>
    <mergeCell ref="C1:C3"/>
    <mergeCell ref="A2:B2"/>
    <mergeCell ref="A3:B3"/>
    <mergeCell ref="A4:B4"/>
    <mergeCell ref="B17:C17"/>
    <mergeCell ref="A6:B6"/>
    <mergeCell ref="A7:B7"/>
    <mergeCell ref="A8:B8"/>
    <mergeCell ref="A9:B9"/>
    <mergeCell ref="A10:B10"/>
    <mergeCell ref="A11:B11"/>
    <mergeCell ref="A12:C12"/>
    <mergeCell ref="B13:C13"/>
    <mergeCell ref="A14:C14"/>
    <mergeCell ref="B15:C15"/>
    <mergeCell ref="B16:C16"/>
    <mergeCell ref="B30:C30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42:C42"/>
    <mergeCell ref="B31:C31"/>
    <mergeCell ref="B32:C32"/>
    <mergeCell ref="A33:C33"/>
    <mergeCell ref="B34:C34"/>
    <mergeCell ref="B35:C35"/>
    <mergeCell ref="B36:C36"/>
    <mergeCell ref="B37:C37"/>
    <mergeCell ref="B38:C38"/>
    <mergeCell ref="B39:C39"/>
    <mergeCell ref="B40:C40"/>
    <mergeCell ref="B41:C41"/>
    <mergeCell ref="B61:C61"/>
    <mergeCell ref="B43:C43"/>
    <mergeCell ref="B44:C44"/>
    <mergeCell ref="A45:C45"/>
    <mergeCell ref="B46:C46"/>
    <mergeCell ref="B47:C47"/>
    <mergeCell ref="B49:C49"/>
    <mergeCell ref="B50:C50"/>
    <mergeCell ref="B51:C51"/>
    <mergeCell ref="A58:C58"/>
    <mergeCell ref="B59:C59"/>
    <mergeCell ref="B60:C60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2"/>
  <sheetViews>
    <sheetView zoomScale="80" zoomScaleNormal="80" workbookViewId="0">
      <selection activeCell="I262" sqref="I262"/>
    </sheetView>
  </sheetViews>
  <sheetFormatPr baseColWidth="10" defaultRowHeight="12.75" outlineLevelRow="1"/>
  <cols>
    <col min="2" max="4" width="19.140625" customWidth="1"/>
    <col min="5" max="5" width="30.7109375" customWidth="1"/>
    <col min="7" max="7" width="12.5703125" bestFit="1" customWidth="1"/>
    <col min="8" max="8" width="17.5703125" bestFit="1" customWidth="1"/>
    <col min="9" max="9" width="15.28515625" bestFit="1" customWidth="1"/>
    <col min="12" max="12" width="5.5703125" customWidth="1"/>
    <col min="13" max="13" width="23.7109375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/>
      <c r="O2" s="331"/>
    </row>
    <row r="3" spans="1:15" ht="13.5" thickBot="1">
      <c r="A3" s="470"/>
      <c r="B3" s="470"/>
      <c r="C3" s="470"/>
      <c r="D3" s="470"/>
      <c r="E3" s="470"/>
      <c r="F3" s="470"/>
      <c r="G3" s="470"/>
      <c r="I3" s="446"/>
      <c r="J3" s="446"/>
    </row>
    <row r="4" spans="1:15">
      <c r="A4" s="1584" t="s">
        <v>714</v>
      </c>
      <c r="B4" s="1586" t="s">
        <v>713</v>
      </c>
      <c r="C4" s="1587"/>
      <c r="D4" s="1587"/>
      <c r="E4" s="1588"/>
      <c r="F4" s="1592" t="s">
        <v>42</v>
      </c>
      <c r="G4" s="1594" t="s">
        <v>46</v>
      </c>
      <c r="H4" s="1608" t="s">
        <v>1481</v>
      </c>
      <c r="I4" s="1613" t="s">
        <v>1865</v>
      </c>
      <c r="J4" s="1608" t="s">
        <v>1866</v>
      </c>
    </row>
    <row r="5" spans="1:15" ht="13.5" thickBot="1">
      <c r="A5" s="1585"/>
      <c r="B5" s="1589"/>
      <c r="C5" s="1590"/>
      <c r="D5" s="1590"/>
      <c r="E5" s="1591"/>
      <c r="F5" s="1593"/>
      <c r="G5" s="1595"/>
      <c r="H5" s="1609"/>
      <c r="I5" s="1614"/>
      <c r="J5" s="1609"/>
    </row>
    <row r="6" spans="1:15" ht="13.5" thickBot="1">
      <c r="A6" s="469"/>
      <c r="B6" s="469"/>
      <c r="C6" s="469"/>
      <c r="D6" s="469"/>
      <c r="E6" s="469"/>
      <c r="F6" s="469"/>
      <c r="G6" s="468"/>
      <c r="H6" s="467"/>
      <c r="I6" s="467"/>
      <c r="J6" s="467"/>
    </row>
    <row r="7" spans="1:15" ht="13.5" thickBot="1">
      <c r="A7" s="469"/>
      <c r="B7" s="469"/>
      <c r="C7" s="469"/>
      <c r="D7" s="469"/>
      <c r="E7" s="469"/>
      <c r="F7" s="469"/>
      <c r="G7" s="528"/>
      <c r="H7" s="1253" t="s">
        <v>3273</v>
      </c>
      <c r="I7" s="1252">
        <v>6585.1808000000001</v>
      </c>
      <c r="J7" s="467"/>
    </row>
    <row r="8" spans="1:15" ht="13.5" thickBot="1">
      <c r="A8" s="456">
        <v>1</v>
      </c>
      <c r="B8" s="1567" t="s">
        <v>712</v>
      </c>
      <c r="C8" s="1568"/>
      <c r="D8" s="1568"/>
      <c r="E8" s="1568"/>
      <c r="F8" s="1568"/>
      <c r="G8" s="1568"/>
      <c r="H8" s="1568"/>
      <c r="I8" s="1568"/>
      <c r="J8" s="1569"/>
      <c r="K8" s="812"/>
      <c r="L8" s="812"/>
      <c r="M8" s="812"/>
      <c r="N8" s="812"/>
      <c r="O8" s="812"/>
    </row>
    <row r="9" spans="1:15" hidden="1" outlineLevel="1">
      <c r="A9" s="445" t="s">
        <v>1082</v>
      </c>
      <c r="B9" s="1560" t="s">
        <v>711</v>
      </c>
      <c r="C9" s="1560"/>
      <c r="D9" s="1560"/>
      <c r="E9" s="1560"/>
      <c r="F9" s="444" t="s">
        <v>1212</v>
      </c>
      <c r="G9" s="466">
        <v>1</v>
      </c>
      <c r="H9" s="465">
        <f>APU!J10</f>
        <v>380344</v>
      </c>
      <c r="I9" s="813">
        <f t="shared" ref="I9:I14" si="0">G9*H9</f>
        <v>380344</v>
      </c>
      <c r="J9" s="1254">
        <f t="shared" ref="J9:J15" si="1">I9/$I$261</f>
        <v>5.6165607247097931E-5</v>
      </c>
      <c r="K9" s="812"/>
      <c r="L9" s="812"/>
      <c r="M9" s="812"/>
      <c r="N9" s="812"/>
      <c r="O9" s="812"/>
    </row>
    <row r="10" spans="1:15" hidden="1" outlineLevel="1">
      <c r="A10" s="445" t="s">
        <v>1083</v>
      </c>
      <c r="B10" s="1600" t="s">
        <v>1860</v>
      </c>
      <c r="C10" s="1601"/>
      <c r="D10" s="1601"/>
      <c r="E10" s="1602"/>
      <c r="F10" s="464" t="s">
        <v>285</v>
      </c>
      <c r="G10" s="466">
        <v>12</v>
      </c>
      <c r="H10" s="465">
        <f>APU!J27</f>
        <v>3346896.9775</v>
      </c>
      <c r="I10" s="813">
        <f t="shared" si="0"/>
        <v>40162763.730000004</v>
      </c>
      <c r="J10" s="1254">
        <f t="shared" si="1"/>
        <v>5.9308573649569079E-3</v>
      </c>
      <c r="K10" s="812"/>
      <c r="L10" s="812"/>
      <c r="M10" s="812"/>
      <c r="N10" s="812"/>
      <c r="O10" s="812"/>
    </row>
    <row r="11" spans="1:15" hidden="1" outlineLevel="1">
      <c r="A11" s="445" t="s">
        <v>1084</v>
      </c>
      <c r="B11" s="1600" t="s">
        <v>1861</v>
      </c>
      <c r="C11" s="1601"/>
      <c r="D11" s="1601"/>
      <c r="E11" s="1602"/>
      <c r="F11" s="464" t="s">
        <v>285</v>
      </c>
      <c r="G11" s="466">
        <v>15</v>
      </c>
      <c r="H11" s="465">
        <f>APU!J44</f>
        <v>1272536.4518520001</v>
      </c>
      <c r="I11" s="813">
        <f t="shared" si="0"/>
        <v>19088046.77778</v>
      </c>
      <c r="J11" s="1254">
        <f t="shared" si="1"/>
        <v>2.8187423449167722E-3</v>
      </c>
      <c r="K11" s="812"/>
      <c r="L11" s="812"/>
      <c r="M11" s="812"/>
      <c r="N11" s="812"/>
      <c r="O11" s="812"/>
    </row>
    <row r="12" spans="1:15" hidden="1" outlineLevel="1">
      <c r="A12" s="445" t="s">
        <v>1355</v>
      </c>
      <c r="B12" s="1600" t="s">
        <v>1863</v>
      </c>
      <c r="C12" s="1601"/>
      <c r="D12" s="1601"/>
      <c r="E12" s="1602"/>
      <c r="F12" s="464" t="s">
        <v>285</v>
      </c>
      <c r="G12" s="449">
        <f>'1. Preliminares'!C11</f>
        <v>203.12369999999999</v>
      </c>
      <c r="H12" s="465">
        <f>APU!J52</f>
        <v>18715.807999999997</v>
      </c>
      <c r="I12" s="813">
        <f t="shared" si="0"/>
        <v>3801624.169449599</v>
      </c>
      <c r="J12" s="1254">
        <f t="shared" si="1"/>
        <v>5.6138792777690998E-4</v>
      </c>
      <c r="K12" s="812"/>
      <c r="L12" s="812"/>
      <c r="M12" s="812"/>
      <c r="N12" s="812"/>
      <c r="O12" s="812"/>
    </row>
    <row r="13" spans="1:15" hidden="1" outlineLevel="1">
      <c r="A13" s="445" t="s">
        <v>1356</v>
      </c>
      <c r="B13" s="1600" t="s">
        <v>1864</v>
      </c>
      <c r="C13" s="1601"/>
      <c r="D13" s="1601"/>
      <c r="E13" s="1602"/>
      <c r="F13" s="464" t="s">
        <v>285</v>
      </c>
      <c r="G13" s="466">
        <f>'1. Preliminares'!H9</f>
        <v>1</v>
      </c>
      <c r="H13" s="465">
        <f>APU!J57</f>
        <v>150000</v>
      </c>
      <c r="I13" s="813">
        <f t="shared" si="0"/>
        <v>150000</v>
      </c>
      <c r="J13" s="1254">
        <f t="shared" si="1"/>
        <v>2.2150582333531463E-5</v>
      </c>
    </row>
    <row r="14" spans="1:15" ht="13.5" hidden="1" outlineLevel="1" thickBot="1">
      <c r="A14" s="445" t="s">
        <v>1357</v>
      </c>
      <c r="B14" s="1600" t="s">
        <v>1549</v>
      </c>
      <c r="C14" s="1601"/>
      <c r="D14" s="1601"/>
      <c r="E14" s="1602"/>
      <c r="F14" s="464" t="s">
        <v>285</v>
      </c>
      <c r="G14" s="466">
        <v>1</v>
      </c>
      <c r="H14" s="465">
        <f>APU!J67</f>
        <v>182362.614</v>
      </c>
      <c r="I14" s="813">
        <f t="shared" si="0"/>
        <v>182362.614</v>
      </c>
      <c r="J14" s="1254">
        <f t="shared" si="1"/>
        <v>2.6929587306433449E-5</v>
      </c>
    </row>
    <row r="15" spans="1:15" ht="13.5" collapsed="1" thickBot="1">
      <c r="A15" s="436"/>
      <c r="B15" s="437"/>
      <c r="C15" s="437"/>
      <c r="D15" s="437"/>
      <c r="E15" s="437"/>
      <c r="F15" s="1546" t="s">
        <v>710</v>
      </c>
      <c r="G15" s="1547"/>
      <c r="H15" s="1631"/>
      <c r="I15" s="814">
        <f>SUM(I9:I14)</f>
        <v>63765141.291229598</v>
      </c>
      <c r="J15" s="815">
        <f t="shared" si="1"/>
        <v>9.416233414537652E-3</v>
      </c>
      <c r="K15" s="1256"/>
    </row>
    <row r="16" spans="1:15" ht="13.5" thickBot="1">
      <c r="A16" s="456">
        <v>2</v>
      </c>
      <c r="B16" s="1567" t="s">
        <v>709</v>
      </c>
      <c r="C16" s="1568"/>
      <c r="D16" s="1568"/>
      <c r="E16" s="1568"/>
      <c r="F16" s="1568"/>
      <c r="G16" s="1568"/>
      <c r="H16" s="1568"/>
      <c r="I16" s="1568"/>
      <c r="J16" s="1569"/>
    </row>
    <row r="17" spans="1:16" ht="14.25" hidden="1" outlineLevel="1">
      <c r="A17" s="445" t="s">
        <v>1085</v>
      </c>
      <c r="B17" s="1560" t="s">
        <v>1543</v>
      </c>
      <c r="C17" s="1560"/>
      <c r="D17" s="1560"/>
      <c r="E17" s="1560"/>
      <c r="F17" s="444" t="s">
        <v>704</v>
      </c>
      <c r="G17" s="582">
        <f>'2. Movimiento de tierra'!H9</f>
        <v>387.86939999999998</v>
      </c>
      <c r="H17" s="465">
        <f>APU!J74</f>
        <v>16113.335800000001</v>
      </c>
      <c r="I17" s="813">
        <f>G17*H17</f>
        <v>6249869.88874452</v>
      </c>
      <c r="J17" s="1254">
        <f>I17/$I$261</f>
        <v>9.2292171696329737E-4</v>
      </c>
    </row>
    <row r="18" spans="1:16" ht="14.25" hidden="1" outlineLevel="1">
      <c r="A18" s="450" t="s">
        <v>1086</v>
      </c>
      <c r="B18" s="1597" t="s">
        <v>1867</v>
      </c>
      <c r="C18" s="1597"/>
      <c r="D18" s="1597"/>
      <c r="E18" s="1597"/>
      <c r="F18" s="449" t="s">
        <v>704</v>
      </c>
      <c r="G18" s="583">
        <f>'2. Movimiento de tierra'!C9</f>
        <v>6299.2006000000001</v>
      </c>
      <c r="H18" s="447">
        <f>APU!J81</f>
        <v>19469.712</v>
      </c>
      <c r="I18" s="813">
        <f>G18*H18</f>
        <v>122643621.51222719</v>
      </c>
      <c r="J18" s="1254">
        <f>I18/$I$261</f>
        <v>1.8110850906593725E-2</v>
      </c>
    </row>
    <row r="19" spans="1:16" ht="15" hidden="1" outlineLevel="1" thickBot="1">
      <c r="A19" s="450" t="s">
        <v>1087</v>
      </c>
      <c r="B19" s="1604" t="s">
        <v>1047</v>
      </c>
      <c r="C19" s="1604"/>
      <c r="D19" s="1604"/>
      <c r="E19" s="1604"/>
      <c r="F19" s="440" t="s">
        <v>704</v>
      </c>
      <c r="G19" s="584">
        <f>'2. Movimiento de tierra'!C43</f>
        <v>7168.4836183072457</v>
      </c>
      <c r="H19" s="438">
        <f>APU!J88</f>
        <v>12119.653</v>
      </c>
      <c r="I19" s="816">
        <f>G19*H19</f>
        <v>86879533.990068272</v>
      </c>
      <c r="J19" s="1254">
        <f>I19/$I$261</f>
        <v>1.2829548471639016E-2</v>
      </c>
    </row>
    <row r="20" spans="1:16" ht="13.5" collapsed="1" thickBot="1">
      <c r="A20" s="463"/>
      <c r="B20" s="462"/>
      <c r="C20" s="437"/>
      <c r="D20" s="437"/>
      <c r="E20" s="437"/>
      <c r="F20" s="1633" t="s">
        <v>708</v>
      </c>
      <c r="G20" s="1634"/>
      <c r="H20" s="1635"/>
      <c r="I20" s="817">
        <f>SUM(I17:I19)</f>
        <v>215773025.39103997</v>
      </c>
      <c r="J20" s="815">
        <f>I20/$I$261</f>
        <v>3.1863321095196039E-2</v>
      </c>
      <c r="K20" s="1256"/>
      <c r="L20" s="516"/>
      <c r="M20" s="759"/>
    </row>
    <row r="21" spans="1:16" ht="13.5" thickBot="1">
      <c r="A21" s="456">
        <v>3</v>
      </c>
      <c r="B21" s="1567" t="s">
        <v>707</v>
      </c>
      <c r="C21" s="1568"/>
      <c r="D21" s="1568"/>
      <c r="E21" s="1568"/>
      <c r="F21" s="1568"/>
      <c r="G21" s="1568"/>
      <c r="H21" s="1568"/>
      <c r="I21" s="1568"/>
      <c r="J21" s="1569"/>
      <c r="L21" s="516"/>
      <c r="M21" s="516"/>
    </row>
    <row r="22" spans="1:16" ht="15" hidden="1" outlineLevel="1" thickBot="1">
      <c r="A22" s="531" t="s">
        <v>1088</v>
      </c>
      <c r="B22" s="1603" t="s">
        <v>1048</v>
      </c>
      <c r="C22" s="1603"/>
      <c r="D22" s="1603"/>
      <c r="E22" s="1603"/>
      <c r="F22" s="444" t="s">
        <v>704</v>
      </c>
      <c r="G22" s="585">
        <f>'2. Movimiento de tierra'!H25</f>
        <v>280.42316792865017</v>
      </c>
      <c r="H22" s="447">
        <f>APU!J97</f>
        <v>40852.490000000005</v>
      </c>
      <c r="I22" s="447">
        <f t="shared" ref="I22:I27" si="2">G22*H22</f>
        <v>11455984.663573503</v>
      </c>
      <c r="J22" s="1254">
        <f t="shared" ref="J22:J28" si="3">I22/$I$261</f>
        <v>1.6917115433477241E-3</v>
      </c>
      <c r="L22" s="516"/>
      <c r="M22" s="516"/>
    </row>
    <row r="23" spans="1:16" ht="15" hidden="1" outlineLevel="1" thickBot="1">
      <c r="A23" s="532" t="s">
        <v>1089</v>
      </c>
      <c r="B23" s="1597" t="s">
        <v>1049</v>
      </c>
      <c r="C23" s="1597"/>
      <c r="D23" s="1597"/>
      <c r="E23" s="1597"/>
      <c r="F23" s="449" t="s">
        <v>704</v>
      </c>
      <c r="G23" s="586">
        <f>'2. Movimiento de tierra'!C30</f>
        <v>128.13299999999998</v>
      </c>
      <c r="H23" s="447">
        <f>APU!J103</f>
        <v>13610.885</v>
      </c>
      <c r="I23" s="447">
        <f t="shared" si="2"/>
        <v>1744003.5277049998</v>
      </c>
      <c r="J23" s="1254">
        <f t="shared" si="3"/>
        <v>2.5753795820265943E-4</v>
      </c>
      <c r="L23" s="516"/>
      <c r="M23" s="516"/>
    </row>
    <row r="24" spans="1:16" ht="15" hidden="1" outlineLevel="1" thickBot="1">
      <c r="A24" s="532" t="s">
        <v>1090</v>
      </c>
      <c r="B24" s="1597" t="s">
        <v>1868</v>
      </c>
      <c r="C24" s="1597"/>
      <c r="D24" s="1597"/>
      <c r="E24" s="1597"/>
      <c r="F24" s="449" t="s">
        <v>704</v>
      </c>
      <c r="G24" s="586">
        <f>'2. Movimiento de tierra'!H31</f>
        <v>19.752000000000002</v>
      </c>
      <c r="H24" s="447">
        <f>APU!J109</f>
        <v>13610.885</v>
      </c>
      <c r="I24" s="447">
        <f t="shared" si="2"/>
        <v>268842.20052000001</v>
      </c>
      <c r="J24" s="1254">
        <f t="shared" si="3"/>
        <v>3.9700075315640236E-5</v>
      </c>
      <c r="L24" s="516"/>
      <c r="M24" s="516"/>
    </row>
    <row r="25" spans="1:16" ht="15" hidden="1" outlineLevel="1" thickBot="1">
      <c r="A25" s="532" t="s">
        <v>1091</v>
      </c>
      <c r="B25" s="1619" t="s">
        <v>1050</v>
      </c>
      <c r="C25" s="1619"/>
      <c r="D25" s="1619"/>
      <c r="E25" s="1619"/>
      <c r="F25" s="449" t="s">
        <v>704</v>
      </c>
      <c r="G25" s="583">
        <f>'3.Concreto'!AL59</f>
        <v>226.49668283223019</v>
      </c>
      <c r="H25" s="447">
        <f>APU!J117</f>
        <v>368140.94018225587</v>
      </c>
      <c r="I25" s="447">
        <f t="shared" si="2"/>
        <v>83382701.766019434</v>
      </c>
      <c r="J25" s="1254">
        <f t="shared" si="3"/>
        <v>1.2313169337736751E-2</v>
      </c>
      <c r="L25" s="516"/>
      <c r="M25" s="516"/>
    </row>
    <row r="26" spans="1:16" ht="15" hidden="1" outlineLevel="1" thickBot="1">
      <c r="A26" s="532" t="s">
        <v>1092</v>
      </c>
      <c r="B26" s="1619" t="s">
        <v>1628</v>
      </c>
      <c r="C26" s="1619"/>
      <c r="D26" s="1619"/>
      <c r="E26" s="1619"/>
      <c r="F26" s="449" t="s">
        <v>704</v>
      </c>
      <c r="G26" s="583">
        <f>'3.Concreto'!I102</f>
        <v>128.13299999999998</v>
      </c>
      <c r="H26" s="447">
        <f>APU!J124</f>
        <v>469380.24077000009</v>
      </c>
      <c r="I26" s="447">
        <f t="shared" si="2"/>
        <v>60143098.390582412</v>
      </c>
      <c r="J26" s="1254">
        <f t="shared" si="3"/>
        <v>8.8813643512951953E-3</v>
      </c>
      <c r="L26" s="516"/>
      <c r="M26" s="516"/>
    </row>
    <row r="27" spans="1:16" ht="15" hidden="1" outlineLevel="1" thickBot="1">
      <c r="A27" s="532" t="s">
        <v>1869</v>
      </c>
      <c r="B27" s="1636" t="s">
        <v>1456</v>
      </c>
      <c r="C27" s="1636"/>
      <c r="D27" s="1636"/>
      <c r="E27" s="1636"/>
      <c r="F27" s="533" t="s">
        <v>704</v>
      </c>
      <c r="G27" s="587">
        <f>'3.Concreto'!AK79</f>
        <v>52.741057468465435</v>
      </c>
      <c r="H27" s="455">
        <f>APU!J134</f>
        <v>486294.22780000005</v>
      </c>
      <c r="I27" s="455">
        <f t="shared" si="2"/>
        <v>25647671.814982824</v>
      </c>
      <c r="J27" s="1254">
        <f t="shared" si="3"/>
        <v>3.7874057746744754E-3</v>
      </c>
      <c r="K27" s="759"/>
      <c r="L27" s="516"/>
      <c r="M27" s="516"/>
    </row>
    <row r="28" spans="1:16" ht="15" customHeight="1" collapsed="1" thickBot="1">
      <c r="A28" s="461"/>
      <c r="B28" s="460"/>
      <c r="C28" s="460"/>
      <c r="D28" s="460"/>
      <c r="E28" s="460"/>
      <c r="F28" s="1546" t="s">
        <v>706</v>
      </c>
      <c r="G28" s="1547"/>
      <c r="H28" s="1548"/>
      <c r="I28" s="817">
        <f>SUM(I22:I27)</f>
        <v>182642302.36338317</v>
      </c>
      <c r="J28" s="815">
        <f t="shared" si="3"/>
        <v>2.6970889040572446E-2</v>
      </c>
      <c r="K28" s="1257"/>
      <c r="L28" s="516"/>
      <c r="M28" s="516"/>
      <c r="N28" s="516"/>
      <c r="O28" s="516"/>
      <c r="P28" s="516"/>
    </row>
    <row r="29" spans="1:16" ht="13.5" thickBot="1">
      <c r="A29" s="456">
        <v>4</v>
      </c>
      <c r="B29" s="1567" t="s">
        <v>58</v>
      </c>
      <c r="C29" s="1568"/>
      <c r="D29" s="1568"/>
      <c r="E29" s="1568"/>
      <c r="F29" s="1568"/>
      <c r="G29" s="1568"/>
      <c r="H29" s="1568"/>
      <c r="I29" s="1568"/>
      <c r="J29" s="1569"/>
      <c r="K29" s="516"/>
      <c r="L29" s="516"/>
      <c r="M29" s="516"/>
      <c r="N29" s="516"/>
      <c r="O29" s="516"/>
      <c r="P29" s="516"/>
    </row>
    <row r="30" spans="1:16" hidden="1" outlineLevel="1">
      <c r="A30" s="458" t="s">
        <v>1093</v>
      </c>
      <c r="B30" s="1632" t="s">
        <v>1052</v>
      </c>
      <c r="C30" s="1632" t="s">
        <v>55</v>
      </c>
      <c r="D30" s="1632" t="s">
        <v>705</v>
      </c>
      <c r="E30" s="1632" t="s">
        <v>55</v>
      </c>
      <c r="F30" s="444" t="s">
        <v>55</v>
      </c>
      <c r="G30" s="582">
        <f>+SUM('Cuadro de programación'!D937:D940)</f>
        <v>2052.5015999999996</v>
      </c>
      <c r="H30" s="442">
        <f>APU!J173</f>
        <v>139958.99143612225</v>
      </c>
      <c r="I30" s="818">
        <f t="shared" ref="I30:I42" si="4">G30*H30</f>
        <v>287266053.85702717</v>
      </c>
      <c r="J30" s="1421">
        <f>I30/$I$261</f>
        <v>4.2420735850591758E-2</v>
      </c>
      <c r="K30" s="516"/>
      <c r="L30" s="516"/>
      <c r="M30" s="1397">
        <f>I30</f>
        <v>287266053.85702717</v>
      </c>
      <c r="N30" s="516"/>
      <c r="O30" s="516"/>
      <c r="P30" s="516"/>
    </row>
    <row r="31" spans="1:16" hidden="1" outlineLevel="1">
      <c r="A31" s="445" t="s">
        <v>1094</v>
      </c>
      <c r="B31" s="1615" t="s">
        <v>1051</v>
      </c>
      <c r="C31" s="1615" t="s">
        <v>55</v>
      </c>
      <c r="D31" s="1615" t="s">
        <v>705</v>
      </c>
      <c r="E31" s="1615" t="s">
        <v>55</v>
      </c>
      <c r="F31" s="449" t="s">
        <v>55</v>
      </c>
      <c r="G31" s="582">
        <f>+SUM('Cuadro de programación'!D941:D945)</f>
        <v>4532.6792000000005</v>
      </c>
      <c r="H31" s="442">
        <f>APU!J159</f>
        <v>185586.67405974577</v>
      </c>
      <c r="I31" s="818">
        <f>G31*H31</f>
        <v>841204857.30778933</v>
      </c>
      <c r="J31" s="1421">
        <f>I31/$I$261</f>
        <v>0.12422118300775181</v>
      </c>
      <c r="K31" s="516"/>
      <c r="L31" s="516"/>
      <c r="M31" s="1397">
        <f>I31</f>
        <v>841204857.30778933</v>
      </c>
      <c r="N31" s="516"/>
      <c r="O31" s="516"/>
      <c r="P31" s="516"/>
    </row>
    <row r="32" spans="1:16" ht="14.25" hidden="1" outlineLevel="1">
      <c r="A32" s="445" t="s">
        <v>1095</v>
      </c>
      <c r="B32" s="1616" t="s">
        <v>3612</v>
      </c>
      <c r="C32" s="1617"/>
      <c r="D32" s="1617"/>
      <c r="E32" s="1618"/>
      <c r="F32" s="449" t="s">
        <v>704</v>
      </c>
      <c r="G32" s="582">
        <f>'3.Concreto'!AJ39+'3.Concreto'!AJ21</f>
        <v>133.8366</v>
      </c>
      <c r="H32" s="442">
        <f>APU!J184</f>
        <v>755093.30215999996</v>
      </c>
      <c r="I32" s="818">
        <f>G32*H32</f>
        <v>101059120.24386705</v>
      </c>
      <c r="J32" s="1421">
        <f>I32/$I$261</f>
        <v>1.4923455756773556E-2</v>
      </c>
      <c r="K32" s="759"/>
      <c r="L32" s="516"/>
      <c r="M32" s="1456">
        <f>I32</f>
        <v>101059120.24386705</v>
      </c>
      <c r="N32" s="516"/>
      <c r="O32" s="516"/>
      <c r="P32" s="516"/>
    </row>
    <row r="33" spans="1:16" hidden="1" outlineLevel="1">
      <c r="A33" s="445" t="s">
        <v>1096</v>
      </c>
      <c r="B33" s="1616" t="s">
        <v>3639</v>
      </c>
      <c r="C33" s="1617"/>
      <c r="D33" s="1617"/>
      <c r="E33" s="1618"/>
      <c r="F33" s="449" t="s">
        <v>345</v>
      </c>
      <c r="G33" s="582">
        <f>'3.Concreto'!P171</f>
        <v>10.56</v>
      </c>
      <c r="H33" s="442">
        <f>APU!J196</f>
        <v>540272.31198666675</v>
      </c>
      <c r="I33" s="818">
        <f>G33*H33</f>
        <v>5705275.6145792007</v>
      </c>
      <c r="J33" s="1421">
        <f t="shared" ref="J33:J40" si="5">I33/$I$261</f>
        <v>8.4250118157483931E-4</v>
      </c>
      <c r="K33" s="759"/>
      <c r="L33" s="516"/>
      <c r="M33" s="1397">
        <f>SUM(I33:I41)</f>
        <v>278697301.26933265</v>
      </c>
      <c r="N33" s="516"/>
      <c r="O33" s="516"/>
      <c r="P33" s="516"/>
    </row>
    <row r="34" spans="1:16" hidden="1" outlineLevel="1">
      <c r="A34" s="445" t="s">
        <v>1097</v>
      </c>
      <c r="B34" s="1616" t="s">
        <v>3640</v>
      </c>
      <c r="C34" s="1617"/>
      <c r="D34" s="1617"/>
      <c r="E34" s="1618"/>
      <c r="F34" s="449" t="s">
        <v>345</v>
      </c>
      <c r="G34" s="582">
        <f>'3.Concreto'!P172</f>
        <v>5.28</v>
      </c>
      <c r="H34" s="442">
        <f>APU!J208</f>
        <v>603441.06094500015</v>
      </c>
      <c r="I34" s="818">
        <f>G34*H34</f>
        <v>3186168.8017896009</v>
      </c>
      <c r="J34" s="1421">
        <f t="shared" si="5"/>
        <v>4.7050329581713223E-4</v>
      </c>
      <c r="K34" s="759"/>
      <c r="L34" s="516"/>
      <c r="M34" s="1397">
        <f>I42</f>
        <v>71786531.762279987</v>
      </c>
      <c r="N34" s="516"/>
      <c r="O34" s="516"/>
      <c r="P34" s="516"/>
    </row>
    <row r="35" spans="1:16" hidden="1" outlineLevel="1">
      <c r="A35" s="445" t="s">
        <v>3408</v>
      </c>
      <c r="B35" s="1616" t="s">
        <v>3641</v>
      </c>
      <c r="C35" s="1617"/>
      <c r="D35" s="1617"/>
      <c r="E35" s="1618"/>
      <c r="F35" s="449" t="s">
        <v>345</v>
      </c>
      <c r="G35" s="582">
        <f>'3.Concreto'!P173</f>
        <v>2.64</v>
      </c>
      <c r="H35" s="442">
        <f>APU!J220</f>
        <v>7311962.2003200026</v>
      </c>
      <c r="I35" s="818">
        <f t="shared" ref="I35:I41" si="6">G35*H35</f>
        <v>19303580.208844807</v>
      </c>
      <c r="J35" s="1421">
        <f t="shared" si="5"/>
        <v>2.8505702849863021E-3</v>
      </c>
      <c r="K35" s="759"/>
      <c r="L35" s="516"/>
      <c r="M35" s="516"/>
      <c r="N35" s="516"/>
      <c r="O35" s="516"/>
      <c r="P35" s="516"/>
    </row>
    <row r="36" spans="1:16" hidden="1" outlineLevel="1">
      <c r="A36" s="445" t="s">
        <v>3409</v>
      </c>
      <c r="B36" s="1616" t="s">
        <v>3642</v>
      </c>
      <c r="C36" s="1617"/>
      <c r="D36" s="1617"/>
      <c r="E36" s="1618"/>
      <c r="F36" s="449" t="s">
        <v>345</v>
      </c>
      <c r="G36" s="582">
        <f>'3.Concreto'!P174</f>
        <v>87.84</v>
      </c>
      <c r="H36" s="442">
        <f>APU!J232</f>
        <v>666609.80990333389</v>
      </c>
      <c r="I36" s="818">
        <f t="shared" si="6"/>
        <v>58555005.701908849</v>
      </c>
      <c r="J36" s="1421">
        <f t="shared" si="5"/>
        <v>8.6468498322702404E-3</v>
      </c>
      <c r="K36" s="759"/>
      <c r="L36" s="516"/>
      <c r="M36" s="516"/>
      <c r="N36" s="516"/>
      <c r="O36" s="516"/>
      <c r="P36" s="516"/>
    </row>
    <row r="37" spans="1:16" hidden="1" outlineLevel="1">
      <c r="A37" s="445" t="s">
        <v>3410</v>
      </c>
      <c r="B37" s="1616" t="s">
        <v>3643</v>
      </c>
      <c r="C37" s="1617"/>
      <c r="D37" s="1617"/>
      <c r="E37" s="1618"/>
      <c r="F37" s="449" t="s">
        <v>345</v>
      </c>
      <c r="G37" s="582">
        <f>'3.Concreto'!P175</f>
        <v>88.32</v>
      </c>
      <c r="H37" s="442">
        <f>APU!J244</f>
        <v>982453.55469500006</v>
      </c>
      <c r="I37" s="818">
        <f t="shared" si="6"/>
        <v>86770297.950662404</v>
      </c>
      <c r="J37" s="1421">
        <f t="shared" si="5"/>
        <v>1.2813417525741359E-2</v>
      </c>
      <c r="K37" s="759"/>
      <c r="L37" s="516"/>
      <c r="M37" s="516"/>
      <c r="N37" s="516"/>
      <c r="O37" s="516"/>
      <c r="P37" s="516"/>
    </row>
    <row r="38" spans="1:16" hidden="1" outlineLevel="1">
      <c r="A38" s="445" t="s">
        <v>3411</v>
      </c>
      <c r="B38" s="1616" t="s">
        <v>3648</v>
      </c>
      <c r="C38" s="1617"/>
      <c r="D38" s="1617"/>
      <c r="E38" s="1618"/>
      <c r="F38" s="449" t="s">
        <v>345</v>
      </c>
      <c r="G38" s="582">
        <f>'3.Concreto'!P176</f>
        <v>5.28</v>
      </c>
      <c r="H38" s="442">
        <f>APU!J256</f>
        <v>2877516.0234450004</v>
      </c>
      <c r="I38" s="818">
        <f t="shared" si="6"/>
        <v>15193284.603789603</v>
      </c>
      <c r="J38" s="1421">
        <f t="shared" si="5"/>
        <v>2.2436006768867837E-3</v>
      </c>
      <c r="K38" s="759"/>
      <c r="L38" s="516"/>
      <c r="M38" s="516"/>
      <c r="N38" s="516"/>
      <c r="O38" s="516"/>
      <c r="P38" s="516"/>
    </row>
    <row r="39" spans="1:16" hidden="1" outlineLevel="1">
      <c r="A39" s="445" t="s">
        <v>3412</v>
      </c>
      <c r="B39" s="1616" t="s">
        <v>3644</v>
      </c>
      <c r="C39" s="1617"/>
      <c r="D39" s="1617"/>
      <c r="E39" s="1618"/>
      <c r="F39" s="449" t="s">
        <v>345</v>
      </c>
      <c r="G39" s="582">
        <f>'3.Concreto'!P177</f>
        <v>12</v>
      </c>
      <c r="H39" s="442">
        <f>APU!J268</f>
        <v>474953.18387555552</v>
      </c>
      <c r="I39" s="818">
        <f t="shared" si="6"/>
        <v>5699438.2065066658</v>
      </c>
      <c r="J39" s="1421">
        <f t="shared" si="5"/>
        <v>8.4163916832067189E-4</v>
      </c>
      <c r="K39" s="759"/>
      <c r="L39" s="516"/>
      <c r="M39" s="516"/>
      <c r="N39" s="516"/>
      <c r="O39" s="516"/>
      <c r="P39" s="516"/>
    </row>
    <row r="40" spans="1:16" hidden="1" outlineLevel="1">
      <c r="A40" s="445" t="s">
        <v>3413</v>
      </c>
      <c r="B40" s="1616" t="s">
        <v>3646</v>
      </c>
      <c r="C40" s="1617"/>
      <c r="D40" s="1617"/>
      <c r="E40" s="1618"/>
      <c r="F40" s="449" t="s">
        <v>345</v>
      </c>
      <c r="G40" s="582">
        <f>'3.Concreto'!P178</f>
        <v>77.88</v>
      </c>
      <c r="H40" s="442">
        <f>APU!J280</f>
        <v>859980.18948666682</v>
      </c>
      <c r="I40" s="818">
        <f t="shared" si="6"/>
        <v>66975257.157221608</v>
      </c>
      <c r="J40" s="1421">
        <f t="shared" si="5"/>
        <v>9.8902729864698627E-3</v>
      </c>
      <c r="K40" s="759"/>
      <c r="L40" s="516"/>
      <c r="M40" s="516"/>
      <c r="N40" s="516"/>
      <c r="O40" s="516"/>
      <c r="P40" s="516"/>
    </row>
    <row r="41" spans="1:16" hidden="1" outlineLevel="1">
      <c r="A41" s="445" t="s">
        <v>3414</v>
      </c>
      <c r="B41" s="1616" t="s">
        <v>3647</v>
      </c>
      <c r="C41" s="1617"/>
      <c r="D41" s="1617"/>
      <c r="E41" s="1618"/>
      <c r="F41" s="449" t="s">
        <v>345</v>
      </c>
      <c r="G41" s="582">
        <f>'3.Concreto'!P179</f>
        <v>29.59</v>
      </c>
      <c r="H41" s="442">
        <f>APU!J292</f>
        <v>584960.8997644448</v>
      </c>
      <c r="I41" s="818">
        <f t="shared" si="6"/>
        <v>17308993.024029922</v>
      </c>
      <c r="J41" s="1421">
        <f>I41/$I$261</f>
        <v>2.5560285005953101E-3</v>
      </c>
      <c r="K41" s="759"/>
      <c r="L41" s="516"/>
      <c r="M41" s="516"/>
      <c r="N41" s="516"/>
      <c r="O41" s="516"/>
      <c r="P41" s="516"/>
    </row>
    <row r="42" spans="1:16" ht="13.5" hidden="1" outlineLevel="1" thickBot="1">
      <c r="A42" s="445" t="s">
        <v>3415</v>
      </c>
      <c r="B42" s="1616" t="s">
        <v>3449</v>
      </c>
      <c r="C42" s="1617"/>
      <c r="D42" s="1617"/>
      <c r="E42" s="1618"/>
      <c r="F42" s="449" t="s">
        <v>55</v>
      </c>
      <c r="G42" s="582">
        <f>Tenores!F138</f>
        <v>991.26</v>
      </c>
      <c r="H42" s="442">
        <f>APU!J306</f>
        <v>72419.477999999988</v>
      </c>
      <c r="I42" s="818">
        <f t="shared" si="4"/>
        <v>71786531.762279987</v>
      </c>
      <c r="J42" s="1421">
        <f>I42/$I$261</f>
        <v>1.0600756548260362E-2</v>
      </c>
      <c r="K42" s="516"/>
      <c r="L42" s="516"/>
      <c r="M42" s="516"/>
      <c r="N42" s="516"/>
      <c r="O42" s="516"/>
      <c r="P42" s="516"/>
    </row>
    <row r="43" spans="1:16" ht="13.5" customHeight="1" collapsed="1" thickBot="1">
      <c r="A43" s="436"/>
      <c r="B43" s="437"/>
      <c r="C43" s="437"/>
      <c r="D43" s="437"/>
      <c r="E43" s="437"/>
      <c r="F43" s="1546" t="s">
        <v>703</v>
      </c>
      <c r="G43" s="1547"/>
      <c r="H43" s="1548"/>
      <c r="I43" s="819">
        <f>SUM(I30:I42)</f>
        <v>1580013864.4402962</v>
      </c>
      <c r="J43" s="815">
        <f>I43/$I$261</f>
        <v>0.23332151461603998</v>
      </c>
      <c r="K43" s="1257"/>
      <c r="L43" s="467"/>
      <c r="M43" s="467"/>
      <c r="N43" s="528"/>
      <c r="O43" s="528"/>
    </row>
    <row r="44" spans="1:16" ht="13.5" thickBot="1">
      <c r="A44" s="456">
        <v>5</v>
      </c>
      <c r="B44" s="1567" t="s">
        <v>702</v>
      </c>
      <c r="C44" s="1568"/>
      <c r="D44" s="1568"/>
      <c r="E44" s="1568"/>
      <c r="F44" s="1568"/>
      <c r="G44" s="1568"/>
      <c r="H44" s="1568"/>
      <c r="I44" s="1568"/>
      <c r="J44" s="1569"/>
      <c r="K44" s="516"/>
      <c r="L44" s="467"/>
      <c r="M44" s="467"/>
      <c r="N44" s="528"/>
      <c r="O44" s="528"/>
    </row>
    <row r="45" spans="1:16" ht="15.75" hidden="1" customHeight="1" outlineLevel="1">
      <c r="A45" s="458" t="s">
        <v>1098</v>
      </c>
      <c r="B45" s="1560" t="s">
        <v>1245</v>
      </c>
      <c r="C45" s="1560" t="s">
        <v>676</v>
      </c>
      <c r="D45" s="1560" t="s">
        <v>676</v>
      </c>
      <c r="E45" s="1560" t="s">
        <v>676</v>
      </c>
      <c r="F45" s="444" t="s">
        <v>699</v>
      </c>
      <c r="G45" s="582">
        <f>'4. Refuerzo'!H2808</f>
        <v>4837.7650000000003</v>
      </c>
      <c r="H45" s="442">
        <f>APU!J317</f>
        <v>3332.8219999999997</v>
      </c>
      <c r="I45" s="818">
        <f>G45*H45</f>
        <v>16123409.62283</v>
      </c>
      <c r="J45" s="1254">
        <f t="shared" ref="J45:J53" si="7">I45/$I$261</f>
        <v>2.3809527489849955E-3</v>
      </c>
      <c r="L45" s="528"/>
      <c r="M45" s="528"/>
      <c r="N45" s="528"/>
      <c r="O45" s="528"/>
    </row>
    <row r="46" spans="1:16" hidden="1" outlineLevel="1">
      <c r="A46" s="450" t="s">
        <v>1099</v>
      </c>
      <c r="B46" s="1570" t="s">
        <v>1246</v>
      </c>
      <c r="C46" s="1570" t="s">
        <v>701</v>
      </c>
      <c r="D46" s="1570" t="s">
        <v>701</v>
      </c>
      <c r="E46" s="1570" t="s">
        <v>701</v>
      </c>
      <c r="F46" s="449" t="s">
        <v>699</v>
      </c>
      <c r="G46" s="583">
        <f>'4. Refuerzo'!I2808</f>
        <v>27242.7232</v>
      </c>
      <c r="H46" s="447">
        <f>APU!J325</f>
        <v>3277.2019999999998</v>
      </c>
      <c r="I46" s="818">
        <f t="shared" ref="I46:I53" si="8">G46*H46</f>
        <v>89279906.956486389</v>
      </c>
      <c r="J46" s="1254">
        <f t="shared" si="7"/>
        <v>1.3184012865131199E-2</v>
      </c>
      <c r="K46" s="8"/>
      <c r="L46" s="528"/>
      <c r="M46" s="528"/>
      <c r="N46" s="528"/>
      <c r="O46" s="528"/>
    </row>
    <row r="47" spans="1:16" hidden="1" outlineLevel="1">
      <c r="A47" s="450" t="s">
        <v>1100</v>
      </c>
      <c r="B47" s="1570" t="s">
        <v>1247</v>
      </c>
      <c r="C47" s="1570" t="s">
        <v>686</v>
      </c>
      <c r="D47" s="1570" t="s">
        <v>686</v>
      </c>
      <c r="E47" s="1570" t="s">
        <v>686</v>
      </c>
      <c r="F47" s="449" t="s">
        <v>699</v>
      </c>
      <c r="G47" s="583">
        <f>'4. Refuerzo'!J2808</f>
        <v>29699.952030233566</v>
      </c>
      <c r="H47" s="447">
        <f>APU!J333</f>
        <v>3470.8419999999996</v>
      </c>
      <c r="I47" s="818">
        <f t="shared" si="8"/>
        <v>103083840.90451992</v>
      </c>
      <c r="J47" s="1254">
        <f t="shared" si="7"/>
        <v>1.5222447368081512E-2</v>
      </c>
      <c r="K47" s="8"/>
      <c r="L47" s="8"/>
      <c r="M47" s="8"/>
      <c r="N47" s="8"/>
      <c r="O47" s="8"/>
    </row>
    <row r="48" spans="1:16" hidden="1" outlineLevel="1">
      <c r="A48" s="450" t="s">
        <v>1101</v>
      </c>
      <c r="B48" s="1570" t="s">
        <v>1248</v>
      </c>
      <c r="C48" s="1570" t="s">
        <v>685</v>
      </c>
      <c r="D48" s="1570" t="s">
        <v>685</v>
      </c>
      <c r="E48" s="1570" t="s">
        <v>685</v>
      </c>
      <c r="F48" s="449" t="s">
        <v>699</v>
      </c>
      <c r="G48" s="583">
        <f>'4. Refuerzo'!K2808</f>
        <v>20362.772000000001</v>
      </c>
      <c r="H48" s="447">
        <f>APU!J341</f>
        <v>3470.8419999999996</v>
      </c>
      <c r="I48" s="818">
        <f t="shared" si="8"/>
        <v>70675964.294023991</v>
      </c>
      <c r="J48" s="1254">
        <f t="shared" si="7"/>
        <v>1.0436758440643387E-2</v>
      </c>
      <c r="K48" s="528"/>
      <c r="L48" s="528"/>
      <c r="M48" s="528"/>
      <c r="N48" s="528"/>
      <c r="O48" s="8"/>
    </row>
    <row r="49" spans="1:15" hidden="1" outlineLevel="1">
      <c r="A49" s="450" t="s">
        <v>1102</v>
      </c>
      <c r="B49" s="1570" t="s">
        <v>1249</v>
      </c>
      <c r="C49" s="1570" t="s">
        <v>682</v>
      </c>
      <c r="D49" s="1570" t="s">
        <v>682</v>
      </c>
      <c r="E49" s="1570" t="s">
        <v>682</v>
      </c>
      <c r="F49" s="449" t="s">
        <v>699</v>
      </c>
      <c r="G49" s="583">
        <f>'4. Refuerzo'!L2808</f>
        <v>34588.827799999999</v>
      </c>
      <c r="H49" s="447">
        <f>APU!J349</f>
        <v>3470.8419999999996</v>
      </c>
      <c r="I49" s="818">
        <f t="shared" si="8"/>
        <v>120052356.25900759</v>
      </c>
      <c r="J49" s="1254">
        <f t="shared" si="7"/>
        <v>1.7728197344330659E-2</v>
      </c>
      <c r="K49" s="8"/>
      <c r="L49" s="8"/>
      <c r="M49" s="8"/>
      <c r="N49" s="8"/>
      <c r="O49" s="8"/>
    </row>
    <row r="50" spans="1:15" hidden="1" outlineLevel="1">
      <c r="A50" s="450" t="s">
        <v>1103</v>
      </c>
      <c r="B50" s="1570" t="s">
        <v>1250</v>
      </c>
      <c r="C50" s="1570" t="s">
        <v>681</v>
      </c>
      <c r="D50" s="1570" t="s">
        <v>681</v>
      </c>
      <c r="E50" s="1570" t="s">
        <v>681</v>
      </c>
      <c r="F50" s="449" t="s">
        <v>699</v>
      </c>
      <c r="G50" s="583">
        <f>'4. Refuerzo'!M2808</f>
        <v>31893.599999999999</v>
      </c>
      <c r="H50" s="447">
        <f>APU!J357</f>
        <v>3470.8419999999996</v>
      </c>
      <c r="I50" s="818">
        <f t="shared" si="8"/>
        <v>110697646.41119999</v>
      </c>
      <c r="J50" s="1254">
        <f t="shared" si="7"/>
        <v>1.6346782206396258E-2</v>
      </c>
      <c r="K50" s="8"/>
      <c r="L50" s="8"/>
      <c r="M50" s="8"/>
      <c r="N50" s="8"/>
      <c r="O50" s="8"/>
    </row>
    <row r="51" spans="1:15" hidden="1" outlineLevel="1">
      <c r="A51" s="450" t="s">
        <v>1104</v>
      </c>
      <c r="B51" s="1570" t="s">
        <v>1251</v>
      </c>
      <c r="C51" s="1570" t="s">
        <v>683</v>
      </c>
      <c r="D51" s="1570" t="s">
        <v>683</v>
      </c>
      <c r="E51" s="1570" t="s">
        <v>683</v>
      </c>
      <c r="F51" s="449" t="s">
        <v>699</v>
      </c>
      <c r="G51" s="583">
        <f>'4. Refuerzo'!N2808</f>
        <v>53043.92</v>
      </c>
      <c r="H51" s="447">
        <f>APU!J365</f>
        <v>3470.8419999999996</v>
      </c>
      <c r="I51" s="818">
        <f t="shared" si="8"/>
        <v>184107065.38063997</v>
      </c>
      <c r="J51" s="1254">
        <f t="shared" si="7"/>
        <v>2.7187191399324837E-2</v>
      </c>
      <c r="K51" s="8"/>
      <c r="L51" s="8"/>
      <c r="M51" s="8"/>
      <c r="N51" s="8"/>
      <c r="O51" s="8"/>
    </row>
    <row r="52" spans="1:15" hidden="1" outlineLevel="1">
      <c r="A52" s="450" t="s">
        <v>1105</v>
      </c>
      <c r="B52" s="1570" t="s">
        <v>1252</v>
      </c>
      <c r="C52" s="1570" t="s">
        <v>683</v>
      </c>
      <c r="D52" s="1570" t="s">
        <v>683</v>
      </c>
      <c r="E52" s="1570" t="s">
        <v>683</v>
      </c>
      <c r="F52" s="449" t="s">
        <v>699</v>
      </c>
      <c r="G52" s="583">
        <f>'4. Refuerzo'!O2808</f>
        <v>138838.326</v>
      </c>
      <c r="H52" s="447">
        <f>APU!J373</f>
        <v>3397.7019999999998</v>
      </c>
      <c r="I52" s="818">
        <f t="shared" si="8"/>
        <v>471731257.92685199</v>
      </c>
      <c r="J52" s="1254">
        <f t="shared" si="7"/>
        <v>6.9660813786727338E-2</v>
      </c>
      <c r="K52" s="8"/>
      <c r="L52" s="8"/>
      <c r="M52" s="8"/>
      <c r="N52" s="8"/>
      <c r="O52" s="8"/>
    </row>
    <row r="53" spans="1:15" ht="13.5" hidden="1" outlineLevel="1" thickBot="1">
      <c r="A53" s="450" t="s">
        <v>1106</v>
      </c>
      <c r="B53" s="1570" t="s">
        <v>1053</v>
      </c>
      <c r="C53" s="1570" t="s">
        <v>700</v>
      </c>
      <c r="D53" s="1570" t="s">
        <v>700</v>
      </c>
      <c r="E53" s="1570" t="s">
        <v>700</v>
      </c>
      <c r="F53" s="449" t="s">
        <v>699</v>
      </c>
      <c r="G53" s="583">
        <f>'5. Malla'!J67</f>
        <v>26539.367991999992</v>
      </c>
      <c r="H53" s="447">
        <f>APU!J381</f>
        <v>9965.2969000000012</v>
      </c>
      <c r="I53" s="818">
        <f t="shared" si="8"/>
        <v>264472681.57863677</v>
      </c>
      <c r="J53" s="1254">
        <f t="shared" si="7"/>
        <v>3.9054826055182956E-2</v>
      </c>
    </row>
    <row r="54" spans="1:15" ht="13.5" collapsed="1" thickBot="1">
      <c r="A54" s="436"/>
      <c r="B54" s="437"/>
      <c r="C54" s="437"/>
      <c r="D54" s="437"/>
      <c r="E54" s="437"/>
      <c r="F54" s="1546" t="s">
        <v>698</v>
      </c>
      <c r="G54" s="1547"/>
      <c r="H54" s="1548"/>
      <c r="I54" s="819">
        <f>SUM(I45:I53)</f>
        <v>1430224129.3341966</v>
      </c>
      <c r="J54" s="815">
        <f>I54/$I$261</f>
        <v>0.21120198221480313</v>
      </c>
      <c r="K54" s="1256"/>
    </row>
    <row r="55" spans="1:15" ht="13.5" thickBot="1">
      <c r="A55" s="456">
        <v>6</v>
      </c>
      <c r="B55" s="1567" t="s">
        <v>697</v>
      </c>
      <c r="C55" s="1568"/>
      <c r="D55" s="1568"/>
      <c r="E55" s="1568"/>
      <c r="F55" s="1568"/>
      <c r="G55" s="1568"/>
      <c r="H55" s="1568"/>
      <c r="I55" s="1568"/>
      <c r="J55" s="1569"/>
    </row>
    <row r="56" spans="1:15" s="516" customFormat="1" ht="15" hidden="1" outlineLevel="1" thickBot="1">
      <c r="A56" s="530" t="s">
        <v>1107</v>
      </c>
      <c r="B56" s="1610" t="s">
        <v>1054</v>
      </c>
      <c r="C56" s="1611"/>
      <c r="D56" s="1611"/>
      <c r="E56" s="1612"/>
      <c r="F56" s="444" t="s">
        <v>678</v>
      </c>
      <c r="G56" s="585">
        <f>'6. Mampostería'!I638</f>
        <v>4937.9292449999994</v>
      </c>
      <c r="H56" s="944">
        <f>+APU!J394</f>
        <v>66224.484312000001</v>
      </c>
      <c r="I56" s="945">
        <f>+APU!J395</f>
        <v>327011817.81926847</v>
      </c>
      <c r="J56" s="1254">
        <f>I56/$I$261</f>
        <v>4.8290014630956647E-2</v>
      </c>
      <c r="K56" s="759"/>
    </row>
    <row r="57" spans="1:15" ht="15" hidden="1" outlineLevel="1" thickBot="1">
      <c r="A57" s="530" t="s">
        <v>1668</v>
      </c>
      <c r="B57" s="780" t="s">
        <v>1055</v>
      </c>
      <c r="C57" s="781"/>
      <c r="D57" s="781"/>
      <c r="E57" s="782"/>
      <c r="F57" s="449" t="s">
        <v>678</v>
      </c>
      <c r="G57" s="585">
        <f>'6. Mampostería'!I639</f>
        <v>1704.5063999999998</v>
      </c>
      <c r="H57" s="944">
        <f>+APU!J409</f>
        <v>50643.99</v>
      </c>
      <c r="I57" s="945">
        <f>+APU!J410</f>
        <v>86323005.076535985</v>
      </c>
      <c r="J57" s="1254">
        <f>I57/$I$261</f>
        <v>1.2747365541504432E-2</v>
      </c>
    </row>
    <row r="58" spans="1:15" s="516" customFormat="1" ht="12" customHeight="1" collapsed="1" thickBot="1">
      <c r="A58" s="436"/>
      <c r="B58" s="457"/>
      <c r="C58" s="457"/>
      <c r="D58" s="457"/>
      <c r="E58" s="457"/>
      <c r="F58" s="1546" t="s">
        <v>2768</v>
      </c>
      <c r="G58" s="1547"/>
      <c r="H58" s="1548"/>
      <c r="I58" s="819">
        <f>+I56+I57</f>
        <v>413334822.89580446</v>
      </c>
      <c r="J58" s="815">
        <f>I58/$I$261</f>
        <v>6.1037380172461075E-2</v>
      </c>
      <c r="K58" s="1258"/>
    </row>
    <row r="59" spans="1:15" ht="13.5" thickBot="1">
      <c r="A59" s="456">
        <v>7</v>
      </c>
      <c r="B59" s="1567" t="s">
        <v>1262</v>
      </c>
      <c r="C59" s="1568"/>
      <c r="D59" s="1568"/>
      <c r="E59" s="1568"/>
      <c r="F59" s="1568"/>
      <c r="G59" s="1568"/>
      <c r="H59" s="1568"/>
      <c r="I59" s="1568"/>
      <c r="J59" s="1569"/>
      <c r="K59" s="516"/>
      <c r="L59" s="516"/>
      <c r="M59" s="516"/>
      <c r="N59" s="516"/>
    </row>
    <row r="60" spans="1:15" ht="15" hidden="1" outlineLevel="1" thickBot="1">
      <c r="A60" s="445" t="s">
        <v>1108</v>
      </c>
      <c r="B60" s="1560" t="s">
        <v>1264</v>
      </c>
      <c r="C60" s="1560" t="s">
        <v>676</v>
      </c>
      <c r="D60" s="1560" t="s">
        <v>676</v>
      </c>
      <c r="E60" s="1560" t="s">
        <v>676</v>
      </c>
      <c r="F60" s="444" t="s">
        <v>678</v>
      </c>
      <c r="G60" s="443">
        <f>'7. Revoque'!B50</f>
        <v>4742.8357020000003</v>
      </c>
      <c r="H60" s="442">
        <f>APU!J418</f>
        <v>13366.693799999997</v>
      </c>
      <c r="I60" s="818">
        <f>G60*H60</f>
        <v>63396032.572342038</v>
      </c>
      <c r="J60" s="1254">
        <f>I60/$I$261</f>
        <v>9.3617269274193643E-3</v>
      </c>
      <c r="L60" s="516"/>
      <c r="M60" s="516"/>
    </row>
    <row r="61" spans="1:15" ht="13.5" collapsed="1" thickBot="1">
      <c r="F61" s="1546" t="s">
        <v>696</v>
      </c>
      <c r="G61" s="1547"/>
      <c r="H61" s="1548"/>
      <c r="I61" s="820">
        <f>I60</f>
        <v>63396032.572342038</v>
      </c>
      <c r="J61" s="815">
        <f>I61/$I$261</f>
        <v>9.3617269274193643E-3</v>
      </c>
      <c r="K61" s="1256"/>
      <c r="L61" s="516"/>
      <c r="M61" s="759"/>
    </row>
    <row r="62" spans="1:15" ht="13.5" thickBot="1">
      <c r="A62" s="779">
        <v>8</v>
      </c>
      <c r="B62" s="1567" t="s">
        <v>1667</v>
      </c>
      <c r="C62" s="1568"/>
      <c r="D62" s="1568"/>
      <c r="E62" s="1568"/>
      <c r="F62" s="1568"/>
      <c r="G62" s="1568"/>
      <c r="H62" s="1568"/>
      <c r="I62" s="1568"/>
      <c r="J62" s="1569"/>
      <c r="K62" s="1259"/>
      <c r="L62" s="516"/>
      <c r="M62" s="759"/>
    </row>
    <row r="63" spans="1:15" ht="14.25" hidden="1" outlineLevel="1">
      <c r="A63" s="450" t="s">
        <v>1109</v>
      </c>
      <c r="B63" s="1560" t="s">
        <v>1265</v>
      </c>
      <c r="C63" s="1560" t="s">
        <v>686</v>
      </c>
      <c r="D63" s="1560" t="s">
        <v>686</v>
      </c>
      <c r="E63" s="1560" t="s">
        <v>686</v>
      </c>
      <c r="F63" s="444" t="s">
        <v>678</v>
      </c>
      <c r="G63" s="443">
        <f>'8. Estuco y pintura'!B45</f>
        <v>4737.0312020000001</v>
      </c>
      <c r="H63" s="442">
        <f>APU!J427</f>
        <v>6077.8538666666682</v>
      </c>
      <c r="I63" s="818">
        <f>G63*H63</f>
        <v>28790983.407596357</v>
      </c>
      <c r="J63" s="1254">
        <f>I63/$I$261</f>
        <v>4.2515803228886755E-3</v>
      </c>
      <c r="K63" s="30"/>
      <c r="L63" s="516"/>
      <c r="M63" s="516"/>
    </row>
    <row r="64" spans="1:15" ht="15" hidden="1" outlineLevel="1" thickBot="1">
      <c r="A64" s="450" t="s">
        <v>1669</v>
      </c>
      <c r="B64" s="1570" t="s">
        <v>1266</v>
      </c>
      <c r="C64" s="1570" t="s">
        <v>682</v>
      </c>
      <c r="D64" s="1570" t="s">
        <v>682</v>
      </c>
      <c r="E64" s="1570" t="s">
        <v>682</v>
      </c>
      <c r="F64" s="449" t="s">
        <v>678</v>
      </c>
      <c r="G64" s="453">
        <f>'8. Estuco y pintura'!B46</f>
        <v>9311.0984219999991</v>
      </c>
      <c r="H64" s="447">
        <f>APU!J436</f>
        <v>6852.1525000000001</v>
      </c>
      <c r="I64" s="818">
        <f>G64*H64</f>
        <v>63801066.330053352</v>
      </c>
      <c r="J64" s="1254">
        <f>I64/$I$261</f>
        <v>9.4215384847396583E-3</v>
      </c>
      <c r="K64" s="30"/>
      <c r="L64" s="516"/>
      <c r="M64" s="516"/>
    </row>
    <row r="65" spans="1:16" ht="13.5" collapsed="1" thickBot="1">
      <c r="A65" s="436"/>
      <c r="B65" s="457"/>
      <c r="C65" s="457"/>
      <c r="D65" s="457"/>
      <c r="E65" s="457"/>
      <c r="F65" s="1546" t="s">
        <v>694</v>
      </c>
      <c r="G65" s="1547"/>
      <c r="H65" s="1548"/>
      <c r="I65" s="820">
        <f>SUM(I63:I64)</f>
        <v>92592049.737649709</v>
      </c>
      <c r="J65" s="815">
        <f>I65/$I$261</f>
        <v>1.3673118807628334E-2</v>
      </c>
      <c r="L65" s="516"/>
      <c r="M65" s="516"/>
    </row>
    <row r="66" spans="1:16" ht="13.5" thickBot="1">
      <c r="A66" s="865">
        <v>9</v>
      </c>
      <c r="B66" s="1620" t="s">
        <v>695</v>
      </c>
      <c r="C66" s="1580"/>
      <c r="D66" s="1580"/>
      <c r="E66" s="1580"/>
      <c r="F66" s="1580"/>
      <c r="G66" s="1580"/>
      <c r="H66" s="1580"/>
      <c r="I66" s="1580"/>
      <c r="J66" s="1581"/>
      <c r="L66" s="516"/>
      <c r="M66" s="516"/>
    </row>
    <row r="67" spans="1:16" ht="14.25" hidden="1" outlineLevel="1">
      <c r="A67" s="530" t="s">
        <v>1110</v>
      </c>
      <c r="B67" s="1603" t="s">
        <v>579</v>
      </c>
      <c r="C67" s="1603" t="s">
        <v>676</v>
      </c>
      <c r="D67" s="1603" t="s">
        <v>676</v>
      </c>
      <c r="E67" s="1603" t="s">
        <v>676</v>
      </c>
      <c r="F67" s="530" t="s">
        <v>678</v>
      </c>
      <c r="G67" s="585">
        <f>'9. Pisos y zócalos'!D55</f>
        <v>4044.3097000000002</v>
      </c>
      <c r="H67" s="465">
        <f>APU!J446</f>
        <v>34976.752</v>
      </c>
      <c r="I67" s="465">
        <f>G67*H67</f>
        <v>141456817.38809443</v>
      </c>
      <c r="J67" s="1254">
        <f t="shared" ref="J67:J78" si="9">I67/$I$261</f>
        <v>2.0889005867962069E-2</v>
      </c>
      <c r="K67" s="516"/>
      <c r="L67" s="516"/>
      <c r="M67" s="516"/>
      <c r="N67" s="516"/>
      <c r="O67" s="516"/>
      <c r="P67" s="516"/>
    </row>
    <row r="68" spans="1:16" ht="14.25" hidden="1" outlineLevel="1">
      <c r="A68" s="529" t="s">
        <v>1111</v>
      </c>
      <c r="B68" s="1597" t="s">
        <v>1267</v>
      </c>
      <c r="C68" s="1597" t="s">
        <v>676</v>
      </c>
      <c r="D68" s="1597" t="s">
        <v>676</v>
      </c>
      <c r="E68" s="1597" t="s">
        <v>676</v>
      </c>
      <c r="F68" s="529" t="s">
        <v>678</v>
      </c>
      <c r="G68" s="586">
        <f>'9. Pisos y zócalos'!D58</f>
        <v>1402.3923</v>
      </c>
      <c r="H68" s="1170">
        <f>APU!J466</f>
        <v>48471.709000000003</v>
      </c>
      <c r="I68" s="465">
        <f t="shared" ref="I68:I78" si="10">G68*H68</f>
        <v>67976351.469440699</v>
      </c>
      <c r="J68" s="1254">
        <f t="shared" si="9"/>
        <v>1.0038105133046123E-2</v>
      </c>
      <c r="L68" s="516"/>
      <c r="M68" s="516"/>
    </row>
    <row r="69" spans="1:16" ht="14.25" hidden="1" outlineLevel="1">
      <c r="A69" s="529" t="s">
        <v>1112</v>
      </c>
      <c r="B69" s="1597" t="s">
        <v>577</v>
      </c>
      <c r="C69" s="1597" t="s">
        <v>676</v>
      </c>
      <c r="D69" s="1597" t="s">
        <v>676</v>
      </c>
      <c r="E69" s="1597" t="s">
        <v>676</v>
      </c>
      <c r="F69" s="529" t="s">
        <v>678</v>
      </c>
      <c r="G69" s="586">
        <f>'9. Pisos y zócalos'!D56</f>
        <v>273.48040000000003</v>
      </c>
      <c r="H69" s="1170">
        <f>APU!J455</f>
        <v>33019.752</v>
      </c>
      <c r="I69" s="465">
        <f t="shared" si="10"/>
        <v>9030254.9848608021</v>
      </c>
      <c r="J69" s="1254">
        <f t="shared" si="9"/>
        <v>1.3335027102329474E-3</v>
      </c>
      <c r="L69" s="516"/>
      <c r="M69" s="516"/>
    </row>
    <row r="70" spans="1:16" ht="14.25" hidden="1" outlineLevel="1">
      <c r="A70" s="529" t="s">
        <v>1113</v>
      </c>
      <c r="B70" s="1597" t="s">
        <v>578</v>
      </c>
      <c r="C70" s="1597" t="s">
        <v>676</v>
      </c>
      <c r="D70" s="1597" t="s">
        <v>676</v>
      </c>
      <c r="E70" s="1597" t="s">
        <v>676</v>
      </c>
      <c r="F70" s="529" t="s">
        <v>678</v>
      </c>
      <c r="G70" s="586">
        <f>'9. Pisos y zócalos'!D57</f>
        <v>371.46260000000001</v>
      </c>
      <c r="H70" s="1170">
        <f>APU!J473</f>
        <v>16354.619539999998</v>
      </c>
      <c r="I70" s="465">
        <f t="shared" si="10"/>
        <v>6075129.4963392038</v>
      </c>
      <c r="J70" s="1254">
        <f t="shared" si="9"/>
        <v>8.9711770730351373E-4</v>
      </c>
      <c r="L70" s="516"/>
      <c r="M70" s="516"/>
    </row>
    <row r="71" spans="1:16" ht="14.25" hidden="1" outlineLevel="1">
      <c r="A71" s="529" t="s">
        <v>1114</v>
      </c>
      <c r="B71" s="1597" t="s">
        <v>580</v>
      </c>
      <c r="C71" s="1597" t="s">
        <v>681</v>
      </c>
      <c r="D71" s="1597" t="s">
        <v>681</v>
      </c>
      <c r="E71" s="1597" t="s">
        <v>681</v>
      </c>
      <c r="F71" s="529" t="s">
        <v>678</v>
      </c>
      <c r="G71" s="586">
        <f>'9. Pisos y zócalos'!D60</f>
        <v>11.9565</v>
      </c>
      <c r="H71" s="1170">
        <f>APU!J489</f>
        <v>34976.752</v>
      </c>
      <c r="I71" s="465">
        <f t="shared" si="10"/>
        <v>418199.53528800001</v>
      </c>
      <c r="J71" s="1254">
        <f t="shared" si="9"/>
        <v>6.1755754921609594E-5</v>
      </c>
      <c r="L71" s="516"/>
      <c r="M71" s="516"/>
    </row>
    <row r="72" spans="1:16" ht="14.25" hidden="1" outlineLevel="1">
      <c r="A72" s="529" t="s">
        <v>1115</v>
      </c>
      <c r="B72" s="1596" t="s">
        <v>1057</v>
      </c>
      <c r="C72" s="1596" t="s">
        <v>681</v>
      </c>
      <c r="D72" s="1596" t="s">
        <v>681</v>
      </c>
      <c r="E72" s="1596" t="s">
        <v>681</v>
      </c>
      <c r="F72" s="529" t="s">
        <v>678</v>
      </c>
      <c r="G72" s="586">
        <f>'9. Pisos y zócalos'!D59</f>
        <v>481.57929999999993</v>
      </c>
      <c r="H72" s="1170">
        <f>APU!J482</f>
        <v>47320.525390000003</v>
      </c>
      <c r="I72" s="465">
        <f t="shared" si="10"/>
        <v>22788585.492948424</v>
      </c>
      <c r="J72" s="1254">
        <f t="shared" si="9"/>
        <v>3.3652029281751646E-3</v>
      </c>
      <c r="L72" s="516"/>
      <c r="M72" s="516"/>
    </row>
    <row r="73" spans="1:16" hidden="1" outlineLevel="1">
      <c r="A73" s="529" t="s">
        <v>1116</v>
      </c>
      <c r="B73" s="1596" t="s">
        <v>583</v>
      </c>
      <c r="C73" s="1596"/>
      <c r="D73" s="1596"/>
      <c r="E73" s="1596"/>
      <c r="F73" s="529" t="s">
        <v>345</v>
      </c>
      <c r="G73" s="1381">
        <f>'9. Pisos y zócalos'!I81</f>
        <v>2953.6765</v>
      </c>
      <c r="H73" s="1170">
        <f>APU!J496</f>
        <v>3765.0390000000007</v>
      </c>
      <c r="I73" s="465">
        <f t="shared" si="10"/>
        <v>11120707.215883503</v>
      </c>
      <c r="J73" s="1254">
        <f t="shared" si="9"/>
        <v>1.642200938616833E-3</v>
      </c>
      <c r="L73" s="516"/>
      <c r="M73" s="516"/>
    </row>
    <row r="74" spans="1:16" hidden="1" outlineLevel="1">
      <c r="A74" s="529" t="s">
        <v>1117</v>
      </c>
      <c r="B74" s="1596" t="s">
        <v>585</v>
      </c>
      <c r="C74" s="1596"/>
      <c r="D74" s="1596"/>
      <c r="E74" s="1596"/>
      <c r="F74" s="529" t="s">
        <v>345</v>
      </c>
      <c r="G74" s="1381">
        <f>'9. Pisos y zócalos'!I83</f>
        <v>376.75149999999996</v>
      </c>
      <c r="H74" s="1170">
        <f>APU!J511</f>
        <v>41355.038999999997</v>
      </c>
      <c r="I74" s="465">
        <f t="shared" si="10"/>
        <v>15580572.975808498</v>
      </c>
      <c r="J74" s="1254">
        <f t="shared" si="9"/>
        <v>2.3007917633616095E-3</v>
      </c>
      <c r="L74" s="516"/>
      <c r="M74" s="516"/>
    </row>
    <row r="75" spans="1:16" hidden="1" outlineLevel="1">
      <c r="A75" s="529" t="s">
        <v>1118</v>
      </c>
      <c r="B75" s="1382" t="s">
        <v>584</v>
      </c>
      <c r="C75" s="1382"/>
      <c r="D75" s="1382"/>
      <c r="E75" s="1382"/>
      <c r="F75" s="529" t="s">
        <v>345</v>
      </c>
      <c r="G75" s="1381">
        <f>'9. Pisos y zócalos'!I82</f>
        <v>376.6096</v>
      </c>
      <c r="H75" s="1170">
        <f>APU!J504</f>
        <v>6067.9253200000003</v>
      </c>
      <c r="I75" s="465">
        <f t="shared" si="10"/>
        <v>2285238.927595072</v>
      </c>
      <c r="J75" s="1254">
        <f t="shared" si="9"/>
        <v>3.3746248678323857E-4</v>
      </c>
      <c r="L75" s="516"/>
      <c r="M75" s="516"/>
    </row>
    <row r="76" spans="1:16" ht="14.25" hidden="1" outlineLevel="1">
      <c r="A76" s="529" t="s">
        <v>1119</v>
      </c>
      <c r="B76" s="1597" t="s">
        <v>587</v>
      </c>
      <c r="C76" s="1597" t="s">
        <v>683</v>
      </c>
      <c r="D76" s="1597" t="s">
        <v>683</v>
      </c>
      <c r="E76" s="1597" t="s">
        <v>683</v>
      </c>
      <c r="F76" s="529" t="s">
        <v>678</v>
      </c>
      <c r="G76" s="1381">
        <f>'9. Pisos y zócalos'!N13</f>
        <v>84.182399999999987</v>
      </c>
      <c r="H76" s="1170">
        <f>APU!J521</f>
        <v>43471.41</v>
      </c>
      <c r="I76" s="465">
        <f t="shared" si="10"/>
        <v>3659527.6251839995</v>
      </c>
      <c r="J76" s="1254">
        <f t="shared" si="9"/>
        <v>5.4040445308980696E-4</v>
      </c>
      <c r="L76" s="516"/>
      <c r="M76" s="516"/>
    </row>
    <row r="77" spans="1:16" ht="14.25" hidden="1" outlineLevel="1">
      <c r="A77" s="529" t="s">
        <v>1177</v>
      </c>
      <c r="B77" s="1597" t="s">
        <v>1268</v>
      </c>
      <c r="C77" s="1597"/>
      <c r="D77" s="1597"/>
      <c r="E77" s="1597"/>
      <c r="F77" s="529" t="s">
        <v>678</v>
      </c>
      <c r="G77" s="1381">
        <f>'12. Acabados y accesorios'!M68</f>
        <v>918.99414999999999</v>
      </c>
      <c r="H77" s="1170">
        <f>APU!J529</f>
        <v>15625.414444444446</v>
      </c>
      <c r="I77" s="465">
        <f t="shared" si="10"/>
        <v>14359664.465769947</v>
      </c>
      <c r="J77" s="1254">
        <f t="shared" si="9"/>
        <v>2.1204995335394883E-3</v>
      </c>
      <c r="L77" s="516"/>
      <c r="M77" s="516"/>
    </row>
    <row r="78" spans="1:16" ht="15" hidden="1" outlineLevel="1" thickBot="1">
      <c r="A78" s="529" t="s">
        <v>1178</v>
      </c>
      <c r="B78" s="1597" t="s">
        <v>1176</v>
      </c>
      <c r="C78" s="1597"/>
      <c r="D78" s="1597"/>
      <c r="E78" s="1597"/>
      <c r="F78" s="1383" t="s">
        <v>678</v>
      </c>
      <c r="G78" s="1384">
        <f>'12. Acabados y accesorios'!E60</f>
        <v>1488.103392</v>
      </c>
      <c r="H78" s="1385">
        <f>APU!J537</f>
        <v>26115.97</v>
      </c>
      <c r="I78" s="465">
        <f t="shared" si="10"/>
        <v>38863263.542370245</v>
      </c>
      <c r="J78" s="1254">
        <f t="shared" si="9"/>
        <v>5.7389594589666911E-3</v>
      </c>
      <c r="L78" s="516"/>
      <c r="M78" s="516"/>
    </row>
    <row r="79" spans="1:16" ht="13.5" collapsed="1" thickBot="1">
      <c r="A79" s="436"/>
      <c r="B79" s="457"/>
      <c r="C79" s="457"/>
      <c r="D79" s="457"/>
      <c r="E79" s="457"/>
      <c r="F79" s="1546" t="s">
        <v>693</v>
      </c>
      <c r="G79" s="1547"/>
      <c r="H79" s="1548"/>
      <c r="I79" s="1248">
        <f>SUM(I67:I78)</f>
        <v>333614313.11958283</v>
      </c>
      <c r="J79" s="815">
        <f>I79/$I$261</f>
        <v>4.9265008735999101E-2</v>
      </c>
      <c r="K79" s="1256"/>
      <c r="L79" s="516"/>
      <c r="M79" s="759"/>
    </row>
    <row r="80" spans="1:16" s="516" customFormat="1" ht="13.5" thickBot="1">
      <c r="A80" s="537">
        <v>10</v>
      </c>
      <c r="B80" s="1567" t="s">
        <v>1004</v>
      </c>
      <c r="C80" s="1568"/>
      <c r="D80" s="1568"/>
      <c r="E80" s="1568"/>
      <c r="F80" s="1568"/>
      <c r="G80" s="1568"/>
      <c r="H80" s="1568"/>
      <c r="I80" s="1568"/>
      <c r="J80" s="1569"/>
    </row>
    <row r="81" spans="1:13" s="516" customFormat="1" ht="15" hidden="1" outlineLevel="1" thickBot="1">
      <c r="A81" s="445" t="s">
        <v>1120</v>
      </c>
      <c r="B81" s="1560" t="s">
        <v>1180</v>
      </c>
      <c r="C81" s="1560" t="s">
        <v>676</v>
      </c>
      <c r="D81" s="1560" t="s">
        <v>676</v>
      </c>
      <c r="E81" s="1560" t="s">
        <v>676</v>
      </c>
      <c r="F81" s="444" t="s">
        <v>678</v>
      </c>
      <c r="G81" s="443">
        <f>'12. Acabados y accesorios'!L51</f>
        <v>2265.1909999999993</v>
      </c>
      <c r="H81" s="442">
        <f>+APU!J551</f>
        <v>31253.403999999999</v>
      </c>
      <c r="I81" s="818">
        <f>+G81*H81</f>
        <v>70794929.460163981</v>
      </c>
      <c r="J81" s="1254">
        <f>I81/$I$261</f>
        <v>1.0454326092026095E-2</v>
      </c>
    </row>
    <row r="82" spans="1:13" s="516" customFormat="1" ht="15" hidden="1" outlineLevel="1" thickBot="1">
      <c r="A82" s="450" t="s">
        <v>1121</v>
      </c>
      <c r="B82" s="1570" t="s">
        <v>1181</v>
      </c>
      <c r="C82" s="1570"/>
      <c r="D82" s="1570"/>
      <c r="E82" s="1570"/>
      <c r="F82" s="444" t="s">
        <v>678</v>
      </c>
      <c r="G82" s="448">
        <f>'12. Acabados y accesorios'!L45</f>
        <v>93.64</v>
      </c>
      <c r="H82" s="447">
        <f>+APU!J557</f>
        <v>128583.363</v>
      </c>
      <c r="I82" s="818">
        <f>+G82*H82</f>
        <v>12040546.11132</v>
      </c>
      <c r="J82" s="1254">
        <f>I82/$I$261</f>
        <v>1.7780340531965049E-3</v>
      </c>
    </row>
    <row r="83" spans="1:13" s="516" customFormat="1" ht="15" hidden="1" outlineLevel="1" thickBot="1">
      <c r="A83" s="450" t="s">
        <v>1122</v>
      </c>
      <c r="B83" s="1570" t="s">
        <v>1182</v>
      </c>
      <c r="C83" s="1570"/>
      <c r="D83" s="1570"/>
      <c r="E83" s="1570"/>
      <c r="F83" s="946" t="s">
        <v>678</v>
      </c>
      <c r="G83" s="534">
        <f>'12. Acabados y accesorios'!L57</f>
        <v>138.0146</v>
      </c>
      <c r="H83" s="455">
        <f>+APU!J563</f>
        <v>128583.363</v>
      </c>
      <c r="I83" s="818">
        <f>+G83*H83</f>
        <v>17746381.411099799</v>
      </c>
      <c r="J83" s="1254">
        <f>I83/$I$261</f>
        <v>2.6206178837921224E-3</v>
      </c>
    </row>
    <row r="84" spans="1:13" ht="13.5" collapsed="1" thickBot="1">
      <c r="A84" s="436"/>
      <c r="B84" s="457"/>
      <c r="C84" s="457"/>
      <c r="D84" s="457"/>
      <c r="E84" s="457"/>
      <c r="F84" s="1621" t="s">
        <v>692</v>
      </c>
      <c r="G84" s="1622"/>
      <c r="H84" s="1622"/>
      <c r="I84" s="820">
        <f>SUM(I81:I83)</f>
        <v>100581856.98258379</v>
      </c>
      <c r="J84" s="815">
        <f>I84/$I$261</f>
        <v>1.4852978029014724E-2</v>
      </c>
      <c r="L84" s="516"/>
      <c r="M84" s="516"/>
    </row>
    <row r="85" spans="1:13" ht="13.5" thickBot="1">
      <c r="A85" s="456">
        <v>11</v>
      </c>
      <c r="B85" s="1567" t="s">
        <v>688</v>
      </c>
      <c r="C85" s="1568"/>
      <c r="D85" s="1568"/>
      <c r="E85" s="1568"/>
      <c r="F85" s="1568"/>
      <c r="G85" s="1568"/>
      <c r="H85" s="1568"/>
      <c r="I85" s="1568"/>
      <c r="J85" s="1569"/>
      <c r="L85" s="516"/>
      <c r="M85" s="516"/>
    </row>
    <row r="86" spans="1:13" hidden="1" outlineLevel="1">
      <c r="A86" s="445" t="s">
        <v>1137</v>
      </c>
      <c r="B86" s="1623" t="s">
        <v>1272</v>
      </c>
      <c r="C86" s="1624"/>
      <c r="D86" s="1624"/>
      <c r="E86" s="1625"/>
      <c r="F86" s="444" t="s">
        <v>285</v>
      </c>
      <c r="G86" s="452">
        <f>'11. Carpintería en madera'!G6</f>
        <v>15</v>
      </c>
      <c r="H86" s="442">
        <f>APU!J891</f>
        <v>219673.91</v>
      </c>
      <c r="I86" s="442">
        <f>H86*G86</f>
        <v>3295108.65</v>
      </c>
      <c r="J86" s="1254">
        <f t="shared" ref="J86:J94" si="11">I86/$I$261</f>
        <v>4.8659050299837799E-4</v>
      </c>
    </row>
    <row r="87" spans="1:13" hidden="1" outlineLevel="1">
      <c r="A87" s="445" t="s">
        <v>1138</v>
      </c>
      <c r="B87" s="1571" t="s">
        <v>1273</v>
      </c>
      <c r="C87" s="1599"/>
      <c r="D87" s="1599"/>
      <c r="E87" s="1599"/>
      <c r="F87" s="444" t="s">
        <v>285</v>
      </c>
      <c r="G87" s="452">
        <f>'11. Carpintería en madera'!G7</f>
        <v>1</v>
      </c>
      <c r="H87" s="442">
        <f>APU!J904</f>
        <v>219673.91</v>
      </c>
      <c r="I87" s="442">
        <f t="shared" ref="I87:I94" si="12">H87*G87</f>
        <v>219673.91</v>
      </c>
      <c r="J87" s="1254">
        <f t="shared" si="11"/>
        <v>3.2439366866558534E-5</v>
      </c>
    </row>
    <row r="88" spans="1:13" ht="13.5" hidden="1" customHeight="1" outlineLevel="1">
      <c r="A88" s="445" t="s">
        <v>1139</v>
      </c>
      <c r="B88" s="1571" t="s">
        <v>1273</v>
      </c>
      <c r="C88" s="1599"/>
      <c r="D88" s="1599"/>
      <c r="E88" s="1599"/>
      <c r="F88" s="444" t="s">
        <v>285</v>
      </c>
      <c r="G88" s="452">
        <f>'11. Carpintería en madera'!G8</f>
        <v>4</v>
      </c>
      <c r="H88" s="442">
        <f>APU!J917</f>
        <v>219673.91</v>
      </c>
      <c r="I88" s="442">
        <f t="shared" si="12"/>
        <v>878695.64</v>
      </c>
      <c r="J88" s="1254">
        <f t="shared" si="11"/>
        <v>1.2975746746623414E-4</v>
      </c>
    </row>
    <row r="89" spans="1:13" ht="13.5" hidden="1" customHeight="1" outlineLevel="1">
      <c r="A89" s="445" t="s">
        <v>1140</v>
      </c>
      <c r="B89" s="1571" t="s">
        <v>1274</v>
      </c>
      <c r="C89" s="1599"/>
      <c r="D89" s="1599"/>
      <c r="E89" s="1599"/>
      <c r="F89" s="444" t="s">
        <v>285</v>
      </c>
      <c r="G89" s="452">
        <f>'11. Carpintería en madera'!G9</f>
        <v>63</v>
      </c>
      <c r="H89" s="442">
        <f>APU!J930</f>
        <v>219673.91</v>
      </c>
      <c r="I89" s="442">
        <f t="shared" si="12"/>
        <v>13839456.33</v>
      </c>
      <c r="J89" s="1254">
        <f t="shared" si="11"/>
        <v>2.0436801125931878E-3</v>
      </c>
    </row>
    <row r="90" spans="1:13" hidden="1" outlineLevel="1">
      <c r="A90" s="445" t="s">
        <v>1183</v>
      </c>
      <c r="B90" s="1571" t="s">
        <v>1275</v>
      </c>
      <c r="C90" s="1599"/>
      <c r="D90" s="1599"/>
      <c r="E90" s="1599"/>
      <c r="F90" s="444" t="s">
        <v>285</v>
      </c>
      <c r="G90" s="452">
        <f>'11. Carpintería en madera'!G10</f>
        <v>1</v>
      </c>
      <c r="H90" s="442">
        <f>APU!J943</f>
        <v>219673.91</v>
      </c>
      <c r="I90" s="442">
        <f t="shared" si="12"/>
        <v>219673.91</v>
      </c>
      <c r="J90" s="1254">
        <f t="shared" si="11"/>
        <v>3.2439366866558534E-5</v>
      </c>
    </row>
    <row r="91" spans="1:13" hidden="1" outlineLevel="1">
      <c r="A91" s="445" t="s">
        <v>1184</v>
      </c>
      <c r="B91" s="1626" t="s">
        <v>1276</v>
      </c>
      <c r="C91" s="1627"/>
      <c r="D91" s="1627"/>
      <c r="E91" s="1628"/>
      <c r="F91" s="444" t="s">
        <v>285</v>
      </c>
      <c r="G91" s="451">
        <f>'11. Carpintería en madera'!G11</f>
        <v>1</v>
      </c>
      <c r="H91" s="447">
        <f>APU!J956</f>
        <v>268686.91000000003</v>
      </c>
      <c r="I91" s="442">
        <f t="shared" si="12"/>
        <v>268686.91000000003</v>
      </c>
      <c r="J91" s="1254">
        <f t="shared" si="11"/>
        <v>3.9677143479314387E-5</v>
      </c>
    </row>
    <row r="92" spans="1:13" hidden="1" outlineLevel="1">
      <c r="A92" s="445" t="s">
        <v>1185</v>
      </c>
      <c r="B92" s="1626" t="s">
        <v>1277</v>
      </c>
      <c r="C92" s="1627"/>
      <c r="D92" s="1627"/>
      <c r="E92" s="1628"/>
      <c r="F92" s="444" t="s">
        <v>285</v>
      </c>
      <c r="G92" s="451">
        <f>'11. Carpintería en madera'!G12</f>
        <v>1</v>
      </c>
      <c r="H92" s="447">
        <f>APU!J969</f>
        <v>268686.91000000003</v>
      </c>
      <c r="I92" s="442">
        <f t="shared" si="12"/>
        <v>268686.91000000003</v>
      </c>
      <c r="J92" s="1254">
        <f t="shared" si="11"/>
        <v>3.9677143479314387E-5</v>
      </c>
    </row>
    <row r="93" spans="1:13" hidden="1" outlineLevel="1">
      <c r="A93" s="445" t="s">
        <v>1186</v>
      </c>
      <c r="B93" s="1572" t="s">
        <v>1278</v>
      </c>
      <c r="C93" s="1573"/>
      <c r="D93" s="1573"/>
      <c r="E93" s="1574"/>
      <c r="F93" s="444" t="s">
        <v>285</v>
      </c>
      <c r="G93" s="451">
        <f>'11. Carpintería en madera'!G13</f>
        <v>5</v>
      </c>
      <c r="H93" s="447">
        <f>APU!J981</f>
        <v>268281.82</v>
      </c>
      <c r="I93" s="442">
        <f t="shared" si="12"/>
        <v>1341409.1000000001</v>
      </c>
      <c r="J93" s="1254">
        <f t="shared" si="11"/>
        <v>1.9808661808332225E-4</v>
      </c>
    </row>
    <row r="94" spans="1:13" ht="13.5" hidden="1" customHeight="1" outlineLevel="1" thickBot="1">
      <c r="A94" s="445" t="s">
        <v>2897</v>
      </c>
      <c r="B94" s="1571" t="s">
        <v>1279</v>
      </c>
      <c r="C94" s="1571"/>
      <c r="D94" s="1571"/>
      <c r="E94" s="1571"/>
      <c r="F94" s="946" t="s">
        <v>285</v>
      </c>
      <c r="G94" s="1246">
        <f>'11. Carpintería en madera'!G14</f>
        <v>1</v>
      </c>
      <c r="H94" s="455">
        <f>APU!J994</f>
        <v>268686.91000000003</v>
      </c>
      <c r="I94" s="442">
        <f t="shared" si="12"/>
        <v>268686.91000000003</v>
      </c>
      <c r="J94" s="1254">
        <f t="shared" si="11"/>
        <v>3.9677143479314387E-5</v>
      </c>
    </row>
    <row r="95" spans="1:13" ht="13.5" collapsed="1" thickBot="1">
      <c r="A95" s="436"/>
      <c r="B95" s="437"/>
      <c r="C95" s="437"/>
      <c r="D95" s="437"/>
      <c r="E95" s="437"/>
      <c r="F95" s="1546" t="s">
        <v>691</v>
      </c>
      <c r="G95" s="1547"/>
      <c r="H95" s="1548"/>
      <c r="I95" s="817">
        <f>+SUM(I86:I94)</f>
        <v>20600078.270000003</v>
      </c>
      <c r="J95" s="815">
        <f>I95/$I$261</f>
        <v>3.042024865312183E-3</v>
      </c>
      <c r="K95" s="1256"/>
    </row>
    <row r="96" spans="1:13" ht="13.5" thickBot="1">
      <c r="A96" s="456">
        <v>12</v>
      </c>
      <c r="B96" s="1567" t="s">
        <v>687</v>
      </c>
      <c r="C96" s="1568"/>
      <c r="D96" s="1568"/>
      <c r="E96" s="1568"/>
      <c r="F96" s="1568"/>
      <c r="G96" s="1568"/>
      <c r="H96" s="1568"/>
      <c r="I96" s="1568"/>
      <c r="J96" s="1569"/>
    </row>
    <row r="97" spans="1:10" hidden="1" outlineLevel="1">
      <c r="A97" s="435" t="s">
        <v>1123</v>
      </c>
      <c r="B97" s="1629" t="s">
        <v>1280</v>
      </c>
      <c r="C97" s="1629"/>
      <c r="D97" s="1629"/>
      <c r="E97" s="1629"/>
      <c r="F97" s="444" t="s">
        <v>285</v>
      </c>
      <c r="G97" s="391">
        <f>'9. Carpintería metálica'!G6</f>
        <v>6</v>
      </c>
      <c r="H97" s="442">
        <f>APU!J571</f>
        <v>734696.18110499997</v>
      </c>
      <c r="I97" s="442">
        <f>G97*H97</f>
        <v>4408177.0866299998</v>
      </c>
      <c r="J97" s="1254">
        <f t="shared" ref="J97:J140" si="13">I97/$I$261</f>
        <v>6.5095792998789775E-4</v>
      </c>
    </row>
    <row r="98" spans="1:10" hidden="1" outlineLevel="1">
      <c r="A98" s="789" t="s">
        <v>1124</v>
      </c>
      <c r="B98" s="1571" t="s">
        <v>1281</v>
      </c>
      <c r="C98" s="1571"/>
      <c r="D98" s="1571"/>
      <c r="E98" s="1571"/>
      <c r="F98" s="444" t="s">
        <v>285</v>
      </c>
      <c r="G98" s="706">
        <f>'9. Carpintería metálica'!G7+'9. Carpintería metálica'!G8</f>
        <v>15</v>
      </c>
      <c r="H98" s="442">
        <f>APU!J578</f>
        <v>734696.18110499997</v>
      </c>
      <c r="I98" s="442">
        <f t="shared" ref="I98:I140" si="14">G98*H98</f>
        <v>11020442.716575</v>
      </c>
      <c r="J98" s="1254">
        <f t="shared" si="13"/>
        <v>1.6273948249697445E-3</v>
      </c>
    </row>
    <row r="99" spans="1:10" hidden="1" outlineLevel="1">
      <c r="A99" s="789" t="s">
        <v>1125</v>
      </c>
      <c r="B99" s="1571" t="s">
        <v>1282</v>
      </c>
      <c r="C99" s="1571"/>
      <c r="D99" s="1571"/>
      <c r="E99" s="1571"/>
      <c r="F99" s="444" t="s">
        <v>285</v>
      </c>
      <c r="G99" s="706">
        <f>'9. Carpintería metálica'!G9</f>
        <v>2</v>
      </c>
      <c r="H99" s="442">
        <f>APU!J585</f>
        <v>734696.18110499997</v>
      </c>
      <c r="I99" s="442">
        <f t="shared" si="14"/>
        <v>1469392.3622099999</v>
      </c>
      <c r="J99" s="1254">
        <f t="shared" si="13"/>
        <v>2.1698597666263257E-4</v>
      </c>
    </row>
    <row r="100" spans="1:10" hidden="1" outlineLevel="1">
      <c r="A100" s="789" t="s">
        <v>1141</v>
      </c>
      <c r="B100" s="1571" t="s">
        <v>1283</v>
      </c>
      <c r="C100" s="1571"/>
      <c r="D100" s="1571"/>
      <c r="E100" s="1571"/>
      <c r="F100" s="444" t="s">
        <v>285</v>
      </c>
      <c r="G100" s="706">
        <f>'9. Carpintería metálica'!G10</f>
        <v>2</v>
      </c>
      <c r="H100" s="442">
        <f>APU!J592</f>
        <v>734696.18110499997</v>
      </c>
      <c r="I100" s="442">
        <f t="shared" si="14"/>
        <v>1469392.3622099999</v>
      </c>
      <c r="J100" s="1254">
        <f t="shared" si="13"/>
        <v>2.1698597666263257E-4</v>
      </c>
    </row>
    <row r="101" spans="1:10" hidden="1" outlineLevel="1">
      <c r="A101" s="789" t="s">
        <v>1142</v>
      </c>
      <c r="B101" s="1571" t="s">
        <v>1284</v>
      </c>
      <c r="C101" s="1571"/>
      <c r="D101" s="1571"/>
      <c r="E101" s="1571"/>
      <c r="F101" s="444" t="s">
        <v>285</v>
      </c>
      <c r="G101" s="706">
        <f>'9. Carpintería metálica'!G11</f>
        <v>6</v>
      </c>
      <c r="H101" s="442">
        <f>APU!J599</f>
        <v>734696.18110499997</v>
      </c>
      <c r="I101" s="442">
        <f t="shared" si="14"/>
        <v>4408177.0866299998</v>
      </c>
      <c r="J101" s="1254">
        <f t="shared" si="13"/>
        <v>6.5095792998789775E-4</v>
      </c>
    </row>
    <row r="102" spans="1:10" hidden="1" outlineLevel="1">
      <c r="A102" s="789" t="s">
        <v>1143</v>
      </c>
      <c r="B102" s="1571" t="s">
        <v>1285</v>
      </c>
      <c r="C102" s="1571"/>
      <c r="D102" s="1571"/>
      <c r="E102" s="1571"/>
      <c r="F102" s="444" t="s">
        <v>285</v>
      </c>
      <c r="G102" s="706">
        <f>'9. Carpintería metálica'!G12</f>
        <v>1</v>
      </c>
      <c r="H102" s="442">
        <f>APU!J606</f>
        <v>734696.18110499997</v>
      </c>
      <c r="I102" s="442">
        <f t="shared" si="14"/>
        <v>734696.18110499997</v>
      </c>
      <c r="J102" s="1254">
        <f t="shared" si="13"/>
        <v>1.0849298833131629E-4</v>
      </c>
    </row>
    <row r="103" spans="1:10" hidden="1" outlineLevel="1">
      <c r="A103" s="789" t="s">
        <v>1144</v>
      </c>
      <c r="B103" s="1571" t="s">
        <v>1286</v>
      </c>
      <c r="C103" s="1571"/>
      <c r="D103" s="1571"/>
      <c r="E103" s="1571"/>
      <c r="F103" s="444" t="s">
        <v>285</v>
      </c>
      <c r="G103" s="706">
        <f>'9. Carpintería metálica'!G13+'9. Carpintería metálica'!G14</f>
        <v>5</v>
      </c>
      <c r="H103" s="442">
        <f>APU!J613</f>
        <v>734696.18110499997</v>
      </c>
      <c r="I103" s="442">
        <f t="shared" si="14"/>
        <v>3673480.9055249998</v>
      </c>
      <c r="J103" s="1254">
        <f t="shared" si="13"/>
        <v>5.4246494165658147E-4</v>
      </c>
    </row>
    <row r="104" spans="1:10" hidden="1" outlineLevel="1">
      <c r="A104" s="789" t="s">
        <v>1145</v>
      </c>
      <c r="B104" s="1571" t="s">
        <v>1287</v>
      </c>
      <c r="C104" s="1571"/>
      <c r="D104" s="1571"/>
      <c r="E104" s="1571"/>
      <c r="F104" s="444" t="s">
        <v>285</v>
      </c>
      <c r="G104" s="706">
        <f>'9. Carpintería metálica'!G15</f>
        <v>1</v>
      </c>
      <c r="H104" s="442">
        <f>APU!J620</f>
        <v>734696.18110499997</v>
      </c>
      <c r="I104" s="442">
        <f t="shared" si="14"/>
        <v>734696.18110499997</v>
      </c>
      <c r="J104" s="1254">
        <f t="shared" si="13"/>
        <v>1.0849298833131629E-4</v>
      </c>
    </row>
    <row r="105" spans="1:10" hidden="1" outlineLevel="1">
      <c r="A105" s="789" t="s">
        <v>1702</v>
      </c>
      <c r="B105" s="1571" t="s">
        <v>1288</v>
      </c>
      <c r="C105" s="1571"/>
      <c r="D105" s="1571"/>
      <c r="E105" s="1571"/>
      <c r="F105" s="444" t="s">
        <v>285</v>
      </c>
      <c r="G105" s="706">
        <f>'9. Carpintería metálica'!G16</f>
        <v>1</v>
      </c>
      <c r="H105" s="442">
        <f>APU!J627</f>
        <v>734696.18110499997</v>
      </c>
      <c r="I105" s="442">
        <f t="shared" si="14"/>
        <v>734696.18110499997</v>
      </c>
      <c r="J105" s="1254">
        <f t="shared" si="13"/>
        <v>1.0849298833131629E-4</v>
      </c>
    </row>
    <row r="106" spans="1:10" hidden="1" outlineLevel="1">
      <c r="A106" s="789" t="s">
        <v>1703</v>
      </c>
      <c r="B106" s="1571" t="s">
        <v>1289</v>
      </c>
      <c r="C106" s="1571"/>
      <c r="D106" s="1571"/>
      <c r="E106" s="1571"/>
      <c r="F106" s="444" t="s">
        <v>285</v>
      </c>
      <c r="G106" s="706">
        <f>'9. Carpintería metálica'!G17</f>
        <v>5</v>
      </c>
      <c r="H106" s="442">
        <f>APU!J634</f>
        <v>734696.18110499997</v>
      </c>
      <c r="I106" s="442">
        <f t="shared" si="14"/>
        <v>3673480.9055249998</v>
      </c>
      <c r="J106" s="1254">
        <f t="shared" si="13"/>
        <v>5.4246494165658147E-4</v>
      </c>
    </row>
    <row r="107" spans="1:10" hidden="1" outlineLevel="1">
      <c r="A107" s="789" t="s">
        <v>1704</v>
      </c>
      <c r="B107" s="1571" t="s">
        <v>1290</v>
      </c>
      <c r="C107" s="1571"/>
      <c r="D107" s="1571"/>
      <c r="E107" s="1571"/>
      <c r="F107" s="444" t="s">
        <v>285</v>
      </c>
      <c r="G107" s="706">
        <f>'9. Carpintería metálica'!G18</f>
        <v>1</v>
      </c>
      <c r="H107" s="442">
        <f>APU!J648</f>
        <v>734696.18110499997</v>
      </c>
      <c r="I107" s="442">
        <f t="shared" si="14"/>
        <v>734696.18110499997</v>
      </c>
      <c r="J107" s="1254">
        <f t="shared" si="13"/>
        <v>1.0849298833131629E-4</v>
      </c>
    </row>
    <row r="108" spans="1:10" hidden="1" outlineLevel="1">
      <c r="A108" s="789" t="s">
        <v>1705</v>
      </c>
      <c r="B108" s="1571" t="s">
        <v>1291</v>
      </c>
      <c r="C108" s="1571"/>
      <c r="D108" s="1571"/>
      <c r="E108" s="1571"/>
      <c r="F108" s="444" t="s">
        <v>285</v>
      </c>
      <c r="G108" s="706">
        <f>'9. Carpintería metálica'!G19</f>
        <v>4</v>
      </c>
      <c r="H108" s="442">
        <f>APU!J655</f>
        <v>734696.18110499997</v>
      </c>
      <c r="I108" s="442">
        <f t="shared" si="14"/>
        <v>2938784.7244199999</v>
      </c>
      <c r="J108" s="1254">
        <f t="shared" si="13"/>
        <v>4.3397195332526515E-4</v>
      </c>
    </row>
    <row r="109" spans="1:10" hidden="1" outlineLevel="1">
      <c r="A109" s="789" t="s">
        <v>1706</v>
      </c>
      <c r="B109" s="1607" t="s">
        <v>1354</v>
      </c>
      <c r="C109" s="1607"/>
      <c r="D109" s="1607"/>
      <c r="E109" s="1607"/>
      <c r="F109" s="449" t="s">
        <v>345</v>
      </c>
      <c r="G109" s="448">
        <f>'10. Perfilería de metal'!N14</f>
        <v>334.12513384390434</v>
      </c>
      <c r="H109" s="442">
        <f>APU!J662</f>
        <v>187956.66640000002</v>
      </c>
      <c r="I109" s="442">
        <f t="shared" si="14"/>
        <v>62801046.317754082</v>
      </c>
      <c r="J109" s="1254">
        <f t="shared" si="13"/>
        <v>9.2738649806222307E-3</v>
      </c>
    </row>
    <row r="110" spans="1:10" ht="14.25" hidden="1" outlineLevel="1">
      <c r="A110" s="1164" t="s">
        <v>1707</v>
      </c>
      <c r="B110" s="1630" t="s">
        <v>1700</v>
      </c>
      <c r="C110" s="1630"/>
      <c r="D110" s="1630"/>
      <c r="E110" s="1630"/>
      <c r="F110" s="444" t="s">
        <v>678</v>
      </c>
      <c r="G110" s="585">
        <f>'12. Acabados y accesorios'!F36</f>
        <v>248.009975</v>
      </c>
      <c r="H110" s="442">
        <f>APU!J669</f>
        <v>236115.04</v>
      </c>
      <c r="I110" s="442">
        <f t="shared" si="14"/>
        <v>58558885.167524002</v>
      </c>
      <c r="J110" s="1254">
        <f t="shared" si="13"/>
        <v>8.6474227150870314E-3</v>
      </c>
    </row>
    <row r="111" spans="1:10" ht="14.25" hidden="1" outlineLevel="1">
      <c r="A111" s="1164" t="s">
        <v>1708</v>
      </c>
      <c r="B111" s="1598" t="s">
        <v>1699</v>
      </c>
      <c r="C111" s="1598"/>
      <c r="D111" s="1598"/>
      <c r="E111" s="1598"/>
      <c r="F111" s="444" t="s">
        <v>678</v>
      </c>
      <c r="G111" s="585">
        <f>'12. Acabados y accesorios'!F35</f>
        <v>6.3262499999999999</v>
      </c>
      <c r="H111" s="442">
        <f>APU!J676</f>
        <v>236115.04</v>
      </c>
      <c r="I111" s="442">
        <f t="shared" si="14"/>
        <v>1493722.7718</v>
      </c>
      <c r="J111" s="1254">
        <f t="shared" si="13"/>
        <v>2.2057886160151152E-4</v>
      </c>
    </row>
    <row r="112" spans="1:10" ht="15" hidden="1" outlineLevel="1">
      <c r="A112" s="1164" t="s">
        <v>1709</v>
      </c>
      <c r="B112" s="1598" t="s">
        <v>1701</v>
      </c>
      <c r="C112" s="1598"/>
      <c r="D112" s="1598"/>
      <c r="E112" s="1598"/>
      <c r="F112" s="444" t="s">
        <v>1269</v>
      </c>
      <c r="G112" s="585">
        <f>'12. Acabados y accesorios'!F34</f>
        <v>146.76752999999999</v>
      </c>
      <c r="H112" s="442">
        <f>APU!J683</f>
        <v>236115.04</v>
      </c>
      <c r="I112" s="442">
        <f t="shared" si="14"/>
        <v>34654021.216651201</v>
      </c>
      <c r="J112" s="1254">
        <f t="shared" si="13"/>
        <v>5.1173783343158568E-3</v>
      </c>
    </row>
    <row r="113" spans="1:10" ht="15" hidden="1" outlineLevel="1">
      <c r="A113" s="1164" t="s">
        <v>1710</v>
      </c>
      <c r="B113" s="1565" t="s">
        <v>1058</v>
      </c>
      <c r="C113" s="1565"/>
      <c r="D113" s="1565"/>
      <c r="E113" s="1565"/>
      <c r="F113" s="444" t="s">
        <v>1269</v>
      </c>
      <c r="G113" s="585">
        <f>'12. Acabados y accesorios'!N6</f>
        <v>12.330499999999999</v>
      </c>
      <c r="H113" s="442">
        <f>APU!J690</f>
        <v>188215.04000000001</v>
      </c>
      <c r="I113" s="442">
        <f t="shared" si="14"/>
        <v>2320785.5507199997</v>
      </c>
      <c r="J113" s="1254">
        <f t="shared" si="13"/>
        <v>3.4271167613129005E-4</v>
      </c>
    </row>
    <row r="114" spans="1:10" ht="15" hidden="1" outlineLevel="1">
      <c r="A114" s="1164" t="s">
        <v>1711</v>
      </c>
      <c r="B114" s="1565" t="s">
        <v>1059</v>
      </c>
      <c r="C114" s="1565"/>
      <c r="D114" s="1565"/>
      <c r="E114" s="1565"/>
      <c r="F114" s="444" t="s">
        <v>1269</v>
      </c>
      <c r="G114" s="585">
        <f>'12. Acabados y accesorios'!N7</f>
        <v>10.482279999999999</v>
      </c>
      <c r="H114" s="442">
        <f>APU!J697</f>
        <v>188215.04000000001</v>
      </c>
      <c r="I114" s="442">
        <f t="shared" si="14"/>
        <v>1972922.7494912001</v>
      </c>
      <c r="J114" s="1254">
        <f t="shared" si="13"/>
        <v>2.9134258533534729E-4</v>
      </c>
    </row>
    <row r="115" spans="1:10" ht="15" hidden="1" outlineLevel="1">
      <c r="A115" s="1164" t="s">
        <v>1712</v>
      </c>
      <c r="B115" s="1565" t="s">
        <v>1060</v>
      </c>
      <c r="C115" s="1565"/>
      <c r="D115" s="1565"/>
      <c r="E115" s="1565"/>
      <c r="F115" s="444" t="s">
        <v>1269</v>
      </c>
      <c r="G115" s="585">
        <f>'12. Acabados y accesorios'!N8</f>
        <v>9.6069499999999994</v>
      </c>
      <c r="H115" s="442">
        <f>APU!J704</f>
        <v>188215.04000000001</v>
      </c>
      <c r="I115" s="442">
        <f t="shared" si="14"/>
        <v>1808172.4785279999</v>
      </c>
      <c r="J115" s="1254">
        <f t="shared" si="13"/>
        <v>2.6701382239240073E-4</v>
      </c>
    </row>
    <row r="116" spans="1:10" ht="15" hidden="1" outlineLevel="1">
      <c r="A116" s="1164" t="s">
        <v>1713</v>
      </c>
      <c r="B116" s="1565" t="s">
        <v>1061</v>
      </c>
      <c r="C116" s="1565"/>
      <c r="D116" s="1565"/>
      <c r="E116" s="1565"/>
      <c r="F116" s="444" t="s">
        <v>1269</v>
      </c>
      <c r="G116" s="585">
        <f>'12. Acabados y accesorios'!N9</f>
        <v>73.712000000000003</v>
      </c>
      <c r="H116" s="442">
        <f>APU!J711</f>
        <v>188215.04000000001</v>
      </c>
      <c r="I116" s="442">
        <f t="shared" si="14"/>
        <v>13873707.028480001</v>
      </c>
      <c r="J116" s="1254">
        <f t="shared" si="13"/>
        <v>2.0487379320376026E-3</v>
      </c>
    </row>
    <row r="117" spans="1:10" ht="15" hidden="1" outlineLevel="1">
      <c r="A117" s="1164" t="s">
        <v>1714</v>
      </c>
      <c r="B117" s="1565" t="s">
        <v>1062</v>
      </c>
      <c r="C117" s="1565"/>
      <c r="D117" s="1565"/>
      <c r="E117" s="1565"/>
      <c r="F117" s="444" t="s">
        <v>1269</v>
      </c>
      <c r="G117" s="585">
        <f>'12. Acabados y accesorios'!N10</f>
        <v>9.8914999999999988</v>
      </c>
      <c r="H117" s="442">
        <f>APU!J718</f>
        <v>188215.04000000001</v>
      </c>
      <c r="I117" s="442">
        <f t="shared" si="14"/>
        <v>1861729.0681599998</v>
      </c>
      <c r="J117" s="1254">
        <f t="shared" si="13"/>
        <v>2.7492255338004587E-4</v>
      </c>
    </row>
    <row r="118" spans="1:10" ht="15" hidden="1" outlineLevel="1">
      <c r="A118" s="1164" t="s">
        <v>1715</v>
      </c>
      <c r="B118" s="1565" t="s">
        <v>1063</v>
      </c>
      <c r="C118" s="1565"/>
      <c r="D118" s="1565"/>
      <c r="E118" s="1565"/>
      <c r="F118" s="444" t="s">
        <v>1269</v>
      </c>
      <c r="G118" s="585">
        <f>'12. Acabados y accesorios'!N11</f>
        <v>16.259999999999998</v>
      </c>
      <c r="H118" s="442">
        <f>APU!J725</f>
        <v>188215.04000000001</v>
      </c>
      <c r="I118" s="442">
        <f t="shared" si="14"/>
        <v>3060376.5503999996</v>
      </c>
      <c r="J118" s="1254">
        <f t="shared" si="13"/>
        <v>4.5192748500829456E-4</v>
      </c>
    </row>
    <row r="119" spans="1:10" ht="15" hidden="1" outlineLevel="1">
      <c r="A119" s="1164" t="s">
        <v>1716</v>
      </c>
      <c r="B119" s="1565" t="s">
        <v>1064</v>
      </c>
      <c r="C119" s="1565"/>
      <c r="D119" s="1565"/>
      <c r="E119" s="1565"/>
      <c r="F119" s="444" t="s">
        <v>1269</v>
      </c>
      <c r="G119" s="585">
        <f>'12. Acabados y accesorios'!N12</f>
        <v>8.2302699999999991</v>
      </c>
      <c r="H119" s="442">
        <f>APU!J732</f>
        <v>188215.04000000001</v>
      </c>
      <c r="I119" s="442">
        <f t="shared" si="14"/>
        <v>1549060.5972608</v>
      </c>
      <c r="J119" s="1254">
        <f t="shared" si="13"/>
        <v>2.2875062866169847E-4</v>
      </c>
    </row>
    <row r="120" spans="1:10" ht="15" hidden="1" outlineLevel="1">
      <c r="A120" s="1164" t="s">
        <v>1717</v>
      </c>
      <c r="B120" s="1565" t="s">
        <v>1065</v>
      </c>
      <c r="C120" s="1565"/>
      <c r="D120" s="1565"/>
      <c r="E120" s="1565"/>
      <c r="F120" s="444" t="s">
        <v>1269</v>
      </c>
      <c r="G120" s="585">
        <f>'12. Acabados y accesorios'!N13</f>
        <v>45.457540000000002</v>
      </c>
      <c r="H120" s="442">
        <f>APU!J739</f>
        <v>188215.04000000001</v>
      </c>
      <c r="I120" s="442">
        <f t="shared" si="14"/>
        <v>8555792.7094016001</v>
      </c>
      <c r="J120" s="1254">
        <f t="shared" si="13"/>
        <v>1.2634386055881889E-3</v>
      </c>
    </row>
    <row r="121" spans="1:10" ht="15" hidden="1" outlineLevel="1">
      <c r="A121" s="1164" t="s">
        <v>1718</v>
      </c>
      <c r="B121" s="1565" t="s">
        <v>1066</v>
      </c>
      <c r="C121" s="1565"/>
      <c r="D121" s="1565"/>
      <c r="E121" s="1565"/>
      <c r="F121" s="444" t="s">
        <v>1269</v>
      </c>
      <c r="G121" s="585">
        <f>'12. Acabados y accesorios'!N14</f>
        <v>6.5039999999999996</v>
      </c>
      <c r="H121" s="442">
        <f>APU!J746</f>
        <v>188215.04000000001</v>
      </c>
      <c r="I121" s="442">
        <f t="shared" si="14"/>
        <v>1224150.6201599999</v>
      </c>
      <c r="J121" s="1254">
        <f t="shared" si="13"/>
        <v>1.8077099400331785E-4</v>
      </c>
    </row>
    <row r="122" spans="1:10" ht="15" hidden="1" outlineLevel="1">
      <c r="A122" s="1164" t="s">
        <v>1719</v>
      </c>
      <c r="B122" s="1565" t="s">
        <v>1067</v>
      </c>
      <c r="C122" s="1565"/>
      <c r="D122" s="1565"/>
      <c r="E122" s="1565"/>
      <c r="F122" s="444" t="s">
        <v>1269</v>
      </c>
      <c r="G122" s="585">
        <f>'12. Acabados y accesorios'!N15</f>
        <v>5.6909999999999998</v>
      </c>
      <c r="H122" s="442">
        <f>APU!J753</f>
        <v>188215.04000000001</v>
      </c>
      <c r="I122" s="442">
        <f t="shared" si="14"/>
        <v>1071131.7926400001</v>
      </c>
      <c r="J122" s="1254">
        <f t="shared" si="13"/>
        <v>1.5817461975290315E-4</v>
      </c>
    </row>
    <row r="123" spans="1:10" ht="15" hidden="1" outlineLevel="1">
      <c r="A123" s="1164" t="s">
        <v>1720</v>
      </c>
      <c r="B123" s="1565" t="s">
        <v>1068</v>
      </c>
      <c r="C123" s="1565"/>
      <c r="D123" s="1565"/>
      <c r="E123" s="1565"/>
      <c r="F123" s="444" t="s">
        <v>1269</v>
      </c>
      <c r="G123" s="585">
        <f>'12. Acabados y accesorios'!N16</f>
        <v>22.736900000000002</v>
      </c>
      <c r="H123" s="442">
        <f>APU!J760</f>
        <v>99715.04</v>
      </c>
      <c r="I123" s="442">
        <f t="shared" si="14"/>
        <v>2267210.892976</v>
      </c>
      <c r="J123" s="1254">
        <f t="shared" si="13"/>
        <v>3.3480027701562849E-4</v>
      </c>
    </row>
    <row r="124" spans="1:10" ht="15" hidden="1" outlineLevel="1">
      <c r="A124" s="1164" t="s">
        <v>1721</v>
      </c>
      <c r="B124" s="1565" t="s">
        <v>1069</v>
      </c>
      <c r="C124" s="1565"/>
      <c r="D124" s="1565"/>
      <c r="E124" s="1565"/>
      <c r="F124" s="444" t="s">
        <v>1269</v>
      </c>
      <c r="G124" s="585">
        <f>'12. Acabados y accesorios'!N17</f>
        <v>8.129999999999999</v>
      </c>
      <c r="H124" s="442">
        <f>APU!J767</f>
        <v>188215.04000000001</v>
      </c>
      <c r="I124" s="442">
        <f t="shared" si="14"/>
        <v>1530188.2751999998</v>
      </c>
      <c r="J124" s="1254">
        <f t="shared" si="13"/>
        <v>2.2596374250414728E-4</v>
      </c>
    </row>
    <row r="125" spans="1:10" ht="15" hidden="1" outlineLevel="1">
      <c r="A125" s="1164" t="s">
        <v>1722</v>
      </c>
      <c r="B125" s="1565" t="s">
        <v>1070</v>
      </c>
      <c r="C125" s="1565"/>
      <c r="D125" s="1565"/>
      <c r="E125" s="1565"/>
      <c r="F125" s="444" t="s">
        <v>1269</v>
      </c>
      <c r="G125" s="585">
        <f>'12. Acabados y accesorios'!N18</f>
        <v>9.7560000000000002</v>
      </c>
      <c r="H125" s="442">
        <f>APU!J774</f>
        <v>188215.04000000001</v>
      </c>
      <c r="I125" s="442">
        <f t="shared" si="14"/>
        <v>1836225.9302400001</v>
      </c>
      <c r="J125" s="1254">
        <f t="shared" si="13"/>
        <v>2.7115649100497679E-4</v>
      </c>
    </row>
    <row r="126" spans="1:10" ht="15" hidden="1" outlineLevel="1">
      <c r="A126" s="1164" t="s">
        <v>1723</v>
      </c>
      <c r="B126" s="1565" t="s">
        <v>1071</v>
      </c>
      <c r="C126" s="1565"/>
      <c r="D126" s="1565"/>
      <c r="E126" s="1565"/>
      <c r="F126" s="444" t="s">
        <v>1269</v>
      </c>
      <c r="G126" s="585">
        <f>'12. Acabados y accesorios'!N19</f>
        <v>5.4741999999999997</v>
      </c>
      <c r="H126" s="442">
        <f>APU!J781</f>
        <v>188215.04000000001</v>
      </c>
      <c r="I126" s="442">
        <f t="shared" si="14"/>
        <v>1030326.771968</v>
      </c>
      <c r="J126" s="1254">
        <f t="shared" si="13"/>
        <v>1.5214891995279253E-4</v>
      </c>
    </row>
    <row r="127" spans="1:10" ht="15" hidden="1" outlineLevel="1">
      <c r="A127" s="1164" t="s">
        <v>1724</v>
      </c>
      <c r="B127" s="1565" t="s">
        <v>1072</v>
      </c>
      <c r="C127" s="1565"/>
      <c r="D127" s="1565"/>
      <c r="E127" s="1565"/>
      <c r="F127" s="444" t="s">
        <v>1269</v>
      </c>
      <c r="G127" s="585">
        <f>'12. Acabados y accesorios'!N20</f>
        <v>5.5284000000000004</v>
      </c>
      <c r="H127" s="442">
        <f>APU!J788</f>
        <v>99715.04</v>
      </c>
      <c r="I127" s="442">
        <f t="shared" si="14"/>
        <v>551264.62713599997</v>
      </c>
      <c r="J127" s="1254">
        <f t="shared" si="13"/>
        <v>8.1405550072929925E-5</v>
      </c>
    </row>
    <row r="128" spans="1:10" ht="15" hidden="1" outlineLevel="1">
      <c r="A128" s="1164" t="s">
        <v>1725</v>
      </c>
      <c r="B128" s="1565" t="s">
        <v>1073</v>
      </c>
      <c r="C128" s="1565"/>
      <c r="D128" s="1565"/>
      <c r="E128" s="1565"/>
      <c r="F128" s="444" t="s">
        <v>1269</v>
      </c>
      <c r="G128" s="585">
        <f>'12. Acabados y accesorios'!N21</f>
        <v>19.349399999999999</v>
      </c>
      <c r="H128" s="442">
        <f>APU!J795</f>
        <v>99715.04</v>
      </c>
      <c r="I128" s="442">
        <f t="shared" si="14"/>
        <v>1929426.1949759999</v>
      </c>
      <c r="J128" s="1254">
        <f t="shared" si="13"/>
        <v>2.8491942525525474E-4</v>
      </c>
    </row>
    <row r="129" spans="1:15" ht="15" hidden="1" outlineLevel="1">
      <c r="A129" s="1164" t="s">
        <v>1726</v>
      </c>
      <c r="B129" s="1565" t="s">
        <v>1074</v>
      </c>
      <c r="C129" s="1565"/>
      <c r="D129" s="1565"/>
      <c r="E129" s="1565"/>
      <c r="F129" s="444" t="s">
        <v>1269</v>
      </c>
      <c r="G129" s="585">
        <f>'12. Acabados y accesorios'!N22</f>
        <v>16.639399999999998</v>
      </c>
      <c r="H129" s="442">
        <f>APU!J802</f>
        <v>188215.04000000001</v>
      </c>
      <c r="I129" s="442">
        <f t="shared" si="14"/>
        <v>3131785.3365759999</v>
      </c>
      <c r="J129" s="1254">
        <f t="shared" si="13"/>
        <v>4.6247245965848815E-4</v>
      </c>
    </row>
    <row r="130" spans="1:15" ht="15" hidden="1" outlineLevel="1">
      <c r="A130" s="1164" t="s">
        <v>1727</v>
      </c>
      <c r="B130" s="1565" t="s">
        <v>1075</v>
      </c>
      <c r="C130" s="1565"/>
      <c r="D130" s="1565"/>
      <c r="E130" s="1565"/>
      <c r="F130" s="444" t="s">
        <v>1269</v>
      </c>
      <c r="G130" s="585">
        <f>'12. Acabados y accesorios'!N23</f>
        <v>27.018700000000003</v>
      </c>
      <c r="H130" s="442">
        <f>APU!J809</f>
        <v>188215.04000000001</v>
      </c>
      <c r="I130" s="442">
        <f t="shared" si="14"/>
        <v>5085325.7012480004</v>
      </c>
      <c r="J130" s="1254">
        <f t="shared" si="13"/>
        <v>7.5095283758878299E-4</v>
      </c>
    </row>
    <row r="131" spans="1:15" ht="15" hidden="1" outlineLevel="1">
      <c r="A131" s="1164" t="s">
        <v>1728</v>
      </c>
      <c r="B131" s="1565" t="s">
        <v>1076</v>
      </c>
      <c r="C131" s="1565"/>
      <c r="D131" s="1565"/>
      <c r="E131" s="1565"/>
      <c r="F131" s="444" t="s">
        <v>1269</v>
      </c>
      <c r="G131" s="585">
        <f>'12. Acabados y accesorios'!N24</f>
        <v>43.603899999999996</v>
      </c>
      <c r="H131" s="442">
        <f>APU!J816</f>
        <v>188215.04000000001</v>
      </c>
      <c r="I131" s="442">
        <f t="shared" si="14"/>
        <v>8206909.782656</v>
      </c>
      <c r="J131" s="1254">
        <f t="shared" si="13"/>
        <v>1.2119188722972435E-3</v>
      </c>
    </row>
    <row r="132" spans="1:15" ht="15" hidden="1" outlineLevel="1">
      <c r="A132" s="1164" t="s">
        <v>1729</v>
      </c>
      <c r="B132" s="1565" t="s">
        <v>1077</v>
      </c>
      <c r="C132" s="1565"/>
      <c r="D132" s="1565"/>
      <c r="E132" s="1565"/>
      <c r="F132" s="444" t="s">
        <v>1269</v>
      </c>
      <c r="G132" s="585">
        <f>'12. Acabados y accesorios'!N25</f>
        <v>10.704499999999999</v>
      </c>
      <c r="H132" s="442">
        <f>APU!J823</f>
        <v>188215.04000000001</v>
      </c>
      <c r="I132" s="442">
        <f t="shared" si="14"/>
        <v>2014747.8956800001</v>
      </c>
      <c r="J132" s="1254">
        <f t="shared" si="13"/>
        <v>2.9751892763046065E-4</v>
      </c>
    </row>
    <row r="133" spans="1:15" ht="15" hidden="1" outlineLevel="1">
      <c r="A133" s="1164" t="s">
        <v>1730</v>
      </c>
      <c r="B133" s="1565" t="s">
        <v>1078</v>
      </c>
      <c r="C133" s="1565"/>
      <c r="D133" s="1565"/>
      <c r="E133" s="1565"/>
      <c r="F133" s="444" t="s">
        <v>1269</v>
      </c>
      <c r="G133" s="585">
        <f>'12. Acabados y accesorios'!N26</f>
        <v>12.3034</v>
      </c>
      <c r="H133" s="442">
        <f>APU!J830</f>
        <v>188215.04000000001</v>
      </c>
      <c r="I133" s="442">
        <f t="shared" si="14"/>
        <v>2315684.9231360001</v>
      </c>
      <c r="J133" s="1254">
        <f t="shared" si="13"/>
        <v>3.419584636562763E-4</v>
      </c>
    </row>
    <row r="134" spans="1:15" ht="15" hidden="1" outlineLevel="1">
      <c r="A134" s="1164" t="s">
        <v>1731</v>
      </c>
      <c r="B134" s="1565" t="s">
        <v>1079</v>
      </c>
      <c r="C134" s="1565"/>
      <c r="D134" s="1565"/>
      <c r="E134" s="1565"/>
      <c r="F134" s="444" t="s">
        <v>1269</v>
      </c>
      <c r="G134" s="585">
        <f>'12. Acabados y accesorios'!N27</f>
        <v>13.279</v>
      </c>
      <c r="H134" s="442">
        <f>APU!J837</f>
        <v>188215.04000000001</v>
      </c>
      <c r="I134" s="442">
        <f t="shared" si="14"/>
        <v>2499307.5161600001</v>
      </c>
      <c r="J134" s="1254">
        <f t="shared" si="13"/>
        <v>3.6907411275677397E-4</v>
      </c>
    </row>
    <row r="135" spans="1:15" ht="15" hidden="1" outlineLevel="1">
      <c r="A135" s="1164" t="s">
        <v>1732</v>
      </c>
      <c r="B135" s="1565" t="s">
        <v>1080</v>
      </c>
      <c r="C135" s="1565"/>
      <c r="D135" s="1565"/>
      <c r="E135" s="1565"/>
      <c r="F135" s="444" t="s">
        <v>1269</v>
      </c>
      <c r="G135" s="585">
        <f>'12. Acabados y accesorios'!N28</f>
        <v>49.999499999999998</v>
      </c>
      <c r="H135" s="442">
        <f>APU!J837</f>
        <v>188215.04000000001</v>
      </c>
      <c r="I135" s="442">
        <f t="shared" si="14"/>
        <v>9410657.8924800009</v>
      </c>
      <c r="J135" s="1254">
        <f t="shared" si="13"/>
        <v>1.3896770164005061E-3</v>
      </c>
    </row>
    <row r="136" spans="1:15" ht="15" hidden="1" outlineLevel="1">
      <c r="A136" s="1164" t="s">
        <v>1733</v>
      </c>
      <c r="B136" s="1565" t="s">
        <v>1081</v>
      </c>
      <c r="C136" s="1565"/>
      <c r="D136" s="1565"/>
      <c r="E136" s="1565"/>
      <c r="F136" s="444" t="s">
        <v>1269</v>
      </c>
      <c r="G136" s="585">
        <f>'12. Acabados y accesorios'!N29</f>
        <v>11.25</v>
      </c>
      <c r="H136" s="442">
        <f>APU!J851</f>
        <v>188215.04000000001</v>
      </c>
      <c r="I136" s="442">
        <f t="shared" si="14"/>
        <v>2117419.2000000002</v>
      </c>
      <c r="J136" s="1254">
        <f t="shared" si="13"/>
        <v>3.1268045549466881E-4</v>
      </c>
    </row>
    <row r="137" spans="1:15" ht="15" hidden="1" outlineLevel="1">
      <c r="A137" s="1164" t="s">
        <v>1734</v>
      </c>
      <c r="B137" s="1565" t="s">
        <v>1271</v>
      </c>
      <c r="C137" s="1565"/>
      <c r="D137" s="1565"/>
      <c r="E137" s="1565"/>
      <c r="F137" s="444" t="s">
        <v>1269</v>
      </c>
      <c r="G137" s="585">
        <f>'12. Acabados y accesorios'!N30</f>
        <v>3</v>
      </c>
      <c r="H137" s="442">
        <f>APU!J858</f>
        <v>188215.04000000001</v>
      </c>
      <c r="I137" s="442">
        <f t="shared" si="14"/>
        <v>564645.12</v>
      </c>
      <c r="J137" s="1254">
        <f t="shared" si="13"/>
        <v>8.3381454798578348E-5</v>
      </c>
    </row>
    <row r="138" spans="1:15" ht="15" hidden="1" outlineLevel="1">
      <c r="A138" s="1164" t="s">
        <v>1735</v>
      </c>
      <c r="B138" s="1565" t="s">
        <v>1270</v>
      </c>
      <c r="C138" s="1565"/>
      <c r="D138" s="1565"/>
      <c r="E138" s="1565"/>
      <c r="F138" s="444" t="s">
        <v>1269</v>
      </c>
      <c r="G138" s="585">
        <f>'12. Acabados y accesorios'!N31</f>
        <v>2.35</v>
      </c>
      <c r="H138" s="442">
        <f>APU!J865</f>
        <v>188215.04000000001</v>
      </c>
      <c r="I138" s="442">
        <f t="shared" si="14"/>
        <v>442305.34400000004</v>
      </c>
      <c r="J138" s="1254">
        <f t="shared" si="13"/>
        <v>6.5315472925553042E-5</v>
      </c>
    </row>
    <row r="139" spans="1:15" hidden="1" outlineLevel="1">
      <c r="A139" s="1216" t="s">
        <v>1736</v>
      </c>
      <c r="B139" s="1555" t="s">
        <v>3289</v>
      </c>
      <c r="C139" s="1556"/>
      <c r="D139" s="1556"/>
      <c r="E139" s="1557"/>
      <c r="F139" s="444" t="s">
        <v>285</v>
      </c>
      <c r="G139" s="585">
        <v>14</v>
      </c>
      <c r="H139" s="442">
        <v>4500000</v>
      </c>
      <c r="I139" s="442">
        <f t="shared" si="14"/>
        <v>63000000</v>
      </c>
      <c r="J139" s="1254">
        <f t="shared" si="13"/>
        <v>9.3032445800832145E-3</v>
      </c>
    </row>
    <row r="140" spans="1:15" ht="15.75" hidden="1" outlineLevel="1" thickBot="1">
      <c r="A140" s="1216" t="s">
        <v>3290</v>
      </c>
      <c r="B140" s="1607" t="s">
        <v>1188</v>
      </c>
      <c r="C140" s="1607"/>
      <c r="D140" s="1607"/>
      <c r="E140" s="1607"/>
      <c r="F140" s="444" t="s">
        <v>1269</v>
      </c>
      <c r="G140" s="585">
        <f>'12. Acabados y accesorios'!F33</f>
        <v>146.76752999999999</v>
      </c>
      <c r="H140" s="442">
        <f>APU!J877</f>
        <v>188215.04000000001</v>
      </c>
      <c r="I140" s="1245">
        <f t="shared" si="14"/>
        <v>27623856.529651199</v>
      </c>
      <c r="J140" s="1254">
        <f t="shared" si="13"/>
        <v>4.0792300561979973E-3</v>
      </c>
      <c r="L140" s="516"/>
      <c r="M140" s="516"/>
    </row>
    <row r="141" spans="1:15" ht="13.5" collapsed="1" thickBot="1">
      <c r="A141" s="436"/>
      <c r="B141" s="457"/>
      <c r="F141" s="1546" t="s">
        <v>689</v>
      </c>
      <c r="G141" s="1547"/>
      <c r="H141" s="1548"/>
      <c r="I141" s="819">
        <f>SUM(I97:I140)</f>
        <v>366362905.42719918</v>
      </c>
      <c r="J141" s="815">
        <f>I141/$I$261</f>
        <v>5.4101011337446506E-2</v>
      </c>
      <c r="K141" s="1256"/>
      <c r="L141" s="516"/>
      <c r="M141" s="759"/>
    </row>
    <row r="142" spans="1:15" ht="13.5" thickBot="1">
      <c r="A142" s="551">
        <v>13</v>
      </c>
      <c r="B142" s="1579" t="s">
        <v>1978</v>
      </c>
      <c r="C142" s="1580"/>
      <c r="D142" s="1580"/>
      <c r="E142" s="1580"/>
      <c r="F142" s="1580"/>
      <c r="G142" s="1580"/>
      <c r="H142" s="1580"/>
      <c r="I142" s="1580"/>
      <c r="J142" s="1581"/>
      <c r="K142" s="516"/>
      <c r="L142" s="516"/>
      <c r="M142" s="516"/>
      <c r="N142" s="516"/>
      <c r="O142" s="516"/>
    </row>
    <row r="143" spans="1:15" hidden="1" outlineLevel="1">
      <c r="A143" s="445" t="s">
        <v>1965</v>
      </c>
      <c r="B143" s="1560" t="s">
        <v>1189</v>
      </c>
      <c r="C143" s="1560" t="s">
        <v>676</v>
      </c>
      <c r="D143" s="1560" t="s">
        <v>676</v>
      </c>
      <c r="E143" s="1560" t="s">
        <v>676</v>
      </c>
      <c r="F143" s="444" t="s">
        <v>285</v>
      </c>
      <c r="G143" s="452">
        <f>'15. Ap. sanitarios y de cocina'!D6</f>
        <v>93</v>
      </c>
      <c r="H143" s="442">
        <f>APU!J1003</f>
        <v>550713.65039999993</v>
      </c>
      <c r="I143" s="818">
        <f>G143*H143</f>
        <v>51216369.487199992</v>
      </c>
      <c r="J143" s="1254">
        <f t="shared" ref="J143:J156" si="15">I143/$I$261</f>
        <v>7.5631493943386129E-3</v>
      </c>
    </row>
    <row r="144" spans="1:15" hidden="1" outlineLevel="1">
      <c r="A144" s="445" t="s">
        <v>1966</v>
      </c>
      <c r="B144" s="1570" t="s">
        <v>1939</v>
      </c>
      <c r="C144" s="1570" t="s">
        <v>676</v>
      </c>
      <c r="D144" s="1570" t="s">
        <v>676</v>
      </c>
      <c r="E144" s="1570" t="s">
        <v>676</v>
      </c>
      <c r="F144" s="449" t="s">
        <v>285</v>
      </c>
      <c r="G144" s="452">
        <f>'15. Ap. sanitarios y de cocina'!D7</f>
        <v>79</v>
      </c>
      <c r="H144" s="447">
        <f>APU!J1023</f>
        <v>1151385.5638239998</v>
      </c>
      <c r="I144" s="818">
        <f t="shared" ref="I144:I156" si="16">G144*H144</f>
        <v>90959459.542095989</v>
      </c>
      <c r="J144" s="1254">
        <f t="shared" si="15"/>
        <v>1.3432033317338141E-2</v>
      </c>
    </row>
    <row r="145" spans="1:14" hidden="1" outlineLevel="1">
      <c r="A145" s="445" t="s">
        <v>1967</v>
      </c>
      <c r="B145" s="1570" t="s">
        <v>1190</v>
      </c>
      <c r="C145" s="1570" t="s">
        <v>676</v>
      </c>
      <c r="D145" s="1570" t="s">
        <v>676</v>
      </c>
      <c r="E145" s="1570" t="s">
        <v>676</v>
      </c>
      <c r="F145" s="449" t="s">
        <v>285</v>
      </c>
      <c r="G145" s="452">
        <f>'15. Ap. sanitarios y de cocina'!D8</f>
        <v>29</v>
      </c>
      <c r="H145" s="447">
        <f>APU!J1030</f>
        <v>48368.382125000004</v>
      </c>
      <c r="I145" s="818">
        <f t="shared" si="16"/>
        <v>1402683.0816250001</v>
      </c>
      <c r="J145" s="1254">
        <f t="shared" si="15"/>
        <v>2.0713498058257465E-4</v>
      </c>
    </row>
    <row r="146" spans="1:14" hidden="1" outlineLevel="1">
      <c r="A146" s="445" t="s">
        <v>1968</v>
      </c>
      <c r="B146" s="1570" t="s">
        <v>1951</v>
      </c>
      <c r="C146" s="1570" t="s">
        <v>676</v>
      </c>
      <c r="D146" s="1570" t="s">
        <v>676</v>
      </c>
      <c r="E146" s="1570" t="s">
        <v>676</v>
      </c>
      <c r="F146" s="449" t="s">
        <v>285</v>
      </c>
      <c r="G146" s="452">
        <f>'15. Ap. sanitarios y de cocina'!D9</f>
        <v>41</v>
      </c>
      <c r="H146" s="447">
        <f>APU!J1036</f>
        <v>77906.323500000013</v>
      </c>
      <c r="I146" s="818">
        <f t="shared" si="16"/>
        <v>3194159.2635000004</v>
      </c>
      <c r="J146" s="1254">
        <f t="shared" si="15"/>
        <v>4.7168325168379314E-4</v>
      </c>
    </row>
    <row r="147" spans="1:14" hidden="1" outlineLevel="1">
      <c r="A147" s="445" t="s">
        <v>1969</v>
      </c>
      <c r="B147" s="1570" t="s">
        <v>1952</v>
      </c>
      <c r="C147" s="1570" t="s">
        <v>676</v>
      </c>
      <c r="D147" s="1570" t="s">
        <v>676</v>
      </c>
      <c r="E147" s="1570" t="s">
        <v>676</v>
      </c>
      <c r="F147" s="449" t="s">
        <v>285</v>
      </c>
      <c r="G147" s="452">
        <f>'15. Ap. sanitarios y de cocina'!D10</f>
        <v>14</v>
      </c>
      <c r="H147" s="447">
        <f>APU!J1042</f>
        <v>107006.32350000001</v>
      </c>
      <c r="I147" s="818">
        <f t="shared" si="16"/>
        <v>1498088.5290000001</v>
      </c>
      <c r="J147" s="1254">
        <f t="shared" si="15"/>
        <v>2.2122355536355692E-4</v>
      </c>
    </row>
    <row r="148" spans="1:14" hidden="1" outlineLevel="1">
      <c r="A148" s="445" t="s">
        <v>1970</v>
      </c>
      <c r="B148" s="1600" t="s">
        <v>1948</v>
      </c>
      <c r="C148" s="1601"/>
      <c r="D148" s="1601"/>
      <c r="E148" s="1602"/>
      <c r="F148" s="449" t="s">
        <v>285</v>
      </c>
      <c r="G148" s="452">
        <f>'15. Ap. sanitarios y de cocina'!D12</f>
        <v>73</v>
      </c>
      <c r="H148" s="447">
        <f>APU!J1049</f>
        <v>9179.4</v>
      </c>
      <c r="I148" s="818">
        <f t="shared" si="16"/>
        <v>670096.19999999995</v>
      </c>
      <c r="J148" s="1254">
        <f t="shared" si="15"/>
        <v>9.8953473663243759E-5</v>
      </c>
    </row>
    <row r="149" spans="1:14" hidden="1" outlineLevel="1">
      <c r="A149" s="445" t="s">
        <v>1936</v>
      </c>
      <c r="B149" s="1600" t="s">
        <v>1950</v>
      </c>
      <c r="C149" s="1601"/>
      <c r="D149" s="1601"/>
      <c r="E149" s="1602"/>
      <c r="F149" s="449" t="s">
        <v>285</v>
      </c>
      <c r="G149" s="452">
        <f>'15. Ap. sanitarios y de cocina'!D13</f>
        <v>37</v>
      </c>
      <c r="H149" s="447">
        <f>APU!J1055</f>
        <v>74906.323500000013</v>
      </c>
      <c r="I149" s="818">
        <f t="shared" si="16"/>
        <v>2771533.9695000006</v>
      </c>
      <c r="J149" s="1254">
        <f t="shared" si="15"/>
        <v>4.092739425439269E-4</v>
      </c>
    </row>
    <row r="150" spans="1:14" hidden="1" outlineLevel="1">
      <c r="A150" s="445" t="s">
        <v>1971</v>
      </c>
      <c r="B150" s="1600" t="s">
        <v>1949</v>
      </c>
      <c r="C150" s="1601"/>
      <c r="D150" s="1601"/>
      <c r="E150" s="1602"/>
      <c r="F150" s="449" t="s">
        <v>285</v>
      </c>
      <c r="G150" s="452">
        <f>'15. Ap. sanitarios y de cocina'!D14</f>
        <v>51</v>
      </c>
      <c r="H150" s="447">
        <f>APU!J1061</f>
        <v>386906.3235</v>
      </c>
      <c r="I150" s="818">
        <f t="shared" si="16"/>
        <v>19732222.498500001</v>
      </c>
      <c r="J150" s="1254">
        <f t="shared" si="15"/>
        <v>2.913868127177241E-3</v>
      </c>
    </row>
    <row r="151" spans="1:14" hidden="1" outlineLevel="1">
      <c r="A151" s="445" t="s">
        <v>1972</v>
      </c>
      <c r="B151" s="1600" t="s">
        <v>1953</v>
      </c>
      <c r="C151" s="1601"/>
      <c r="D151" s="1601"/>
      <c r="E151" s="1602"/>
      <c r="F151" s="449" t="s">
        <v>285</v>
      </c>
      <c r="G151" s="452">
        <f>'15. Ap. sanitarios y de cocina'!D15</f>
        <v>66</v>
      </c>
      <c r="H151" s="447">
        <f>APU!J1067</f>
        <v>145906.3235</v>
      </c>
      <c r="I151" s="818">
        <f t="shared" si="16"/>
        <v>9629817.3509999998</v>
      </c>
      <c r="J151" s="1254">
        <f t="shared" si="15"/>
        <v>1.4220404139346355E-3</v>
      </c>
    </row>
    <row r="152" spans="1:14" hidden="1" outlineLevel="1">
      <c r="A152" s="445" t="s">
        <v>1973</v>
      </c>
      <c r="B152" s="1600" t="s">
        <v>1954</v>
      </c>
      <c r="C152" s="1601"/>
      <c r="D152" s="1601"/>
      <c r="E152" s="1602"/>
      <c r="F152" s="449" t="s">
        <v>285</v>
      </c>
      <c r="G152" s="452">
        <f>'15. Ap. sanitarios y de cocina'!D16</f>
        <v>37</v>
      </c>
      <c r="H152" s="447">
        <f>APU!J1073</f>
        <v>209906.3235</v>
      </c>
      <c r="I152" s="818">
        <f t="shared" si="16"/>
        <v>7766533.9694999997</v>
      </c>
      <c r="J152" s="1254">
        <f t="shared" si="15"/>
        <v>1.1468883342505244E-3</v>
      </c>
    </row>
    <row r="153" spans="1:14" hidden="1" outlineLevel="1">
      <c r="A153" s="445" t="s">
        <v>1974</v>
      </c>
      <c r="B153" s="1600" t="s">
        <v>1946</v>
      </c>
      <c r="C153" s="1601"/>
      <c r="D153" s="1601"/>
      <c r="E153" s="1602"/>
      <c r="F153" s="449" t="s">
        <v>285</v>
      </c>
      <c r="G153" s="452">
        <f>'15. Ap. sanitarios y de cocina'!I9</f>
        <v>6</v>
      </c>
      <c r="H153" s="447">
        <f>APU!J1081</f>
        <v>438753.33724999998</v>
      </c>
      <c r="I153" s="818">
        <f t="shared" si="16"/>
        <v>2632520.0235000001</v>
      </c>
      <c r="J153" s="1254">
        <f t="shared" si="15"/>
        <v>3.8874567683471286E-4</v>
      </c>
    </row>
    <row r="154" spans="1:14" hidden="1" outlineLevel="1">
      <c r="A154" s="445" t="s">
        <v>1975</v>
      </c>
      <c r="B154" s="1600" t="s">
        <v>1959</v>
      </c>
      <c r="C154" s="1601"/>
      <c r="D154" s="1601"/>
      <c r="E154" s="1602"/>
      <c r="F154" s="449" t="s">
        <v>285</v>
      </c>
      <c r="G154" s="452">
        <f>'15. Ap. sanitarios y de cocina'!I11</f>
        <v>5</v>
      </c>
      <c r="H154" s="447">
        <f>APU!J1089</f>
        <v>1095701.7885</v>
      </c>
      <c r="I154" s="818">
        <f t="shared" si="16"/>
        <v>5478508.9424999999</v>
      </c>
      <c r="J154" s="1254">
        <f t="shared" si="15"/>
        <v>8.0901442263889756E-4</v>
      </c>
      <c r="K154" s="838"/>
      <c r="L154" s="838"/>
      <c r="M154" s="838"/>
      <c r="N154" s="838"/>
    </row>
    <row r="155" spans="1:14" hidden="1" outlineLevel="1">
      <c r="A155" s="445" t="s">
        <v>1976</v>
      </c>
      <c r="B155" s="1600" t="s">
        <v>1962</v>
      </c>
      <c r="C155" s="1601"/>
      <c r="D155" s="1601"/>
      <c r="E155" s="1602"/>
      <c r="F155" s="449" t="s">
        <v>285</v>
      </c>
      <c r="G155" s="452">
        <f>'15. Ap. sanitarios y de cocina'!I12</f>
        <v>9.6</v>
      </c>
      <c r="H155" s="447">
        <f>APU!J1096</f>
        <v>130928.2225</v>
      </c>
      <c r="I155" s="818">
        <f t="shared" si="16"/>
        <v>1256910.936</v>
      </c>
      <c r="J155" s="1254">
        <f t="shared" si="15"/>
        <v>1.8560872782522728E-4</v>
      </c>
    </row>
    <row r="156" spans="1:14" ht="13.5" hidden="1" outlineLevel="1" thickBot="1">
      <c r="A156" s="445" t="s">
        <v>1977</v>
      </c>
      <c r="B156" s="1576" t="s">
        <v>1963</v>
      </c>
      <c r="C156" s="1576" t="s">
        <v>683</v>
      </c>
      <c r="D156" s="1576" t="s">
        <v>683</v>
      </c>
      <c r="E156" s="1576" t="s">
        <v>683</v>
      </c>
      <c r="F156" s="440" t="s">
        <v>285</v>
      </c>
      <c r="G156" s="637">
        <f>'15. Ap. sanitarios y de cocina'!I15</f>
        <v>10</v>
      </c>
      <c r="H156" s="438">
        <f>APU!J1103</f>
        <v>443928.22250000003</v>
      </c>
      <c r="I156" s="849">
        <f t="shared" si="16"/>
        <v>4439282.2250000006</v>
      </c>
      <c r="J156" s="1254">
        <f t="shared" si="15"/>
        <v>6.5555124284430162E-4</v>
      </c>
    </row>
    <row r="157" spans="1:14" ht="13.5" collapsed="1" thickBot="1">
      <c r="A157" s="436"/>
      <c r="B157" s="437"/>
      <c r="C157" s="437"/>
      <c r="D157" s="437"/>
      <c r="E157" s="437"/>
      <c r="F157" s="1546" t="s">
        <v>3268</v>
      </c>
      <c r="G157" s="1547"/>
      <c r="H157" s="1548"/>
      <c r="I157" s="819">
        <f>SUM(I143:I156)</f>
        <v>202648186.01892099</v>
      </c>
      <c r="J157" s="815">
        <f>I157/$I$261</f>
        <v>2.992516886101939E-2</v>
      </c>
      <c r="K157" s="1256"/>
      <c r="L157" s="516"/>
      <c r="M157" s="1394"/>
    </row>
    <row r="158" spans="1:14" ht="13.5" thickBot="1">
      <c r="A158" s="865">
        <v>14</v>
      </c>
      <c r="B158" s="1567" t="s">
        <v>335</v>
      </c>
      <c r="C158" s="1568"/>
      <c r="D158" s="1568"/>
      <c r="E158" s="1568"/>
      <c r="F158" s="1568"/>
      <c r="G158" s="1568"/>
      <c r="H158" s="1568"/>
      <c r="I158" s="1568"/>
      <c r="J158" s="1569"/>
    </row>
    <row r="159" spans="1:14" ht="13.5" hidden="1" outlineLevel="1" thickBot="1">
      <c r="A159" s="444" t="s">
        <v>1374</v>
      </c>
      <c r="B159" s="1560" t="s">
        <v>1126</v>
      </c>
      <c r="C159" s="1560" t="s">
        <v>676</v>
      </c>
      <c r="D159" s="1560" t="s">
        <v>676</v>
      </c>
      <c r="E159" s="1560" t="s">
        <v>676</v>
      </c>
      <c r="F159" s="466" t="s">
        <v>345</v>
      </c>
      <c r="G159" s="443">
        <f>'14. Inst. Hidro-Sanitarias'!H74</f>
        <v>82</v>
      </c>
      <c r="H159" s="442">
        <f>+APU!J1110</f>
        <v>35406.58</v>
      </c>
      <c r="I159" s="442">
        <f>+G159*H159</f>
        <v>2903339.56</v>
      </c>
      <c r="J159" s="1254">
        <f>I159/$I$261</f>
        <v>4.2873774643986006E-4</v>
      </c>
    </row>
    <row r="160" spans="1:14" ht="13.5" hidden="1" outlineLevel="1" thickBot="1">
      <c r="A160" s="449" t="s">
        <v>2735</v>
      </c>
      <c r="B160" s="1570" t="s">
        <v>2734</v>
      </c>
      <c r="C160" s="1570"/>
      <c r="D160" s="1570"/>
      <c r="E160" s="1570"/>
      <c r="F160" s="1151" t="s">
        <v>55</v>
      </c>
      <c r="G160" s="534">
        <f>+'3.Concreto'!C68</f>
        <v>885.01089999999988</v>
      </c>
      <c r="H160" s="455">
        <f>+APU!J1114</f>
        <v>230215.8</v>
      </c>
      <c r="I160" s="455">
        <f>+G160*H160</f>
        <v>203743492.35221997</v>
      </c>
      <c r="J160" s="1254">
        <f>I160/$I$261</f>
        <v>3.0086913348460573E-2</v>
      </c>
    </row>
    <row r="161" spans="1:13" ht="13.5" collapsed="1" thickBot="1">
      <c r="A161" s="436"/>
      <c r="B161" s="457"/>
      <c r="C161" s="457"/>
      <c r="D161" s="457"/>
      <c r="E161" s="457"/>
      <c r="F161" s="1546" t="s">
        <v>2759</v>
      </c>
      <c r="G161" s="1547"/>
      <c r="H161" s="1548"/>
      <c r="I161" s="819">
        <f>SUM(I159:I160)</f>
        <v>206646831.91221997</v>
      </c>
      <c r="J161" s="815">
        <f>I161/$I$261</f>
        <v>3.0515651094900433E-2</v>
      </c>
      <c r="K161" s="1259"/>
    </row>
    <row r="162" spans="1:13" ht="13.5" thickBot="1">
      <c r="A162" s="525">
        <v>15</v>
      </c>
      <c r="B162" s="1567" t="s">
        <v>690</v>
      </c>
      <c r="C162" s="1568"/>
      <c r="D162" s="1568"/>
      <c r="E162" s="1568"/>
      <c r="F162" s="1568"/>
      <c r="G162" s="1568"/>
      <c r="H162" s="1568"/>
      <c r="I162" s="1568"/>
      <c r="J162" s="1569"/>
      <c r="K162" s="516"/>
      <c r="L162" s="516"/>
      <c r="M162" s="1397"/>
    </row>
    <row r="163" spans="1:13" hidden="1" outlineLevel="1">
      <c r="A163" s="445" t="s">
        <v>1375</v>
      </c>
      <c r="B163" s="1575" t="s">
        <v>2195</v>
      </c>
      <c r="C163" s="1577"/>
      <c r="D163" s="1577"/>
      <c r="E163" s="1578"/>
      <c r="F163" s="444" t="s">
        <v>345</v>
      </c>
      <c r="G163" s="454">
        <f>'13. Instalaciones Eléctricas'!AC121</f>
        <v>21</v>
      </c>
      <c r="H163" s="442">
        <f>APU!J1128</f>
        <v>190177</v>
      </c>
      <c r="I163" s="442">
        <f>G163*H163</f>
        <v>3993717</v>
      </c>
      <c r="J163" s="1254">
        <f t="shared" ref="J163:J188" si="17">I163/$I$261</f>
        <v>5.8975438150216174E-4</v>
      </c>
      <c r="K163" s="516"/>
      <c r="L163" s="516"/>
      <c r="M163" s="516"/>
    </row>
    <row r="164" spans="1:13" hidden="1" outlineLevel="1">
      <c r="A164" s="445" t="s">
        <v>1376</v>
      </c>
      <c r="B164" s="1575" t="s">
        <v>1127</v>
      </c>
      <c r="C164" s="1575"/>
      <c r="D164" s="1575"/>
      <c r="E164" s="1575"/>
      <c r="F164" s="444" t="s">
        <v>285</v>
      </c>
      <c r="G164" s="454">
        <f>'13. Instalaciones Eléctricas'!E120</f>
        <v>82</v>
      </c>
      <c r="H164" s="442">
        <f>APU!J1160</f>
        <v>114233</v>
      </c>
      <c r="I164" s="442">
        <f t="shared" ref="I164:I188" si="18">G164*H164</f>
        <v>9367106</v>
      </c>
      <c r="J164" s="1254">
        <f t="shared" si="17"/>
        <v>1.383245684532777E-3</v>
      </c>
      <c r="K164" s="516"/>
      <c r="L164" s="516"/>
      <c r="M164" s="516"/>
    </row>
    <row r="165" spans="1:13" hidden="1" outlineLevel="1">
      <c r="A165" s="450" t="s">
        <v>1377</v>
      </c>
      <c r="B165" s="1564" t="s">
        <v>1128</v>
      </c>
      <c r="C165" s="1564"/>
      <c r="D165" s="1564"/>
      <c r="E165" s="1564"/>
      <c r="F165" s="449" t="s">
        <v>285</v>
      </c>
      <c r="G165" s="454">
        <f>'13. Instalaciones Eléctricas'!E121</f>
        <v>170</v>
      </c>
      <c r="H165" s="447">
        <f>APU!J1192</f>
        <v>114233</v>
      </c>
      <c r="I165" s="442">
        <f t="shared" si="18"/>
        <v>19419610</v>
      </c>
      <c r="J165" s="1254">
        <f t="shared" si="17"/>
        <v>2.8677044679338059E-3</v>
      </c>
      <c r="K165" s="516"/>
      <c r="L165" s="516"/>
      <c r="M165" s="516"/>
    </row>
    <row r="166" spans="1:13" hidden="1" outlineLevel="1">
      <c r="A166" s="450" t="s">
        <v>1377</v>
      </c>
      <c r="B166" s="1564" t="s">
        <v>1129</v>
      </c>
      <c r="C166" s="1564"/>
      <c r="D166" s="1564"/>
      <c r="E166" s="1564"/>
      <c r="F166" s="449" t="s">
        <v>285</v>
      </c>
      <c r="G166" s="454">
        <f>'13. Instalaciones Eléctricas'!E122</f>
        <v>2</v>
      </c>
      <c r="H166" s="447">
        <f>APU!J1266</f>
        <v>49258</v>
      </c>
      <c r="I166" s="442">
        <f t="shared" si="18"/>
        <v>98516</v>
      </c>
      <c r="J166" s="1254">
        <f t="shared" si="17"/>
        <v>1.4547911794467902E-5</v>
      </c>
      <c r="K166" s="516"/>
      <c r="L166" s="516"/>
      <c r="M166" s="516"/>
    </row>
    <row r="167" spans="1:13" hidden="1" outlineLevel="1">
      <c r="A167" s="450" t="s">
        <v>1378</v>
      </c>
      <c r="B167" s="1564" t="s">
        <v>1130</v>
      </c>
      <c r="C167" s="1564"/>
      <c r="D167" s="1564"/>
      <c r="E167" s="1564"/>
      <c r="F167" s="449" t="s">
        <v>285</v>
      </c>
      <c r="G167" s="454">
        <f>'13. Instalaciones Eléctricas'!E123</f>
        <v>147</v>
      </c>
      <c r="H167" s="447">
        <f>APU!J1176</f>
        <v>103599</v>
      </c>
      <c r="I167" s="442">
        <f t="shared" si="18"/>
        <v>15229053</v>
      </c>
      <c r="J167" s="1254">
        <f t="shared" si="17"/>
        <v>2.2488826155880955E-3</v>
      </c>
      <c r="K167" s="516"/>
      <c r="L167" s="516"/>
      <c r="M167" s="516"/>
    </row>
    <row r="168" spans="1:13" hidden="1" outlineLevel="1">
      <c r="A168" s="450" t="s">
        <v>1379</v>
      </c>
      <c r="B168" s="1564" t="s">
        <v>1131</v>
      </c>
      <c r="C168" s="1564"/>
      <c r="D168" s="1564"/>
      <c r="E168" s="1564"/>
      <c r="F168" s="449" t="s">
        <v>285</v>
      </c>
      <c r="G168" s="454">
        <f>'13. Instalaciones Eléctricas'!E124</f>
        <v>276</v>
      </c>
      <c r="H168" s="447">
        <f>APU!J1144</f>
        <v>103599</v>
      </c>
      <c r="I168" s="442">
        <f t="shared" si="18"/>
        <v>28593324</v>
      </c>
      <c r="J168" s="1254">
        <f t="shared" si="17"/>
        <v>4.2223918496756075E-3</v>
      </c>
      <c r="K168" s="516"/>
      <c r="L168" s="516"/>
      <c r="M168" s="516"/>
    </row>
    <row r="169" spans="1:13" hidden="1" outlineLevel="1">
      <c r="A169" s="450" t="s">
        <v>1380</v>
      </c>
      <c r="B169" s="1564" t="s">
        <v>1132</v>
      </c>
      <c r="C169" s="1564"/>
      <c r="D169" s="1564"/>
      <c r="E169" s="1564"/>
      <c r="F169" s="449" t="s">
        <v>285</v>
      </c>
      <c r="G169" s="454">
        <f>'13. Instalaciones Eléctricas'!E126</f>
        <v>30</v>
      </c>
      <c r="H169" s="447">
        <f>APU!J1273</f>
        <v>1742667</v>
      </c>
      <c r="I169" s="442">
        <f t="shared" si="18"/>
        <v>52280010</v>
      </c>
      <c r="J169" s="1254">
        <f t="shared" si="17"/>
        <v>7.7202177726856539E-3</v>
      </c>
      <c r="K169" s="516"/>
      <c r="L169" s="516"/>
      <c r="M169" s="516"/>
    </row>
    <row r="170" spans="1:13" ht="12.75" hidden="1" customHeight="1" outlineLevel="1">
      <c r="A170" s="450" t="s">
        <v>1381</v>
      </c>
      <c r="B170" s="1564" t="s">
        <v>1133</v>
      </c>
      <c r="C170" s="1564"/>
      <c r="D170" s="1564"/>
      <c r="E170" s="1564"/>
      <c r="F170" s="449" t="s">
        <v>285</v>
      </c>
      <c r="G170" s="454">
        <f>'13. Instalaciones Eléctricas'!E127</f>
        <v>4</v>
      </c>
      <c r="H170" s="447">
        <f>APU!J1208</f>
        <v>114233</v>
      </c>
      <c r="I170" s="442">
        <f t="shared" si="18"/>
        <v>456932</v>
      </c>
      <c r="J170" s="1254">
        <f t="shared" si="17"/>
        <v>6.7475399245501324E-5</v>
      </c>
      <c r="K170" s="516"/>
      <c r="L170" s="516"/>
      <c r="M170" s="516"/>
    </row>
    <row r="171" spans="1:13" hidden="1" outlineLevel="1">
      <c r="A171" s="450" t="s">
        <v>1382</v>
      </c>
      <c r="B171" s="1564" t="s">
        <v>1134</v>
      </c>
      <c r="C171" s="1564"/>
      <c r="D171" s="1564"/>
      <c r="E171" s="1564"/>
      <c r="F171" s="449" t="s">
        <v>285</v>
      </c>
      <c r="G171" s="454">
        <f>'13. Instalaciones Eléctricas'!E128</f>
        <v>6</v>
      </c>
      <c r="H171" s="447">
        <f>APU!J1224</f>
        <v>24182</v>
      </c>
      <c r="I171" s="442">
        <f t="shared" si="18"/>
        <v>145092</v>
      </c>
      <c r="J171" s="1254">
        <f t="shared" si="17"/>
        <v>2.1425815279578313E-5</v>
      </c>
      <c r="K171" s="516"/>
      <c r="L171" s="516"/>
      <c r="M171" s="516"/>
    </row>
    <row r="172" spans="1:13" hidden="1" outlineLevel="1">
      <c r="A172" s="450" t="s">
        <v>1383</v>
      </c>
      <c r="B172" s="1564" t="s">
        <v>1135</v>
      </c>
      <c r="C172" s="1564"/>
      <c r="D172" s="1564"/>
      <c r="E172" s="1564"/>
      <c r="F172" s="449" t="s">
        <v>285</v>
      </c>
      <c r="G172" s="454">
        <f>'13. Instalaciones Eléctricas'!E129</f>
        <v>2</v>
      </c>
      <c r="H172" s="447">
        <f>APU!J1241</f>
        <v>121499</v>
      </c>
      <c r="I172" s="442">
        <f t="shared" si="18"/>
        <v>242998</v>
      </c>
      <c r="J172" s="1254">
        <f t="shared" si="17"/>
        <v>3.588364803922319E-5</v>
      </c>
      <c r="K172" s="516"/>
      <c r="L172" s="516"/>
      <c r="M172" s="516"/>
    </row>
    <row r="173" spans="1:13" hidden="1" outlineLevel="1">
      <c r="A173" s="450" t="s">
        <v>1384</v>
      </c>
      <c r="B173" s="1564" t="s">
        <v>1136</v>
      </c>
      <c r="C173" s="1564"/>
      <c r="D173" s="1564"/>
      <c r="E173" s="1564"/>
      <c r="F173" s="449" t="s">
        <v>285</v>
      </c>
      <c r="G173" s="454">
        <f>'13. Instalaciones Eléctricas'!K130</f>
        <v>22</v>
      </c>
      <c r="H173" s="447">
        <f>APU!J1255</f>
        <v>97285</v>
      </c>
      <c r="I173" s="442">
        <f t="shared" si="18"/>
        <v>2140270</v>
      </c>
      <c r="J173" s="1254">
        <f t="shared" si="17"/>
        <v>3.1605484567324922E-4</v>
      </c>
      <c r="K173" s="516"/>
      <c r="L173" s="516"/>
      <c r="M173" s="516"/>
    </row>
    <row r="174" spans="1:13" hidden="1" outlineLevel="1">
      <c r="A174" s="450" t="s">
        <v>1386</v>
      </c>
      <c r="B174" s="1561" t="s">
        <v>1146</v>
      </c>
      <c r="C174" s="1562"/>
      <c r="D174" s="1562"/>
      <c r="E174" s="1563"/>
      <c r="F174" s="449" t="s">
        <v>285</v>
      </c>
      <c r="G174" s="454">
        <f>'13. Instalaciones Eléctricas'!Q120</f>
        <v>137</v>
      </c>
      <c r="H174" s="447">
        <f>APU!J1281</f>
        <v>28511</v>
      </c>
      <c r="I174" s="442">
        <f t="shared" si="18"/>
        <v>3906007</v>
      </c>
      <c r="J174" s="1254">
        <f t="shared" si="17"/>
        <v>5.7680219765900143E-4</v>
      </c>
      <c r="K174" s="516"/>
      <c r="L174" s="516"/>
      <c r="M174" s="516"/>
    </row>
    <row r="175" spans="1:13" hidden="1" outlineLevel="1">
      <c r="A175" s="450" t="s">
        <v>1387</v>
      </c>
      <c r="B175" s="1561" t="s">
        <v>1153</v>
      </c>
      <c r="C175" s="1562"/>
      <c r="D175" s="1562"/>
      <c r="E175" s="1563"/>
      <c r="F175" s="449" t="s">
        <v>285</v>
      </c>
      <c r="G175" s="454">
        <f>'13. Instalaciones Eléctricas'!Q121</f>
        <v>29</v>
      </c>
      <c r="H175" s="447">
        <f>APU!J1289</f>
        <v>28511</v>
      </c>
      <c r="I175" s="442">
        <f t="shared" si="18"/>
        <v>826819</v>
      </c>
      <c r="J175" s="1254">
        <f t="shared" si="17"/>
        <v>1.2209681556285432E-4</v>
      </c>
      <c r="K175" s="516"/>
      <c r="L175" s="516"/>
      <c r="M175" s="516"/>
    </row>
    <row r="176" spans="1:13" hidden="1" outlineLevel="1">
      <c r="A176" s="450" t="s">
        <v>1388</v>
      </c>
      <c r="B176" s="1561" t="s">
        <v>1152</v>
      </c>
      <c r="C176" s="1562"/>
      <c r="D176" s="1562"/>
      <c r="E176" s="1563"/>
      <c r="F176" s="449" t="s">
        <v>285</v>
      </c>
      <c r="G176" s="454">
        <f>'13. Instalaciones Eléctricas'!Q122</f>
        <v>154</v>
      </c>
      <c r="H176" s="447">
        <f>APU!J1297</f>
        <v>28511</v>
      </c>
      <c r="I176" s="442">
        <f t="shared" si="18"/>
        <v>4390694</v>
      </c>
      <c r="J176" s="1254">
        <f t="shared" si="17"/>
        <v>6.4837619298895055E-4</v>
      </c>
      <c r="K176" s="516"/>
      <c r="L176" s="516"/>
      <c r="M176" s="516"/>
    </row>
    <row r="177" spans="1:13" hidden="1" outlineLevel="1">
      <c r="A177" s="450" t="s">
        <v>1389</v>
      </c>
      <c r="B177" s="1561" t="s">
        <v>1147</v>
      </c>
      <c r="C177" s="1562"/>
      <c r="D177" s="1562"/>
      <c r="E177" s="1563"/>
      <c r="F177" s="449" t="s">
        <v>285</v>
      </c>
      <c r="G177" s="454">
        <f>'13. Instalaciones Eléctricas'!Q123</f>
        <v>54</v>
      </c>
      <c r="H177" s="447">
        <f>APU!J1305</f>
        <v>28511</v>
      </c>
      <c r="I177" s="442">
        <f t="shared" si="18"/>
        <v>1539594</v>
      </c>
      <c r="J177" s="1254">
        <f t="shared" si="17"/>
        <v>2.2735269104807358E-4</v>
      </c>
      <c r="K177" s="516"/>
      <c r="L177" s="516"/>
      <c r="M177" s="516"/>
    </row>
    <row r="178" spans="1:13" hidden="1" outlineLevel="1">
      <c r="A178" s="450" t="s">
        <v>1390</v>
      </c>
      <c r="B178" s="1561" t="s">
        <v>1148</v>
      </c>
      <c r="C178" s="1562"/>
      <c r="D178" s="1562"/>
      <c r="E178" s="1563"/>
      <c r="F178" s="449" t="s">
        <v>285</v>
      </c>
      <c r="G178" s="454">
        <f>'13. Instalaciones Eléctricas'!Q124</f>
        <v>18</v>
      </c>
      <c r="H178" s="447">
        <f>APU!J1313</f>
        <v>28511</v>
      </c>
      <c r="I178" s="442">
        <f t="shared" si="18"/>
        <v>513198</v>
      </c>
      <c r="J178" s="1254">
        <f t="shared" si="17"/>
        <v>7.5784230349357866E-5</v>
      </c>
      <c r="K178" s="516"/>
      <c r="L178" s="516"/>
      <c r="M178" s="516"/>
    </row>
    <row r="179" spans="1:13" hidden="1" outlineLevel="1">
      <c r="A179" s="450" t="s">
        <v>1391</v>
      </c>
      <c r="B179" s="1561" t="s">
        <v>1151</v>
      </c>
      <c r="C179" s="1562"/>
      <c r="D179" s="1562"/>
      <c r="E179" s="1563"/>
      <c r="F179" s="449" t="s">
        <v>285</v>
      </c>
      <c r="G179" s="454">
        <f>'13. Instalaciones Eléctricas'!Q125</f>
        <v>1</v>
      </c>
      <c r="H179" s="447">
        <f>APU!J1321</f>
        <v>147249</v>
      </c>
      <c r="I179" s="442">
        <f t="shared" si="18"/>
        <v>147249</v>
      </c>
      <c r="J179" s="1254">
        <f t="shared" si="17"/>
        <v>2.1744340653534495E-5</v>
      </c>
      <c r="K179" s="516"/>
      <c r="L179" s="516"/>
      <c r="M179" s="516"/>
    </row>
    <row r="180" spans="1:13" hidden="1" outlineLevel="1">
      <c r="A180" s="450" t="s">
        <v>1392</v>
      </c>
      <c r="B180" s="1561" t="s">
        <v>1150</v>
      </c>
      <c r="C180" s="1562"/>
      <c r="D180" s="1562"/>
      <c r="E180" s="1563"/>
      <c r="F180" s="449" t="s">
        <v>285</v>
      </c>
      <c r="G180" s="454">
        <f>'13. Instalaciones Eléctricas'!Q126</f>
        <v>84</v>
      </c>
      <c r="H180" s="447">
        <f>APU!J1353</f>
        <v>103599</v>
      </c>
      <c r="I180" s="442">
        <f t="shared" si="18"/>
        <v>8702316</v>
      </c>
      <c r="J180" s="1254">
        <f t="shared" si="17"/>
        <v>1.2850757803360546E-3</v>
      </c>
      <c r="K180" s="516"/>
      <c r="L180" s="516"/>
      <c r="M180" s="516"/>
    </row>
    <row r="181" spans="1:13" hidden="1" outlineLevel="1">
      <c r="A181" s="450" t="s">
        <v>1393</v>
      </c>
      <c r="B181" s="1561" t="s">
        <v>1149</v>
      </c>
      <c r="C181" s="1562"/>
      <c r="D181" s="1562"/>
      <c r="E181" s="1563"/>
      <c r="F181" s="449" t="s">
        <v>285</v>
      </c>
      <c r="G181" s="454">
        <f>'13. Instalaciones Eléctricas'!Q127</f>
        <v>84</v>
      </c>
      <c r="H181" s="447">
        <f>APU!J1337</f>
        <v>103599</v>
      </c>
      <c r="I181" s="442">
        <f t="shared" si="18"/>
        <v>8702316</v>
      </c>
      <c r="J181" s="1254">
        <f t="shared" si="17"/>
        <v>1.2850757803360546E-3</v>
      </c>
      <c r="K181" s="759"/>
      <c r="L181" s="516"/>
      <c r="M181" s="516"/>
    </row>
    <row r="182" spans="1:13" hidden="1" outlineLevel="1">
      <c r="A182" s="450" t="s">
        <v>1394</v>
      </c>
      <c r="B182" s="1561" t="s">
        <v>1154</v>
      </c>
      <c r="C182" s="1562"/>
      <c r="D182" s="1562"/>
      <c r="E182" s="1563"/>
      <c r="F182" s="449" t="s">
        <v>285</v>
      </c>
      <c r="G182" s="454">
        <f>'13. Instalaciones Eléctricas'!W120</f>
        <v>108</v>
      </c>
      <c r="H182" s="447">
        <f>APU!J1369</f>
        <v>109515</v>
      </c>
      <c r="I182" s="442">
        <f t="shared" si="18"/>
        <v>11827620</v>
      </c>
      <c r="J182" s="1254">
        <f t="shared" si="17"/>
        <v>1.7465911374648225E-3</v>
      </c>
      <c r="K182" s="759"/>
      <c r="L182" s="516"/>
      <c r="M182" s="516"/>
    </row>
    <row r="183" spans="1:13" hidden="1" outlineLevel="1">
      <c r="A183" s="450" t="s">
        <v>1395</v>
      </c>
      <c r="B183" s="1561" t="s">
        <v>1155</v>
      </c>
      <c r="C183" s="1562"/>
      <c r="D183" s="1562"/>
      <c r="E183" s="1563"/>
      <c r="F183" s="449" t="s">
        <v>285</v>
      </c>
      <c r="G183" s="454">
        <f>'13. Instalaciones Eléctricas'!AC120</f>
        <v>2</v>
      </c>
      <c r="H183" s="447">
        <f>APU!J1385</f>
        <v>103599</v>
      </c>
      <c r="I183" s="442">
        <f t="shared" si="18"/>
        <v>207198</v>
      </c>
      <c r="J183" s="1254">
        <f t="shared" si="17"/>
        <v>3.0597042388953681E-5</v>
      </c>
      <c r="K183" s="516"/>
      <c r="L183" s="516"/>
      <c r="M183" s="516"/>
    </row>
    <row r="184" spans="1:13" hidden="1" outlineLevel="1">
      <c r="A184" s="450" t="s">
        <v>1396</v>
      </c>
      <c r="B184" s="1564" t="s">
        <v>392</v>
      </c>
      <c r="C184" s="1564"/>
      <c r="D184" s="1564"/>
      <c r="E184" s="1564"/>
      <c r="F184" s="449" t="s">
        <v>285</v>
      </c>
      <c r="G184" s="454">
        <f>'13. Instalaciones Eléctricas'!AO121</f>
        <v>1</v>
      </c>
      <c r="H184" s="447">
        <f>APU!J1426</f>
        <v>4508694</v>
      </c>
      <c r="I184" s="442">
        <f t="shared" si="18"/>
        <v>4508694</v>
      </c>
      <c r="J184" s="1254">
        <f t="shared" si="17"/>
        <v>6.6580131775799531E-4</v>
      </c>
      <c r="K184" s="516"/>
      <c r="L184" s="516"/>
      <c r="M184" s="516"/>
    </row>
    <row r="185" spans="1:13" hidden="1" outlineLevel="1">
      <c r="A185" s="450" t="s">
        <v>1397</v>
      </c>
      <c r="B185" s="1561" t="s">
        <v>1156</v>
      </c>
      <c r="C185" s="1562"/>
      <c r="D185" s="1562"/>
      <c r="E185" s="1563"/>
      <c r="F185" s="449" t="s">
        <v>285</v>
      </c>
      <c r="G185" s="454">
        <f>'13. Instalaciones Eléctricas'!AU120</f>
        <v>1</v>
      </c>
      <c r="H185" s="447">
        <f>APU!J1392</f>
        <v>1723641</v>
      </c>
      <c r="I185" s="442">
        <f t="shared" si="18"/>
        <v>1723641</v>
      </c>
      <c r="J185" s="1254">
        <f t="shared" si="17"/>
        <v>2.5453101255967E-4</v>
      </c>
      <c r="K185" s="516"/>
      <c r="L185" s="516"/>
      <c r="M185" s="516"/>
    </row>
    <row r="186" spans="1:13" hidden="1" outlineLevel="1">
      <c r="A186" s="450" t="s">
        <v>1398</v>
      </c>
      <c r="B186" s="1561" t="s">
        <v>1157</v>
      </c>
      <c r="C186" s="1562"/>
      <c r="D186" s="1562"/>
      <c r="E186" s="1563"/>
      <c r="F186" s="449" t="s">
        <v>285</v>
      </c>
      <c r="G186" s="454">
        <f>'13. Instalaciones Eléctricas'!AU122</f>
        <v>1</v>
      </c>
      <c r="H186" s="447">
        <f>APU!J1397</f>
        <v>35000</v>
      </c>
      <c r="I186" s="442">
        <f t="shared" si="18"/>
        <v>35000</v>
      </c>
      <c r="J186" s="1254">
        <f t="shared" si="17"/>
        <v>5.1684692111573406E-6</v>
      </c>
      <c r="K186" s="759"/>
      <c r="L186" s="516"/>
      <c r="M186" s="516"/>
    </row>
    <row r="187" spans="1:13" hidden="1" outlineLevel="1">
      <c r="A187" s="450" t="s">
        <v>1399</v>
      </c>
      <c r="B187" s="1561" t="s">
        <v>1158</v>
      </c>
      <c r="C187" s="1562"/>
      <c r="D187" s="1562"/>
      <c r="E187" s="1563"/>
      <c r="F187" s="449" t="s">
        <v>285</v>
      </c>
      <c r="G187" s="454">
        <f>'13. Instalaciones Eléctricas'!AU124</f>
        <v>7</v>
      </c>
      <c r="H187" s="447">
        <f>APU!J1408</f>
        <v>578351</v>
      </c>
      <c r="I187" s="442">
        <f t="shared" si="18"/>
        <v>4048457</v>
      </c>
      <c r="J187" s="1254">
        <f t="shared" si="17"/>
        <v>5.9783786734841189E-4</v>
      </c>
      <c r="K187" s="516"/>
      <c r="L187" s="516"/>
      <c r="M187" s="516"/>
    </row>
    <row r="188" spans="1:13" ht="13.5" hidden="1" outlineLevel="1" thickBot="1">
      <c r="A188" s="450" t="s">
        <v>1400</v>
      </c>
      <c r="B188" s="1564" t="s">
        <v>1159</v>
      </c>
      <c r="C188" s="1564"/>
      <c r="D188" s="1564"/>
      <c r="E188" s="1564"/>
      <c r="F188" s="533" t="s">
        <v>285</v>
      </c>
      <c r="G188" s="1249">
        <f>'13. Instalaciones Eléctricas'!BA120</f>
        <v>5</v>
      </c>
      <c r="H188" s="455">
        <f>APU!J1413</f>
        <v>406071</v>
      </c>
      <c r="I188" s="442">
        <f t="shared" si="18"/>
        <v>2030355</v>
      </c>
      <c r="J188" s="1254">
        <f t="shared" si="17"/>
        <v>2.9982363729198178E-4</v>
      </c>
      <c r="K188" s="516"/>
      <c r="L188" s="516"/>
      <c r="M188" s="516"/>
    </row>
    <row r="189" spans="1:13" ht="13.5" collapsed="1" thickBot="1">
      <c r="A189" s="436"/>
      <c r="B189" s="437"/>
      <c r="C189" s="437"/>
      <c r="D189" s="437"/>
      <c r="E189" s="437"/>
      <c r="F189" s="1546" t="s">
        <v>3269</v>
      </c>
      <c r="G189" s="1547"/>
      <c r="H189" s="1548"/>
      <c r="I189" s="1248">
        <f>+SUM(I163:I188)</f>
        <v>185075786</v>
      </c>
      <c r="J189" s="815">
        <f>I189/$I$261</f>
        <v>2.7330242904906994E-2</v>
      </c>
      <c r="K189" s="1257"/>
      <c r="L189" s="516"/>
      <c r="M189" s="759"/>
    </row>
    <row r="190" spans="1:13" ht="13.5" thickBot="1">
      <c r="A190" s="551">
        <v>16</v>
      </c>
      <c r="B190" s="1579" t="s">
        <v>1312</v>
      </c>
      <c r="C190" s="1580"/>
      <c r="D190" s="1580"/>
      <c r="E190" s="1580"/>
      <c r="F190" s="1580"/>
      <c r="G190" s="1580"/>
      <c r="H190" s="1580"/>
      <c r="I190" s="1580"/>
      <c r="J190" s="1581"/>
      <c r="K190" s="516"/>
      <c r="L190" s="516"/>
      <c r="M190" s="516"/>
    </row>
    <row r="191" spans="1:13" ht="13.5" hidden="1" outlineLevel="1" thickBot="1">
      <c r="A191" s="963" t="s">
        <v>1401</v>
      </c>
      <c r="B191" s="1566" t="s">
        <v>1293</v>
      </c>
      <c r="C191" s="1566"/>
      <c r="D191" s="1566"/>
      <c r="E191" s="1566"/>
      <c r="F191" s="530" t="s">
        <v>285</v>
      </c>
      <c r="G191" s="530">
        <f>'14. Inst. Hidro-Sanitarias'!E51</f>
        <v>10</v>
      </c>
      <c r="H191" s="965">
        <f>+APU!J1436</f>
        <v>13344.562740000003</v>
      </c>
      <c r="I191" s="965">
        <f>+APU!J1437</f>
        <v>133445.62740000003</v>
      </c>
      <c r="J191" s="1254">
        <f t="shared" ref="J191:J217" si="19">I191/$I$261</f>
        <v>1.9705989045156418E-5</v>
      </c>
      <c r="K191" s="516"/>
      <c r="L191" s="516"/>
      <c r="M191" s="516"/>
    </row>
    <row r="192" spans="1:13" ht="13.5" hidden="1" outlineLevel="1" thickBot="1">
      <c r="A192" s="963" t="s">
        <v>1402</v>
      </c>
      <c r="B192" s="1558" t="s">
        <v>1294</v>
      </c>
      <c r="C192" s="1558"/>
      <c r="D192" s="1558"/>
      <c r="E192" s="1558"/>
      <c r="F192" s="529" t="s">
        <v>285</v>
      </c>
      <c r="G192" s="529">
        <f>'14. Inst. Hidro-Sanitarias'!E52</f>
        <v>202</v>
      </c>
      <c r="H192" s="962">
        <f>+APU!J1448</f>
        <v>23071.744740000002</v>
      </c>
      <c r="I192" s="962">
        <f>+APU!J1449</f>
        <v>4660492.4374800008</v>
      </c>
      <c r="J192" s="1254">
        <f t="shared" si="19"/>
        <v>6.8821747634134319E-4</v>
      </c>
      <c r="K192" s="516"/>
      <c r="L192" s="516"/>
      <c r="M192" s="516"/>
    </row>
    <row r="193" spans="1:13" ht="13.5" hidden="1" outlineLevel="1" thickBot="1">
      <c r="A193" s="963" t="s">
        <v>1403</v>
      </c>
      <c r="B193" s="1558" t="s">
        <v>1295</v>
      </c>
      <c r="C193" s="1558"/>
      <c r="D193" s="1558"/>
      <c r="E193" s="1558"/>
      <c r="F193" s="529" t="s">
        <v>285</v>
      </c>
      <c r="G193" s="529">
        <f>'14. Inst. Hidro-Sanitarias'!E53</f>
        <v>88</v>
      </c>
      <c r="H193" s="962">
        <f>+APU!J1460</f>
        <v>34161.618060000001</v>
      </c>
      <c r="I193" s="962">
        <f>+APU!J1461</f>
        <v>3006222.3892800002</v>
      </c>
      <c r="J193" s="1254">
        <f t="shared" si="19"/>
        <v>4.4393051031101544E-4</v>
      </c>
      <c r="K193" s="516"/>
      <c r="L193" s="516"/>
      <c r="M193" s="516"/>
    </row>
    <row r="194" spans="1:13" ht="13.5" hidden="1" outlineLevel="1" thickBot="1">
      <c r="A194" s="963" t="s">
        <v>1404</v>
      </c>
      <c r="B194" s="1558" t="s">
        <v>1296</v>
      </c>
      <c r="C194" s="1558"/>
      <c r="D194" s="1558"/>
      <c r="E194" s="1558"/>
      <c r="F194" s="529" t="s">
        <v>285</v>
      </c>
      <c r="G194" s="529">
        <f>'14. Inst. Hidro-Sanitarias'!E54</f>
        <v>13</v>
      </c>
      <c r="H194" s="962">
        <f>+APU!J1472</f>
        <v>101730.49089999999</v>
      </c>
      <c r="I194" s="962">
        <f>+APU!J1473</f>
        <v>1322496.3816999998</v>
      </c>
      <c r="J194" s="1254">
        <f t="shared" si="19"/>
        <v>1.9529376659095529E-4</v>
      </c>
      <c r="K194" s="516"/>
      <c r="L194" s="516"/>
      <c r="M194" s="516"/>
    </row>
    <row r="195" spans="1:13" ht="13.5" hidden="1" outlineLevel="1" thickBot="1">
      <c r="A195" s="963" t="s">
        <v>1405</v>
      </c>
      <c r="B195" s="1558" t="s">
        <v>1297</v>
      </c>
      <c r="C195" s="1558"/>
      <c r="D195" s="1558"/>
      <c r="E195" s="1558"/>
      <c r="F195" s="529" t="s">
        <v>285</v>
      </c>
      <c r="G195" s="529">
        <f>'14. Inst. Hidro-Sanitarias'!E55</f>
        <v>4</v>
      </c>
      <c r="H195" s="961">
        <f>+APU!J1481</f>
        <v>102285.8805</v>
      </c>
      <c r="I195" s="961">
        <f>+APU!J1482</f>
        <v>409143.522</v>
      </c>
      <c r="J195" s="1254">
        <f t="shared" si="19"/>
        <v>6.0418448468613608E-5</v>
      </c>
      <c r="K195" s="516"/>
      <c r="L195" s="516"/>
      <c r="M195" s="516"/>
    </row>
    <row r="196" spans="1:13" ht="13.5" hidden="1" outlineLevel="1" thickBot="1">
      <c r="A196" s="963" t="s">
        <v>1406</v>
      </c>
      <c r="B196" s="1558" t="s">
        <v>1298</v>
      </c>
      <c r="C196" s="1558"/>
      <c r="D196" s="1558"/>
      <c r="E196" s="1558"/>
      <c r="F196" s="529" t="s">
        <v>285</v>
      </c>
      <c r="G196" s="448">
        <f>'14. Inst. Hidro-Sanitarias'!E57</f>
        <v>21</v>
      </c>
      <c r="H196" s="961">
        <f>+APU!J1492</f>
        <v>11341.223669999999</v>
      </c>
      <c r="I196" s="961">
        <f>+APU!J1493</f>
        <v>238165.69706999999</v>
      </c>
      <c r="J196" s="1254">
        <f t="shared" si="19"/>
        <v>3.5170059213146319E-5</v>
      </c>
      <c r="K196" s="516"/>
      <c r="L196" s="516"/>
      <c r="M196" s="516"/>
    </row>
    <row r="197" spans="1:13" ht="13.5" hidden="1" outlineLevel="1" thickBot="1">
      <c r="A197" s="963" t="s">
        <v>1407</v>
      </c>
      <c r="B197" s="1558" t="s">
        <v>1299</v>
      </c>
      <c r="C197" s="1558"/>
      <c r="D197" s="1558"/>
      <c r="E197" s="1558"/>
      <c r="F197" s="529" t="s">
        <v>285</v>
      </c>
      <c r="G197" s="448">
        <f>'14. Inst. Hidro-Sanitarias'!E58</f>
        <v>15</v>
      </c>
      <c r="H197" s="961">
        <f>+APU!J1503</f>
        <v>15166.482889999999</v>
      </c>
      <c r="I197" s="961">
        <f>+APU!J1504</f>
        <v>227497.24335</v>
      </c>
      <c r="J197" s="1254">
        <f t="shared" si="19"/>
        <v>3.3594642796504118E-5</v>
      </c>
      <c r="K197" s="516"/>
      <c r="L197" s="516"/>
      <c r="M197" s="516"/>
    </row>
    <row r="198" spans="1:13" ht="13.5" hidden="1" outlineLevel="1" thickBot="1">
      <c r="A198" s="963" t="s">
        <v>1408</v>
      </c>
      <c r="B198" s="1558" t="s">
        <v>1300</v>
      </c>
      <c r="C198" s="1558"/>
      <c r="D198" s="1558"/>
      <c r="E198" s="1558"/>
      <c r="F198" s="529" t="s">
        <v>285</v>
      </c>
      <c r="G198" s="448">
        <f>'14. Inst. Hidro-Sanitarias'!E59</f>
        <v>10</v>
      </c>
      <c r="H198" s="961">
        <f>+APU!J1515</f>
        <v>28664.788060000006</v>
      </c>
      <c r="I198" s="961">
        <f>+APU!J1516</f>
        <v>286647.88060000003</v>
      </c>
      <c r="J198" s="1254">
        <f t="shared" si="19"/>
        <v>4.2329449866417312E-5</v>
      </c>
      <c r="K198" s="516"/>
      <c r="L198" s="516"/>
      <c r="M198" s="516"/>
    </row>
    <row r="199" spans="1:13" ht="13.5" hidden="1" outlineLevel="1" thickBot="1">
      <c r="A199" s="963" t="s">
        <v>1409</v>
      </c>
      <c r="B199" s="1558" t="s">
        <v>1301</v>
      </c>
      <c r="C199" s="1558"/>
      <c r="D199" s="1558"/>
      <c r="E199" s="1558"/>
      <c r="F199" s="529" t="s">
        <v>285</v>
      </c>
      <c r="G199" s="448">
        <f>'14. Inst. Hidro-Sanitarias'!E60</f>
        <v>32</v>
      </c>
      <c r="H199" s="961">
        <f>+APU!J1523</f>
        <v>76570.526949000021</v>
      </c>
      <c r="I199" s="961">
        <f>+APU!J1524</f>
        <v>2450256.8623680007</v>
      </c>
      <c r="J199" s="1254">
        <f t="shared" si="19"/>
        <v>3.6183077578788575E-4</v>
      </c>
      <c r="K199" s="516"/>
      <c r="L199" s="516"/>
      <c r="M199" s="516"/>
    </row>
    <row r="200" spans="1:13" ht="13.5" hidden="1" outlineLevel="1" thickBot="1">
      <c r="A200" s="963" t="s">
        <v>1410</v>
      </c>
      <c r="B200" s="1558" t="s">
        <v>1302</v>
      </c>
      <c r="C200" s="1558"/>
      <c r="D200" s="1558"/>
      <c r="E200" s="1558"/>
      <c r="F200" s="529" t="s">
        <v>285</v>
      </c>
      <c r="G200" s="448">
        <f>'14. Inst. Hidro-Sanitarias'!E61</f>
        <v>4</v>
      </c>
      <c r="H200" s="961">
        <f>+APU!J1531</f>
        <v>128687.49666</v>
      </c>
      <c r="I200" s="961">
        <f>+APU!J1532</f>
        <v>514749.98664000002</v>
      </c>
      <c r="J200" s="1254">
        <f t="shared" si="19"/>
        <v>7.6013413068356936E-5</v>
      </c>
      <c r="K200" s="516"/>
      <c r="L200" s="516"/>
      <c r="M200" s="516"/>
    </row>
    <row r="201" spans="1:13" ht="13.5" hidden="1" outlineLevel="1" thickBot="1">
      <c r="A201" s="963" t="s">
        <v>1411</v>
      </c>
      <c r="B201" s="1558" t="s">
        <v>1303</v>
      </c>
      <c r="C201" s="1558"/>
      <c r="D201" s="1558"/>
      <c r="E201" s="1558"/>
      <c r="F201" s="529" t="s">
        <v>285</v>
      </c>
      <c r="G201" s="448">
        <f>'14. Inst. Hidro-Sanitarias'!E62</f>
        <v>6</v>
      </c>
      <c r="H201" s="961">
        <f>+APU!J1539</f>
        <v>202005.03910000005</v>
      </c>
      <c r="I201" s="961">
        <f>+APU!J1540</f>
        <v>1212030.2346000003</v>
      </c>
      <c r="J201" s="1254">
        <f t="shared" si="19"/>
        <v>1.7898117001491172E-4</v>
      </c>
      <c r="K201" s="516"/>
      <c r="L201" s="516"/>
      <c r="M201" s="516"/>
    </row>
    <row r="202" spans="1:13" ht="13.5" hidden="1" outlineLevel="1" thickBot="1">
      <c r="A202" s="963" t="s">
        <v>1412</v>
      </c>
      <c r="B202" s="1558" t="s">
        <v>1304</v>
      </c>
      <c r="C202" s="1558"/>
      <c r="D202" s="1558"/>
      <c r="E202" s="1558"/>
      <c r="F202" s="529" t="s">
        <v>285</v>
      </c>
      <c r="G202" s="448">
        <f>'14. Inst. Hidro-Sanitarias'!E64</f>
        <v>40</v>
      </c>
      <c r="H202" s="961">
        <f>+APU!J1550</f>
        <v>11341.223669999999</v>
      </c>
      <c r="I202" s="961">
        <f>+APU!J1551</f>
        <v>453648.94679999998</v>
      </c>
      <c r="J202" s="1254">
        <f t="shared" si="19"/>
        <v>6.6990588977421556E-5</v>
      </c>
      <c r="K202" s="516"/>
      <c r="L202" s="516"/>
      <c r="M202" s="516"/>
    </row>
    <row r="203" spans="1:13" ht="13.5" hidden="1" outlineLevel="1" thickBot="1">
      <c r="A203" s="963" t="s">
        <v>1413</v>
      </c>
      <c r="B203" s="1558" t="s">
        <v>1305</v>
      </c>
      <c r="C203" s="1558"/>
      <c r="D203" s="1558"/>
      <c r="E203" s="1558"/>
      <c r="F203" s="529" t="s">
        <v>285</v>
      </c>
      <c r="G203" s="448">
        <f>'14. Inst. Hidro-Sanitarias'!E65</f>
        <v>8</v>
      </c>
      <c r="H203" s="961">
        <f>+APU!J1561</f>
        <v>15166.482889999999</v>
      </c>
      <c r="I203" s="961">
        <f>+APU!J1562</f>
        <v>121331.86311999999</v>
      </c>
      <c r="J203" s="1254">
        <f t="shared" si="19"/>
        <v>1.7917142824802195E-5</v>
      </c>
      <c r="K203" s="516"/>
      <c r="L203" s="516"/>
      <c r="M203" s="516"/>
    </row>
    <row r="204" spans="1:13" ht="13.5" hidden="1" outlineLevel="1" thickBot="1">
      <c r="A204" s="963" t="s">
        <v>1414</v>
      </c>
      <c r="B204" s="1558" t="s">
        <v>1306</v>
      </c>
      <c r="C204" s="1558"/>
      <c r="D204" s="1558"/>
      <c r="E204" s="1558"/>
      <c r="F204" s="529" t="s">
        <v>285</v>
      </c>
      <c r="G204" s="448">
        <f>'14. Inst. Hidro-Sanitarias'!E66</f>
        <v>20</v>
      </c>
      <c r="H204" s="964">
        <f>+APU!J1573</f>
        <v>28664.788060000006</v>
      </c>
      <c r="I204" s="964">
        <f>+APU!J1574</f>
        <v>573295.76120000007</v>
      </c>
      <c r="J204" s="1254">
        <f t="shared" si="19"/>
        <v>8.4658899732834624E-5</v>
      </c>
      <c r="K204" s="516"/>
      <c r="L204" s="516"/>
      <c r="M204" s="516"/>
    </row>
    <row r="205" spans="1:13" ht="13.5" hidden="1" outlineLevel="1" thickBot="1">
      <c r="A205" s="963" t="s">
        <v>1415</v>
      </c>
      <c r="B205" s="1565" t="s">
        <v>1307</v>
      </c>
      <c r="C205" s="1558"/>
      <c r="D205" s="1558"/>
      <c r="E205" s="1558"/>
      <c r="F205" s="449" t="s">
        <v>345</v>
      </c>
      <c r="G205" s="448">
        <f>'14. Inst. Hidro-Sanitarias'!M8</f>
        <v>3.24</v>
      </c>
      <c r="H205" s="961">
        <f>+APU!J1585</f>
        <v>23071.744740000002</v>
      </c>
      <c r="I205" s="961">
        <f>+APU!J1586</f>
        <v>74752.452957600006</v>
      </c>
      <c r="J205" s="1254">
        <f t="shared" si="19"/>
        <v>1.1038735759138375E-5</v>
      </c>
      <c r="K205" s="516"/>
      <c r="L205" s="516"/>
      <c r="M205" s="516"/>
    </row>
    <row r="206" spans="1:13" ht="13.5" hidden="1" outlineLevel="1" thickBot="1">
      <c r="A206" s="963" t="s">
        <v>1416</v>
      </c>
      <c r="B206" s="1565" t="s">
        <v>1308</v>
      </c>
      <c r="C206" s="1558"/>
      <c r="D206" s="1558"/>
      <c r="E206" s="1558"/>
      <c r="F206" s="449" t="s">
        <v>345</v>
      </c>
      <c r="G206" s="448">
        <f>'14. Inst. Hidro-Sanitarias'!M9</f>
        <v>41.760000000000005</v>
      </c>
      <c r="H206" s="961">
        <f>+APU!J1597</f>
        <v>34161.618060000001</v>
      </c>
      <c r="I206" s="961">
        <f>+APU!J1598</f>
        <v>1426589.1701856002</v>
      </c>
      <c r="J206" s="1254">
        <f t="shared" si="19"/>
        <v>2.1066520580213642E-4</v>
      </c>
      <c r="K206" s="516"/>
      <c r="L206" s="516"/>
      <c r="M206" s="516"/>
    </row>
    <row r="207" spans="1:13" ht="13.5" hidden="1" outlineLevel="1" thickBot="1">
      <c r="A207" s="963" t="s">
        <v>1417</v>
      </c>
      <c r="B207" s="1565" t="s">
        <v>1309</v>
      </c>
      <c r="C207" s="1558"/>
      <c r="D207" s="1558"/>
      <c r="E207" s="1558"/>
      <c r="F207" s="449" t="s">
        <v>345</v>
      </c>
      <c r="G207" s="448">
        <f>'14. Inst. Hidro-Sanitarias'!M10</f>
        <v>27.36</v>
      </c>
      <c r="H207" s="961">
        <f>+APU!J1609</f>
        <v>101730.49089999999</v>
      </c>
      <c r="I207" s="961">
        <f>+APU!J1610</f>
        <v>2783346.2310239999</v>
      </c>
      <c r="J207" s="1254">
        <f t="shared" si="19"/>
        <v>4.1101826568681058E-4</v>
      </c>
      <c r="K207" s="516"/>
      <c r="L207" s="516"/>
      <c r="M207" s="516"/>
    </row>
    <row r="208" spans="1:13" ht="13.5" hidden="1" outlineLevel="1" thickBot="1">
      <c r="A208" s="963" t="s">
        <v>1418</v>
      </c>
      <c r="B208" s="1565" t="s">
        <v>1351</v>
      </c>
      <c r="C208" s="1558"/>
      <c r="D208" s="1558"/>
      <c r="E208" s="1558"/>
      <c r="F208" s="449" t="s">
        <v>345</v>
      </c>
      <c r="G208" s="448">
        <f>'14. Inst. Hidro-Sanitarias'!M11</f>
        <v>23.76</v>
      </c>
      <c r="H208" s="961">
        <f>+APU!J1620</f>
        <v>11341.223669999999</v>
      </c>
      <c r="I208" s="961">
        <f>+APU!J1621</f>
        <v>269467.4743992</v>
      </c>
      <c r="J208" s="1254">
        <f t="shared" si="19"/>
        <v>3.9792409852588406E-5</v>
      </c>
      <c r="K208" s="516"/>
      <c r="L208" s="516"/>
      <c r="M208" s="516"/>
    </row>
    <row r="209" spans="1:16" ht="13.5" hidden="1" outlineLevel="1" thickBot="1">
      <c r="A209" s="963" t="s">
        <v>1419</v>
      </c>
      <c r="B209" s="1565" t="s">
        <v>1352</v>
      </c>
      <c r="C209" s="1558"/>
      <c r="D209" s="1558"/>
      <c r="E209" s="1558"/>
      <c r="F209" s="449" t="s">
        <v>345</v>
      </c>
      <c r="G209" s="448">
        <f>'14. Inst. Hidro-Sanitarias'!M12</f>
        <v>19.440000000000001</v>
      </c>
      <c r="H209" s="961">
        <f>+APU!J1631</f>
        <v>15166.482889999999</v>
      </c>
      <c r="I209" s="961">
        <f>+APU!J1632</f>
        <v>294836.42738160002</v>
      </c>
      <c r="J209" s="1254">
        <f t="shared" si="19"/>
        <v>4.3538657064269343E-5</v>
      </c>
      <c r="K209" s="516"/>
      <c r="L209" s="516"/>
      <c r="M209" s="516"/>
    </row>
    <row r="210" spans="1:16" ht="13.5" hidden="1" outlineLevel="1" thickBot="1">
      <c r="A210" s="963" t="s">
        <v>1420</v>
      </c>
      <c r="B210" s="1565" t="s">
        <v>1353</v>
      </c>
      <c r="C210" s="1558"/>
      <c r="D210" s="1558"/>
      <c r="E210" s="1558"/>
      <c r="F210" s="449" t="s">
        <v>345</v>
      </c>
      <c r="G210" s="448">
        <f>'14. Inst. Hidro-Sanitarias'!M13</f>
        <v>6.48</v>
      </c>
      <c r="H210" s="961">
        <f>+APU!J1643</f>
        <v>28664.788060000006</v>
      </c>
      <c r="I210" s="961">
        <f>+APU!J1644</f>
        <v>185747.82662880005</v>
      </c>
      <c r="J210" s="1254">
        <f t="shared" si="19"/>
        <v>2.7429483513438419E-5</v>
      </c>
      <c r="K210" s="516"/>
      <c r="L210" s="516"/>
      <c r="M210" s="516"/>
    </row>
    <row r="211" spans="1:16" ht="13.5" hidden="1" outlineLevel="1" thickBot="1">
      <c r="A211" s="963" t="s">
        <v>1421</v>
      </c>
      <c r="B211" s="1565" t="s">
        <v>1350</v>
      </c>
      <c r="C211" s="1558"/>
      <c r="D211" s="1558"/>
      <c r="E211" s="1558"/>
      <c r="F211" s="449" t="s">
        <v>345</v>
      </c>
      <c r="G211" s="448">
        <f>'14. Inst. Hidro-Sanitarias'!M14</f>
        <v>54.000002651473594</v>
      </c>
      <c r="H211" s="961">
        <f>+APU!J1651</f>
        <v>76570.526949000021</v>
      </c>
      <c r="I211" s="961">
        <f>+APU!J1652</f>
        <v>4134808.6582707316</v>
      </c>
      <c r="J211" s="1254">
        <f t="shared" si="19"/>
        <v>6.1058946412283059E-4</v>
      </c>
      <c r="K211" s="516"/>
      <c r="L211" s="516"/>
      <c r="M211" s="516"/>
    </row>
    <row r="212" spans="1:16" ht="13.5" hidden="1" outlineLevel="1" thickBot="1">
      <c r="A212" s="963" t="s">
        <v>1422</v>
      </c>
      <c r="B212" s="1558" t="s">
        <v>1310</v>
      </c>
      <c r="C212" s="1558"/>
      <c r="D212" s="1558"/>
      <c r="E212" s="1558"/>
      <c r="F212" s="449" t="s">
        <v>345</v>
      </c>
      <c r="G212" s="448">
        <f>'14. Inst. Hidro-Sanitarias'!M15</f>
        <v>12.96</v>
      </c>
      <c r="H212" s="961">
        <f>+APU!J1662</f>
        <v>15166.482889999999</v>
      </c>
      <c r="I212" s="961">
        <f>+APU!J1663</f>
        <v>196557.6182544</v>
      </c>
      <c r="J212" s="1254">
        <f t="shared" si="19"/>
        <v>2.9025771376179559E-5</v>
      </c>
      <c r="K212" s="516"/>
      <c r="L212" s="516"/>
      <c r="M212" s="516"/>
      <c r="N212" s="516"/>
      <c r="O212" s="516"/>
      <c r="P212" s="516"/>
    </row>
    <row r="213" spans="1:16" ht="13.5" hidden="1" outlineLevel="1" thickBot="1">
      <c r="A213" s="963" t="s">
        <v>1423</v>
      </c>
      <c r="B213" s="1558" t="s">
        <v>1311</v>
      </c>
      <c r="C213" s="1558"/>
      <c r="D213" s="1558"/>
      <c r="E213" s="1558"/>
      <c r="F213" s="449" t="s">
        <v>345</v>
      </c>
      <c r="G213" s="448">
        <f>'14. Inst. Hidro-Sanitarias'!M16+'14. Inst. Hidro-Sanitarias'!M17</f>
        <v>66.960000000000008</v>
      </c>
      <c r="H213" s="961">
        <f>+APU!J1674</f>
        <v>28664.788060000006</v>
      </c>
      <c r="I213" s="961">
        <f>+APU!J1675</f>
        <v>371495.65325760009</v>
      </c>
      <c r="J213" s="1254">
        <f t="shared" si="19"/>
        <v>5.4858967026876837E-5</v>
      </c>
      <c r="K213" s="516"/>
      <c r="L213" s="516"/>
      <c r="M213" s="516"/>
      <c r="N213" s="516"/>
      <c r="O213" s="516"/>
      <c r="P213" s="516"/>
    </row>
    <row r="214" spans="1:16" ht="13.5" hidden="1" outlineLevel="1" thickBot="1">
      <c r="A214" s="963" t="s">
        <v>1424</v>
      </c>
      <c r="B214" s="1558" t="s">
        <v>1979</v>
      </c>
      <c r="C214" s="1558"/>
      <c r="D214" s="1558"/>
      <c r="E214" s="1558"/>
      <c r="F214" s="449" t="s">
        <v>285</v>
      </c>
      <c r="G214" s="448">
        <f>'14. Inst. Hidro-Sanitarias'!H26</f>
        <v>8</v>
      </c>
      <c r="H214" s="961">
        <f>+APU!J1684</f>
        <v>274172.10668000003</v>
      </c>
      <c r="I214" s="961">
        <f>+APU!J1685</f>
        <v>2193376.8534400002</v>
      </c>
      <c r="J214" s="1254">
        <f t="shared" si="19"/>
        <v>3.2389716387056595E-4</v>
      </c>
      <c r="K214" s="516"/>
      <c r="L214" s="516"/>
      <c r="M214" s="516"/>
      <c r="N214" s="516"/>
      <c r="O214" s="516"/>
      <c r="P214" s="516"/>
    </row>
    <row r="215" spans="1:16" ht="13.5" hidden="1" outlineLevel="1" thickBot="1">
      <c r="A215" s="963" t="s">
        <v>1425</v>
      </c>
      <c r="B215" s="1558" t="s">
        <v>1980</v>
      </c>
      <c r="C215" s="1558"/>
      <c r="D215" s="1558"/>
      <c r="E215" s="1558"/>
      <c r="F215" s="449" t="s">
        <v>285</v>
      </c>
      <c r="G215" s="448">
        <f>'14. Inst. Hidro-Sanitarias'!G26</f>
        <v>8</v>
      </c>
      <c r="H215" s="961">
        <f>+APU!J1694</f>
        <v>274172.10668000003</v>
      </c>
      <c r="I215" s="961">
        <f>+APU!J1695</f>
        <v>2193376.8534400002</v>
      </c>
      <c r="J215" s="1254">
        <f t="shared" si="19"/>
        <v>3.2389716387056595E-4</v>
      </c>
      <c r="K215" s="516"/>
      <c r="L215" s="516"/>
      <c r="M215" s="516"/>
      <c r="N215" s="516"/>
      <c r="O215" s="516"/>
      <c r="P215" s="516"/>
    </row>
    <row r="216" spans="1:16" ht="13.5" hidden="1" outlineLevel="1" thickBot="1">
      <c r="A216" s="963">
        <v>17.260000000000002</v>
      </c>
      <c r="B216" s="1565" t="s">
        <v>2409</v>
      </c>
      <c r="C216" s="1558"/>
      <c r="D216" s="1558"/>
      <c r="E216" s="1558"/>
      <c r="F216" s="449" t="s">
        <v>345</v>
      </c>
      <c r="G216" s="448">
        <v>30.94</v>
      </c>
      <c r="H216" s="961">
        <f>+APU!J1700</f>
        <v>100409</v>
      </c>
      <c r="I216" s="961">
        <f>+APU!J1701</f>
        <v>3106654.46</v>
      </c>
      <c r="J216" s="1254">
        <f t="shared" si="19"/>
        <v>4.5876136932041813E-4</v>
      </c>
      <c r="K216" s="516"/>
      <c r="L216" s="516"/>
      <c r="M216" s="516"/>
      <c r="N216" s="516"/>
      <c r="O216" s="516"/>
      <c r="P216" s="516"/>
    </row>
    <row r="217" spans="1:16" ht="13.5" hidden="1" outlineLevel="1" thickBot="1">
      <c r="A217" s="1417">
        <v>17.27</v>
      </c>
      <c r="B217" s="1606" t="s">
        <v>2410</v>
      </c>
      <c r="C217" s="1559"/>
      <c r="D217" s="1559"/>
      <c r="E217" s="1558"/>
      <c r="F217" s="533" t="s">
        <v>345</v>
      </c>
      <c r="G217" s="534">
        <v>31.84</v>
      </c>
      <c r="H217" s="1247">
        <f>+APU!J2047</f>
        <v>26588.95</v>
      </c>
      <c r="I217" s="961">
        <f>+APU!J2048</f>
        <v>846592.16800000006</v>
      </c>
      <c r="J217" s="1254">
        <f t="shared" si="19"/>
        <v>1.2501673013471266E-4</v>
      </c>
      <c r="K217" s="516"/>
      <c r="L217" s="516"/>
      <c r="M217" s="516"/>
      <c r="N217" s="516"/>
      <c r="O217" s="516"/>
      <c r="P217" s="516"/>
    </row>
    <row r="218" spans="1:16" ht="13.5" collapsed="1" thickBot="1">
      <c r="A218" s="436"/>
      <c r="B218" s="457"/>
      <c r="C218" s="457"/>
      <c r="D218" s="457"/>
      <c r="E218" s="1418"/>
      <c r="F218" s="1549" t="s">
        <v>3270</v>
      </c>
      <c r="G218" s="1550"/>
      <c r="H218" s="1551"/>
      <c r="I218" s="1419">
        <f>SUM(I191:I217)</f>
        <v>33687026.68084754</v>
      </c>
      <c r="J218" s="1420">
        <f>I218/$I$261</f>
        <v>4.9745817204398966E-3</v>
      </c>
      <c r="K218" s="1260"/>
      <c r="L218" s="516"/>
      <c r="M218" s="759"/>
      <c r="N218" s="516"/>
      <c r="O218" s="516"/>
      <c r="P218" s="516"/>
    </row>
    <row r="219" spans="1:16" ht="13.5" thickBot="1">
      <c r="A219" s="865">
        <v>17</v>
      </c>
      <c r="B219" s="1567" t="s">
        <v>1359</v>
      </c>
      <c r="C219" s="1568"/>
      <c r="D219" s="1568"/>
      <c r="E219" s="1568"/>
      <c r="F219" s="1568"/>
      <c r="G219" s="1568"/>
      <c r="H219" s="1568"/>
      <c r="I219" s="1568"/>
      <c r="J219" s="1569"/>
      <c r="K219" s="759"/>
      <c r="L219" s="516"/>
      <c r="M219" s="516"/>
    </row>
    <row r="220" spans="1:16" hidden="1" outlineLevel="1">
      <c r="A220" s="445" t="s">
        <v>1401</v>
      </c>
      <c r="B220" s="1605" t="s">
        <v>2926</v>
      </c>
      <c r="C220" s="1566"/>
      <c r="D220" s="1566"/>
      <c r="E220" s="1566"/>
      <c r="F220" s="444" t="s">
        <v>285</v>
      </c>
      <c r="G220" s="443">
        <f>'14. Inst. Hidro-Sanitarias'!I33</f>
        <v>1</v>
      </c>
      <c r="H220" s="442">
        <f>APU!J1711</f>
        <v>520534.04500000004</v>
      </c>
      <c r="I220" s="442">
        <f>G220*H220</f>
        <v>520534.04500000004</v>
      </c>
      <c r="J220" s="1254">
        <f t="shared" ref="J220:J250" si="20">I220/$I$261</f>
        <v>7.686754814119115E-5</v>
      </c>
      <c r="K220" s="516"/>
      <c r="L220" s="516"/>
      <c r="M220" s="516"/>
    </row>
    <row r="221" spans="1:16" hidden="1" outlineLevel="1">
      <c r="A221" s="445" t="s">
        <v>1402</v>
      </c>
      <c r="B221" s="1565" t="s">
        <v>2927</v>
      </c>
      <c r="C221" s="1558"/>
      <c r="D221" s="1558"/>
      <c r="E221" s="1558"/>
      <c r="F221" s="449" t="s">
        <v>285</v>
      </c>
      <c r="G221" s="448">
        <f>'14. Inst. Hidro-Sanitarias'!I34</f>
        <v>1</v>
      </c>
      <c r="H221" s="447">
        <f>APU!J1721</f>
        <v>520534.04500000004</v>
      </c>
      <c r="I221" s="447">
        <f>G221*H221</f>
        <v>520534.04500000004</v>
      </c>
      <c r="J221" s="1254">
        <f t="shared" si="20"/>
        <v>7.686754814119115E-5</v>
      </c>
    </row>
    <row r="222" spans="1:16" hidden="1" outlineLevel="1">
      <c r="A222" s="445" t="s">
        <v>1403</v>
      </c>
      <c r="B222" s="1565" t="s">
        <v>2928</v>
      </c>
      <c r="C222" s="1558"/>
      <c r="D222" s="1558"/>
      <c r="E222" s="1558"/>
      <c r="F222" s="449" t="s">
        <v>285</v>
      </c>
      <c r="G222" s="448">
        <f>'14. Inst. Hidro-Sanitarias'!I35</f>
        <v>1</v>
      </c>
      <c r="H222" s="447">
        <f>APU!J1731</f>
        <v>520534.04500000004</v>
      </c>
      <c r="I222" s="447">
        <f>G222*H222</f>
        <v>520534.04500000004</v>
      </c>
      <c r="J222" s="1254">
        <f t="shared" si="20"/>
        <v>7.686754814119115E-5</v>
      </c>
    </row>
    <row r="223" spans="1:16" hidden="1" outlineLevel="1">
      <c r="A223" s="445" t="s">
        <v>1404</v>
      </c>
      <c r="B223" s="1558" t="s">
        <v>1316</v>
      </c>
      <c r="C223" s="1558"/>
      <c r="D223" s="1558"/>
      <c r="E223" s="1558"/>
      <c r="F223" s="449" t="s">
        <v>285</v>
      </c>
      <c r="G223" s="448">
        <f>'14. Inst. Hidro-Sanitarias'!E112</f>
        <v>118</v>
      </c>
      <c r="H223" s="447">
        <f>APU!J1744</f>
        <v>6721.4949700000006</v>
      </c>
      <c r="I223" s="447">
        <f>G223*H223</f>
        <v>793136.40646000009</v>
      </c>
      <c r="J223" s="1254">
        <f t="shared" si="20"/>
        <v>1.1712288848675671E-4</v>
      </c>
    </row>
    <row r="224" spans="1:16" hidden="1" outlineLevel="1">
      <c r="A224" s="445" t="s">
        <v>1405</v>
      </c>
      <c r="B224" s="1565" t="s">
        <v>1317</v>
      </c>
      <c r="C224" s="1558"/>
      <c r="D224" s="1558"/>
      <c r="E224" s="1558"/>
      <c r="F224" s="449" t="s">
        <v>285</v>
      </c>
      <c r="G224" s="448">
        <f>'14. Inst. Hidro-Sanitarias'!E113</f>
        <v>9</v>
      </c>
      <c r="H224" s="447">
        <f>APU!J1757</f>
        <v>7762.7151400000002</v>
      </c>
      <c r="I224" s="447">
        <f t="shared" ref="I224:I250" si="21">G224*H224</f>
        <v>69864.436260000002</v>
      </c>
      <c r="J224" s="1254">
        <f t="shared" si="20"/>
        <v>1.0316919650419273E-5</v>
      </c>
    </row>
    <row r="225" spans="1:10" ht="12.75" hidden="1" customHeight="1" outlineLevel="1">
      <c r="A225" s="445" t="s">
        <v>1406</v>
      </c>
      <c r="B225" s="1558" t="s">
        <v>1318</v>
      </c>
      <c r="C225" s="1558"/>
      <c r="D225" s="1558"/>
      <c r="E225" s="1558"/>
      <c r="F225" s="449" t="s">
        <v>285</v>
      </c>
      <c r="G225" s="448">
        <f>'14. Inst. Hidro-Sanitarias'!E114</f>
        <v>3</v>
      </c>
      <c r="H225" s="447">
        <f>APU!J1770</f>
        <v>11848.96054</v>
      </c>
      <c r="I225" s="447">
        <f t="shared" si="21"/>
        <v>35546.88162</v>
      </c>
      <c r="J225" s="1254">
        <f t="shared" si="20"/>
        <v>5.2492275201607079E-6</v>
      </c>
    </row>
    <row r="226" spans="1:10" hidden="1" outlineLevel="1">
      <c r="A226" s="445" t="s">
        <v>1407</v>
      </c>
      <c r="B226" s="1558" t="s">
        <v>1319</v>
      </c>
      <c r="C226" s="1558"/>
      <c r="D226" s="1558"/>
      <c r="E226" s="1558"/>
      <c r="F226" s="449" t="s">
        <v>285</v>
      </c>
      <c r="G226" s="448">
        <f>'14. Inst. Hidro-Sanitarias'!E116</f>
        <v>4</v>
      </c>
      <c r="H226" s="447">
        <f>APU!J1783</f>
        <v>21029.383940000003</v>
      </c>
      <c r="I226" s="447">
        <f t="shared" si="21"/>
        <v>84117.535760000013</v>
      </c>
      <c r="J226" s="1254">
        <f t="shared" si="20"/>
        <v>1.2421682676971048E-5</v>
      </c>
    </row>
    <row r="227" spans="1:10" hidden="1" outlineLevel="1">
      <c r="A227" s="445" t="s">
        <v>1408</v>
      </c>
      <c r="B227" s="1558" t="s">
        <v>1320</v>
      </c>
      <c r="C227" s="1558"/>
      <c r="D227" s="1558"/>
      <c r="E227" s="1558"/>
      <c r="F227" s="449" t="s">
        <v>285</v>
      </c>
      <c r="G227" s="448">
        <f>'14. Inst. Hidro-Sanitarias'!E115</f>
        <v>3</v>
      </c>
      <c r="H227" s="447">
        <f>APU!J1795</f>
        <v>27990.956109999996</v>
      </c>
      <c r="I227" s="447">
        <f t="shared" si="21"/>
        <v>83972.868329999983</v>
      </c>
      <c r="J227" s="1254">
        <f t="shared" si="20"/>
        <v>1.2400319558176407E-5</v>
      </c>
    </row>
    <row r="228" spans="1:10" hidden="1" outlineLevel="1">
      <c r="A228" s="445" t="s">
        <v>1409</v>
      </c>
      <c r="B228" s="1558" t="s">
        <v>1321</v>
      </c>
      <c r="C228" s="1558"/>
      <c r="D228" s="1558"/>
      <c r="E228" s="1558"/>
      <c r="F228" s="449" t="s">
        <v>285</v>
      </c>
      <c r="G228" s="448">
        <f>'14. Inst. Hidro-Sanitarias'!E117</f>
        <v>2</v>
      </c>
      <c r="H228" s="447">
        <f>APU!J1808</f>
        <v>50349.253510000002</v>
      </c>
      <c r="I228" s="447">
        <f t="shared" si="21"/>
        <v>100698.50702</v>
      </c>
      <c r="J228" s="1254">
        <f t="shared" si="20"/>
        <v>1.487020380406804E-5</v>
      </c>
    </row>
    <row r="229" spans="1:10" hidden="1" outlineLevel="1">
      <c r="A229" s="445" t="s">
        <v>1410</v>
      </c>
      <c r="B229" s="1558" t="s">
        <v>1322</v>
      </c>
      <c r="C229" s="1558"/>
      <c r="D229" s="1558"/>
      <c r="E229" s="1558"/>
      <c r="F229" s="449" t="s">
        <v>285</v>
      </c>
      <c r="G229" s="448">
        <f>'14. Inst. Hidro-Sanitarias'!E119</f>
        <v>3</v>
      </c>
      <c r="H229" s="447">
        <f>APU!J1821</f>
        <v>6721.4949700000006</v>
      </c>
      <c r="I229" s="447">
        <f t="shared" si="21"/>
        <v>20164.484910000003</v>
      </c>
      <c r="J229" s="1254">
        <f t="shared" si="20"/>
        <v>2.9777005547480521E-6</v>
      </c>
    </row>
    <row r="230" spans="1:10" hidden="1" outlineLevel="1">
      <c r="A230" s="445" t="s">
        <v>1411</v>
      </c>
      <c r="B230" s="1558" t="s">
        <v>1323</v>
      </c>
      <c r="C230" s="1558"/>
      <c r="D230" s="1558"/>
      <c r="E230" s="1558"/>
      <c r="F230" s="449" t="s">
        <v>285</v>
      </c>
      <c r="G230" s="448">
        <f>'14. Inst. Hidro-Sanitarias'!E120</f>
        <v>28</v>
      </c>
      <c r="H230" s="447">
        <f>APU!J1834</f>
        <v>7762.7151400000002</v>
      </c>
      <c r="I230" s="447">
        <f t="shared" si="21"/>
        <v>217356.02392000001</v>
      </c>
      <c r="J230" s="1254">
        <f t="shared" si="20"/>
        <v>3.2097083356859956E-5</v>
      </c>
    </row>
    <row r="231" spans="1:10" hidden="1" outlineLevel="1">
      <c r="A231" s="445" t="s">
        <v>1412</v>
      </c>
      <c r="B231" s="1558" t="s">
        <v>1324</v>
      </c>
      <c r="C231" s="1558"/>
      <c r="D231" s="1558"/>
      <c r="E231" s="1558"/>
      <c r="F231" s="449" t="s">
        <v>285</v>
      </c>
      <c r="G231" s="448">
        <f>'14. Inst. Hidro-Sanitarias'!E121</f>
        <v>66</v>
      </c>
      <c r="H231" s="447">
        <f>APU!J1847</f>
        <v>21029.383940000003</v>
      </c>
      <c r="I231" s="447">
        <f t="shared" si="21"/>
        <v>1387939.3400400002</v>
      </c>
      <c r="J231" s="1254">
        <f t="shared" si="20"/>
        <v>2.0495776417002229E-4</v>
      </c>
    </row>
    <row r="232" spans="1:10" hidden="1" outlineLevel="1">
      <c r="A232" s="445" t="s">
        <v>1413</v>
      </c>
      <c r="B232" s="1558" t="s">
        <v>1325</v>
      </c>
      <c r="C232" s="1558"/>
      <c r="D232" s="1558"/>
      <c r="E232" s="1558"/>
      <c r="F232" s="449" t="s">
        <v>285</v>
      </c>
      <c r="G232" s="448">
        <f>'14. Inst. Hidro-Sanitarias'!E122</f>
        <v>5</v>
      </c>
      <c r="H232" s="447">
        <f>APU!J1860</f>
        <v>50349.253510000002</v>
      </c>
      <c r="I232" s="447">
        <f t="shared" si="21"/>
        <v>251746.26755000002</v>
      </c>
      <c r="J232" s="1254">
        <f t="shared" si="20"/>
        <v>3.71755095101701E-5</v>
      </c>
    </row>
    <row r="233" spans="1:10" hidden="1" outlineLevel="1">
      <c r="A233" s="445" t="s">
        <v>1414</v>
      </c>
      <c r="B233" s="1558" t="s">
        <v>1326</v>
      </c>
      <c r="C233" s="1558"/>
      <c r="D233" s="1558"/>
      <c r="E233" s="1558"/>
      <c r="F233" s="449" t="s">
        <v>285</v>
      </c>
      <c r="G233" s="448">
        <f>'14. Inst. Hidro-Sanitarias'!E123</f>
        <v>3</v>
      </c>
      <c r="H233" s="447">
        <f>APU!J1873</f>
        <v>100120.22091</v>
      </c>
      <c r="I233" s="447">
        <f t="shared" si="21"/>
        <v>300360.66272999998</v>
      </c>
      <c r="J233" s="1254">
        <f t="shared" si="20"/>
        <v>4.4354423930366264E-5</v>
      </c>
    </row>
    <row r="234" spans="1:10" hidden="1" outlineLevel="1">
      <c r="A234" s="445" t="s">
        <v>1415</v>
      </c>
      <c r="B234" s="1558" t="s">
        <v>1327</v>
      </c>
      <c r="C234" s="1558"/>
      <c r="D234" s="1558"/>
      <c r="E234" s="1558"/>
      <c r="F234" s="449" t="s">
        <v>285</v>
      </c>
      <c r="G234" s="448">
        <f>'14. Inst. Hidro-Sanitarias'!E124</f>
        <v>1</v>
      </c>
      <c r="H234" s="447">
        <f>APU!J1886</f>
        <v>70276.378309999986</v>
      </c>
      <c r="I234" s="447">
        <f t="shared" si="21"/>
        <v>70276.378309999986</v>
      </c>
      <c r="J234" s="1254">
        <f t="shared" si="20"/>
        <v>1.0377751359053728E-5</v>
      </c>
    </row>
    <row r="235" spans="1:10" hidden="1" outlineLevel="1">
      <c r="A235" s="445" t="s">
        <v>1416</v>
      </c>
      <c r="B235" s="1558" t="s">
        <v>1328</v>
      </c>
      <c r="C235" s="1558"/>
      <c r="D235" s="1558"/>
      <c r="E235" s="1558"/>
      <c r="F235" s="449" t="s">
        <v>285</v>
      </c>
      <c r="G235" s="448">
        <f>'14. Inst. Hidro-Sanitarias'!E125</f>
        <v>2</v>
      </c>
      <c r="H235" s="447">
        <f>APU!J1899</f>
        <v>125016.88402000001</v>
      </c>
      <c r="I235" s="447">
        <f t="shared" si="21"/>
        <v>250033.76804000002</v>
      </c>
      <c r="J235" s="1254">
        <f t="shared" si="20"/>
        <v>3.6922623767554186E-5</v>
      </c>
    </row>
    <row r="236" spans="1:10" hidden="1" outlineLevel="1">
      <c r="A236" s="445" t="s">
        <v>1417</v>
      </c>
      <c r="B236" s="1558" t="s">
        <v>1329</v>
      </c>
      <c r="C236" s="1558"/>
      <c r="D236" s="1558"/>
      <c r="E236" s="1558"/>
      <c r="F236" s="449" t="s">
        <v>285</v>
      </c>
      <c r="G236" s="448">
        <f>'14. Inst. Hidro-Sanitarias'!I43</f>
        <v>3</v>
      </c>
      <c r="H236" s="447">
        <f>APU!J1910</f>
        <v>1065951.2999760001</v>
      </c>
      <c r="I236" s="447">
        <f t="shared" si="21"/>
        <v>3197853.8999280003</v>
      </c>
      <c r="J236" s="1254">
        <f t="shared" si="20"/>
        <v>4.7222884067306566E-4</v>
      </c>
    </row>
    <row r="237" spans="1:10" hidden="1" outlineLevel="1">
      <c r="A237" s="445" t="s">
        <v>1418</v>
      </c>
      <c r="B237" s="1558" t="s">
        <v>1330</v>
      </c>
      <c r="C237" s="1558"/>
      <c r="D237" s="1558"/>
      <c r="E237" s="1558"/>
      <c r="F237" s="449" t="s">
        <v>285</v>
      </c>
      <c r="G237" s="448">
        <f>'14. Inst. Hidro-Sanitarias'!I44</f>
        <v>2</v>
      </c>
      <c r="H237" s="447">
        <f>APU!J1921</f>
        <v>744617.5319360001</v>
      </c>
      <c r="I237" s="447">
        <f t="shared" si="21"/>
        <v>1489235.0638720002</v>
      </c>
      <c r="J237" s="1254">
        <f t="shared" si="20"/>
        <v>2.1991615930852483E-4</v>
      </c>
    </row>
    <row r="238" spans="1:10" hidden="1" outlineLevel="1">
      <c r="A238" s="445" t="s">
        <v>1419</v>
      </c>
      <c r="B238" s="1558" t="s">
        <v>1331</v>
      </c>
      <c r="C238" s="1558"/>
      <c r="D238" s="1558"/>
      <c r="E238" s="1558"/>
      <c r="F238" s="449" t="s">
        <v>285</v>
      </c>
      <c r="G238" s="448">
        <f>'14. Inst. Hidro-Sanitarias'!I45</f>
        <v>1</v>
      </c>
      <c r="H238" s="447">
        <f>APU!J1932</f>
        <v>749017.5319360001</v>
      </c>
      <c r="I238" s="447">
        <f t="shared" si="21"/>
        <v>749017.5319360001</v>
      </c>
      <c r="J238" s="1254">
        <f t="shared" si="20"/>
        <v>1.1060783006937934E-4</v>
      </c>
    </row>
    <row r="239" spans="1:10" hidden="1" outlineLevel="1">
      <c r="A239" s="445" t="s">
        <v>1420</v>
      </c>
      <c r="B239" s="1558" t="s">
        <v>1332</v>
      </c>
      <c r="C239" s="1558"/>
      <c r="D239" s="1558"/>
      <c r="E239" s="1558"/>
      <c r="F239" s="449" t="s">
        <v>285</v>
      </c>
      <c r="G239" s="448">
        <f>'14. Inst. Hidro-Sanitarias'!I57</f>
        <v>2</v>
      </c>
      <c r="H239" s="447">
        <f>APU!J1939</f>
        <v>112524.52654300001</v>
      </c>
      <c r="I239" s="447">
        <f t="shared" si="21"/>
        <v>225049.05308600003</v>
      </c>
      <c r="J239" s="1254">
        <f t="shared" si="20"/>
        <v>3.3233117196431574E-5</v>
      </c>
    </row>
    <row r="240" spans="1:10" hidden="1" outlineLevel="1">
      <c r="A240" s="445" t="s">
        <v>1421</v>
      </c>
      <c r="B240" s="1558" t="s">
        <v>1333</v>
      </c>
      <c r="C240" s="1558"/>
      <c r="D240" s="1558"/>
      <c r="E240" s="1558"/>
      <c r="F240" s="449" t="s">
        <v>285</v>
      </c>
      <c r="G240" s="448">
        <f>'14. Inst. Hidro-Sanitarias'!I53</f>
        <v>1</v>
      </c>
      <c r="H240" s="447">
        <f>APU!J1946</f>
        <v>112524.52654300001</v>
      </c>
      <c r="I240" s="447">
        <f t="shared" si="21"/>
        <v>112524.52654300001</v>
      </c>
      <c r="J240" s="1254">
        <f t="shared" si="20"/>
        <v>1.6616558598215787E-5</v>
      </c>
    </row>
    <row r="241" spans="1:14" hidden="1" outlineLevel="1">
      <c r="A241" s="445" t="s">
        <v>1422</v>
      </c>
      <c r="B241" s="1558" t="s">
        <v>1334</v>
      </c>
      <c r="C241" s="1558"/>
      <c r="D241" s="1558"/>
      <c r="E241" s="1558"/>
      <c r="F241" s="449" t="s">
        <v>285</v>
      </c>
      <c r="G241" s="448">
        <f>'14. Inst. Hidro-Sanitarias'!I54</f>
        <v>1</v>
      </c>
      <c r="H241" s="447">
        <f>APU!J1953</f>
        <v>112524.52654300001</v>
      </c>
      <c r="I241" s="447">
        <f t="shared" si="21"/>
        <v>112524.52654300001</v>
      </c>
      <c r="J241" s="1254">
        <f t="shared" si="20"/>
        <v>1.6616558598215787E-5</v>
      </c>
    </row>
    <row r="242" spans="1:14" hidden="1" outlineLevel="1">
      <c r="A242" s="445" t="s">
        <v>1423</v>
      </c>
      <c r="B242" s="1558" t="s">
        <v>1335</v>
      </c>
      <c r="C242" s="1558"/>
      <c r="D242" s="1558"/>
      <c r="E242" s="1558"/>
      <c r="F242" s="449" t="s">
        <v>285</v>
      </c>
      <c r="G242" s="448">
        <f>'14. Inst. Hidro-Sanitarias'!I55</f>
        <v>1</v>
      </c>
      <c r="H242" s="447">
        <f>APU!J1960</f>
        <v>112524.52654300001</v>
      </c>
      <c r="I242" s="447">
        <f t="shared" si="21"/>
        <v>112524.52654300001</v>
      </c>
      <c r="J242" s="1254">
        <f t="shared" si="20"/>
        <v>1.6616558598215787E-5</v>
      </c>
    </row>
    <row r="243" spans="1:14" hidden="1" outlineLevel="1">
      <c r="A243" s="445" t="s">
        <v>1424</v>
      </c>
      <c r="B243" s="1558" t="s">
        <v>1336</v>
      </c>
      <c r="C243" s="1558"/>
      <c r="D243" s="1558"/>
      <c r="E243" s="1558"/>
      <c r="F243" s="449" t="s">
        <v>285</v>
      </c>
      <c r="G243" s="448">
        <f>'14. Inst. Hidro-Sanitarias'!I56</f>
        <v>4</v>
      </c>
      <c r="H243" s="447">
        <f>APU!J1967</f>
        <v>112524.52654300001</v>
      </c>
      <c r="I243" s="447">
        <f t="shared" si="21"/>
        <v>450098.10617200006</v>
      </c>
      <c r="J243" s="1254">
        <f t="shared" si="20"/>
        <v>6.6466234392863148E-5</v>
      </c>
    </row>
    <row r="244" spans="1:14" hidden="1" outlineLevel="1">
      <c r="A244" s="445" t="s">
        <v>2848</v>
      </c>
      <c r="B244" s="1558" t="s">
        <v>1337</v>
      </c>
      <c r="C244" s="1558"/>
      <c r="D244" s="1558"/>
      <c r="E244" s="1558"/>
      <c r="F244" s="449" t="s">
        <v>48</v>
      </c>
      <c r="G244" s="448">
        <f>'14. Inst. Hidro-Sanitarias'!J83</f>
        <v>110.12833000000001</v>
      </c>
      <c r="H244" s="447">
        <f>APU!J1980</f>
        <v>11848.96054</v>
      </c>
      <c r="I244" s="447">
        <f t="shared" si="21"/>
        <v>1304906.2365060982</v>
      </c>
      <c r="J244" s="1254">
        <f t="shared" si="20"/>
        <v>1.9269622019511338E-4</v>
      </c>
    </row>
    <row r="245" spans="1:14" ht="12.75" hidden="1" customHeight="1" outlineLevel="1">
      <c r="A245" s="445" t="s">
        <v>2849</v>
      </c>
      <c r="B245" s="1558" t="s">
        <v>1338</v>
      </c>
      <c r="C245" s="1558"/>
      <c r="D245" s="1558"/>
      <c r="E245" s="1558"/>
      <c r="F245" s="449" t="s">
        <v>48</v>
      </c>
      <c r="G245" s="448">
        <f>'14. Inst. Hidro-Sanitarias'!J84</f>
        <v>37.202199999999998</v>
      </c>
      <c r="H245" s="447">
        <f>APU!J1992</f>
        <v>27990.956109999996</v>
      </c>
      <c r="I245" s="447">
        <f t="shared" si="21"/>
        <v>1041325.1473954418</v>
      </c>
      <c r="J245" s="1254">
        <f t="shared" si="20"/>
        <v>1.5377305608906344E-4</v>
      </c>
    </row>
    <row r="246" spans="1:14" ht="12.75" hidden="1" customHeight="1" outlineLevel="1">
      <c r="A246" s="445" t="s">
        <v>2850</v>
      </c>
      <c r="B246" s="1558" t="s">
        <v>1339</v>
      </c>
      <c r="C246" s="1558"/>
      <c r="D246" s="1558"/>
      <c r="E246" s="1558"/>
      <c r="F246" s="449" t="s">
        <v>48</v>
      </c>
      <c r="G246" s="448">
        <f>'14. Inst. Hidro-Sanitarias'!J86</f>
        <v>46.02</v>
      </c>
      <c r="H246" s="447">
        <f>APU!J2005</f>
        <v>21029.383940000003</v>
      </c>
      <c r="I246" s="447">
        <f t="shared" si="21"/>
        <v>967772.24891880027</v>
      </c>
      <c r="J246" s="1254">
        <f t="shared" si="20"/>
        <v>1.4291145919855192E-4</v>
      </c>
    </row>
    <row r="247" spans="1:14" ht="12.75" hidden="1" customHeight="1" outlineLevel="1">
      <c r="A247" s="445" t="s">
        <v>2851</v>
      </c>
      <c r="B247" s="1558" t="s">
        <v>1340</v>
      </c>
      <c r="C247" s="1558"/>
      <c r="D247" s="1558"/>
      <c r="E247" s="1558"/>
      <c r="F247" s="449" t="s">
        <v>48</v>
      </c>
      <c r="G247" s="448">
        <f>'14. Inst. Hidro-Sanitarias'!J85</f>
        <v>106.70000000000002</v>
      </c>
      <c r="H247" s="447">
        <f>APU!J2018</f>
        <v>50349.253510000002</v>
      </c>
      <c r="I247" s="447">
        <f t="shared" si="21"/>
        <v>5372265.3495170008</v>
      </c>
      <c r="J247" s="1254">
        <f t="shared" si="20"/>
        <v>7.9332537294703003E-4</v>
      </c>
    </row>
    <row r="248" spans="1:14" ht="12.75" hidden="1" customHeight="1" outlineLevel="1">
      <c r="A248" s="445" t="s">
        <v>2852</v>
      </c>
      <c r="B248" s="1558" t="s">
        <v>1341</v>
      </c>
      <c r="C248" s="1558"/>
      <c r="D248" s="1558"/>
      <c r="E248" s="1558"/>
      <c r="F248" s="449" t="s">
        <v>48</v>
      </c>
      <c r="G248" s="448">
        <f>'14. Inst. Hidro-Sanitarias'!P86</f>
        <v>126.43</v>
      </c>
      <c r="H248" s="447">
        <f>APU!J2029</f>
        <v>34618.398588499993</v>
      </c>
      <c r="I248" s="447">
        <f t="shared" si="21"/>
        <v>4376804.1335440539</v>
      </c>
      <c r="J248" s="1254">
        <f t="shared" si="20"/>
        <v>6.4632506878538928E-4</v>
      </c>
    </row>
    <row r="249" spans="1:14" ht="12.75" hidden="1" customHeight="1" outlineLevel="1">
      <c r="A249" s="445" t="s">
        <v>2853</v>
      </c>
      <c r="B249" s="1559" t="s">
        <v>1342</v>
      </c>
      <c r="C249" s="1559"/>
      <c r="D249" s="1559"/>
      <c r="E249" s="1559"/>
      <c r="F249" s="533" t="s">
        <v>48</v>
      </c>
      <c r="G249" s="534">
        <f>'14. Inst. Hidro-Sanitarias'!P87</f>
        <v>161.16999999999999</v>
      </c>
      <c r="H249" s="455">
        <f>APU!J2040</f>
        <v>34618.398588499993</v>
      </c>
      <c r="I249" s="447">
        <f t="shared" si="21"/>
        <v>5579447.3005085438</v>
      </c>
      <c r="J249" s="1254">
        <f t="shared" si="20"/>
        <v>8.2392004537009571E-4</v>
      </c>
    </row>
    <row r="250" spans="1:14" ht="12.75" hidden="1" customHeight="1" outlineLevel="1" thickBot="1">
      <c r="A250" s="445" t="s">
        <v>2858</v>
      </c>
      <c r="B250" s="1555" t="s">
        <v>2859</v>
      </c>
      <c r="C250" s="1556"/>
      <c r="D250" s="1556"/>
      <c r="E250" s="1557"/>
      <c r="F250" s="533" t="s">
        <v>48</v>
      </c>
      <c r="G250" s="534">
        <f>+APU!F2047</f>
        <v>31.84</v>
      </c>
      <c r="H250" s="455">
        <f>APU!J2047</f>
        <v>26588.95</v>
      </c>
      <c r="I250" s="455">
        <f t="shared" si="21"/>
        <v>846592.16800000006</v>
      </c>
      <c r="J250" s="1254">
        <f t="shared" si="20"/>
        <v>1.2501673013471266E-4</v>
      </c>
    </row>
    <row r="251" spans="1:14" ht="13.5" collapsed="1" thickBot="1">
      <c r="A251" s="436"/>
      <c r="B251" s="437"/>
      <c r="C251" s="437"/>
      <c r="D251" s="437"/>
      <c r="E251" s="437"/>
      <c r="F251" s="1546" t="s">
        <v>3271</v>
      </c>
      <c r="G251" s="1547"/>
      <c r="H251" s="1548"/>
      <c r="I251" s="1248">
        <f>+SUM(I220:I250)</f>
        <v>31164755.514962941</v>
      </c>
      <c r="J251" s="815">
        <f>I251/$I$261</f>
        <v>4.6021165529237691E-3</v>
      </c>
      <c r="K251" s="1459"/>
      <c r="L251" s="516"/>
      <c r="M251" s="1394"/>
    </row>
    <row r="252" spans="1:14" ht="13.5" thickBot="1">
      <c r="A252" s="551">
        <v>18</v>
      </c>
      <c r="B252" s="1567" t="s">
        <v>1666</v>
      </c>
      <c r="C252" s="1568"/>
      <c r="D252" s="1568"/>
      <c r="E252" s="1568"/>
      <c r="F252" s="1568"/>
      <c r="G252" s="1568"/>
      <c r="H252" s="1568"/>
      <c r="I252" s="1568"/>
      <c r="J252" s="1569"/>
      <c r="K252" s="1582"/>
      <c r="L252" s="1582"/>
      <c r="M252" s="1582"/>
      <c r="N252" s="1582"/>
    </row>
    <row r="253" spans="1:14" hidden="1" outlineLevel="1">
      <c r="A253" s="444" t="s">
        <v>1737</v>
      </c>
      <c r="B253" s="1560" t="s">
        <v>1179</v>
      </c>
      <c r="C253" s="1560" t="s">
        <v>681</v>
      </c>
      <c r="D253" s="1560" t="s">
        <v>681</v>
      </c>
      <c r="E253" s="1560" t="s">
        <v>681</v>
      </c>
      <c r="F253" s="444" t="s">
        <v>285</v>
      </c>
      <c r="G253" s="452">
        <f>'12. Acabados y accesorios'!P44</f>
        <v>4</v>
      </c>
      <c r="H253" s="442">
        <f>APU!J2056</f>
        <v>141420000</v>
      </c>
      <c r="I253" s="818">
        <f>G253*H253</f>
        <v>565680000</v>
      </c>
      <c r="J253" s="1254">
        <f>I253/$I$261</f>
        <v>8.3534276096213847E-2</v>
      </c>
      <c r="K253" s="516"/>
      <c r="L253" s="516"/>
      <c r="M253" s="516"/>
      <c r="N253" s="516"/>
    </row>
    <row r="254" spans="1:14" ht="14.25" hidden="1" outlineLevel="1">
      <c r="A254" s="444" t="s">
        <v>1191</v>
      </c>
      <c r="B254" s="1570" t="s">
        <v>1042</v>
      </c>
      <c r="C254" s="1570"/>
      <c r="D254" s="1570"/>
      <c r="E254" s="1570"/>
      <c r="F254" s="449" t="s">
        <v>678</v>
      </c>
      <c r="G254" s="451">
        <f>'18. Fachada'!F13</f>
        <v>2068.0768400000002</v>
      </c>
      <c r="H254" s="447">
        <f>APU!J2062</f>
        <v>167561.163</v>
      </c>
      <c r="I254" s="818">
        <f>G254*H254</f>
        <v>346529360.48376495</v>
      </c>
      <c r="J254" s="1254">
        <f>I254/$I$261</f>
        <v>5.117218086921093E-2</v>
      </c>
    </row>
    <row r="255" spans="1:14" ht="13.5" hidden="1" outlineLevel="1" thickBot="1">
      <c r="A255" s="444" t="s">
        <v>1192</v>
      </c>
      <c r="B255" s="1570" t="s">
        <v>1437</v>
      </c>
      <c r="C255" s="1570"/>
      <c r="D255" s="1570"/>
      <c r="E255" s="1570"/>
      <c r="F255" s="533" t="s">
        <v>285</v>
      </c>
      <c r="G255" s="1246">
        <f>'18. Fachada'!L6</f>
        <v>520</v>
      </c>
      <c r="H255" s="455">
        <f>APU!J2068</f>
        <v>585190.23</v>
      </c>
      <c r="I255" s="849">
        <f>G255*H255</f>
        <v>304298919.59999996</v>
      </c>
      <c r="J255" s="1254">
        <f>I255/$I$261</f>
        <v>4.4935988484029799E-2</v>
      </c>
      <c r="K255" s="1259"/>
    </row>
    <row r="256" spans="1:14" ht="13.5" collapsed="1" thickBot="1">
      <c r="A256" s="436"/>
      <c r="B256" s="437"/>
      <c r="C256" s="437"/>
      <c r="D256" s="437"/>
      <c r="E256" s="437"/>
      <c r="F256" s="1621" t="s">
        <v>684</v>
      </c>
      <c r="G256" s="1622"/>
      <c r="H256" s="1622"/>
      <c r="I256" s="814">
        <f>+SUM(I253:I255)</f>
        <v>1216508280.0837648</v>
      </c>
      <c r="J256" s="815">
        <f>I256/$I$261</f>
        <v>0.17964244544945454</v>
      </c>
      <c r="K256" s="1256"/>
      <c r="L256" s="516"/>
      <c r="M256" s="759"/>
    </row>
    <row r="257" spans="1:13" ht="13.5" thickBot="1">
      <c r="A257" s="537">
        <v>19</v>
      </c>
      <c r="B257" s="1579" t="s">
        <v>680</v>
      </c>
      <c r="C257" s="1580"/>
      <c r="D257" s="1580"/>
      <c r="E257" s="1580"/>
      <c r="F257" s="1580"/>
      <c r="G257" s="1580"/>
      <c r="H257" s="1580"/>
      <c r="I257" s="1580"/>
      <c r="J257" s="1581"/>
      <c r="L257" s="516"/>
      <c r="M257" s="516"/>
    </row>
    <row r="258" spans="1:13" ht="14.25" hidden="1" outlineLevel="1">
      <c r="A258" s="445" t="s">
        <v>1435</v>
      </c>
      <c r="B258" s="1560" t="s">
        <v>679</v>
      </c>
      <c r="C258" s="1560" t="s">
        <v>676</v>
      </c>
      <c r="D258" s="1560" t="s">
        <v>676</v>
      </c>
      <c r="E258" s="1560" t="s">
        <v>676</v>
      </c>
      <c r="F258" s="444" t="s">
        <v>678</v>
      </c>
      <c r="G258" s="443">
        <f>+'9. Pisos y zócalos'!D55+'9. Pisos y zócalos'!D56+'9. Pisos y zócalos'!D57+'9. Pisos y zócalos'!D58+'9. Pisos y zócalos'!D59+'9. Pisos y zócalos'!D60</f>
        <v>6585.180800000001</v>
      </c>
      <c r="H258" s="442">
        <f>+APU!J2073</f>
        <v>200</v>
      </c>
      <c r="I258" s="442">
        <f>+G258*H258</f>
        <v>1317036.1600000001</v>
      </c>
      <c r="J258" s="1254">
        <f>I258/$I$261</f>
        <v>1.9448745265545413E-4</v>
      </c>
      <c r="L258" s="516"/>
      <c r="M258" s="516"/>
    </row>
    <row r="259" spans="1:13" ht="13.5" hidden="1" outlineLevel="1" thickBot="1">
      <c r="A259" s="441" t="s">
        <v>1436</v>
      </c>
      <c r="B259" s="1576" t="s">
        <v>677</v>
      </c>
      <c r="C259" s="1576" t="s">
        <v>676</v>
      </c>
      <c r="D259" s="1576" t="s">
        <v>676</v>
      </c>
      <c r="E259" s="1576" t="s">
        <v>676</v>
      </c>
      <c r="F259" s="440" t="s">
        <v>675</v>
      </c>
      <c r="G259" s="439">
        <v>1</v>
      </c>
      <c r="H259" s="438">
        <f>+APU!J2077</f>
        <v>31882570.645614799</v>
      </c>
      <c r="I259" s="1245">
        <f>+G259*H259</f>
        <v>31882570.645614799</v>
      </c>
      <c r="J259" s="1254">
        <f>I259/$I$261</f>
        <v>4.708116707268826E-3</v>
      </c>
      <c r="K259" s="30"/>
      <c r="L259" s="516"/>
      <c r="M259" s="516"/>
    </row>
    <row r="260" spans="1:13" ht="13.5" collapsed="1" thickBot="1">
      <c r="A260" s="436"/>
      <c r="B260" s="437"/>
      <c r="C260" s="437"/>
      <c r="D260" s="437"/>
      <c r="E260" s="437"/>
      <c r="F260" s="1549" t="s">
        <v>2778</v>
      </c>
      <c r="G260" s="1550"/>
      <c r="H260" s="1551"/>
      <c r="I260" s="819">
        <f>+SUM(I258:I259)</f>
        <v>33199606.805614799</v>
      </c>
      <c r="J260" s="815">
        <f>I260/$I$261</f>
        <v>4.9026041599242801E-3</v>
      </c>
      <c r="K260" s="1261"/>
      <c r="L260" s="516"/>
      <c r="M260" s="759"/>
    </row>
    <row r="261" spans="1:13" ht="13.5" thickBot="1">
      <c r="A261" s="1552" t="s">
        <v>1009</v>
      </c>
      <c r="B261" s="1553"/>
      <c r="C261" s="1553"/>
      <c r="D261" s="1553"/>
      <c r="E261" s="1553"/>
      <c r="F261" s="1553"/>
      <c r="G261" s="1553"/>
      <c r="H261" s="1554"/>
      <c r="I261" s="1251">
        <f>SUM(I15,I20,I28,I43,I54,I58,I61,I65,I79,I84,I95,I141,I157,I161,I189,I218,I251,I256,I260)</f>
        <v>6771830994.8416395</v>
      </c>
      <c r="J261" s="1255">
        <f>I261/I261</f>
        <v>1</v>
      </c>
      <c r="L261" s="516"/>
      <c r="M261" s="516"/>
    </row>
    <row r="262" spans="1:13" ht="13.5" thickBot="1">
      <c r="A262" s="1552" t="s">
        <v>3272</v>
      </c>
      <c r="B262" s="1553"/>
      <c r="C262" s="1553"/>
      <c r="D262" s="1553"/>
      <c r="E262" s="1553"/>
      <c r="F262" s="1553"/>
      <c r="G262" s="1553"/>
      <c r="H262" s="1554"/>
      <c r="I262" s="1251">
        <f>I261/I7</f>
        <v>1028343.9742218831</v>
      </c>
      <c r="J262" s="1250"/>
    </row>
  </sheetData>
  <mergeCells count="262">
    <mergeCell ref="B41:E41"/>
    <mergeCell ref="B38:E38"/>
    <mergeCell ref="F15:H15"/>
    <mergeCell ref="B10:E10"/>
    <mergeCell ref="B11:E11"/>
    <mergeCell ref="B50:E50"/>
    <mergeCell ref="B51:E51"/>
    <mergeCell ref="B30:E30"/>
    <mergeCell ref="B53:E53"/>
    <mergeCell ref="F20:H20"/>
    <mergeCell ref="B23:E23"/>
    <mergeCell ref="B26:E26"/>
    <mergeCell ref="B47:E47"/>
    <mergeCell ref="B48:E48"/>
    <mergeCell ref="B49:E49"/>
    <mergeCell ref="B52:E52"/>
    <mergeCell ref="B27:E27"/>
    <mergeCell ref="B42:E42"/>
    <mergeCell ref="B33:E33"/>
    <mergeCell ref="B39:E39"/>
    <mergeCell ref="B34:E34"/>
    <mergeCell ref="B35:E35"/>
    <mergeCell ref="B36:E36"/>
    <mergeCell ref="B37:E37"/>
    <mergeCell ref="B40:E40"/>
    <mergeCell ref="B206:E206"/>
    <mergeCell ref="B151:E151"/>
    <mergeCell ref="B150:E150"/>
    <mergeCell ref="B148:E148"/>
    <mergeCell ref="B91:E91"/>
    <mergeCell ref="B97:E97"/>
    <mergeCell ref="B106:E106"/>
    <mergeCell ref="B107:E107"/>
    <mergeCell ref="B118:E118"/>
    <mergeCell ref="B109:E109"/>
    <mergeCell ref="B132:E132"/>
    <mergeCell ref="B110:E110"/>
    <mergeCell ref="B111:E111"/>
    <mergeCell ref="B128:E128"/>
    <mergeCell ref="B129:E129"/>
    <mergeCell ref="B133:E133"/>
    <mergeCell ref="B96:J96"/>
    <mergeCell ref="B122:E122"/>
    <mergeCell ref="F141:H141"/>
    <mergeCell ref="B137:E137"/>
    <mergeCell ref="B144:E144"/>
    <mergeCell ref="F95:H95"/>
    <mergeCell ref="B92:E92"/>
    <mergeCell ref="B85:J85"/>
    <mergeCell ref="F161:H161"/>
    <mergeCell ref="F260:H260"/>
    <mergeCell ref="F256:H256"/>
    <mergeCell ref="F61:H61"/>
    <mergeCell ref="B134:E134"/>
    <mergeCell ref="B131:E131"/>
    <mergeCell ref="B250:E250"/>
    <mergeCell ref="B254:E254"/>
    <mergeCell ref="B255:E255"/>
    <mergeCell ref="B125:E125"/>
    <mergeCell ref="B126:E126"/>
    <mergeCell ref="B127:E127"/>
    <mergeCell ref="B253:E253"/>
    <mergeCell ref="B258:E258"/>
    <mergeCell ref="B259:E259"/>
    <mergeCell ref="B198:E198"/>
    <mergeCell ref="B199:E199"/>
    <mergeCell ref="B158:J158"/>
    <mergeCell ref="B149:E149"/>
    <mergeCell ref="F79:H79"/>
    <mergeCell ref="B99:E99"/>
    <mergeCell ref="F65:H65"/>
    <mergeCell ref="B62:J62"/>
    <mergeCell ref="B60:E60"/>
    <mergeCell ref="B63:E63"/>
    <mergeCell ref="B64:E64"/>
    <mergeCell ref="B66:J66"/>
    <mergeCell ref="B73:E73"/>
    <mergeCell ref="B74:E74"/>
    <mergeCell ref="B120:E120"/>
    <mergeCell ref="B100:E100"/>
    <mergeCell ref="B101:E101"/>
    <mergeCell ref="B103:E103"/>
    <mergeCell ref="B104:E104"/>
    <mergeCell ref="B119:E119"/>
    <mergeCell ref="B98:E98"/>
    <mergeCell ref="B105:E105"/>
    <mergeCell ref="F84:H84"/>
    <mergeCell ref="B94:E94"/>
    <mergeCell ref="B115:E115"/>
    <mergeCell ref="B116:E116"/>
    <mergeCell ref="B80:J80"/>
    <mergeCell ref="B113:E113"/>
    <mergeCell ref="B114:E114"/>
    <mergeCell ref="B86:E86"/>
    <mergeCell ref="B87:E87"/>
    <mergeCell ref="B90:E90"/>
    <mergeCell ref="J4:J5"/>
    <mergeCell ref="B8:J8"/>
    <mergeCell ref="B16:J16"/>
    <mergeCell ref="B24:E24"/>
    <mergeCell ref="B21:J21"/>
    <mergeCell ref="B29:J29"/>
    <mergeCell ref="B44:J44"/>
    <mergeCell ref="B55:J55"/>
    <mergeCell ref="B59:J59"/>
    <mergeCell ref="B56:E56"/>
    <mergeCell ref="F58:H58"/>
    <mergeCell ref="F54:H54"/>
    <mergeCell ref="F43:H43"/>
    <mergeCell ref="B45:E45"/>
    <mergeCell ref="B46:E46"/>
    <mergeCell ref="I4:I5"/>
    <mergeCell ref="B9:E9"/>
    <mergeCell ref="B31:E31"/>
    <mergeCell ref="B32:E32"/>
    <mergeCell ref="H4:H5"/>
    <mergeCell ref="B14:E14"/>
    <mergeCell ref="B25:E25"/>
    <mergeCell ref="B17:E17"/>
    <mergeCell ref="B257:J257"/>
    <mergeCell ref="B252:J252"/>
    <mergeCell ref="B244:E244"/>
    <mergeCell ref="B18:E18"/>
    <mergeCell ref="B19:E19"/>
    <mergeCell ref="B22:E22"/>
    <mergeCell ref="B152:E152"/>
    <mergeCell ref="B155:E155"/>
    <mergeCell ref="B153:E153"/>
    <mergeCell ref="B237:E237"/>
    <mergeCell ref="B220:E220"/>
    <mergeCell ref="B154:E154"/>
    <mergeCell ref="B117:E117"/>
    <mergeCell ref="B176:E176"/>
    <mergeCell ref="B165:E165"/>
    <mergeCell ref="B166:E166"/>
    <mergeCell ref="B167:E167"/>
    <mergeCell ref="B190:J190"/>
    <mergeCell ref="B168:E168"/>
    <mergeCell ref="B212:E212"/>
    <mergeCell ref="B216:E216"/>
    <mergeCell ref="B217:E217"/>
    <mergeCell ref="B140:E140"/>
    <mergeCell ref="B123:E123"/>
    <mergeCell ref="B1:G1"/>
    <mergeCell ref="A4:A5"/>
    <mergeCell ref="B4:E5"/>
    <mergeCell ref="F4:F5"/>
    <mergeCell ref="G4:G5"/>
    <mergeCell ref="B72:E72"/>
    <mergeCell ref="B76:E76"/>
    <mergeCell ref="B112:E112"/>
    <mergeCell ref="B78:E78"/>
    <mergeCell ref="B81:E81"/>
    <mergeCell ref="B82:E82"/>
    <mergeCell ref="B102:E102"/>
    <mergeCell ref="B83:E83"/>
    <mergeCell ref="B88:E88"/>
    <mergeCell ref="B12:E12"/>
    <mergeCell ref="B13:E13"/>
    <mergeCell ref="B89:E89"/>
    <mergeCell ref="F28:H28"/>
    <mergeCell ref="B77:E77"/>
    <mergeCell ref="B67:E67"/>
    <mergeCell ref="B68:E68"/>
    <mergeCell ref="B69:E69"/>
    <mergeCell ref="B70:E70"/>
    <mergeCell ref="B71:E71"/>
    <mergeCell ref="K252:N252"/>
    <mergeCell ref="B241:E241"/>
    <mergeCell ref="B235:E235"/>
    <mergeCell ref="B236:E236"/>
    <mergeCell ref="B239:E239"/>
    <mergeCell ref="B194:E194"/>
    <mergeCell ref="B229:E229"/>
    <mergeCell ref="B230:E230"/>
    <mergeCell ref="B231:E231"/>
    <mergeCell ref="B233:E233"/>
    <mergeCell ref="B234:E234"/>
    <mergeCell ref="B228:E228"/>
    <mergeCell ref="B196:E196"/>
    <mergeCell ref="B197:E197"/>
    <mergeCell ref="B232:E232"/>
    <mergeCell ref="B243:E243"/>
    <mergeCell ref="B242:E242"/>
    <mergeCell ref="B221:E221"/>
    <mergeCell ref="B222:E222"/>
    <mergeCell ref="B223:E223"/>
    <mergeCell ref="B214:E214"/>
    <mergeCell ref="B209:E209"/>
    <mergeCell ref="B210:E210"/>
    <mergeCell ref="B211:E211"/>
    <mergeCell ref="B147:E147"/>
    <mergeCell ref="B135:E135"/>
    <mergeCell ref="B136:E136"/>
    <mergeCell ref="B108:E108"/>
    <mergeCell ref="B93:E93"/>
    <mergeCell ref="B173:E173"/>
    <mergeCell ref="B164:E164"/>
    <mergeCell ref="B170:E170"/>
    <mergeCell ref="B171:E171"/>
    <mergeCell ref="B169:E169"/>
    <mergeCell ref="B156:E156"/>
    <mergeCell ref="B162:J162"/>
    <mergeCell ref="B163:E163"/>
    <mergeCell ref="B159:E159"/>
    <mergeCell ref="B160:E160"/>
    <mergeCell ref="B145:E145"/>
    <mergeCell ref="B124:E124"/>
    <mergeCell ref="B138:E138"/>
    <mergeCell ref="B142:J142"/>
    <mergeCell ref="B121:E121"/>
    <mergeCell ref="B130:E130"/>
    <mergeCell ref="F157:H157"/>
    <mergeCell ref="B146:E146"/>
    <mergeCell ref="B225:E225"/>
    <mergeCell ref="B226:E226"/>
    <mergeCell ref="B227:E227"/>
    <mergeCell ref="B240:E240"/>
    <mergeCell ref="B191:E191"/>
    <mergeCell ref="B177:E177"/>
    <mergeCell ref="B178:E178"/>
    <mergeCell ref="B183:E183"/>
    <mergeCell ref="B184:E184"/>
    <mergeCell ref="B179:E179"/>
    <mergeCell ref="B180:E180"/>
    <mergeCell ref="B181:E181"/>
    <mergeCell ref="B182:E182"/>
    <mergeCell ref="B238:E238"/>
    <mergeCell ref="B207:E207"/>
    <mergeCell ref="B208:E208"/>
    <mergeCell ref="B200:E200"/>
    <mergeCell ref="B201:E201"/>
    <mergeCell ref="B202:E202"/>
    <mergeCell ref="B203:E203"/>
    <mergeCell ref="B204:E204"/>
    <mergeCell ref="B205:E205"/>
    <mergeCell ref="B213:E213"/>
    <mergeCell ref="B219:J219"/>
    <mergeCell ref="F189:H189"/>
    <mergeCell ref="F218:H218"/>
    <mergeCell ref="F251:H251"/>
    <mergeCell ref="A261:H261"/>
    <mergeCell ref="A262:H262"/>
    <mergeCell ref="B139:E139"/>
    <mergeCell ref="B245:E245"/>
    <mergeCell ref="B246:E246"/>
    <mergeCell ref="B247:E247"/>
    <mergeCell ref="B248:E248"/>
    <mergeCell ref="B249:E249"/>
    <mergeCell ref="B215:E215"/>
    <mergeCell ref="B195:E195"/>
    <mergeCell ref="B143:E143"/>
    <mergeCell ref="B193:E193"/>
    <mergeCell ref="B187:E187"/>
    <mergeCell ref="B188:E188"/>
    <mergeCell ref="B186:E186"/>
    <mergeCell ref="B185:E185"/>
    <mergeCell ref="B174:E174"/>
    <mergeCell ref="B175:E175"/>
    <mergeCell ref="B172:E172"/>
    <mergeCell ref="B192:E192"/>
    <mergeCell ref="B224:E224"/>
  </mergeCells>
  <pageMargins left="0.7" right="0.7" top="0.75" bottom="0.75" header="0.3" footer="0.3"/>
  <pageSetup orientation="portrait" horizontalDpi="300" r:id="rId1"/>
  <ignoredErrors>
    <ignoredError sqref="G31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2" sqref="G2"/>
    </sheetView>
  </sheetViews>
  <sheetFormatPr baseColWidth="10" defaultRowHeight="12.75"/>
  <cols>
    <col min="5" max="5" width="18.28515625" bestFit="1" customWidth="1"/>
    <col min="6" max="6" width="13.5703125" customWidth="1"/>
  </cols>
  <sheetData>
    <row r="1" spans="1:6" ht="15">
      <c r="A1" s="1648" t="s">
        <v>3369</v>
      </c>
      <c r="B1" s="1649"/>
      <c r="C1" s="1649"/>
      <c r="D1" s="1649"/>
      <c r="E1" s="1649"/>
      <c r="F1" s="1649"/>
    </row>
    <row r="2" spans="1:6" ht="15">
      <c r="A2" s="1294" t="s">
        <v>14</v>
      </c>
      <c r="B2" s="1650" t="s">
        <v>275</v>
      </c>
      <c r="C2" s="1650"/>
      <c r="D2" s="1650"/>
      <c r="E2" s="1650"/>
      <c r="F2" s="1295"/>
    </row>
    <row r="3" spans="1:6" ht="15">
      <c r="A3" s="1294" t="s">
        <v>15</v>
      </c>
      <c r="B3" s="1650" t="s">
        <v>276</v>
      </c>
      <c r="C3" s="1650"/>
      <c r="D3" s="1650"/>
      <c r="E3" s="1650"/>
      <c r="F3" s="1296"/>
    </row>
    <row r="4" spans="1:6" ht="15.75" thickBot="1">
      <c r="A4" s="1294"/>
      <c r="B4" s="1297"/>
      <c r="C4" s="1297"/>
      <c r="D4" s="1297"/>
      <c r="E4" s="1297"/>
      <c r="F4" s="1296"/>
    </row>
    <row r="5" spans="1:6" ht="30">
      <c r="A5" s="1301" t="s">
        <v>3370</v>
      </c>
      <c r="B5" s="1651" t="s">
        <v>3371</v>
      </c>
      <c r="C5" s="1651"/>
      <c r="D5" s="1651"/>
      <c r="E5" s="1302" t="s">
        <v>3372</v>
      </c>
      <c r="F5" s="1303" t="s">
        <v>1866</v>
      </c>
    </row>
    <row r="6" spans="1:6" ht="15">
      <c r="A6" s="1298">
        <v>1</v>
      </c>
      <c r="B6" s="1637" t="s">
        <v>712</v>
      </c>
      <c r="C6" s="1637"/>
      <c r="D6" s="1637"/>
      <c r="E6" s="1299">
        <f>+'Estructura de Presupuesto'!I15</f>
        <v>63765141.291229598</v>
      </c>
      <c r="F6" s="1375">
        <f>+E6/$E$26</f>
        <v>9.416233414537652E-3</v>
      </c>
    </row>
    <row r="7" spans="1:6" ht="15">
      <c r="A7" s="1298">
        <v>2</v>
      </c>
      <c r="B7" s="1637" t="s">
        <v>1542</v>
      </c>
      <c r="C7" s="1637"/>
      <c r="D7" s="1637"/>
      <c r="E7" s="1300">
        <f>+'Estructura de Presupuesto'!I20</f>
        <v>215773025.39103997</v>
      </c>
      <c r="F7" s="1375">
        <f t="shared" ref="F7:F24" si="0">+E7/$E$26</f>
        <v>3.1863321095196039E-2</v>
      </c>
    </row>
    <row r="8" spans="1:6" ht="15">
      <c r="A8" s="1298">
        <v>3</v>
      </c>
      <c r="B8" s="1637" t="s">
        <v>707</v>
      </c>
      <c r="C8" s="1637"/>
      <c r="D8" s="1637"/>
      <c r="E8" s="1300">
        <f>+'Estructura de Presupuesto'!I28</f>
        <v>182642302.36338317</v>
      </c>
      <c r="F8" s="1375">
        <f t="shared" si="0"/>
        <v>2.6970889040572446E-2</v>
      </c>
    </row>
    <row r="9" spans="1:6" ht="15">
      <c r="A9" s="1298">
        <v>4</v>
      </c>
      <c r="B9" s="1637" t="s">
        <v>58</v>
      </c>
      <c r="C9" s="1637"/>
      <c r="D9" s="1637"/>
      <c r="E9" s="1300">
        <f>+'Estructura de Presupuesto'!I43</f>
        <v>1580013864.4402962</v>
      </c>
      <c r="F9" s="1375">
        <f t="shared" si="0"/>
        <v>0.23332151461603998</v>
      </c>
    </row>
    <row r="10" spans="1:6" ht="15">
      <c r="A10" s="1298">
        <v>5</v>
      </c>
      <c r="B10" s="1637" t="s">
        <v>702</v>
      </c>
      <c r="C10" s="1637"/>
      <c r="D10" s="1637"/>
      <c r="E10" s="1300">
        <f>+'Estructura de Presupuesto'!I54</f>
        <v>1430224129.3341966</v>
      </c>
      <c r="F10" s="1375">
        <f t="shared" si="0"/>
        <v>0.21120198221480313</v>
      </c>
    </row>
    <row r="11" spans="1:6" ht="15">
      <c r="A11" s="1298">
        <v>6</v>
      </c>
      <c r="B11" s="1637" t="s">
        <v>1234</v>
      </c>
      <c r="C11" s="1637"/>
      <c r="D11" s="1637"/>
      <c r="E11" s="1300">
        <f>+'Estructura de Presupuesto'!I58</f>
        <v>413334822.89580446</v>
      </c>
      <c r="F11" s="1375">
        <f t="shared" si="0"/>
        <v>6.1037380172461075E-2</v>
      </c>
    </row>
    <row r="12" spans="1:6" ht="15">
      <c r="A12" s="1298">
        <v>7</v>
      </c>
      <c r="B12" s="1637" t="s">
        <v>1262</v>
      </c>
      <c r="C12" s="1637"/>
      <c r="D12" s="1637"/>
      <c r="E12" s="1300">
        <f>+'Estructura de Presupuesto'!I61</f>
        <v>63396032.572342038</v>
      </c>
      <c r="F12" s="1375">
        <f t="shared" si="0"/>
        <v>9.3617269274193643E-3</v>
      </c>
    </row>
    <row r="13" spans="1:6" ht="15">
      <c r="A13" s="1298">
        <v>8</v>
      </c>
      <c r="B13" s="1637" t="s">
        <v>1688</v>
      </c>
      <c r="C13" s="1637"/>
      <c r="D13" s="1637"/>
      <c r="E13" s="1300">
        <f>+'Estructura de Presupuesto'!I65</f>
        <v>92592049.737649709</v>
      </c>
      <c r="F13" s="1375">
        <f t="shared" si="0"/>
        <v>1.3673118807628334E-2</v>
      </c>
    </row>
    <row r="14" spans="1:6" ht="15">
      <c r="A14" s="1298">
        <v>9</v>
      </c>
      <c r="B14" s="1637" t="s">
        <v>695</v>
      </c>
      <c r="C14" s="1637"/>
      <c r="D14" s="1637"/>
      <c r="E14" s="1300">
        <f>+'Estructura de Presupuesto'!I79</f>
        <v>333614313.11958283</v>
      </c>
      <c r="F14" s="1375">
        <f t="shared" si="0"/>
        <v>4.9265008735999101E-2</v>
      </c>
    </row>
    <row r="15" spans="1:6" ht="15">
      <c r="A15" s="1298">
        <v>10</v>
      </c>
      <c r="B15" s="1637" t="s">
        <v>1004</v>
      </c>
      <c r="C15" s="1637"/>
      <c r="D15" s="1637"/>
      <c r="E15" s="1300">
        <f>+'Estructura de Presupuesto'!I84</f>
        <v>100581856.98258379</v>
      </c>
      <c r="F15" s="1375">
        <f t="shared" si="0"/>
        <v>1.4852978029014724E-2</v>
      </c>
    </row>
    <row r="16" spans="1:6" ht="15">
      <c r="A16" s="1298">
        <v>11</v>
      </c>
      <c r="B16" s="1637" t="s">
        <v>3373</v>
      </c>
      <c r="C16" s="1637"/>
      <c r="D16" s="1637"/>
      <c r="E16" s="1300">
        <f>+'Estructura de Presupuesto'!I95</f>
        <v>20600078.270000003</v>
      </c>
      <c r="F16" s="1375">
        <f t="shared" si="0"/>
        <v>3.042024865312183E-3</v>
      </c>
    </row>
    <row r="17" spans="1:6" ht="15">
      <c r="A17" s="1298">
        <v>12</v>
      </c>
      <c r="B17" s="1637" t="s">
        <v>1696</v>
      </c>
      <c r="C17" s="1637"/>
      <c r="D17" s="1637"/>
      <c r="E17" s="1300">
        <f>+'Estructura de Presupuesto'!I141</f>
        <v>366362905.42719918</v>
      </c>
      <c r="F17" s="1375">
        <f t="shared" si="0"/>
        <v>5.4101011337446506E-2</v>
      </c>
    </row>
    <row r="18" spans="1:6" ht="15">
      <c r="A18" s="1298">
        <v>13</v>
      </c>
      <c r="B18" s="1637" t="s">
        <v>1978</v>
      </c>
      <c r="C18" s="1637"/>
      <c r="D18" s="1637"/>
      <c r="E18" s="1300">
        <f>+'Estructura de Presupuesto'!I157</f>
        <v>202648186.01892099</v>
      </c>
      <c r="F18" s="1375">
        <f t="shared" si="0"/>
        <v>2.992516886101939E-2</v>
      </c>
    </row>
    <row r="19" spans="1:6" ht="15">
      <c r="A19" s="1298">
        <v>14</v>
      </c>
      <c r="B19" s="1637" t="s">
        <v>335</v>
      </c>
      <c r="C19" s="1637"/>
      <c r="D19" s="1637"/>
      <c r="E19" s="1300">
        <f>+'Estructura de Presupuesto'!I161</f>
        <v>206646831.91221997</v>
      </c>
      <c r="F19" s="1375">
        <f t="shared" si="0"/>
        <v>3.0515651094900433E-2</v>
      </c>
    </row>
    <row r="20" spans="1:6" ht="15">
      <c r="A20" s="1298">
        <v>15</v>
      </c>
      <c r="B20" s="1645" t="s">
        <v>278</v>
      </c>
      <c r="C20" s="1646"/>
      <c r="D20" s="1647"/>
      <c r="E20" s="1300">
        <f>+'Estructura de Presupuesto'!I189</f>
        <v>185075786</v>
      </c>
      <c r="F20" s="1375">
        <f t="shared" si="0"/>
        <v>2.7330242904906994E-2</v>
      </c>
    </row>
    <row r="21" spans="1:6" ht="15">
      <c r="A21" s="1298">
        <v>16</v>
      </c>
      <c r="B21" s="1637" t="s">
        <v>3374</v>
      </c>
      <c r="C21" s="1637"/>
      <c r="D21" s="1637"/>
      <c r="E21" s="1300">
        <f>+'Estructura de Presupuesto'!I218</f>
        <v>33687026.68084754</v>
      </c>
      <c r="F21" s="1375">
        <f t="shared" si="0"/>
        <v>4.9745817204398966E-3</v>
      </c>
    </row>
    <row r="22" spans="1:6" ht="15">
      <c r="A22" s="1298">
        <v>17</v>
      </c>
      <c r="B22" s="1637" t="s">
        <v>3375</v>
      </c>
      <c r="C22" s="1637"/>
      <c r="D22" s="1637"/>
      <c r="E22" s="1300">
        <f>+'Estructura de Presupuesto'!I251</f>
        <v>31164755.514962941</v>
      </c>
      <c r="F22" s="1375">
        <f t="shared" si="0"/>
        <v>4.6021165529237691E-3</v>
      </c>
    </row>
    <row r="23" spans="1:6" ht="15">
      <c r="A23" s="1298">
        <v>18</v>
      </c>
      <c r="B23" s="1637" t="s">
        <v>1890</v>
      </c>
      <c r="C23" s="1637"/>
      <c r="D23" s="1637"/>
      <c r="E23" s="1300">
        <f>+'Estructura de Presupuesto'!I256</f>
        <v>1216508280.0837648</v>
      </c>
      <c r="F23" s="1375">
        <f t="shared" si="0"/>
        <v>0.17964244544945454</v>
      </c>
    </row>
    <row r="24" spans="1:6" ht="15">
      <c r="A24" s="1298">
        <v>19</v>
      </c>
      <c r="B24" s="1637" t="s">
        <v>2737</v>
      </c>
      <c r="C24" s="1637"/>
      <c r="D24" s="1637"/>
      <c r="E24" s="1300">
        <f>+'Estructura de Presupuesto'!I260</f>
        <v>33199606.805614799</v>
      </c>
      <c r="F24" s="1375">
        <f t="shared" si="0"/>
        <v>4.9026041599242801E-3</v>
      </c>
    </row>
    <row r="25" spans="1:6" ht="15">
      <c r="A25" s="1638"/>
      <c r="B25" s="1639"/>
      <c r="C25" s="1639"/>
      <c r="D25" s="1639"/>
      <c r="E25" s="1639"/>
      <c r="F25" s="1640"/>
    </row>
    <row r="26" spans="1:6" ht="15.75" thickBot="1">
      <c r="A26" s="1641" t="s">
        <v>3376</v>
      </c>
      <c r="B26" s="1642"/>
      <c r="C26" s="1642"/>
      <c r="D26" s="1642"/>
      <c r="E26" s="1643">
        <f>SUM(E6:E24)</f>
        <v>6771830994.8416395</v>
      </c>
      <c r="F26" s="1644"/>
    </row>
  </sheetData>
  <mergeCells count="26">
    <mergeCell ref="B13:D13"/>
    <mergeCell ref="B14:D14"/>
    <mergeCell ref="B15:D15"/>
    <mergeCell ref="B8:D8"/>
    <mergeCell ref="B9:D9"/>
    <mergeCell ref="B10:D10"/>
    <mergeCell ref="B11:D11"/>
    <mergeCell ref="B12:D12"/>
    <mergeCell ref="B7:D7"/>
    <mergeCell ref="A1:F1"/>
    <mergeCell ref="B2:E2"/>
    <mergeCell ref="B3:E3"/>
    <mergeCell ref="B5:D5"/>
    <mergeCell ref="B6:D6"/>
    <mergeCell ref="B16:D16"/>
    <mergeCell ref="B17:D17"/>
    <mergeCell ref="B18:D18"/>
    <mergeCell ref="A25:F25"/>
    <mergeCell ref="A26:D26"/>
    <mergeCell ref="E26:F26"/>
    <mergeCell ref="B21:D21"/>
    <mergeCell ref="B22:D22"/>
    <mergeCell ref="B23:D23"/>
    <mergeCell ref="B24:D24"/>
    <mergeCell ref="B20:D20"/>
    <mergeCell ref="B19:D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zoomScale="80" zoomScaleNormal="80" workbookViewId="0">
      <selection activeCell="H106" sqref="H106"/>
    </sheetView>
  </sheetViews>
  <sheetFormatPr baseColWidth="10" defaultRowHeight="12.75" outlineLevelRow="2"/>
  <cols>
    <col min="1" max="1" width="25.140625" style="641" customWidth="1"/>
    <col min="2" max="2" width="31.5703125" style="641" customWidth="1"/>
    <col min="3" max="3" width="24.5703125" style="641" customWidth="1"/>
    <col min="4" max="4" width="22" style="641" customWidth="1"/>
    <col min="5" max="5" width="22.140625" style="641" customWidth="1"/>
    <col min="6" max="6" width="24" style="641" customWidth="1"/>
    <col min="7" max="7" width="23" style="641" customWidth="1"/>
    <col min="8" max="8" width="25.5703125" style="641" bestFit="1" customWidth="1"/>
    <col min="9" max="10" width="11.42578125" style="641"/>
    <col min="11" max="11" width="14.28515625" style="641" bestFit="1" customWidth="1"/>
    <col min="12" max="16384" width="11.42578125" style="641"/>
  </cols>
  <sheetData>
    <row r="1" spans="1:17" ht="15.75">
      <c r="A1" s="866" t="s">
        <v>14</v>
      </c>
      <c r="B1" s="1655" t="s">
        <v>275</v>
      </c>
      <c r="C1" s="1655"/>
      <c r="D1" s="1655"/>
      <c r="E1" s="1655"/>
      <c r="F1" s="1655"/>
      <c r="G1" s="867"/>
      <c r="H1" s="867"/>
      <c r="I1" s="867"/>
      <c r="J1" s="868"/>
      <c r="K1" s="868"/>
      <c r="L1" s="868"/>
      <c r="M1" s="868"/>
      <c r="N1" s="868"/>
      <c r="O1" s="869" t="s">
        <v>17</v>
      </c>
      <c r="P1" s="868" t="s">
        <v>715</v>
      </c>
      <c r="Q1" s="870"/>
    </row>
    <row r="2" spans="1:17" ht="16.5" thickBot="1">
      <c r="A2" s="871" t="s">
        <v>15</v>
      </c>
      <c r="B2" s="872" t="s">
        <v>276</v>
      </c>
      <c r="C2" s="872"/>
      <c r="D2" s="872"/>
      <c r="E2" s="873"/>
      <c r="F2" s="873"/>
      <c r="G2" s="874"/>
      <c r="H2" s="874"/>
      <c r="I2" s="873"/>
      <c r="J2" s="875"/>
      <c r="K2" s="875"/>
      <c r="L2" s="875"/>
      <c r="M2" s="875"/>
      <c r="N2" s="875"/>
      <c r="O2" s="876" t="s">
        <v>16</v>
      </c>
      <c r="P2" s="875">
        <v>1</v>
      </c>
      <c r="Q2" s="877"/>
    </row>
    <row r="4" spans="1:17">
      <c r="A4" s="878" t="s">
        <v>714</v>
      </c>
      <c r="B4" s="878" t="s">
        <v>527</v>
      </c>
      <c r="C4" s="878" t="s">
        <v>2214</v>
      </c>
      <c r="D4" s="878" t="s">
        <v>46</v>
      </c>
      <c r="E4" s="878" t="s">
        <v>1981</v>
      </c>
      <c r="F4" s="878" t="s">
        <v>2215</v>
      </c>
      <c r="G4" s="878" t="s">
        <v>1866</v>
      </c>
    </row>
    <row r="5" spans="1:17" ht="15">
      <c r="A5" s="879">
        <v>1</v>
      </c>
      <c r="B5" s="879" t="s">
        <v>1982</v>
      </c>
      <c r="C5" s="880" t="s">
        <v>1992</v>
      </c>
      <c r="D5" s="879"/>
      <c r="E5" s="879"/>
      <c r="F5" s="959">
        <f>+SUM(F6:F13)</f>
        <v>2268167740.8212547</v>
      </c>
      <c r="G5" s="1347">
        <f t="shared" ref="G5:G14" si="0">+F5/$G$17</f>
        <v>0.94818953593261124</v>
      </c>
    </row>
    <row r="6" spans="1:17" ht="14.25">
      <c r="A6" s="863" t="s">
        <v>1082</v>
      </c>
      <c r="B6" s="881" t="s">
        <v>1983</v>
      </c>
      <c r="C6" s="881" t="s">
        <v>1992</v>
      </c>
      <c r="D6" s="863">
        <v>1</v>
      </c>
      <c r="E6" s="956">
        <f>+H27</f>
        <v>338057315.53734863</v>
      </c>
      <c r="F6" s="956">
        <f>+E6</f>
        <v>338057315.53734863</v>
      </c>
      <c r="G6" s="1347">
        <f t="shared" si="0"/>
        <v>0.14132217973522601</v>
      </c>
    </row>
    <row r="7" spans="1:17" ht="14.25">
      <c r="A7" s="863" t="s">
        <v>1083</v>
      </c>
      <c r="B7" s="881" t="s">
        <v>1984</v>
      </c>
      <c r="C7" s="881" t="s">
        <v>1992</v>
      </c>
      <c r="D7" s="863">
        <v>1</v>
      </c>
      <c r="E7" s="979">
        <f>+H35</f>
        <v>134816177.62412566</v>
      </c>
      <c r="F7" s="956">
        <f t="shared" ref="F7:F13" si="1">+E7</f>
        <v>134816177.62412566</v>
      </c>
      <c r="G7" s="1347">
        <f t="shared" si="0"/>
        <v>5.6358833871494547E-2</v>
      </c>
    </row>
    <row r="8" spans="1:17" ht="14.25">
      <c r="A8" s="863" t="s">
        <v>1084</v>
      </c>
      <c r="B8" s="881" t="s">
        <v>1985</v>
      </c>
      <c r="C8" s="881" t="s">
        <v>1992</v>
      </c>
      <c r="D8" s="863">
        <v>1</v>
      </c>
      <c r="E8" s="981">
        <f>+D72</f>
        <v>79519442.131441057</v>
      </c>
      <c r="F8" s="956">
        <f t="shared" si="1"/>
        <v>79519442.131441057</v>
      </c>
      <c r="G8" s="1347">
        <f t="shared" si="0"/>
        <v>3.3242472139618159E-2</v>
      </c>
    </row>
    <row r="9" spans="1:17" ht="14.25">
      <c r="A9" s="863" t="s">
        <v>1355</v>
      </c>
      <c r="B9" s="881" t="s">
        <v>1986</v>
      </c>
      <c r="C9" s="881" t="s">
        <v>1992</v>
      </c>
      <c r="D9" s="863">
        <v>1</v>
      </c>
      <c r="E9" s="956">
        <f>+H79</f>
        <v>785532395.4016304</v>
      </c>
      <c r="F9" s="956">
        <f t="shared" si="1"/>
        <v>785532395.4016304</v>
      </c>
      <c r="G9" s="1347">
        <f t="shared" si="0"/>
        <v>0.32838558808980156</v>
      </c>
    </row>
    <row r="10" spans="1:17" ht="14.25">
      <c r="A10" s="863" t="s">
        <v>1356</v>
      </c>
      <c r="B10" s="881" t="s">
        <v>1987</v>
      </c>
      <c r="C10" s="881" t="s">
        <v>1992</v>
      </c>
      <c r="D10" s="863">
        <v>1</v>
      </c>
      <c r="E10" s="956">
        <f>+H86</f>
        <v>196383098.8504076</v>
      </c>
      <c r="F10" s="956">
        <f t="shared" si="1"/>
        <v>196383098.8504076</v>
      </c>
      <c r="G10" s="1347">
        <f t="shared" si="0"/>
        <v>8.209639702245039E-2</v>
      </c>
    </row>
    <row r="11" spans="1:17" ht="14.25">
      <c r="A11" s="863" t="s">
        <v>1357</v>
      </c>
      <c r="B11" s="881" t="s">
        <v>1988</v>
      </c>
      <c r="C11" s="881" t="s">
        <v>1992</v>
      </c>
      <c r="D11" s="863">
        <v>1</v>
      </c>
      <c r="E11" s="956">
        <f>+H97</f>
        <v>89670666.090154737</v>
      </c>
      <c r="F11" s="956">
        <f t="shared" si="1"/>
        <v>89670666.090154737</v>
      </c>
      <c r="G11" s="1347">
        <f t="shared" si="0"/>
        <v>3.7486110809426425E-2</v>
      </c>
    </row>
    <row r="12" spans="1:17" ht="14.25">
      <c r="A12" s="863" t="s">
        <v>1358</v>
      </c>
      <c r="B12" s="881" t="s">
        <v>1989</v>
      </c>
      <c r="C12" s="881" t="s">
        <v>1992</v>
      </c>
      <c r="D12" s="863">
        <v>1</v>
      </c>
      <c r="E12" s="956">
        <f>+H107</f>
        <v>71277915.586146712</v>
      </c>
      <c r="F12" s="956">
        <f t="shared" si="1"/>
        <v>71277915.586146712</v>
      </c>
      <c r="G12" s="1347">
        <f t="shared" si="0"/>
        <v>2.9797167328286408E-2</v>
      </c>
    </row>
    <row r="13" spans="1:17" ht="14.25">
      <c r="A13" s="863" t="s">
        <v>1991</v>
      </c>
      <c r="B13" s="881" t="s">
        <v>1990</v>
      </c>
      <c r="C13" s="881" t="s">
        <v>1992</v>
      </c>
      <c r="D13" s="863">
        <v>1</v>
      </c>
      <c r="E13" s="956">
        <f>+H113</f>
        <v>572910729.60000014</v>
      </c>
      <c r="F13" s="956">
        <f t="shared" si="1"/>
        <v>572910729.60000014</v>
      </c>
      <c r="G13" s="1347">
        <f>+F13/$G$17</f>
        <v>0.23950078693630775</v>
      </c>
    </row>
    <row r="14" spans="1:17" ht="15">
      <c r="A14" s="879">
        <v>2</v>
      </c>
      <c r="B14" s="880" t="s">
        <v>2216</v>
      </c>
      <c r="C14" s="880" t="s">
        <v>1992</v>
      </c>
      <c r="D14" s="879"/>
      <c r="E14" s="879"/>
      <c r="F14" s="1348">
        <f>+SUM(F15:F16)</f>
        <v>123936005.17753634</v>
      </c>
      <c r="G14" s="1347">
        <f t="shared" si="0"/>
        <v>5.1810464067388727E-2</v>
      </c>
    </row>
    <row r="15" spans="1:17" ht="14.25">
      <c r="A15" s="863" t="s">
        <v>1085</v>
      </c>
      <c r="B15" s="882" t="s">
        <v>2217</v>
      </c>
      <c r="C15" s="881" t="s">
        <v>1992</v>
      </c>
      <c r="D15" s="863">
        <v>1</v>
      </c>
      <c r="E15" s="956">
        <f>D131</f>
        <v>33599779.706348889</v>
      </c>
      <c r="F15" s="956">
        <f>+E15</f>
        <v>33599779.706348889</v>
      </c>
      <c r="G15" s="1347">
        <f>+F15/$G$17</f>
        <v>1.4046121437061562E-2</v>
      </c>
    </row>
    <row r="16" spans="1:17" ht="14.25">
      <c r="A16" s="863" t="s">
        <v>1086</v>
      </c>
      <c r="B16" s="882" t="s">
        <v>2218</v>
      </c>
      <c r="C16" s="881" t="s">
        <v>1992</v>
      </c>
      <c r="D16" s="863">
        <v>1</v>
      </c>
      <c r="E16" s="956">
        <f>H143</f>
        <v>90336225.471187457</v>
      </c>
      <c r="F16" s="956">
        <f>+E16</f>
        <v>90336225.471187457</v>
      </c>
      <c r="G16" s="1347">
        <f>+F16/$G$17</f>
        <v>3.7764342630327165E-2</v>
      </c>
    </row>
    <row r="17" spans="1:8">
      <c r="A17" s="1656" t="s">
        <v>2219</v>
      </c>
      <c r="B17" s="1656"/>
      <c r="C17" s="1656"/>
      <c r="D17" s="1656"/>
      <c r="E17" s="1656"/>
      <c r="F17" s="1656"/>
      <c r="G17" s="960">
        <f>+F5+F14</f>
        <v>2392103745.9987912</v>
      </c>
    </row>
    <row r="18" spans="1:8" ht="14.25">
      <c r="A18" s="667"/>
      <c r="B18" s="883"/>
      <c r="C18" s="884"/>
      <c r="D18" s="885"/>
      <c r="E18" s="667"/>
      <c r="F18" s="667"/>
      <c r="G18" s="667"/>
    </row>
    <row r="19" spans="1:8">
      <c r="A19" s="1657" t="s">
        <v>2220</v>
      </c>
      <c r="B19" s="1657"/>
      <c r="C19" s="1657"/>
      <c r="D19" s="1657"/>
      <c r="E19" s="1657"/>
      <c r="F19" s="1657"/>
      <c r="G19" s="1657"/>
      <c r="H19" s="1657"/>
    </row>
    <row r="20" spans="1:8" ht="15">
      <c r="A20" s="1658" t="s">
        <v>2221</v>
      </c>
      <c r="B20" s="1658"/>
      <c r="C20" s="1658"/>
      <c r="D20" s="1658"/>
      <c r="E20" s="1658"/>
      <c r="F20" s="1658"/>
      <c r="G20" s="1658"/>
      <c r="H20" s="1658"/>
    </row>
    <row r="21" spans="1:8" ht="14.25" hidden="1" outlineLevel="1">
      <c r="A21" s="1659" t="s">
        <v>2326</v>
      </c>
      <c r="B21" s="1660"/>
      <c r="C21" s="1660"/>
      <c r="D21" s="1660"/>
      <c r="E21" s="1660"/>
      <c r="F21" s="1660"/>
      <c r="G21" s="1660"/>
      <c r="H21" s="950">
        <f>+'9. Pisos y zócalos'!D55+'9. Pisos y zócalos'!D56+'9. Pisos y zócalos'!D57+'9. Pisos y zócalos'!D58+'9. Pisos y zócalos'!D59+'9. Pisos y zócalos'!D60</f>
        <v>6585.180800000001</v>
      </c>
    </row>
    <row r="22" spans="1:8" ht="14.25" hidden="1" outlineLevel="1">
      <c r="A22" s="1661" t="s">
        <v>2327</v>
      </c>
      <c r="B22" s="1662"/>
      <c r="C22" s="1662"/>
      <c r="D22" s="1662"/>
      <c r="E22" s="1662"/>
      <c r="F22" s="1662"/>
      <c r="G22" s="1662"/>
      <c r="H22" s="1263">
        <f>'Estructura de Presupuesto'!I262</f>
        <v>1028343.9742218831</v>
      </c>
    </row>
    <row r="23" spans="1:8" ht="14.25" hidden="1" outlineLevel="1">
      <c r="A23" s="1663" t="s">
        <v>2223</v>
      </c>
      <c r="B23" s="1664"/>
      <c r="C23" s="1664"/>
      <c r="D23" s="1664"/>
      <c r="E23" s="1664"/>
      <c r="F23" s="1664"/>
      <c r="G23" s="1664"/>
      <c r="H23" s="951">
        <f>+(H22*1000*0.07)+(H22*4000*0.05)+((H21-5000)*H22*0.04)</f>
        <v>342857317.98919743</v>
      </c>
    </row>
    <row r="24" spans="1:8" ht="14.25" hidden="1" outlineLevel="1">
      <c r="A24" s="1663" t="s">
        <v>2328</v>
      </c>
      <c r="B24" s="1664"/>
      <c r="C24" s="1664"/>
      <c r="D24" s="1664"/>
      <c r="E24" s="1664"/>
      <c r="F24" s="1664"/>
      <c r="G24" s="1664"/>
      <c r="H24" s="952">
        <v>0.85</v>
      </c>
    </row>
    <row r="25" spans="1:8" ht="14.25" hidden="1" outlineLevel="1">
      <c r="A25" s="1663" t="s">
        <v>2329</v>
      </c>
      <c r="B25" s="1664"/>
      <c r="C25" s="1664"/>
      <c r="D25" s="1664"/>
      <c r="E25" s="1664"/>
      <c r="F25" s="1664"/>
      <c r="G25" s="1664"/>
      <c r="H25" s="951">
        <f>+H23*H24</f>
        <v>291428720.2908178</v>
      </c>
    </row>
    <row r="26" spans="1:8" ht="14.25" hidden="1" outlineLevel="1">
      <c r="A26" s="1663" t="s">
        <v>2330</v>
      </c>
      <c r="B26" s="1664"/>
      <c r="C26" s="1664"/>
      <c r="D26" s="1664"/>
      <c r="E26" s="1664"/>
      <c r="F26" s="1664"/>
      <c r="G26" s="1664"/>
      <c r="H26" s="953">
        <v>0.16</v>
      </c>
    </row>
    <row r="27" spans="1:8" ht="15.75" hidden="1" outlineLevel="1" thickBot="1">
      <c r="A27" s="1652" t="s">
        <v>1009</v>
      </c>
      <c r="B27" s="1653"/>
      <c r="C27" s="1653"/>
      <c r="D27" s="1653"/>
      <c r="E27" s="1653"/>
      <c r="F27" s="1653"/>
      <c r="G27" s="1654"/>
      <c r="H27" s="954">
        <f>H25+(H25*H26)</f>
        <v>338057315.53734863</v>
      </c>
    </row>
    <row r="28" spans="1:8" ht="12" customHeight="1" collapsed="1">
      <c r="A28" s="1658" t="s">
        <v>2222</v>
      </c>
      <c r="B28" s="1658"/>
      <c r="C28" s="1658"/>
      <c r="D28" s="1658"/>
      <c r="E28" s="1658"/>
      <c r="F28" s="1658"/>
      <c r="G28" s="1658"/>
      <c r="H28" s="1658"/>
    </row>
    <row r="29" spans="1:8" ht="12" hidden="1" customHeight="1" outlineLevel="1">
      <c r="A29" s="1681" t="s">
        <v>2223</v>
      </c>
      <c r="B29" s="1682"/>
      <c r="C29" s="1683"/>
      <c r="D29" s="1684" t="s">
        <v>2224</v>
      </c>
      <c r="E29" s="1684"/>
      <c r="F29" s="1684" t="s">
        <v>2225</v>
      </c>
      <c r="G29" s="1684"/>
    </row>
    <row r="30" spans="1:8" ht="15" hidden="1" outlineLevel="1">
      <c r="A30" s="1665" t="s">
        <v>2226</v>
      </c>
      <c r="B30" s="1665"/>
      <c r="C30" s="886">
        <f>'[1]Estructura de Presupuesto'!J307</f>
        <v>0</v>
      </c>
      <c r="D30" s="1679" t="s">
        <v>2227</v>
      </c>
      <c r="E30" s="1679"/>
      <c r="F30" s="1665">
        <f>+'9. Pisos y zócalos'!D55+'9. Pisos y zócalos'!D56+'9. Pisos y zócalos'!D57+'9. Pisos y zócalos'!D58+'9. Pisos y zócalos'!D59+'9. Pisos y zócalos'!D60</f>
        <v>6585.180800000001</v>
      </c>
      <c r="G30" s="1665"/>
    </row>
    <row r="31" spans="1:8" ht="15" hidden="1" outlineLevel="1">
      <c r="A31" s="1665" t="s">
        <v>2228</v>
      </c>
      <c r="B31" s="1665"/>
      <c r="C31" s="886">
        <f>+'9. Pisos y zócalos'!D55+'9. Pisos y zócalos'!D56+'9. Pisos y zócalos'!D57+'9. Pisos y zócalos'!D58+'9. Pisos y zócalos'!D59+'9. Pisos y zócalos'!D60</f>
        <v>6585.180800000001</v>
      </c>
      <c r="D31" s="1679" t="s">
        <v>2229</v>
      </c>
      <c r="E31" s="1679"/>
      <c r="F31" s="1680">
        <f>('Estructura de Presupuesto'!I28+'Estructura de Presupuesto'!I43+'Estructura de Presupuesto'!I54)/'Costos indirectos'!C31</f>
        <v>484858.41059031751</v>
      </c>
      <c r="G31" s="1680"/>
    </row>
    <row r="32" spans="1:8" ht="15" hidden="1" outlineLevel="1">
      <c r="A32" s="1665" t="s">
        <v>2230</v>
      </c>
      <c r="B32" s="1665"/>
      <c r="C32" s="1264">
        <f>'Estructura de Presupuesto'!I261</f>
        <v>6771830994.8416395</v>
      </c>
      <c r="D32" s="1679" t="s">
        <v>2231</v>
      </c>
      <c r="E32" s="1679"/>
      <c r="F32" s="1680">
        <f>F31*F30</f>
        <v>3192880296.137876</v>
      </c>
      <c r="G32" s="1680"/>
    </row>
    <row r="33" spans="1:11" ht="15" hidden="1" outlineLevel="1">
      <c r="D33" s="1679" t="s">
        <v>2232</v>
      </c>
      <c r="E33" s="1679"/>
      <c r="F33" s="1665">
        <v>1</v>
      </c>
      <c r="G33" s="1665"/>
    </row>
    <row r="34" spans="1:11" ht="15" hidden="1" outlineLevel="1">
      <c r="D34" s="1686" t="s">
        <v>2233</v>
      </c>
      <c r="E34" s="1687"/>
      <c r="F34" s="1665">
        <v>0.7</v>
      </c>
      <c r="G34" s="1665"/>
      <c r="H34" s="977" t="s">
        <v>47</v>
      </c>
    </row>
    <row r="35" spans="1:11" ht="15" hidden="1" outlineLevel="1">
      <c r="D35" s="1686" t="s">
        <v>2224</v>
      </c>
      <c r="E35" s="1687"/>
      <c r="F35" s="1688">
        <f>F32*0.052*F33*F34</f>
        <v>116220842.77941866</v>
      </c>
      <c r="G35" s="1688"/>
      <c r="H35" s="978">
        <f>F35+(F35*16%)</f>
        <v>134816177.62412566</v>
      </c>
    </row>
    <row r="36" spans="1:11" ht="15" collapsed="1">
      <c r="A36" s="1658" t="s">
        <v>2234</v>
      </c>
      <c r="B36" s="1658"/>
      <c r="C36" s="1658"/>
      <c r="D36" s="1658"/>
      <c r="E36" s="1658"/>
      <c r="F36" s="1658"/>
      <c r="G36" s="1658"/>
      <c r="H36" s="1658"/>
    </row>
    <row r="37" spans="1:11" s="648" customFormat="1" ht="15" hidden="1" outlineLevel="1">
      <c r="A37" s="1666" t="s">
        <v>2038</v>
      </c>
      <c r="B37" s="1666"/>
      <c r="C37" s="1666"/>
      <c r="D37" s="887">
        <v>689455</v>
      </c>
      <c r="E37" s="888"/>
      <c r="F37" s="888"/>
      <c r="G37" s="864"/>
      <c r="H37" s="864"/>
      <c r="I37" s="864"/>
      <c r="J37" s="864"/>
      <c r="K37" s="864"/>
    </row>
    <row r="38" spans="1:11" ht="15" hidden="1" outlineLevel="1">
      <c r="A38" s="1666" t="s">
        <v>2037</v>
      </c>
      <c r="B38" s="1666"/>
      <c r="C38" s="1666"/>
      <c r="D38" s="887">
        <f>+D37/30</f>
        <v>22981.833333333332</v>
      </c>
      <c r="E38" s="888"/>
      <c r="F38" s="888"/>
      <c r="G38" s="864"/>
      <c r="H38" s="864"/>
      <c r="I38" s="864"/>
      <c r="J38" s="864"/>
      <c r="K38" s="864"/>
    </row>
    <row r="39" spans="1:11" ht="16.5" hidden="1" customHeight="1" outlineLevel="1">
      <c r="A39" s="1685" t="s">
        <v>1995</v>
      </c>
      <c r="B39" s="1685"/>
      <c r="C39" s="1685"/>
      <c r="D39" s="1685"/>
      <c r="E39" s="889"/>
      <c r="F39" s="889"/>
      <c r="G39" s="864"/>
      <c r="H39" s="864"/>
      <c r="I39" s="864"/>
      <c r="J39" s="864"/>
      <c r="K39" s="864"/>
    </row>
    <row r="40" spans="1:11" ht="30" hidden="1" customHeight="1" outlineLevel="1">
      <c r="A40" s="890" t="s">
        <v>2003</v>
      </c>
      <c r="B40" s="890" t="s">
        <v>2033</v>
      </c>
      <c r="C40" s="890" t="s">
        <v>2032</v>
      </c>
      <c r="D40" s="890" t="s">
        <v>2036</v>
      </c>
      <c r="E40" s="891"/>
      <c r="F40" s="891"/>
      <c r="G40" s="892"/>
      <c r="H40" s="892"/>
      <c r="I40" s="892"/>
      <c r="J40" s="892"/>
      <c r="K40" s="892"/>
    </row>
    <row r="41" spans="1:11" s="648" customFormat="1" ht="15" hidden="1" outlineLevel="1">
      <c r="A41" s="893" t="s">
        <v>2035</v>
      </c>
      <c r="B41" s="894">
        <f>ROUND(2*(5+((C57-5)/1.5)),0)</f>
        <v>23</v>
      </c>
      <c r="C41" s="894">
        <v>1.05</v>
      </c>
      <c r="D41" s="895">
        <f>B41*(C41*$D$38)</f>
        <v>555011.27500000002</v>
      </c>
      <c r="E41" s="896"/>
      <c r="F41" s="896"/>
      <c r="G41" s="897"/>
      <c r="H41" s="897"/>
      <c r="I41" s="897"/>
      <c r="J41" s="897"/>
      <c r="K41" s="897"/>
    </row>
    <row r="42" spans="1:11" ht="15" hidden="1" outlineLevel="1">
      <c r="A42" s="1668" t="s">
        <v>47</v>
      </c>
      <c r="B42" s="1668"/>
      <c r="C42" s="1668"/>
      <c r="D42" s="898">
        <f>SUM(D41)</f>
        <v>555011.27500000002</v>
      </c>
      <c r="E42" s="888"/>
      <c r="F42" s="888"/>
      <c r="G42" s="864"/>
      <c r="H42" s="864"/>
      <c r="I42" s="864"/>
      <c r="J42" s="864"/>
      <c r="K42" s="864"/>
    </row>
    <row r="43" spans="1:11" s="648" customFormat="1" ht="15" hidden="1" outlineLevel="1">
      <c r="A43" s="899"/>
      <c r="B43" s="899"/>
      <c r="C43" s="899"/>
      <c r="D43" s="899"/>
      <c r="E43" s="888"/>
      <c r="F43" s="888"/>
      <c r="G43" s="864"/>
      <c r="H43" s="864"/>
      <c r="I43" s="864"/>
      <c r="J43" s="864"/>
      <c r="K43" s="864"/>
    </row>
    <row r="44" spans="1:11" ht="15" hidden="1" outlineLevel="1">
      <c r="A44" s="890" t="s">
        <v>2034</v>
      </c>
      <c r="B44" s="890" t="s">
        <v>2033</v>
      </c>
      <c r="C44" s="890" t="s">
        <v>2032</v>
      </c>
      <c r="D44" s="890" t="s">
        <v>2031</v>
      </c>
      <c r="E44" s="891"/>
      <c r="F44" s="891"/>
      <c r="G44" s="892"/>
      <c r="H44" s="892"/>
      <c r="I44" s="892"/>
      <c r="J44" s="892"/>
      <c r="K44" s="892"/>
    </row>
    <row r="45" spans="1:11" s="648" customFormat="1" ht="15" hidden="1" outlineLevel="1">
      <c r="A45" s="900" t="s">
        <v>2030</v>
      </c>
      <c r="B45" s="901">
        <f>B41</f>
        <v>23</v>
      </c>
      <c r="C45" s="902">
        <v>0.7</v>
      </c>
      <c r="D45" s="887">
        <f t="shared" ref="D45:D50" si="2">B45*(C45*$D$38)</f>
        <v>370007.5166666666</v>
      </c>
      <c r="E45" s="888"/>
      <c r="F45" s="888"/>
      <c r="G45" s="864"/>
      <c r="H45" s="864"/>
      <c r="I45" s="864"/>
      <c r="J45" s="864"/>
      <c r="K45" s="864"/>
    </row>
    <row r="46" spans="1:11" ht="15" hidden="1" outlineLevel="1">
      <c r="A46" s="900" t="s">
        <v>2029</v>
      </c>
      <c r="B46" s="901">
        <v>15</v>
      </c>
      <c r="C46" s="902">
        <v>3.15</v>
      </c>
      <c r="D46" s="887">
        <f t="shared" si="2"/>
        <v>1085891.625</v>
      </c>
      <c r="E46" s="888"/>
      <c r="F46" s="888"/>
      <c r="G46" s="864"/>
      <c r="H46" s="864"/>
      <c r="I46" s="864"/>
      <c r="J46" s="864"/>
      <c r="K46" s="864"/>
    </row>
    <row r="47" spans="1:11" s="648" customFormat="1" ht="15" hidden="1" outlineLevel="1">
      <c r="A47" s="900" t="s">
        <v>2028</v>
      </c>
      <c r="B47" s="901">
        <v>5</v>
      </c>
      <c r="C47" s="902">
        <v>4.7300000000000004</v>
      </c>
      <c r="D47" s="887">
        <f t="shared" si="2"/>
        <v>543520.3583333334</v>
      </c>
      <c r="E47" s="888"/>
      <c r="F47" s="888"/>
      <c r="G47" s="864"/>
      <c r="H47" s="864"/>
      <c r="I47" s="864"/>
      <c r="J47" s="864"/>
      <c r="K47" s="864"/>
    </row>
    <row r="48" spans="1:11" ht="15" hidden="1" outlineLevel="1">
      <c r="A48" s="900" t="s">
        <v>2027</v>
      </c>
      <c r="B48" s="901">
        <v>3</v>
      </c>
      <c r="C48" s="902">
        <v>33.57</v>
      </c>
      <c r="D48" s="887">
        <f t="shared" si="2"/>
        <v>2314500.4350000001</v>
      </c>
      <c r="E48" s="888"/>
      <c r="F48" s="888"/>
      <c r="G48" s="864"/>
      <c r="H48" s="864"/>
      <c r="I48" s="864"/>
      <c r="J48" s="864"/>
      <c r="K48" s="864"/>
    </row>
    <row r="49" spans="1:11" s="648" customFormat="1" ht="45" hidden="1" outlineLevel="1">
      <c r="A49" s="903" t="s">
        <v>2026</v>
      </c>
      <c r="B49" s="901">
        <v>5</v>
      </c>
      <c r="C49" s="902">
        <v>4</v>
      </c>
      <c r="D49" s="887">
        <f t="shared" si="2"/>
        <v>459636.66666666663</v>
      </c>
      <c r="E49" s="888"/>
      <c r="F49" s="888"/>
      <c r="G49" s="864"/>
      <c r="H49" s="864"/>
      <c r="I49" s="864"/>
      <c r="J49" s="864"/>
      <c r="K49" s="864"/>
    </row>
    <row r="50" spans="1:11" ht="15" hidden="1" outlineLevel="1">
      <c r="A50" s="903" t="s">
        <v>2025</v>
      </c>
      <c r="B50" s="901">
        <v>3</v>
      </c>
      <c r="C50" s="902">
        <v>1.58</v>
      </c>
      <c r="D50" s="887">
        <f t="shared" si="2"/>
        <v>108933.89000000001</v>
      </c>
      <c r="E50" s="888"/>
      <c r="F50" s="888"/>
      <c r="G50" s="864"/>
      <c r="H50" s="864"/>
      <c r="I50" s="864"/>
      <c r="J50" s="864"/>
      <c r="K50" s="864"/>
    </row>
    <row r="51" spans="1:11" ht="15" hidden="1" outlineLevel="1">
      <c r="A51" s="900" t="s">
        <v>2024</v>
      </c>
      <c r="B51" s="901">
        <v>1</v>
      </c>
      <c r="C51" s="902" t="s">
        <v>336</v>
      </c>
      <c r="D51" s="887">
        <f>1090000*B51</f>
        <v>1090000</v>
      </c>
      <c r="E51" s="888"/>
      <c r="F51" s="888"/>
      <c r="G51" s="864"/>
      <c r="H51" s="864"/>
      <c r="I51" s="864"/>
      <c r="J51" s="864"/>
      <c r="K51" s="864"/>
    </row>
    <row r="52" spans="1:11" ht="15" hidden="1" outlineLevel="1">
      <c r="A52" s="900" t="s">
        <v>2023</v>
      </c>
      <c r="B52" s="901">
        <v>1</v>
      </c>
      <c r="C52" s="902" t="s">
        <v>336</v>
      </c>
      <c r="D52" s="887">
        <f>1217000*B52</f>
        <v>1217000</v>
      </c>
      <c r="E52" s="888"/>
      <c r="F52" s="888"/>
      <c r="G52" s="864"/>
      <c r="H52" s="864"/>
      <c r="I52" s="864"/>
      <c r="J52" s="864"/>
      <c r="K52" s="864"/>
    </row>
    <row r="53" spans="1:11" ht="30" hidden="1" outlineLevel="1">
      <c r="A53" s="903" t="s">
        <v>2022</v>
      </c>
      <c r="B53" s="904">
        <v>5</v>
      </c>
      <c r="C53" s="905">
        <v>3.15</v>
      </c>
      <c r="D53" s="906">
        <f>B53*(C53*$D$38)</f>
        <v>361963.875</v>
      </c>
      <c r="E53" s="891"/>
      <c r="F53" s="891"/>
      <c r="G53" s="892"/>
      <c r="H53" s="892"/>
      <c r="I53" s="892"/>
      <c r="J53" s="892"/>
      <c r="K53" s="892"/>
    </row>
    <row r="54" spans="1:11" ht="30" hidden="1" outlineLevel="1">
      <c r="A54" s="903" t="s">
        <v>2021</v>
      </c>
      <c r="B54" s="904">
        <v>1</v>
      </c>
      <c r="C54" s="905">
        <v>71.34</v>
      </c>
      <c r="D54" s="906">
        <f>B54*(C54*$D$38)</f>
        <v>1639523.99</v>
      </c>
      <c r="E54" s="891"/>
      <c r="F54" s="891"/>
      <c r="G54" s="892"/>
      <c r="H54" s="892"/>
      <c r="I54" s="892"/>
      <c r="J54" s="892"/>
      <c r="K54" s="892"/>
    </row>
    <row r="55" spans="1:11" ht="15" hidden="1" outlineLevel="1">
      <c r="A55" s="1669" t="s">
        <v>47</v>
      </c>
      <c r="B55" s="1670"/>
      <c r="C55" s="1671"/>
      <c r="D55" s="898">
        <f>SUM(D45:D54)</f>
        <v>9190978.3566666674</v>
      </c>
      <c r="E55" s="888"/>
      <c r="F55" s="888"/>
      <c r="G55" s="864"/>
      <c r="H55" s="864"/>
      <c r="I55" s="864"/>
      <c r="J55" s="864"/>
      <c r="K55" s="864"/>
    </row>
    <row r="56" spans="1:11" ht="30" hidden="1" outlineLevel="1">
      <c r="A56" s="907" t="s">
        <v>2020</v>
      </c>
      <c r="B56" s="907" t="s">
        <v>2019</v>
      </c>
      <c r="C56" s="907" t="s">
        <v>2018</v>
      </c>
      <c r="D56" s="907" t="s">
        <v>2017</v>
      </c>
      <c r="E56" s="907" t="s">
        <v>2016</v>
      </c>
      <c r="F56" s="908" t="s">
        <v>2015</v>
      </c>
      <c r="G56" s="864"/>
      <c r="H56" s="864"/>
      <c r="I56" s="864"/>
      <c r="J56" s="864"/>
      <c r="K56" s="864"/>
    </row>
    <row r="57" spans="1:11" ht="15" hidden="1" outlineLevel="1">
      <c r="A57" s="909" t="s">
        <v>2014</v>
      </c>
      <c r="B57" s="901">
        <v>2</v>
      </c>
      <c r="C57" s="901">
        <v>15</v>
      </c>
      <c r="D57" s="901">
        <f>B57*C57</f>
        <v>30</v>
      </c>
      <c r="E57" s="901">
        <v>23.1</v>
      </c>
      <c r="F57" s="887">
        <f>E57*$D$38*D57</f>
        <v>15926410.5</v>
      </c>
      <c r="G57" s="864"/>
      <c r="H57" s="864"/>
      <c r="I57" s="864"/>
      <c r="J57" s="864"/>
      <c r="K57" s="864"/>
    </row>
    <row r="58" spans="1:11" ht="15" hidden="1" outlineLevel="1">
      <c r="A58" s="901" t="s">
        <v>2013</v>
      </c>
      <c r="B58" s="901">
        <v>2</v>
      </c>
      <c r="C58" s="901">
        <v>15</v>
      </c>
      <c r="D58" s="901">
        <f>B58*C58</f>
        <v>30</v>
      </c>
      <c r="E58" s="901">
        <v>8.4</v>
      </c>
      <c r="F58" s="887">
        <f>E58*$D$38*D58</f>
        <v>5791422</v>
      </c>
      <c r="G58" s="864"/>
      <c r="H58" s="864"/>
      <c r="I58" s="864"/>
      <c r="J58" s="864"/>
      <c r="K58" s="864"/>
    </row>
    <row r="59" spans="1:11" ht="15.75" hidden="1" outlineLevel="1" thickBot="1">
      <c r="A59" s="1672"/>
      <c r="B59" s="1673"/>
      <c r="C59" s="1674"/>
      <c r="D59" s="901">
        <f>SUM(D57:D58)</f>
        <v>60</v>
      </c>
      <c r="E59" s="901"/>
      <c r="F59" s="898">
        <f>SUM(F57:F58)</f>
        <v>21717832.5</v>
      </c>
      <c r="G59" s="864"/>
      <c r="H59" s="864"/>
      <c r="I59" s="864"/>
      <c r="J59" s="864"/>
      <c r="K59" s="864"/>
    </row>
    <row r="60" spans="1:11" ht="15.75" hidden="1" outlineLevel="1" thickBot="1">
      <c r="A60" s="1675" t="s">
        <v>1994</v>
      </c>
      <c r="B60" s="1676"/>
      <c r="C60" s="1676"/>
      <c r="D60" s="1676"/>
      <c r="E60" s="1676"/>
      <c r="F60" s="1677"/>
      <c r="G60" s="864"/>
      <c r="H60" s="864"/>
      <c r="I60" s="864"/>
      <c r="J60" s="864"/>
      <c r="K60" s="864"/>
    </row>
    <row r="61" spans="1:11" ht="30" hidden="1" outlineLevel="1">
      <c r="A61" s="907" t="s">
        <v>2012</v>
      </c>
      <c r="B61" s="907" t="s">
        <v>2011</v>
      </c>
      <c r="C61" s="907" t="s">
        <v>2010</v>
      </c>
      <c r="D61" s="907" t="s">
        <v>2009</v>
      </c>
      <c r="E61" s="907" t="s">
        <v>2008</v>
      </c>
      <c r="F61" s="907" t="s">
        <v>2007</v>
      </c>
      <c r="G61" s="892"/>
      <c r="H61" s="892"/>
      <c r="I61" s="892"/>
      <c r="J61" s="892"/>
      <c r="K61" s="892"/>
    </row>
    <row r="62" spans="1:11" ht="15" hidden="1" outlineLevel="1">
      <c r="A62" s="901" t="s">
        <v>2006</v>
      </c>
      <c r="B62" s="900" t="s">
        <v>2005</v>
      </c>
      <c r="C62" s="901">
        <f>48*2</f>
        <v>96</v>
      </c>
      <c r="D62" s="901">
        <v>1</v>
      </c>
      <c r="E62" s="901">
        <v>7.35</v>
      </c>
      <c r="F62" s="887">
        <f>C62*D62*(E62*$D$38)</f>
        <v>16215981.599999998</v>
      </c>
      <c r="G62" s="864"/>
      <c r="H62" s="864"/>
      <c r="I62" s="864"/>
      <c r="J62" s="864"/>
      <c r="K62" s="864"/>
    </row>
    <row r="63" spans="1:11" ht="15" hidden="1" outlineLevel="1">
      <c r="A63" s="901" t="s">
        <v>2004</v>
      </c>
      <c r="B63" s="900" t="s">
        <v>2003</v>
      </c>
      <c r="C63" s="901">
        <f>48*3</f>
        <v>144</v>
      </c>
      <c r="D63" s="901">
        <v>3</v>
      </c>
      <c r="E63" s="901">
        <v>1.37</v>
      </c>
      <c r="F63" s="887">
        <f>C63*D63*(E63*$D$38)</f>
        <v>13601568.24</v>
      </c>
      <c r="G63" s="864"/>
      <c r="H63" s="864"/>
      <c r="I63" s="864"/>
      <c r="J63" s="864"/>
      <c r="K63" s="864"/>
    </row>
    <row r="64" spans="1:11" ht="15" hidden="1" outlineLevel="1">
      <c r="A64" s="910" t="s">
        <v>2002</v>
      </c>
      <c r="B64" s="911" t="s">
        <v>2001</v>
      </c>
      <c r="C64" s="901">
        <v>72</v>
      </c>
      <c r="D64" s="901">
        <v>2</v>
      </c>
      <c r="E64" s="901">
        <v>2.63</v>
      </c>
      <c r="F64" s="887">
        <f>C64*D64*(E64*$D$38)</f>
        <v>8703679.9199999999</v>
      </c>
      <c r="G64" s="864"/>
      <c r="H64" s="864"/>
      <c r="I64" s="864"/>
      <c r="J64" s="864"/>
      <c r="K64" s="864"/>
    </row>
    <row r="65" spans="1:11" ht="15" hidden="1" outlineLevel="1">
      <c r="A65" s="1678" t="s">
        <v>47</v>
      </c>
      <c r="B65" s="1678"/>
      <c r="C65" s="1678"/>
      <c r="D65" s="1678"/>
      <c r="E65" s="1678"/>
      <c r="F65" s="898">
        <f>SUM(F62:F64)</f>
        <v>38521229.759999998</v>
      </c>
      <c r="G65" s="864"/>
      <c r="H65" s="864"/>
      <c r="I65" s="864"/>
      <c r="J65" s="864"/>
      <c r="K65" s="864"/>
    </row>
    <row r="66" spans="1:11" ht="30" hidden="1" outlineLevel="1">
      <c r="A66" s="907" t="s">
        <v>2000</v>
      </c>
      <c r="B66" s="907" t="s">
        <v>1999</v>
      </c>
      <c r="C66" s="907" t="s">
        <v>1998</v>
      </c>
      <c r="D66" s="907" t="s">
        <v>1997</v>
      </c>
      <c r="E66" s="888"/>
      <c r="F66" s="888"/>
      <c r="G66" s="864"/>
      <c r="H66" s="864"/>
      <c r="I66" s="864"/>
      <c r="J66" s="864"/>
      <c r="K66" s="864"/>
    </row>
    <row r="67" spans="1:11" ht="15" hidden="1" outlineLevel="1">
      <c r="A67" s="901" t="s">
        <v>1996</v>
      </c>
      <c r="B67" s="901">
        <f>+'9. Pisos y zócalos'!D55+'9. Pisos y zócalos'!D56+'9. Pisos y zócalos'!D57+'9. Pisos y zócalos'!D58+'9. Pisos y zócalos'!D59+'9. Pisos y zócalos'!D60</f>
        <v>6585.180800000001</v>
      </c>
      <c r="C67" s="901">
        <f>0.063</f>
        <v>6.3E-2</v>
      </c>
      <c r="D67" s="887">
        <f>IF((B67*(C67*$D$38))&gt;(105*D38),(B67*(C67*$D$38)),(105*D38))</f>
        <v>9534390.2397744004</v>
      </c>
      <c r="E67" s="888"/>
      <c r="F67" s="888"/>
      <c r="G67" s="864"/>
      <c r="H67" s="864"/>
      <c r="I67" s="864"/>
      <c r="J67" s="864"/>
      <c r="K67" s="864"/>
    </row>
    <row r="68" spans="1:11" ht="15" hidden="1" outlineLevel="1">
      <c r="A68" s="912"/>
      <c r="B68" s="912"/>
      <c r="C68" s="912"/>
      <c r="D68" s="898">
        <f>SUM(D67)</f>
        <v>9534390.2397744004</v>
      </c>
      <c r="E68" s="888"/>
      <c r="F68" s="888"/>
      <c r="G68" s="864"/>
      <c r="H68" s="864"/>
      <c r="I68" s="864"/>
      <c r="J68" s="864"/>
      <c r="K68" s="864"/>
    </row>
    <row r="69" spans="1:11" ht="14.25" hidden="1" customHeight="1" outlineLevel="1">
      <c r="A69" s="1689" t="s">
        <v>1982</v>
      </c>
      <c r="B69" s="1689"/>
      <c r="C69" s="1689"/>
      <c r="D69" s="1689"/>
      <c r="E69" s="888"/>
      <c r="F69" s="888"/>
      <c r="G69" s="864"/>
      <c r="H69" s="864"/>
      <c r="I69" s="864"/>
      <c r="J69" s="864"/>
      <c r="K69" s="864"/>
    </row>
    <row r="70" spans="1:11" ht="15" hidden="1" outlineLevel="1">
      <c r="A70" s="1690" t="s">
        <v>1995</v>
      </c>
      <c r="B70" s="1690"/>
      <c r="C70" s="1690"/>
      <c r="D70" s="913">
        <f>+D42+D55+F59</f>
        <v>31463822.131666668</v>
      </c>
      <c r="E70" s="888"/>
      <c r="F70" s="888"/>
      <c r="G70" s="864"/>
      <c r="H70" s="864"/>
      <c r="I70" s="864"/>
      <c r="J70" s="864"/>
      <c r="K70" s="864"/>
    </row>
    <row r="71" spans="1:11" ht="15" hidden="1" outlineLevel="1">
      <c r="A71" s="1690" t="s">
        <v>1994</v>
      </c>
      <c r="B71" s="1690"/>
      <c r="C71" s="1690"/>
      <c r="D71" s="913">
        <f>+F65+D68</f>
        <v>48055619.999774396</v>
      </c>
      <c r="E71" s="888"/>
      <c r="F71" s="888"/>
      <c r="G71" s="864"/>
      <c r="H71" s="864"/>
      <c r="I71" s="864"/>
      <c r="J71" s="864"/>
      <c r="K71" s="864"/>
    </row>
    <row r="72" spans="1:11" ht="15" hidden="1" outlineLevel="1">
      <c r="A72" s="1691" t="s">
        <v>1993</v>
      </c>
      <c r="B72" s="1691"/>
      <c r="C72" s="1691"/>
      <c r="D72" s="980">
        <f>+D70+D71</f>
        <v>79519442.131441057</v>
      </c>
      <c r="E72" s="888"/>
      <c r="F72" s="888"/>
      <c r="G72" s="864"/>
      <c r="H72" s="864"/>
      <c r="I72" s="864"/>
      <c r="J72" s="864"/>
      <c r="K72" s="864"/>
    </row>
    <row r="73" spans="1:11" ht="15" collapsed="1">
      <c r="A73" s="1658" t="s">
        <v>2235</v>
      </c>
      <c r="B73" s="1658"/>
      <c r="C73" s="1658"/>
      <c r="D73" s="1658"/>
      <c r="E73" s="1658"/>
      <c r="F73" s="1658"/>
      <c r="G73" s="1658"/>
      <c r="H73" s="1658"/>
    </row>
    <row r="74" spans="1:11" ht="14.25" hidden="1" outlineLevel="1">
      <c r="A74" s="1659" t="s">
        <v>2326</v>
      </c>
      <c r="B74" s="1660"/>
      <c r="C74" s="1660"/>
      <c r="D74" s="1660"/>
      <c r="E74" s="1660"/>
      <c r="F74" s="1660"/>
      <c r="G74" s="1660"/>
      <c r="H74" s="950">
        <f>+'9. Pisos y zócalos'!D55+'9. Pisos y zócalos'!D56+'9. Pisos y zócalos'!D57+'9. Pisos y zócalos'!D58+'9. Pisos y zócalos'!D59+'9. Pisos y zócalos'!D60</f>
        <v>6585.180800000001</v>
      </c>
    </row>
    <row r="75" spans="1:11" ht="14.25" hidden="1" outlineLevel="1">
      <c r="A75" s="1661" t="s">
        <v>2327</v>
      </c>
      <c r="B75" s="1662"/>
      <c r="C75" s="1662"/>
      <c r="D75" s="1662"/>
      <c r="E75" s="1662"/>
      <c r="F75" s="1662"/>
      <c r="G75" s="1662"/>
      <c r="H75" s="1263">
        <f>'Estructura de Presupuesto'!I262</f>
        <v>1028343.9742218831</v>
      </c>
    </row>
    <row r="76" spans="1:11" ht="14.25" hidden="1" outlineLevel="1">
      <c r="A76" s="1663" t="s">
        <v>2331</v>
      </c>
      <c r="B76" s="1664"/>
      <c r="C76" s="1664"/>
      <c r="D76" s="1664"/>
      <c r="E76" s="1664"/>
      <c r="F76" s="1664"/>
      <c r="G76" s="1664"/>
      <c r="H76" s="951">
        <f>+H74*H75</f>
        <v>6771830994.8416405</v>
      </c>
    </row>
    <row r="77" spans="1:11" ht="14.25" hidden="1" outlineLevel="1">
      <c r="A77" s="1663" t="s">
        <v>2332</v>
      </c>
      <c r="B77" s="1664"/>
      <c r="C77" s="1664"/>
      <c r="D77" s="1664"/>
      <c r="E77" s="1664"/>
      <c r="F77" s="1664"/>
      <c r="G77" s="1664"/>
      <c r="H77" s="955">
        <f>+H76*0.1</f>
        <v>677183099.48416412</v>
      </c>
    </row>
    <row r="78" spans="1:11" ht="14.25" hidden="1" outlineLevel="1">
      <c r="A78" s="1663" t="s">
        <v>2333</v>
      </c>
      <c r="B78" s="1664"/>
      <c r="C78" s="1664"/>
      <c r="D78" s="1664"/>
      <c r="E78" s="1664"/>
      <c r="F78" s="1664"/>
      <c r="G78" s="1664"/>
      <c r="H78" s="951">
        <f>+H77*0.16</f>
        <v>108349295.91746627</v>
      </c>
    </row>
    <row r="79" spans="1:11" ht="15.75" hidden="1" outlineLevel="1" thickBot="1">
      <c r="A79" s="1652" t="s">
        <v>47</v>
      </c>
      <c r="B79" s="1653"/>
      <c r="C79" s="1653"/>
      <c r="D79" s="1653"/>
      <c r="E79" s="1653"/>
      <c r="F79" s="1653"/>
      <c r="G79" s="1654"/>
      <c r="H79" s="954">
        <f>+H77+H78</f>
        <v>785532395.4016304</v>
      </c>
    </row>
    <row r="80" spans="1:11" ht="15" collapsed="1">
      <c r="A80" s="1658" t="s">
        <v>2336</v>
      </c>
      <c r="B80" s="1658"/>
      <c r="C80" s="1658"/>
      <c r="D80" s="1658"/>
      <c r="E80" s="1658"/>
      <c r="F80" s="1658"/>
      <c r="G80" s="1658"/>
      <c r="H80" s="1658"/>
    </row>
    <row r="81" spans="1:8" ht="14.25" hidden="1" outlineLevel="1">
      <c r="A81" s="1659" t="s">
        <v>2326</v>
      </c>
      <c r="B81" s="1660"/>
      <c r="C81" s="1660"/>
      <c r="D81" s="1660"/>
      <c r="E81" s="1660"/>
      <c r="F81" s="1660"/>
      <c r="G81" s="1660"/>
      <c r="H81" s="950">
        <f>+'9. Pisos y zócalos'!D55+'9. Pisos y zócalos'!D56+'9. Pisos y zócalos'!D57+'9. Pisos y zócalos'!D58+'9. Pisos y zócalos'!D59+'9. Pisos y zócalos'!D60</f>
        <v>6585.180800000001</v>
      </c>
    </row>
    <row r="82" spans="1:8" ht="14.25" hidden="1" outlineLevel="1">
      <c r="A82" s="1661" t="s">
        <v>2327</v>
      </c>
      <c r="B82" s="1662"/>
      <c r="C82" s="1662"/>
      <c r="D82" s="1662"/>
      <c r="E82" s="1662"/>
      <c r="F82" s="1662"/>
      <c r="G82" s="1662"/>
      <c r="H82" s="1263">
        <f>'Estructura de Presupuesto'!I262</f>
        <v>1028343.9742218831</v>
      </c>
    </row>
    <row r="83" spans="1:8" ht="14.25" hidden="1" outlineLevel="1">
      <c r="A83" s="1663" t="s">
        <v>2334</v>
      </c>
      <c r="B83" s="1664"/>
      <c r="C83" s="1664"/>
      <c r="D83" s="1664"/>
      <c r="E83" s="1664"/>
      <c r="F83" s="1664"/>
      <c r="G83" s="1664"/>
      <c r="H83" s="951">
        <f>+H81*H82</f>
        <v>6771830994.8416405</v>
      </c>
    </row>
    <row r="84" spans="1:8" ht="14.25" hidden="1" outlineLevel="1">
      <c r="A84" s="1663" t="s">
        <v>2335</v>
      </c>
      <c r="B84" s="1664"/>
      <c r="C84" s="1664"/>
      <c r="D84" s="1664"/>
      <c r="E84" s="1664"/>
      <c r="F84" s="1664"/>
      <c r="G84" s="1664"/>
      <c r="H84" s="955">
        <f>+H83*0.025</f>
        <v>169295774.87104103</v>
      </c>
    </row>
    <row r="85" spans="1:8" ht="14.25" hidden="1" outlineLevel="1">
      <c r="A85" s="1663" t="s">
        <v>2333</v>
      </c>
      <c r="B85" s="1664"/>
      <c r="C85" s="1664"/>
      <c r="D85" s="1664"/>
      <c r="E85" s="1664"/>
      <c r="F85" s="1664"/>
      <c r="G85" s="1664"/>
      <c r="H85" s="951">
        <f>+H84*0.16</f>
        <v>27087323.979366567</v>
      </c>
    </row>
    <row r="86" spans="1:8" ht="15.75" hidden="1" outlineLevel="1" thickBot="1">
      <c r="A86" s="1652" t="s">
        <v>47</v>
      </c>
      <c r="B86" s="1653"/>
      <c r="C86" s="1653"/>
      <c r="D86" s="1653"/>
      <c r="E86" s="1653"/>
      <c r="F86" s="1653"/>
      <c r="G86" s="1654"/>
      <c r="H86" s="954">
        <f>+H84+H85</f>
        <v>196383098.8504076</v>
      </c>
    </row>
    <row r="87" spans="1:8" ht="15" collapsed="1">
      <c r="A87" s="1658" t="s">
        <v>2337</v>
      </c>
      <c r="B87" s="1658"/>
      <c r="C87" s="1658"/>
      <c r="D87" s="1658"/>
      <c r="E87" s="1658"/>
      <c r="F87" s="1658"/>
      <c r="G87" s="1658"/>
      <c r="H87" s="1658"/>
    </row>
    <row r="88" spans="1:8" hidden="1" outlineLevel="1">
      <c r="A88" s="1667" t="s">
        <v>2338</v>
      </c>
      <c r="B88" s="1667"/>
      <c r="C88" s="1667"/>
      <c r="D88" s="1667"/>
      <c r="E88" s="1667"/>
      <c r="F88" s="1667"/>
      <c r="G88" s="1667"/>
      <c r="H88" s="957">
        <f>+H27</f>
        <v>338057315.53734863</v>
      </c>
    </row>
    <row r="89" spans="1:8" hidden="1" outlineLevel="1">
      <c r="A89" s="1667" t="s">
        <v>2339</v>
      </c>
      <c r="B89" s="1667"/>
      <c r="C89" s="1667"/>
      <c r="D89" s="1667"/>
      <c r="E89" s="1667"/>
      <c r="F89" s="1667"/>
      <c r="G89" s="1667"/>
      <c r="H89" s="957">
        <f>+H88*0.15</f>
        <v>50708597.330602296</v>
      </c>
    </row>
    <row r="90" spans="1:8" hidden="1" outlineLevel="1">
      <c r="A90" s="1667" t="s">
        <v>2340</v>
      </c>
      <c r="B90" s="1667"/>
      <c r="C90" s="1667"/>
      <c r="D90" s="1667"/>
      <c r="E90" s="1667"/>
      <c r="F90" s="1667"/>
      <c r="G90" s="1667"/>
      <c r="H90" s="957">
        <f>+H88-H89</f>
        <v>287348718.20674634</v>
      </c>
    </row>
    <row r="91" spans="1:8" hidden="1" outlineLevel="1">
      <c r="A91" s="1667" t="s">
        <v>2341</v>
      </c>
      <c r="B91" s="1667"/>
      <c r="C91" s="1667"/>
      <c r="D91" s="1667"/>
      <c r="E91" s="1667"/>
      <c r="F91" s="1667"/>
      <c r="G91" s="1667"/>
      <c r="H91" s="957">
        <f>+H88*0.02</f>
        <v>6761146.3107469724</v>
      </c>
    </row>
    <row r="92" spans="1:8" hidden="1" outlineLevel="1">
      <c r="A92" s="1667" t="s">
        <v>2342</v>
      </c>
      <c r="B92" s="1667"/>
      <c r="C92" s="1667"/>
      <c r="D92" s="1667"/>
      <c r="E92" s="1667"/>
      <c r="F92" s="1667"/>
      <c r="G92" s="1667"/>
      <c r="H92" s="957">
        <f>+H90*0.1</f>
        <v>28734871.820674635</v>
      </c>
    </row>
    <row r="93" spans="1:8" ht="14.25" hidden="1" outlineLevel="1">
      <c r="A93" s="1565" t="s">
        <v>2326</v>
      </c>
      <c r="B93" s="1565"/>
      <c r="C93" s="1565"/>
      <c r="D93" s="1565"/>
      <c r="E93" s="1565"/>
      <c r="F93" s="1565"/>
      <c r="G93" s="1565"/>
      <c r="H93" s="958">
        <f>+'9. Pisos y zócalos'!D55+'9. Pisos y zócalos'!D56+'9. Pisos y zócalos'!D57+'9. Pisos y zócalos'!D58+'9. Pisos y zócalos'!D59+'9. Pisos y zócalos'!D60</f>
        <v>6585.180800000001</v>
      </c>
    </row>
    <row r="94" spans="1:8" ht="14.25" hidden="1" outlineLevel="1">
      <c r="A94" s="1598" t="s">
        <v>2327</v>
      </c>
      <c r="B94" s="1598"/>
      <c r="C94" s="1598"/>
      <c r="D94" s="1598"/>
      <c r="E94" s="1598"/>
      <c r="F94" s="1598"/>
      <c r="G94" s="1598"/>
      <c r="H94" s="1265">
        <f>'Estructura de Presupuesto'!I262</f>
        <v>1028343.9742218831</v>
      </c>
    </row>
    <row r="95" spans="1:8" hidden="1" outlineLevel="1">
      <c r="A95" s="1667" t="s">
        <v>2343</v>
      </c>
      <c r="B95" s="1667"/>
      <c r="C95" s="1667"/>
      <c r="D95" s="1667"/>
      <c r="E95" s="1667"/>
      <c r="F95" s="1667"/>
      <c r="G95" s="1667"/>
      <c r="H95" s="957">
        <f>+H93*H94</f>
        <v>6771830994.8416405</v>
      </c>
    </row>
    <row r="96" spans="1:8" hidden="1" outlineLevel="1">
      <c r="A96" s="1667" t="s">
        <v>2344</v>
      </c>
      <c r="B96" s="1667"/>
      <c r="C96" s="1667"/>
      <c r="D96" s="1667"/>
      <c r="E96" s="1667"/>
      <c r="F96" s="1667"/>
      <c r="G96" s="1667"/>
      <c r="H96" s="957">
        <f>+H95*0.008</f>
        <v>54174647.958733127</v>
      </c>
    </row>
    <row r="97" spans="1:11" ht="15.75" hidden="1" outlineLevel="1" thickBot="1">
      <c r="A97" s="1652" t="s">
        <v>47</v>
      </c>
      <c r="B97" s="1653"/>
      <c r="C97" s="1653"/>
      <c r="D97" s="1653"/>
      <c r="E97" s="1653"/>
      <c r="F97" s="1653"/>
      <c r="G97" s="1654"/>
      <c r="H97" s="954">
        <f>+H96+H91+H92</f>
        <v>89670666.090154737</v>
      </c>
    </row>
    <row r="98" spans="1:11" ht="15" collapsed="1">
      <c r="A98" s="1658" t="s">
        <v>2345</v>
      </c>
      <c r="B98" s="1658"/>
      <c r="C98" s="1658"/>
      <c r="D98" s="1658"/>
      <c r="E98" s="1658"/>
      <c r="F98" s="1658"/>
      <c r="G98" s="1658"/>
      <c r="H98" s="1658"/>
    </row>
    <row r="99" spans="1:11" hidden="1" outlineLevel="2">
      <c r="A99" s="1697" t="s">
        <v>2411</v>
      </c>
      <c r="B99" s="1697"/>
      <c r="C99" s="971"/>
      <c r="D99" s="1697" t="s">
        <v>2412</v>
      </c>
      <c r="E99" s="1697"/>
      <c r="F99" s="1697"/>
      <c r="G99" s="1697"/>
      <c r="H99" s="1697"/>
      <c r="I99" s="971"/>
      <c r="J99" s="971"/>
      <c r="K99" s="971"/>
    </row>
    <row r="100" spans="1:11" hidden="1" outlineLevel="2">
      <c r="A100" s="1692" t="s">
        <v>2413</v>
      </c>
      <c r="B100" s="1692"/>
      <c r="C100" s="971"/>
      <c r="D100" s="1692" t="s">
        <v>2414</v>
      </c>
      <c r="E100" s="1692"/>
      <c r="F100" s="1692"/>
      <c r="G100" s="1692" t="s">
        <v>2413</v>
      </c>
      <c r="H100" s="1692"/>
      <c r="I100" s="971"/>
      <c r="J100" s="971"/>
      <c r="K100" s="971"/>
    </row>
    <row r="101" spans="1:11" hidden="1" outlineLevel="2">
      <c r="A101" s="1692" t="s">
        <v>2415</v>
      </c>
      <c r="B101" s="1692"/>
      <c r="C101" s="971"/>
      <c r="D101" s="1693" t="s">
        <v>2416</v>
      </c>
      <c r="E101" s="1692"/>
      <c r="F101" s="1692"/>
      <c r="G101" s="1694" t="str">
        <f>IF(G100="Administración delegada","0,9%","0,45%")</f>
        <v>0,9%</v>
      </c>
      <c r="H101" s="1695"/>
      <c r="I101" s="973"/>
      <c r="J101" s="973"/>
      <c r="K101" s="973"/>
    </row>
    <row r="102" spans="1:11" hidden="1" outlineLevel="2">
      <c r="A102" s="971"/>
      <c r="B102" s="971"/>
      <c r="C102" s="971"/>
      <c r="D102" s="971"/>
      <c r="E102" s="971"/>
      <c r="F102" s="971"/>
      <c r="G102" s="971"/>
      <c r="H102" s="974"/>
      <c r="I102" s="973"/>
      <c r="J102" s="973"/>
      <c r="K102" s="973"/>
    </row>
    <row r="103" spans="1:11" ht="14.25" hidden="1" outlineLevel="2">
      <c r="A103" s="1667" t="s">
        <v>2417</v>
      </c>
      <c r="B103" s="1667"/>
      <c r="C103" s="1667"/>
      <c r="D103" s="1667"/>
      <c r="E103" s="1667"/>
      <c r="F103" s="1667"/>
      <c r="G103" s="1696"/>
      <c r="H103" s="1265">
        <f>'Estructura de Presupuesto'!I261</f>
        <v>6771830994.8416395</v>
      </c>
      <c r="I103" s="527"/>
      <c r="J103" s="527"/>
      <c r="K103" s="667"/>
    </row>
    <row r="104" spans="1:11" hidden="1" outlineLevel="2">
      <c r="A104" s="1667" t="s">
        <v>2416</v>
      </c>
      <c r="B104" s="1667"/>
      <c r="C104" s="1667"/>
      <c r="D104" s="1667"/>
      <c r="E104" s="1667"/>
      <c r="F104" s="1667"/>
      <c r="G104" s="1696"/>
      <c r="H104" s="975">
        <f>G101*H103</f>
        <v>60946478.953574754</v>
      </c>
      <c r="I104" s="527"/>
      <c r="J104" s="527"/>
      <c r="K104" s="667"/>
    </row>
    <row r="105" spans="1:11" hidden="1" outlineLevel="2">
      <c r="A105" s="1667" t="s">
        <v>2418</v>
      </c>
      <c r="B105" s="1667"/>
      <c r="C105" s="1667"/>
      <c r="D105" s="1667"/>
      <c r="E105" s="1667"/>
      <c r="F105" s="1667"/>
      <c r="G105" s="1696"/>
      <c r="H105" s="975">
        <f>500000</f>
        <v>500000</v>
      </c>
      <c r="I105" s="527"/>
      <c r="J105" s="527"/>
      <c r="K105" s="667"/>
    </row>
    <row r="106" spans="1:11" hidden="1" outlineLevel="2">
      <c r="A106" s="1696" t="s">
        <v>2333</v>
      </c>
      <c r="B106" s="1716"/>
      <c r="C106" s="1716"/>
      <c r="D106" s="1716"/>
      <c r="E106" s="1716"/>
      <c r="F106" s="1716"/>
      <c r="G106" s="1717"/>
      <c r="H106" s="975">
        <f>0.16*(H104+H105)</f>
        <v>9831436.6325719617</v>
      </c>
      <c r="I106" s="527"/>
      <c r="J106" s="527"/>
      <c r="K106" s="667"/>
    </row>
    <row r="107" spans="1:11" ht="15" hidden="1" outlineLevel="2">
      <c r="A107" s="1705" t="s">
        <v>47</v>
      </c>
      <c r="B107" s="1706"/>
      <c r="C107" s="1706"/>
      <c r="D107" s="1706"/>
      <c r="E107" s="1706"/>
      <c r="F107" s="1706"/>
      <c r="G107" s="1707"/>
      <c r="H107" s="970">
        <f>H106+H104+H105</f>
        <v>71277915.586146712</v>
      </c>
      <c r="I107" s="527"/>
      <c r="J107" s="527"/>
      <c r="K107" s="667"/>
    </row>
    <row r="108" spans="1:11" ht="15" collapsed="1">
      <c r="A108" s="1658" t="s">
        <v>2346</v>
      </c>
      <c r="B108" s="1658"/>
      <c r="C108" s="1658"/>
      <c r="D108" s="1658"/>
      <c r="E108" s="1658"/>
      <c r="F108" s="1658"/>
      <c r="G108" s="1658"/>
      <c r="H108" s="1658"/>
      <c r="I108" s="642"/>
      <c r="J108" s="642"/>
    </row>
    <row r="109" spans="1:11" ht="14.25" hidden="1" outlineLevel="1">
      <c r="A109" s="1702" t="s">
        <v>2326</v>
      </c>
      <c r="B109" s="1703"/>
      <c r="C109" s="1703"/>
      <c r="D109" s="1703"/>
      <c r="E109" s="1703"/>
      <c r="F109" s="1703"/>
      <c r="G109" s="1704"/>
      <c r="H109" s="950">
        <f>+'9. Pisos y zócalos'!D55+'9. Pisos y zócalos'!D56+'9. Pisos y zócalos'!D57+'9. Pisos y zócalos'!D58+'9. Pisos y zócalos'!D59+'9. Pisos y zócalos'!D60</f>
        <v>6585.180800000001</v>
      </c>
      <c r="I109" s="642"/>
      <c r="J109" s="642"/>
    </row>
    <row r="110" spans="1:11" ht="14.25" hidden="1" outlineLevel="1">
      <c r="A110" s="1702" t="s">
        <v>2419</v>
      </c>
      <c r="B110" s="1703"/>
      <c r="C110" s="1703"/>
      <c r="D110" s="1703"/>
      <c r="E110" s="1703"/>
      <c r="F110" s="1703"/>
      <c r="G110" s="1704"/>
      <c r="H110" s="1393">
        <f>3000000*H109</f>
        <v>19755542400.000004</v>
      </c>
      <c r="I110" s="527"/>
      <c r="J110" s="527"/>
    </row>
    <row r="111" spans="1:11" ht="14.25" hidden="1" outlineLevel="1">
      <c r="A111" s="1702" t="s">
        <v>2420</v>
      </c>
      <c r="B111" s="1703"/>
      <c r="C111" s="1703"/>
      <c r="D111" s="1703"/>
      <c r="E111" s="1703"/>
      <c r="F111" s="1703"/>
      <c r="G111" s="1704"/>
      <c r="H111" s="972">
        <f>2.5%*H110</f>
        <v>493888560.00000012</v>
      </c>
      <c r="I111" s="527"/>
      <c r="J111" s="527"/>
    </row>
    <row r="112" spans="1:11" ht="14.25" hidden="1" outlineLevel="1">
      <c r="A112" s="1702" t="s">
        <v>2333</v>
      </c>
      <c r="B112" s="1703"/>
      <c r="C112" s="1703"/>
      <c r="D112" s="1703"/>
      <c r="E112" s="1703"/>
      <c r="F112" s="1703"/>
      <c r="G112" s="1704"/>
      <c r="H112" s="976">
        <v>0.16</v>
      </c>
      <c r="I112" s="527"/>
      <c r="J112" s="527"/>
    </row>
    <row r="113" spans="1:10" ht="15" hidden="1" outlineLevel="1">
      <c r="A113" s="1705" t="s">
        <v>47</v>
      </c>
      <c r="B113" s="1706"/>
      <c r="C113" s="1706"/>
      <c r="D113" s="1706"/>
      <c r="E113" s="1706"/>
      <c r="F113" s="1706"/>
      <c r="G113" s="1707"/>
      <c r="H113" s="970">
        <f>H111*(100%+H112)</f>
        <v>572910729.60000014</v>
      </c>
      <c r="I113" s="527"/>
      <c r="J113" s="527"/>
    </row>
    <row r="114" spans="1:10" collapsed="1">
      <c r="A114" s="1657" t="s">
        <v>2216</v>
      </c>
      <c r="B114" s="1657"/>
      <c r="C114" s="1657"/>
      <c r="D114" s="1657"/>
      <c r="E114" s="1657"/>
      <c r="F114" s="1657"/>
      <c r="G114" s="1657"/>
      <c r="H114" s="1657"/>
      <c r="I114" s="642"/>
      <c r="J114" s="642"/>
    </row>
    <row r="115" spans="1:10" ht="15">
      <c r="A115" s="1658" t="s">
        <v>2236</v>
      </c>
      <c r="B115" s="1658"/>
      <c r="C115" s="1658"/>
      <c r="D115" s="1658"/>
      <c r="E115" s="1658"/>
      <c r="F115" s="1658"/>
      <c r="G115" s="1658"/>
      <c r="H115" s="1698"/>
      <c r="I115" s="642"/>
      <c r="J115" s="642"/>
    </row>
    <row r="116" spans="1:10" ht="15" hidden="1" outlineLevel="1">
      <c r="A116" s="1701" t="s">
        <v>2237</v>
      </c>
      <c r="B116" s="1701"/>
      <c r="C116" s="1701"/>
      <c r="D116" s="1701"/>
      <c r="E116" s="1701"/>
      <c r="F116" s="1701"/>
      <c r="G116" s="1701"/>
      <c r="H116" s="1701"/>
    </row>
    <row r="117" spans="1:10" ht="14.25" hidden="1" customHeight="1" outlineLevel="1">
      <c r="C117" s="1708" t="s">
        <v>2903</v>
      </c>
      <c r="D117" s="1709"/>
      <c r="E117" s="1185"/>
      <c r="F117" s="1185"/>
      <c r="G117" s="1185"/>
      <c r="H117" s="1186"/>
    </row>
    <row r="118" spans="1:10" ht="14.25" hidden="1" customHeight="1" outlineLevel="1">
      <c r="C118" s="1273" t="s">
        <v>2904</v>
      </c>
      <c r="D118" s="1189">
        <v>2016</v>
      </c>
      <c r="E118" s="1187"/>
      <c r="F118" s="1187"/>
      <c r="G118" s="1187"/>
      <c r="H118" s="1188"/>
    </row>
    <row r="119" spans="1:10" ht="14.25" hidden="1" customHeight="1" outlineLevel="1">
      <c r="C119" s="1273" t="s">
        <v>2905</v>
      </c>
      <c r="D119" s="956">
        <f>IF(D118=2010,515000,IF(D118=2011,535600,IF(D118=2012,566700,IF(D118=2013,589500,IF(D118=2014,616000,IF(D118=2015,644350,IF(D118=2016,689454)))))))</f>
        <v>689454</v>
      </c>
      <c r="E119" s="1187"/>
      <c r="F119" s="1187"/>
      <c r="G119" s="1187"/>
      <c r="H119" s="1188"/>
    </row>
    <row r="120" spans="1:10" ht="14.25" hidden="1" customHeight="1" outlineLevel="1">
      <c r="C120" s="1273" t="s">
        <v>2906</v>
      </c>
      <c r="D120" s="1190" t="s">
        <v>2238</v>
      </c>
      <c r="E120" s="1187"/>
      <c r="F120" s="1187"/>
      <c r="G120" s="1187"/>
      <c r="H120" s="1188"/>
    </row>
    <row r="121" spans="1:10" ht="14.25" hidden="1" customHeight="1" outlineLevel="1">
      <c r="C121" s="1273" t="s">
        <v>2907</v>
      </c>
      <c r="D121" s="1190" t="s">
        <v>2908</v>
      </c>
      <c r="E121" s="1187"/>
      <c r="F121" s="1187"/>
      <c r="G121" s="1187"/>
      <c r="H121" s="1188"/>
    </row>
    <row r="122" spans="1:10" ht="14.25" hidden="1" customHeight="1" outlineLevel="1">
      <c r="C122" s="1273" t="s">
        <v>2909</v>
      </c>
      <c r="D122" s="1190" t="s">
        <v>2910</v>
      </c>
      <c r="E122" s="1187"/>
      <c r="F122" s="1187"/>
      <c r="G122" s="1187"/>
      <c r="H122" s="1188"/>
    </row>
    <row r="123" spans="1:10" ht="14.25" hidden="1" customHeight="1" outlineLevel="1">
      <c r="C123" s="1273" t="s">
        <v>2911</v>
      </c>
      <c r="D123" s="1190" t="s">
        <v>2910</v>
      </c>
      <c r="E123" s="1187"/>
      <c r="F123" s="1187"/>
      <c r="G123" s="1187"/>
      <c r="H123" s="1188"/>
    </row>
    <row r="124" spans="1:10" ht="14.25" hidden="1" customHeight="1" outlineLevel="1">
      <c r="C124" s="1273" t="s">
        <v>2912</v>
      </c>
      <c r="D124" s="1190">
        <v>6</v>
      </c>
      <c r="E124" s="1187"/>
      <c r="F124" s="1187"/>
      <c r="G124" s="1187"/>
      <c r="H124" s="1188"/>
    </row>
    <row r="125" spans="1:10" ht="14.25" hidden="1" customHeight="1" outlineLevel="1">
      <c r="C125" s="1273" t="s">
        <v>2913</v>
      </c>
      <c r="D125" s="1190">
        <v>6585.18</v>
      </c>
      <c r="E125" s="1187"/>
      <c r="F125" s="1187"/>
      <c r="G125" s="1187"/>
      <c r="H125" s="1188"/>
    </row>
    <row r="126" spans="1:10" ht="14.25" hidden="1" customHeight="1" outlineLevel="1">
      <c r="C126" s="1273" t="s">
        <v>2914</v>
      </c>
      <c r="D126" s="1225">
        <f>IF(AND(D124=1,D121="vivienda"),0.5,IF(AND(D124=2,D121="vivienda"),0.5,IF(AND(D124=3,D121="vivienda"),1,IF(AND(D124=4,D121="vivienda"),1.5,IF(AND(D124=5,D121="vivienda"),2,IF(AND(D124=6,D121="vivienda"),2.5,IF(AND(D121="institucional",AND(D125&gt;=1,D125&lt;=300)),2.9,IF(AND(D121="institucional",AND(D125&gt;300,D125&lt;=1000)),3.2,IF(AND(D121="institucional",D125&gt;1000),4,IF(AND(D121="comercio",AND(D125&gt;=1,D125&lt;=300)),2.9,IF(AND(D121="comercio",AND(D125&gt;300,D125&lt;=1000)),3.2,IF(AND(D121="comercio",D125&gt;1000),4,IF(AND(D121="industrial",AND(D125&gt;=1,D125&lt;=300)),2.9,IF(AND(D121="industrial",AND(D125&gt;300,D125&lt;=1000)),3.2,IF(AND(D121="industrial",D125&gt;1000),4)))))))))))))))</f>
        <v>4</v>
      </c>
      <c r="E126" s="1187"/>
      <c r="F126" s="1187"/>
      <c r="G126" s="1187"/>
      <c r="H126" s="1188"/>
    </row>
    <row r="127" spans="1:10" ht="14.25" hidden="1" customHeight="1" outlineLevel="1">
      <c r="C127" s="1273" t="s">
        <v>2915</v>
      </c>
      <c r="D127" s="1191">
        <f>IF(AND(D123="no",D125&lt;=100),0.45,IF(AND(D123="no",AND(D125&gt;100,D125&lt;=11000)),((3.8)/(0.12+(800/D125))),IF(AND(D123="no",D125&gt;11000),((2.2)/(0.018+800/D125)),IF(D123="si",4/(0.025+(2000/D125))))))</f>
        <v>15.735972898368379</v>
      </c>
      <c r="E127" s="1187"/>
      <c r="F127" s="1187"/>
      <c r="G127" s="1187"/>
      <c r="H127" s="1188"/>
    </row>
    <row r="128" spans="1:10" ht="14.25" hidden="1" customHeight="1" outlineLevel="1">
      <c r="C128" s="1273" t="s">
        <v>48</v>
      </c>
      <c r="D128" s="1225">
        <f>IF(D120="bogotá",0.938,IF(D120="envigado",0.76,IF(D120="itagüí",0.765,IF(D120="manizales",0.81,IF(D120="medellín",0.938)))))</f>
        <v>0.93799999999999994</v>
      </c>
      <c r="E128" s="1187"/>
      <c r="F128" s="1187"/>
      <c r="G128" s="1187"/>
      <c r="H128" s="1188"/>
    </row>
    <row r="129" spans="1:8" ht="14.25" hidden="1" customHeight="1" outlineLevel="1">
      <c r="C129" s="1273" t="s">
        <v>2916</v>
      </c>
      <c r="D129" s="1225">
        <f>0.4*D119</f>
        <v>275781.60000000003</v>
      </c>
      <c r="E129" s="1187"/>
      <c r="F129" s="1187"/>
      <c r="G129" s="1187"/>
      <c r="H129" s="1188"/>
    </row>
    <row r="130" spans="1:8" ht="14.25" hidden="1" customHeight="1" outlineLevel="1">
      <c r="C130" s="1273" t="s">
        <v>2917</v>
      </c>
      <c r="D130" s="1225">
        <f>0.8*D119</f>
        <v>551563.20000000007</v>
      </c>
      <c r="E130" s="1187"/>
      <c r="F130" s="1187"/>
      <c r="G130" s="1187"/>
      <c r="H130" s="1188"/>
    </row>
    <row r="131" spans="1:8" ht="14.25" hidden="1" customHeight="1" outlineLevel="1">
      <c r="C131" s="1273" t="s">
        <v>2918</v>
      </c>
      <c r="D131" s="1274">
        <f>IF(D122="si",((D129*D126*D128)+(D130*D126*D127*D128))/2,IF(D122="no",(D129*D126*D128)+(D130*D126*D127*D128)))</f>
        <v>33599779.706348889</v>
      </c>
      <c r="E131" s="1187"/>
      <c r="F131" s="1187"/>
      <c r="G131" s="1187"/>
      <c r="H131" s="1188"/>
    </row>
    <row r="132" spans="1:8" ht="15" hidden="1" outlineLevel="1">
      <c r="A132" s="1710" t="s">
        <v>2239</v>
      </c>
      <c r="B132" s="1710"/>
      <c r="C132" s="1710"/>
      <c r="D132" s="1710"/>
      <c r="E132" s="1710"/>
      <c r="F132" s="1710"/>
      <c r="G132" s="1710"/>
      <c r="H132" s="982" t="e">
        <f>(#REF!*#REF!*#REF!)+(#REF!*#REF!*#REF!*#REF!)</f>
        <v>#REF!</v>
      </c>
    </row>
    <row r="133" spans="1:8" ht="15" collapsed="1">
      <c r="A133" s="1698" t="s">
        <v>2347</v>
      </c>
      <c r="B133" s="1699"/>
      <c r="C133" s="1699"/>
      <c r="D133" s="1699"/>
      <c r="E133" s="1699"/>
      <c r="F133" s="1699"/>
      <c r="G133" s="1699"/>
      <c r="H133" s="1700"/>
    </row>
    <row r="134" spans="1:8" ht="15" hidden="1" outlineLevel="1">
      <c r="A134" s="1701" t="s">
        <v>3295</v>
      </c>
      <c r="B134" s="1701"/>
      <c r="C134" s="1701"/>
      <c r="D134" s="1701"/>
      <c r="E134" s="1701"/>
      <c r="F134" s="1701"/>
      <c r="G134" s="1701"/>
      <c r="H134" s="1701"/>
    </row>
    <row r="135" spans="1:8" ht="15" hidden="1" outlineLevel="1">
      <c r="A135" s="1713" t="s">
        <v>3293</v>
      </c>
      <c r="B135" s="1714"/>
      <c r="C135" s="1714"/>
      <c r="D135" s="1714"/>
      <c r="E135" s="1714"/>
      <c r="F135" s="1714"/>
      <c r="G135" s="1714"/>
      <c r="H135" s="1267">
        <f>'Estructura de Presupuesto'!I261</f>
        <v>6771830994.8416395</v>
      </c>
    </row>
    <row r="136" spans="1:8" ht="15" hidden="1" outlineLevel="1">
      <c r="A136" s="1713" t="s">
        <v>3294</v>
      </c>
      <c r="B136" s="1714"/>
      <c r="C136" s="1714"/>
      <c r="D136" s="1714"/>
      <c r="E136" s="1714"/>
      <c r="F136" s="1714"/>
      <c r="G136" s="1714"/>
      <c r="H136" s="1268">
        <v>0.02</v>
      </c>
    </row>
    <row r="137" spans="1:8" ht="15.75" hidden="1" outlineLevel="1" thickBot="1">
      <c r="A137" s="1711" t="s">
        <v>47</v>
      </c>
      <c r="B137" s="1712"/>
      <c r="C137" s="1712"/>
      <c r="D137" s="1712"/>
      <c r="E137" s="1712"/>
      <c r="F137" s="1712"/>
      <c r="G137" s="1715"/>
      <c r="H137" s="1269">
        <f>(+H135*H136*0.5)*1.16</f>
        <v>78553239.54016301</v>
      </c>
    </row>
    <row r="138" spans="1:8" ht="15" hidden="1" outlineLevel="1">
      <c r="A138" s="1701" t="s">
        <v>3296</v>
      </c>
      <c r="B138" s="1701"/>
      <c r="C138" s="1701"/>
      <c r="D138" s="1701"/>
      <c r="E138" s="1701"/>
      <c r="F138" s="1701"/>
      <c r="G138" s="1701"/>
      <c r="H138" s="1701"/>
    </row>
    <row r="139" spans="1:8" ht="15" hidden="1" outlineLevel="1">
      <c r="A139" s="1713" t="s">
        <v>3293</v>
      </c>
      <c r="B139" s="1714"/>
      <c r="C139" s="1714"/>
      <c r="D139" s="1714"/>
      <c r="E139" s="1714"/>
      <c r="F139" s="1714"/>
      <c r="G139" s="1714"/>
      <c r="H139" s="1267">
        <f>'Estructura de Presupuesto'!I261</f>
        <v>6771830994.8416395</v>
      </c>
    </row>
    <row r="140" spans="1:8" ht="15" hidden="1" outlineLevel="1">
      <c r="A140" s="1713" t="s">
        <v>3297</v>
      </c>
      <c r="B140" s="1714"/>
      <c r="C140" s="1714"/>
      <c r="D140" s="1714"/>
      <c r="E140" s="1714"/>
      <c r="F140" s="1714"/>
      <c r="G140" s="1714"/>
      <c r="H140" s="1270">
        <v>0.2</v>
      </c>
    </row>
    <row r="141" spans="1:8" ht="15" hidden="1" outlineLevel="1">
      <c r="A141" s="1713" t="s">
        <v>3298</v>
      </c>
      <c r="B141" s="1714"/>
      <c r="C141" s="1714"/>
      <c r="D141" s="1714"/>
      <c r="E141" s="1714"/>
      <c r="F141" s="1714"/>
      <c r="G141" s="1714"/>
      <c r="H141" s="1271">
        <v>7.4999999999999997E-3</v>
      </c>
    </row>
    <row r="142" spans="1:8" ht="15.75" hidden="1" outlineLevel="1" thickBot="1">
      <c r="A142" s="1711" t="s">
        <v>47</v>
      </c>
      <c r="B142" s="1712"/>
      <c r="C142" s="1712"/>
      <c r="D142" s="1712"/>
      <c r="E142" s="1712"/>
      <c r="F142" s="1712"/>
      <c r="G142" s="1715"/>
      <c r="H142" s="1269">
        <f>(H139*H140*H141)*1.16</f>
        <v>11782985.931024453</v>
      </c>
    </row>
    <row r="143" spans="1:8" ht="15.75" hidden="1" outlineLevel="1" thickBot="1">
      <c r="A143" s="1711" t="s">
        <v>3299</v>
      </c>
      <c r="B143" s="1712"/>
      <c r="C143" s="1712"/>
      <c r="D143" s="1712"/>
      <c r="E143" s="1712"/>
      <c r="F143" s="1712"/>
      <c r="G143" s="1712"/>
      <c r="H143" s="1272">
        <f>H137+H142</f>
        <v>90336225.471187457</v>
      </c>
    </row>
    <row r="144" spans="1:8" collapsed="1"/>
    <row r="145" spans="3:5">
      <c r="C145" s="1266"/>
      <c r="D145" s="1266"/>
      <c r="E145" s="1266"/>
    </row>
  </sheetData>
  <mergeCells count="104">
    <mergeCell ref="A143:G143"/>
    <mergeCell ref="A138:H138"/>
    <mergeCell ref="A139:G139"/>
    <mergeCell ref="A140:G140"/>
    <mergeCell ref="A141:G141"/>
    <mergeCell ref="A142:G142"/>
    <mergeCell ref="A107:G107"/>
    <mergeCell ref="A106:G106"/>
    <mergeCell ref="A105:G105"/>
    <mergeCell ref="A135:G135"/>
    <mergeCell ref="A136:G136"/>
    <mergeCell ref="A137:G137"/>
    <mergeCell ref="A134:H134"/>
    <mergeCell ref="A104:G104"/>
    <mergeCell ref="A133:H133"/>
    <mergeCell ref="A108:H108"/>
    <mergeCell ref="A114:H114"/>
    <mergeCell ref="A115:H115"/>
    <mergeCell ref="A116:H116"/>
    <mergeCell ref="A111:G111"/>
    <mergeCell ref="A112:G112"/>
    <mergeCell ref="A113:G113"/>
    <mergeCell ref="C117:D117"/>
    <mergeCell ref="A132:G132"/>
    <mergeCell ref="A109:G109"/>
    <mergeCell ref="A110:G110"/>
    <mergeCell ref="A101:B101"/>
    <mergeCell ref="D101:F101"/>
    <mergeCell ref="G101:H101"/>
    <mergeCell ref="A103:G103"/>
    <mergeCell ref="A98:H98"/>
    <mergeCell ref="A99:B99"/>
    <mergeCell ref="D99:H99"/>
    <mergeCell ref="A100:B100"/>
    <mergeCell ref="D100:F100"/>
    <mergeCell ref="G100:H100"/>
    <mergeCell ref="A78:G78"/>
    <mergeCell ref="A79:G79"/>
    <mergeCell ref="A81:G81"/>
    <mergeCell ref="A82:G82"/>
    <mergeCell ref="A80:H80"/>
    <mergeCell ref="A88:G88"/>
    <mergeCell ref="A89:G89"/>
    <mergeCell ref="A69:D69"/>
    <mergeCell ref="A70:C70"/>
    <mergeCell ref="A71:C71"/>
    <mergeCell ref="A72:C72"/>
    <mergeCell ref="A73:H73"/>
    <mergeCell ref="A74:G74"/>
    <mergeCell ref="A75:G75"/>
    <mergeCell ref="A76:G76"/>
    <mergeCell ref="A77:G77"/>
    <mergeCell ref="A87:H87"/>
    <mergeCell ref="A83:G83"/>
    <mergeCell ref="A84:G84"/>
    <mergeCell ref="A85:G85"/>
    <mergeCell ref="A86:G86"/>
    <mergeCell ref="A55:C55"/>
    <mergeCell ref="A59:C59"/>
    <mergeCell ref="A60:F60"/>
    <mergeCell ref="A65:E65"/>
    <mergeCell ref="D31:E31"/>
    <mergeCell ref="F31:G31"/>
    <mergeCell ref="A29:C29"/>
    <mergeCell ref="D29:E29"/>
    <mergeCell ref="F29:G29"/>
    <mergeCell ref="D30:E30"/>
    <mergeCell ref="F30:G30"/>
    <mergeCell ref="A31:B31"/>
    <mergeCell ref="A39:D39"/>
    <mergeCell ref="A32:B32"/>
    <mergeCell ref="D32:E32"/>
    <mergeCell ref="F32:G32"/>
    <mergeCell ref="D33:E33"/>
    <mergeCell ref="F33:G33"/>
    <mergeCell ref="D34:E34"/>
    <mergeCell ref="F34:G34"/>
    <mergeCell ref="D35:E35"/>
    <mergeCell ref="F35:G35"/>
    <mergeCell ref="A36:H36"/>
    <mergeCell ref="A97:G97"/>
    <mergeCell ref="B1:F1"/>
    <mergeCell ref="A17:F17"/>
    <mergeCell ref="A19:H19"/>
    <mergeCell ref="A20:H20"/>
    <mergeCell ref="A28:H28"/>
    <mergeCell ref="A21:G21"/>
    <mergeCell ref="A22:G22"/>
    <mergeCell ref="A23:G23"/>
    <mergeCell ref="A24:G24"/>
    <mergeCell ref="A25:G25"/>
    <mergeCell ref="A26:G26"/>
    <mergeCell ref="A27:G27"/>
    <mergeCell ref="A30:B30"/>
    <mergeCell ref="A37:C37"/>
    <mergeCell ref="A38:C38"/>
    <mergeCell ref="A90:G90"/>
    <mergeCell ref="A91:G91"/>
    <mergeCell ref="A92:G92"/>
    <mergeCell ref="A93:G93"/>
    <mergeCell ref="A94:G94"/>
    <mergeCell ref="A95:G95"/>
    <mergeCell ref="A96:G96"/>
    <mergeCell ref="A42:C42"/>
  </mergeCells>
  <dataValidations count="8">
    <dataValidation type="list" allowBlank="1" showInputMessage="1" showErrorMessage="1" sqref="F34">
      <formula1>$I$10:$I$14</formula1>
    </dataValidation>
    <dataValidation type="list" allowBlank="1" showInputMessage="1" showErrorMessage="1" sqref="F33">
      <formula1>$I$3:$I$6</formula1>
    </dataValidation>
    <dataValidation type="list" allowBlank="1" showInputMessage="1" showErrorMessage="1" sqref="G100:H100">
      <formula1>$A$64:$A$65</formula1>
    </dataValidation>
    <dataValidation type="list" allowBlank="1" showInputMessage="1" showErrorMessage="1" sqref="D122:D123">
      <formula1>$L$6:$L$7</formula1>
    </dataValidation>
    <dataValidation type="list" allowBlank="1" showInputMessage="1" showErrorMessage="1" sqref="D118">
      <formula1>$K$10:$K$16</formula1>
    </dataValidation>
    <dataValidation type="list" allowBlank="1" showInputMessage="1" showErrorMessage="1" sqref="D120">
      <formula1>$K$20:$K$24</formula1>
    </dataValidation>
    <dataValidation type="list" allowBlank="1" showInputMessage="1" showErrorMessage="1" sqref="D124">
      <formula1>$L$10:$L$15</formula1>
    </dataValidation>
    <dataValidation type="list" allowBlank="1" showInputMessage="1" showErrorMessage="1" sqref="D121">
      <formula1>$M$10:$M$13</formula1>
    </dataValidation>
  </dataValidations>
  <pageMargins left="0.7" right="0.7" top="0.75" bottom="0.75" header="0.3" footer="0.3"/>
  <pageSetup orientation="portrait" horizontalDpi="1200" verticalDpi="1200" r:id="rId1"/>
  <ignoredErrors>
    <ignoredError sqref="H77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92"/>
  <sheetViews>
    <sheetView topLeftCell="B1" zoomScale="80" zoomScaleNormal="80" workbookViewId="0">
      <selection activeCell="F193" sqref="F193"/>
    </sheetView>
  </sheetViews>
  <sheetFormatPr baseColWidth="10" defaultRowHeight="12.75" outlineLevelRow="1"/>
  <cols>
    <col min="1" max="1" width="37.28515625" customWidth="1"/>
    <col min="2" max="2" width="24.85546875" customWidth="1"/>
    <col min="3" max="3" width="27.140625" bestFit="1" customWidth="1"/>
    <col min="4" max="5" width="30.140625" bestFit="1" customWidth="1"/>
    <col min="6" max="6" width="24.5703125" bestFit="1" customWidth="1"/>
    <col min="7" max="7" width="20.5703125" bestFit="1" customWidth="1"/>
    <col min="8" max="8" width="20.5703125" customWidth="1"/>
    <col min="9" max="9" width="19.140625" customWidth="1"/>
  </cols>
  <sheetData>
    <row r="3" spans="1:9">
      <c r="A3" s="1110" t="s">
        <v>30</v>
      </c>
      <c r="B3" s="1786" t="s">
        <v>402</v>
      </c>
      <c r="C3" s="1786"/>
      <c r="D3" s="1110" t="s">
        <v>575</v>
      </c>
      <c r="E3" s="1110" t="s">
        <v>524</v>
      </c>
      <c r="F3" s="1110" t="s">
        <v>2671</v>
      </c>
      <c r="G3" s="1110" t="s">
        <v>2672</v>
      </c>
      <c r="H3" s="1787" t="s">
        <v>2673</v>
      </c>
      <c r="I3" s="1788"/>
    </row>
    <row r="4" spans="1:9">
      <c r="A4" s="1325">
        <v>1</v>
      </c>
      <c r="B4" s="1767" t="s">
        <v>2674</v>
      </c>
      <c r="C4" s="1767"/>
      <c r="D4" s="1334"/>
      <c r="E4" s="1335"/>
      <c r="F4" s="1336"/>
      <c r="G4" s="1109">
        <f>+SUM(G5:G11)</f>
        <v>63067530</v>
      </c>
      <c r="H4" s="1756">
        <f t="shared" ref="H4:H44" si="0">+G4/$I$46</f>
        <v>9.0963993686978273E-2</v>
      </c>
      <c r="I4" s="1756"/>
    </row>
    <row r="5" spans="1:9" ht="14.25" outlineLevel="1">
      <c r="A5" s="1125">
        <v>1.1000000000000001</v>
      </c>
      <c r="B5" s="1664" t="s">
        <v>3418</v>
      </c>
      <c r="C5" s="1664"/>
      <c r="D5" s="1313" t="s">
        <v>285</v>
      </c>
      <c r="E5" s="1323">
        <v>1</v>
      </c>
      <c r="F5" s="1152">
        <f>+E50</f>
        <v>14310000</v>
      </c>
      <c r="G5" s="1152">
        <f>+E5*F5</f>
        <v>14310000</v>
      </c>
      <c r="H5" s="1718">
        <f t="shared" si="0"/>
        <v>2.0639697633007971E-2</v>
      </c>
      <c r="I5" s="1718"/>
    </row>
    <row r="6" spans="1:9" ht="14.25" outlineLevel="1">
      <c r="A6" s="1125">
        <v>1.2</v>
      </c>
      <c r="B6" s="1664" t="s">
        <v>3419</v>
      </c>
      <c r="C6" s="1664"/>
      <c r="D6" s="1313" t="s">
        <v>285</v>
      </c>
      <c r="E6" s="1324">
        <v>1</v>
      </c>
      <c r="F6" s="1152">
        <f>+E51</f>
        <v>2740500</v>
      </c>
      <c r="G6" s="1152">
        <f t="shared" ref="G6:G11" si="1">+E6*F6</f>
        <v>2740500</v>
      </c>
      <c r="H6" s="1718">
        <f t="shared" si="0"/>
        <v>3.9526968108496395E-3</v>
      </c>
      <c r="I6" s="1718"/>
    </row>
    <row r="7" spans="1:9" ht="14.25" outlineLevel="1">
      <c r="A7" s="1125">
        <v>1.3</v>
      </c>
      <c r="B7" s="1664" t="s">
        <v>3420</v>
      </c>
      <c r="C7" s="1664"/>
      <c r="D7" s="1313" t="s">
        <v>285</v>
      </c>
      <c r="E7" s="1324">
        <v>1</v>
      </c>
      <c r="F7" s="1152">
        <f>+F52</f>
        <v>3500000</v>
      </c>
      <c r="G7" s="1152">
        <f t="shared" si="1"/>
        <v>3500000</v>
      </c>
      <c r="H7" s="1718">
        <f t="shared" si="0"/>
        <v>5.0481440751591819E-3</v>
      </c>
      <c r="I7" s="1718"/>
    </row>
    <row r="8" spans="1:9" ht="14.25" outlineLevel="1">
      <c r="A8" s="1125">
        <v>1.4</v>
      </c>
      <c r="B8" s="1664" t="s">
        <v>3421</v>
      </c>
      <c r="C8" s="1664"/>
      <c r="D8" s="1313" t="s">
        <v>285</v>
      </c>
      <c r="E8" s="1324">
        <v>1</v>
      </c>
      <c r="F8" s="1152">
        <f>+E53</f>
        <v>6000000</v>
      </c>
      <c r="G8" s="1152">
        <f t="shared" si="1"/>
        <v>6000000</v>
      </c>
      <c r="H8" s="1718">
        <f t="shared" si="0"/>
        <v>8.6539612717014547E-3</v>
      </c>
      <c r="I8" s="1718"/>
    </row>
    <row r="9" spans="1:9" ht="14.25" outlineLevel="1">
      <c r="A9" s="1125">
        <v>1.5</v>
      </c>
      <c r="B9" s="1664" t="s">
        <v>3422</v>
      </c>
      <c r="C9" s="1664"/>
      <c r="D9" s="1313" t="s">
        <v>285</v>
      </c>
      <c r="E9" s="1324">
        <v>1</v>
      </c>
      <c r="F9" s="1152">
        <f>+F54</f>
        <v>1440000</v>
      </c>
      <c r="G9" s="1152">
        <f t="shared" si="1"/>
        <v>1440000</v>
      </c>
      <c r="H9" s="1718">
        <f t="shared" si="0"/>
        <v>2.0769507052083493E-3</v>
      </c>
      <c r="I9" s="1718"/>
    </row>
    <row r="10" spans="1:9" ht="14.25" outlineLevel="1">
      <c r="A10" s="1125">
        <v>1.6</v>
      </c>
      <c r="B10" s="1664" t="s">
        <v>3423</v>
      </c>
      <c r="C10" s="1664"/>
      <c r="D10" s="1313" t="s">
        <v>285</v>
      </c>
      <c r="E10" s="1324">
        <v>1</v>
      </c>
      <c r="F10" s="1152">
        <f>+F55</f>
        <v>48000</v>
      </c>
      <c r="G10" s="1152">
        <f t="shared" si="1"/>
        <v>48000</v>
      </c>
      <c r="H10" s="1718">
        <f t="shared" si="0"/>
        <v>6.9231690173611636E-5</v>
      </c>
      <c r="I10" s="1718"/>
    </row>
    <row r="11" spans="1:9" ht="14.25" outlineLevel="1">
      <c r="A11" s="1125">
        <v>1.7</v>
      </c>
      <c r="B11" s="1664" t="s">
        <v>3424</v>
      </c>
      <c r="C11" s="1664"/>
      <c r="D11" s="1313" t="s">
        <v>285</v>
      </c>
      <c r="E11" s="1324">
        <v>1</v>
      </c>
      <c r="F11" s="1327">
        <f>+E56</f>
        <v>35029030</v>
      </c>
      <c r="G11" s="1152">
        <f t="shared" si="1"/>
        <v>35029030</v>
      </c>
      <c r="H11" s="1718">
        <f t="shared" si="0"/>
        <v>5.0523311500878069E-2</v>
      </c>
      <c r="I11" s="1718"/>
    </row>
    <row r="12" spans="1:9">
      <c r="A12" s="1325">
        <v>2</v>
      </c>
      <c r="B12" s="1767" t="s">
        <v>2675</v>
      </c>
      <c r="C12" s="1767"/>
      <c r="D12" s="1304"/>
      <c r="E12" s="1325"/>
      <c r="F12" s="1109"/>
      <c r="G12" s="1109">
        <f>+SUM(G13:G15)</f>
        <v>35521474.112000003</v>
      </c>
      <c r="H12" s="1756">
        <f t="shared" si="0"/>
        <v>5.1233576879832307E-2</v>
      </c>
      <c r="I12" s="1756"/>
    </row>
    <row r="13" spans="1:9" ht="14.25" outlineLevel="1">
      <c r="A13" s="1125">
        <v>2.1</v>
      </c>
      <c r="B13" s="1664" t="s">
        <v>3430</v>
      </c>
      <c r="C13" s="1664"/>
      <c r="D13" s="1328" t="s">
        <v>2728</v>
      </c>
      <c r="E13" s="1305" t="s">
        <v>2728</v>
      </c>
      <c r="F13" s="1152">
        <f>+F63</f>
        <v>212200</v>
      </c>
      <c r="G13" s="1152">
        <f>+F13</f>
        <v>212200</v>
      </c>
      <c r="H13" s="1718">
        <f t="shared" si="0"/>
        <v>3.0606176364250811E-4</v>
      </c>
      <c r="I13" s="1718"/>
    </row>
    <row r="14" spans="1:9" ht="14.25" outlineLevel="1">
      <c r="A14" s="1125">
        <v>2.2000000000000002</v>
      </c>
      <c r="B14" s="1664" t="s">
        <v>107</v>
      </c>
      <c r="C14" s="1664"/>
      <c r="D14" s="1328" t="s">
        <v>285</v>
      </c>
      <c r="E14" s="1306">
        <f>+F65</f>
        <v>288</v>
      </c>
      <c r="F14" s="1152">
        <f>+G70</f>
        <v>111600</v>
      </c>
      <c r="G14" s="1152">
        <f>+E14*F14</f>
        <v>32140800</v>
      </c>
      <c r="H14" s="1718">
        <f t="shared" si="0"/>
        <v>4.635753974025035E-2</v>
      </c>
      <c r="I14" s="1718"/>
    </row>
    <row r="15" spans="1:9" ht="14.25" outlineLevel="1">
      <c r="A15" s="1125">
        <v>2.2999999999999998</v>
      </c>
      <c r="B15" s="1664" t="s">
        <v>3431</v>
      </c>
      <c r="C15" s="1664"/>
      <c r="D15" s="1328" t="s">
        <v>2728</v>
      </c>
      <c r="E15" s="1305" t="s">
        <v>2728</v>
      </c>
      <c r="F15" s="1152">
        <f>+G109</f>
        <v>3168474.1120000002</v>
      </c>
      <c r="G15" s="1152">
        <f>+F15</f>
        <v>3168474.1120000002</v>
      </c>
      <c r="H15" s="1718">
        <f t="shared" si="0"/>
        <v>4.5699753759394432E-3</v>
      </c>
      <c r="I15" s="1718"/>
    </row>
    <row r="16" spans="1:9" ht="14.25" outlineLevel="1">
      <c r="A16" s="1125">
        <v>2.4</v>
      </c>
      <c r="B16" s="1664" t="s">
        <v>3448</v>
      </c>
      <c r="C16" s="1664"/>
      <c r="D16" s="1328" t="s">
        <v>2728</v>
      </c>
      <c r="E16" s="1328" t="s">
        <v>2728</v>
      </c>
      <c r="F16" s="1152">
        <f>E123</f>
        <v>1390400</v>
      </c>
      <c r="G16" s="1152">
        <f>F16</f>
        <v>1390400</v>
      </c>
      <c r="H16" s="1718">
        <f t="shared" si="0"/>
        <v>2.0054112920289504E-3</v>
      </c>
      <c r="I16" s="1718"/>
    </row>
    <row r="17" spans="1:9">
      <c r="A17" s="1325">
        <v>3</v>
      </c>
      <c r="B17" s="1789" t="s">
        <v>2676</v>
      </c>
      <c r="C17" s="1767"/>
      <c r="D17" s="1304"/>
      <c r="E17" s="1325"/>
      <c r="F17" s="1109"/>
      <c r="G17" s="1109">
        <f>+SUM(G18:G19)</f>
        <v>22910000</v>
      </c>
      <c r="H17" s="1756">
        <f t="shared" si="0"/>
        <v>3.3043708789113391E-2</v>
      </c>
      <c r="I17" s="1756"/>
    </row>
    <row r="18" spans="1:9" ht="14.25" hidden="1" outlineLevel="1">
      <c r="A18" s="1125">
        <v>3.1</v>
      </c>
      <c r="B18" s="1664" t="s">
        <v>3432</v>
      </c>
      <c r="C18" s="1664"/>
      <c r="D18" s="1328" t="s">
        <v>2728</v>
      </c>
      <c r="E18" s="1305" t="s">
        <v>2728</v>
      </c>
      <c r="F18" s="189">
        <f>+H138</f>
        <v>12516000</v>
      </c>
      <c r="G18" s="189">
        <f>+F18</f>
        <v>12516000</v>
      </c>
      <c r="H18" s="1718">
        <f t="shared" si="0"/>
        <v>1.8052163212769236E-2</v>
      </c>
      <c r="I18" s="1718"/>
    </row>
    <row r="19" spans="1:9" ht="14.25" hidden="1" outlineLevel="1">
      <c r="A19" s="1125">
        <v>3.2</v>
      </c>
      <c r="B19" s="1664" t="s">
        <v>3433</v>
      </c>
      <c r="C19" s="1664"/>
      <c r="D19" s="1328" t="s">
        <v>2728</v>
      </c>
      <c r="E19" s="1307" t="s">
        <v>2728</v>
      </c>
      <c r="F19" s="1329">
        <f>+H141</f>
        <v>10394000</v>
      </c>
      <c r="G19" s="1329">
        <f>+F19</f>
        <v>10394000</v>
      </c>
      <c r="H19" s="1718">
        <f t="shared" si="0"/>
        <v>1.4991545576344153E-2</v>
      </c>
      <c r="I19" s="1718"/>
    </row>
    <row r="20" spans="1:9" collapsed="1">
      <c r="A20" s="1325">
        <v>4</v>
      </c>
      <c r="B20" s="1767" t="s">
        <v>2677</v>
      </c>
      <c r="C20" s="1767"/>
      <c r="D20" s="1304"/>
      <c r="E20" s="1325"/>
      <c r="F20" s="1109"/>
      <c r="G20" s="1109">
        <f>+SUM(G21:G34)</f>
        <v>560153806.27199996</v>
      </c>
      <c r="H20" s="1756">
        <f t="shared" si="0"/>
        <v>0.80792489094567455</v>
      </c>
      <c r="I20" s="1756"/>
    </row>
    <row r="21" spans="1:9" ht="14.25" outlineLevel="1">
      <c r="A21" s="1330">
        <v>4.0999999999999996</v>
      </c>
      <c r="B21" s="1664" t="s">
        <v>3394</v>
      </c>
      <c r="C21" s="1664"/>
      <c r="D21" s="1328" t="s">
        <v>2682</v>
      </c>
      <c r="E21" s="1306">
        <v>15</v>
      </c>
      <c r="F21" s="1331">
        <f>+G160</f>
        <v>11669870.964000002</v>
      </c>
      <c r="G21" s="1152">
        <f>+E21*F21</f>
        <v>175048064.46000004</v>
      </c>
      <c r="H21" s="1718">
        <f t="shared" si="0"/>
        <v>0.25247652842052337</v>
      </c>
      <c r="I21" s="1718"/>
    </row>
    <row r="22" spans="1:9" ht="14.25" outlineLevel="1">
      <c r="A22" s="1330" t="s">
        <v>1094</v>
      </c>
      <c r="B22" s="1664" t="s">
        <v>3395</v>
      </c>
      <c r="C22" s="1664"/>
      <c r="D22" s="1328" t="s">
        <v>2682</v>
      </c>
      <c r="E22" s="1306">
        <v>9</v>
      </c>
      <c r="F22" s="1331">
        <f t="shared" ref="F22:F34" si="2">+G161</f>
        <v>5834935.4820000008</v>
      </c>
      <c r="G22" s="1152">
        <f t="shared" ref="G22:G34" si="3">+E22*F22</f>
        <v>52514419.338000007</v>
      </c>
      <c r="H22" s="1718">
        <f t="shared" si="0"/>
        <v>7.5742958526157006E-2</v>
      </c>
      <c r="I22" s="1718"/>
    </row>
    <row r="23" spans="1:9" ht="14.25" outlineLevel="1">
      <c r="A23" s="1330" t="s">
        <v>1095</v>
      </c>
      <c r="B23" s="1664" t="s">
        <v>3396</v>
      </c>
      <c r="C23" s="1664"/>
      <c r="D23" s="1328" t="s">
        <v>2682</v>
      </c>
      <c r="E23" s="1306">
        <v>6</v>
      </c>
      <c r="F23" s="1331">
        <f t="shared" si="2"/>
        <v>5834935.4820000008</v>
      </c>
      <c r="G23" s="1152">
        <f t="shared" si="3"/>
        <v>35009612.892000005</v>
      </c>
      <c r="H23" s="1718">
        <f t="shared" si="0"/>
        <v>5.0495305684104666E-2</v>
      </c>
      <c r="I23" s="1718"/>
    </row>
    <row r="24" spans="1:9" ht="14.25" outlineLevel="1">
      <c r="A24" s="1330" t="s">
        <v>1096</v>
      </c>
      <c r="B24" s="1664" t="s">
        <v>3397</v>
      </c>
      <c r="C24" s="1664"/>
      <c r="D24" s="1328" t="s">
        <v>2682</v>
      </c>
      <c r="E24" s="1306">
        <v>15</v>
      </c>
      <c r="F24" s="1331">
        <f t="shared" si="2"/>
        <v>3500961.2892000005</v>
      </c>
      <c r="G24" s="1152">
        <f t="shared" si="3"/>
        <v>52514419.338000007</v>
      </c>
      <c r="H24" s="1718">
        <f t="shared" si="0"/>
        <v>7.5742958526157006E-2</v>
      </c>
      <c r="I24" s="1718"/>
    </row>
    <row r="25" spans="1:9" ht="14.25" outlineLevel="1">
      <c r="A25" s="1330" t="s">
        <v>1097</v>
      </c>
      <c r="B25" s="1664" t="s">
        <v>3398</v>
      </c>
      <c r="C25" s="1664"/>
      <c r="D25" s="1328" t="s">
        <v>2682</v>
      </c>
      <c r="E25" s="1306">
        <v>15</v>
      </c>
      <c r="F25" s="1331">
        <f t="shared" si="2"/>
        <v>3500961.2892000005</v>
      </c>
      <c r="G25" s="1152">
        <f t="shared" si="3"/>
        <v>52514419.338000007</v>
      </c>
      <c r="H25" s="1718">
        <f t="shared" si="0"/>
        <v>7.5742958526157006E-2</v>
      </c>
      <c r="I25" s="1718"/>
    </row>
    <row r="26" spans="1:9" ht="14.25" outlineLevel="1">
      <c r="A26" s="1330" t="s">
        <v>3408</v>
      </c>
      <c r="B26" s="1664" t="s">
        <v>3399</v>
      </c>
      <c r="C26" s="1664"/>
      <c r="D26" s="1328" t="s">
        <v>2682</v>
      </c>
      <c r="E26" s="1306">
        <v>15</v>
      </c>
      <c r="F26" s="1331">
        <f t="shared" si="2"/>
        <v>3500961.2892000005</v>
      </c>
      <c r="G26" s="1152">
        <f t="shared" si="3"/>
        <v>52514419.338000007</v>
      </c>
      <c r="H26" s="1718">
        <f t="shared" si="0"/>
        <v>7.5742958526157006E-2</v>
      </c>
      <c r="I26" s="1718"/>
    </row>
    <row r="27" spans="1:9" ht="14.25" outlineLevel="1">
      <c r="A27" s="1330" t="s">
        <v>3409</v>
      </c>
      <c r="B27" s="1664" t="s">
        <v>3400</v>
      </c>
      <c r="C27" s="1664"/>
      <c r="D27" s="1328" t="s">
        <v>2682</v>
      </c>
      <c r="E27" s="1306">
        <v>15</v>
      </c>
      <c r="F27" s="1331">
        <f t="shared" si="2"/>
        <v>1166987.0964000002</v>
      </c>
      <c r="G27" s="1152">
        <f t="shared" si="3"/>
        <v>17504806.446000002</v>
      </c>
      <c r="H27" s="1718">
        <f t="shared" si="0"/>
        <v>2.5247652842052333E-2</v>
      </c>
      <c r="I27" s="1718"/>
    </row>
    <row r="28" spans="1:9" ht="14.25" outlineLevel="1">
      <c r="A28" s="1330" t="s">
        <v>3410</v>
      </c>
      <c r="B28" s="1664" t="s">
        <v>3401</v>
      </c>
      <c r="C28" s="1664"/>
      <c r="D28" s="1328" t="s">
        <v>2682</v>
      </c>
      <c r="E28" s="1306">
        <v>15</v>
      </c>
      <c r="F28" s="1331">
        <f t="shared" si="2"/>
        <v>1166987.0964000002</v>
      </c>
      <c r="G28" s="1152">
        <f t="shared" si="3"/>
        <v>17504806.446000002</v>
      </c>
      <c r="H28" s="1718">
        <f t="shared" si="0"/>
        <v>2.5247652842052333E-2</v>
      </c>
      <c r="I28" s="1718"/>
    </row>
    <row r="29" spans="1:9" ht="14.25" outlineLevel="1">
      <c r="A29" s="1330" t="s">
        <v>3411</v>
      </c>
      <c r="B29" s="1664" t="s">
        <v>3402</v>
      </c>
      <c r="C29" s="1664"/>
      <c r="D29" s="1328" t="s">
        <v>2682</v>
      </c>
      <c r="E29" s="1306">
        <v>15</v>
      </c>
      <c r="F29" s="1331">
        <f t="shared" si="2"/>
        <v>1166987.0964000002</v>
      </c>
      <c r="G29" s="1152">
        <f t="shared" si="3"/>
        <v>17504806.446000002</v>
      </c>
      <c r="H29" s="1718">
        <f t="shared" si="0"/>
        <v>2.5247652842052333E-2</v>
      </c>
      <c r="I29" s="1718"/>
    </row>
    <row r="30" spans="1:9" ht="14.25" outlineLevel="1">
      <c r="A30" s="1330" t="s">
        <v>3412</v>
      </c>
      <c r="B30" s="1664" t="s">
        <v>3403</v>
      </c>
      <c r="C30" s="1664"/>
      <c r="D30" s="1328" t="s">
        <v>2682</v>
      </c>
      <c r="E30" s="1306">
        <v>15</v>
      </c>
      <c r="F30" s="1331">
        <f t="shared" si="2"/>
        <v>1166987.0964000002</v>
      </c>
      <c r="G30" s="1152">
        <f t="shared" si="3"/>
        <v>17504806.446000002</v>
      </c>
      <c r="H30" s="1718">
        <f t="shared" si="0"/>
        <v>2.5247652842052333E-2</v>
      </c>
      <c r="I30" s="1718"/>
    </row>
    <row r="31" spans="1:9" ht="14.25" outlineLevel="1">
      <c r="A31" s="1330" t="s">
        <v>3413</v>
      </c>
      <c r="B31" s="1664" t="s">
        <v>3404</v>
      </c>
      <c r="C31" s="1664"/>
      <c r="D31" s="1328" t="s">
        <v>2682</v>
      </c>
      <c r="E31" s="1306">
        <v>15</v>
      </c>
      <c r="F31" s="1331">
        <f t="shared" si="2"/>
        <v>1166987.0964000002</v>
      </c>
      <c r="G31" s="1152">
        <f t="shared" si="3"/>
        <v>17504806.446000002</v>
      </c>
      <c r="H31" s="1718">
        <f t="shared" si="0"/>
        <v>2.5247652842052333E-2</v>
      </c>
      <c r="I31" s="1718"/>
    </row>
    <row r="32" spans="1:9" ht="14.25" outlineLevel="1">
      <c r="A32" s="1330" t="s">
        <v>3414</v>
      </c>
      <c r="B32" s="1664" t="s">
        <v>3405</v>
      </c>
      <c r="C32" s="1664"/>
      <c r="D32" s="1328" t="s">
        <v>2682</v>
      </c>
      <c r="E32" s="1306">
        <v>15</v>
      </c>
      <c r="F32" s="1331">
        <f t="shared" si="2"/>
        <v>1166987.0964000002</v>
      </c>
      <c r="G32" s="1152">
        <f t="shared" si="3"/>
        <v>17504806.446000002</v>
      </c>
      <c r="H32" s="1718">
        <f t="shared" si="0"/>
        <v>2.5247652842052333E-2</v>
      </c>
      <c r="I32" s="1718"/>
    </row>
    <row r="33" spans="1:9" ht="14.25" outlineLevel="1">
      <c r="A33" s="1330" t="s">
        <v>3415</v>
      </c>
      <c r="B33" s="1664" t="s">
        <v>3406</v>
      </c>
      <c r="C33" s="1664"/>
      <c r="D33" s="1328" t="s">
        <v>2682</v>
      </c>
      <c r="E33" s="1306">
        <v>15</v>
      </c>
      <c r="F33" s="1331">
        <f t="shared" si="2"/>
        <v>1166987.0964000002</v>
      </c>
      <c r="G33" s="1152">
        <f t="shared" si="3"/>
        <v>17504806.446000002</v>
      </c>
      <c r="H33" s="1718">
        <f t="shared" si="0"/>
        <v>2.5247652842052333E-2</v>
      </c>
      <c r="I33" s="1718"/>
    </row>
    <row r="34" spans="1:9" ht="14.25" outlineLevel="1">
      <c r="A34" s="1330" t="s">
        <v>3416</v>
      </c>
      <c r="B34" s="1664" t="s">
        <v>3407</v>
      </c>
      <c r="C34" s="1664"/>
      <c r="D34" s="1328" t="s">
        <v>2682</v>
      </c>
      <c r="E34" s="1306">
        <v>15</v>
      </c>
      <c r="F34" s="1331">
        <f t="shared" si="2"/>
        <v>1166987.0964000002</v>
      </c>
      <c r="G34" s="1152">
        <f t="shared" si="3"/>
        <v>17504806.446000002</v>
      </c>
      <c r="H34" s="1718">
        <f t="shared" si="0"/>
        <v>2.5247652842052333E-2</v>
      </c>
      <c r="I34" s="1718"/>
    </row>
    <row r="35" spans="1:9">
      <c r="A35" s="1325">
        <v>5</v>
      </c>
      <c r="B35" s="1767" t="s">
        <v>2678</v>
      </c>
      <c r="C35" s="1767"/>
      <c r="D35" s="1304"/>
      <c r="E35" s="1325"/>
      <c r="F35" s="1109"/>
      <c r="G35" s="1109">
        <f>+SUM(G36:G43)</f>
        <v>9071300</v>
      </c>
      <c r="H35" s="1756">
        <f t="shared" si="0"/>
        <v>1.3083779813997568E-2</v>
      </c>
      <c r="I35" s="1756"/>
    </row>
    <row r="36" spans="1:9" hidden="1" outlineLevel="1">
      <c r="A36" s="1333" t="s">
        <v>1098</v>
      </c>
      <c r="B36" s="1598" t="s">
        <v>2687</v>
      </c>
      <c r="C36" s="1598"/>
      <c r="D36" s="1307" t="s">
        <v>285</v>
      </c>
      <c r="E36" s="1307">
        <v>4</v>
      </c>
      <c r="F36" s="1332">
        <f>369000</f>
        <v>369000</v>
      </c>
      <c r="G36" s="1152">
        <f>+E36*F36</f>
        <v>1476000</v>
      </c>
      <c r="H36" s="1718">
        <f t="shared" si="0"/>
        <v>2.128874472838558E-3</v>
      </c>
      <c r="I36" s="1718"/>
    </row>
    <row r="37" spans="1:9" hidden="1" outlineLevel="1">
      <c r="A37" s="1333" t="s">
        <v>1099</v>
      </c>
      <c r="B37" s="1598" t="s">
        <v>2688</v>
      </c>
      <c r="C37" s="1598"/>
      <c r="D37" s="1307" t="s">
        <v>285</v>
      </c>
      <c r="E37" s="1307">
        <v>4</v>
      </c>
      <c r="F37" s="1332">
        <v>1149000</v>
      </c>
      <c r="G37" s="1152">
        <f t="shared" ref="G37:G43" si="4">+E37*F37</f>
        <v>4596000</v>
      </c>
      <c r="H37" s="1718">
        <f t="shared" si="0"/>
        <v>6.6289343341233145E-3</v>
      </c>
      <c r="I37" s="1718"/>
    </row>
    <row r="38" spans="1:9" hidden="1" outlineLevel="1">
      <c r="A38" s="1333" t="s">
        <v>1100</v>
      </c>
      <c r="B38" s="1598" t="s">
        <v>2681</v>
      </c>
      <c r="C38" s="1598"/>
      <c r="D38" s="1307" t="s">
        <v>285</v>
      </c>
      <c r="E38" s="1307">
        <v>2</v>
      </c>
      <c r="F38" s="1332">
        <v>189900</v>
      </c>
      <c r="G38" s="1152">
        <f t="shared" si="4"/>
        <v>379800</v>
      </c>
      <c r="H38" s="1718">
        <f t="shared" si="0"/>
        <v>5.4779574849870205E-4</v>
      </c>
      <c r="I38" s="1718"/>
    </row>
    <row r="39" spans="1:9" hidden="1" outlineLevel="1">
      <c r="A39" s="1333" t="s">
        <v>1101</v>
      </c>
      <c r="B39" s="1598" t="s">
        <v>2680</v>
      </c>
      <c r="C39" s="1598"/>
      <c r="D39" s="1307" t="s">
        <v>2682</v>
      </c>
      <c r="E39" s="1307">
        <v>15</v>
      </c>
      <c r="F39" s="1332">
        <v>100000</v>
      </c>
      <c r="G39" s="1152">
        <f t="shared" si="4"/>
        <v>1500000</v>
      </c>
      <c r="H39" s="1718">
        <f t="shared" si="0"/>
        <v>2.1634903179253637E-3</v>
      </c>
      <c r="I39" s="1718"/>
    </row>
    <row r="40" spans="1:9" hidden="1" outlineLevel="1">
      <c r="A40" s="1333" t="s">
        <v>1102</v>
      </c>
      <c r="B40" s="1598" t="s">
        <v>2686</v>
      </c>
      <c r="C40" s="1598"/>
      <c r="D40" s="1307" t="s">
        <v>285</v>
      </c>
      <c r="E40" s="1307">
        <v>1</v>
      </c>
      <c r="F40" s="1332">
        <v>89900</v>
      </c>
      <c r="G40" s="1152">
        <f t="shared" si="4"/>
        <v>89900</v>
      </c>
      <c r="H40" s="1718">
        <f t="shared" si="0"/>
        <v>1.2966518638766013E-4</v>
      </c>
      <c r="I40" s="1718"/>
    </row>
    <row r="41" spans="1:9" hidden="1" outlineLevel="1">
      <c r="A41" s="1333" t="s">
        <v>1103</v>
      </c>
      <c r="B41" s="1598" t="s">
        <v>2685</v>
      </c>
      <c r="C41" s="1598"/>
      <c r="D41" s="1307" t="s">
        <v>285</v>
      </c>
      <c r="E41" s="1307">
        <v>2</v>
      </c>
      <c r="F41" s="1332">
        <v>109900</v>
      </c>
      <c r="G41" s="1152">
        <f t="shared" si="4"/>
        <v>219800</v>
      </c>
      <c r="H41" s="1718">
        <f t="shared" si="0"/>
        <v>3.170234479199966E-4</v>
      </c>
      <c r="I41" s="1718"/>
    </row>
    <row r="42" spans="1:9" hidden="1" outlineLevel="1">
      <c r="A42" s="1333" t="s">
        <v>1104</v>
      </c>
      <c r="B42" s="1598" t="s">
        <v>2684</v>
      </c>
      <c r="C42" s="1598"/>
      <c r="D42" s="1307" t="s">
        <v>285</v>
      </c>
      <c r="E42" s="1307">
        <v>1</v>
      </c>
      <c r="F42" s="1332">
        <v>54900</v>
      </c>
      <c r="G42" s="1152">
        <f t="shared" si="4"/>
        <v>54900</v>
      </c>
      <c r="H42" s="1718">
        <f t="shared" si="0"/>
        <v>7.9183745636068314E-5</v>
      </c>
      <c r="I42" s="1718"/>
    </row>
    <row r="43" spans="1:9" hidden="1" outlineLevel="1">
      <c r="A43" s="1333" t="s">
        <v>1105</v>
      </c>
      <c r="B43" s="1598" t="s">
        <v>2683</v>
      </c>
      <c r="C43" s="1598"/>
      <c r="D43" s="1307" t="s">
        <v>285</v>
      </c>
      <c r="E43" s="1307">
        <v>1</v>
      </c>
      <c r="F43" s="1332">
        <v>754900</v>
      </c>
      <c r="G43" s="1152">
        <f t="shared" si="4"/>
        <v>754900</v>
      </c>
      <c r="H43" s="1718">
        <f t="shared" si="0"/>
        <v>1.0888125606679047E-3</v>
      </c>
      <c r="I43" s="1718"/>
    </row>
    <row r="44" spans="1:9" collapsed="1">
      <c r="A44" s="1325">
        <v>6</v>
      </c>
      <c r="B44" s="1767" t="s">
        <v>2679</v>
      </c>
      <c r="C44" s="1767"/>
      <c r="D44" s="1304"/>
      <c r="E44" s="1325"/>
      <c r="F44" s="1109"/>
      <c r="G44" s="1109">
        <f>+H191</f>
        <v>2600000</v>
      </c>
      <c r="H44" s="1756">
        <f t="shared" si="0"/>
        <v>3.7500498844039638E-3</v>
      </c>
      <c r="I44" s="1756"/>
    </row>
    <row r="45" spans="1:9" ht="13.5" thickBot="1">
      <c r="B45" s="135"/>
      <c r="C45" s="135"/>
      <c r="D45" s="1108"/>
    </row>
    <row r="46" spans="1:9" ht="13.5" thickBot="1">
      <c r="A46" s="1719" t="s">
        <v>2219</v>
      </c>
      <c r="B46" s="1720"/>
      <c r="C46" s="1720"/>
      <c r="D46" s="1720"/>
      <c r="E46" s="1720"/>
      <c r="F46" s="1720"/>
      <c r="G46" s="1720"/>
      <c r="H46" s="1720"/>
      <c r="I46" s="1380">
        <f>+G44+G35+G20+G17+G12+G4</f>
        <v>693324110.38399994</v>
      </c>
    </row>
    <row r="47" spans="1:9" ht="13.5" thickBot="1">
      <c r="B47" s="1755"/>
      <c r="C47" s="1755"/>
      <c r="D47" s="1108"/>
    </row>
    <row r="48" spans="1:9" ht="13.5" thickBot="1">
      <c r="A48" s="1114">
        <f>A4</f>
        <v>1</v>
      </c>
      <c r="B48" s="1720" t="s">
        <v>2674</v>
      </c>
      <c r="C48" s="1720"/>
      <c r="D48" s="1720"/>
      <c r="E48" s="1720"/>
      <c r="F48" s="1720"/>
      <c r="G48" s="1720"/>
      <c r="H48" s="1720"/>
      <c r="I48" s="1754"/>
    </row>
    <row r="49" spans="1:9" hidden="1" outlineLevel="1">
      <c r="A49" s="1275" t="s">
        <v>3300</v>
      </c>
      <c r="B49" s="1276" t="s">
        <v>3301</v>
      </c>
      <c r="C49" s="1276" t="s">
        <v>3302</v>
      </c>
      <c r="D49" s="1276" t="s">
        <v>3303</v>
      </c>
      <c r="E49" s="1276" t="s">
        <v>3304</v>
      </c>
      <c r="F49" s="1276" t="s">
        <v>3305</v>
      </c>
      <c r="G49" s="488"/>
      <c r="H49" s="488"/>
      <c r="I49" s="488"/>
    </row>
    <row r="50" spans="1:9" ht="15" hidden="1" outlineLevel="1">
      <c r="A50" s="1322" t="s">
        <v>3425</v>
      </c>
      <c r="B50" s="1124">
        <f>53000*30</f>
        <v>1590000</v>
      </c>
      <c r="C50" s="1747">
        <v>250</v>
      </c>
      <c r="D50" s="1747">
        <v>9</v>
      </c>
      <c r="E50" s="1124">
        <f>B50*D50</f>
        <v>14310000</v>
      </c>
      <c r="F50" s="1327">
        <v>48114000</v>
      </c>
      <c r="G50" s="488"/>
      <c r="H50" s="488"/>
      <c r="I50" s="488"/>
    </row>
    <row r="51" spans="1:9" ht="15" hidden="1" outlineLevel="1">
      <c r="A51" s="1322" t="s">
        <v>3426</v>
      </c>
      <c r="B51" s="1124">
        <f>(10150)*30</f>
        <v>304500</v>
      </c>
      <c r="C51" s="1747"/>
      <c r="D51" s="1747"/>
      <c r="E51" s="1124">
        <f>B51*D50</f>
        <v>2740500</v>
      </c>
      <c r="F51" s="1327">
        <v>4695300</v>
      </c>
      <c r="G51" s="488"/>
      <c r="H51" s="488"/>
      <c r="I51" s="488"/>
    </row>
    <row r="52" spans="1:9" ht="15" hidden="1" outlineLevel="1">
      <c r="A52" s="1322" t="s">
        <v>3427</v>
      </c>
      <c r="B52" s="1277">
        <f>30000*30</f>
        <v>900000</v>
      </c>
      <c r="C52" s="1308">
        <v>226</v>
      </c>
      <c r="D52" s="1308">
        <v>8</v>
      </c>
      <c r="E52" s="1124">
        <f>D52*B52</f>
        <v>7200000</v>
      </c>
      <c r="F52" s="1327">
        <v>3500000</v>
      </c>
      <c r="G52" s="488"/>
      <c r="H52" s="488"/>
      <c r="I52" s="488"/>
    </row>
    <row r="53" spans="1:9" ht="15" hidden="1" outlineLevel="1">
      <c r="A53" s="1322" t="s">
        <v>3428</v>
      </c>
      <c r="B53" s="1277">
        <f>25000*30</f>
        <v>750000</v>
      </c>
      <c r="C53" s="1308">
        <v>226</v>
      </c>
      <c r="D53" s="1308">
        <v>8</v>
      </c>
      <c r="E53" s="1124">
        <f>D53*B53</f>
        <v>6000000</v>
      </c>
      <c r="F53" s="1327">
        <v>60000000</v>
      </c>
      <c r="G53" s="488"/>
      <c r="H53" s="488"/>
      <c r="I53" s="488"/>
    </row>
    <row r="54" spans="1:9" ht="15" hidden="1" outlineLevel="1">
      <c r="A54" s="1322" t="s">
        <v>3429</v>
      </c>
      <c r="B54" s="1277">
        <f>24000*30</f>
        <v>720000</v>
      </c>
      <c r="C54" s="479">
        <v>226</v>
      </c>
      <c r="D54" s="479">
        <v>8</v>
      </c>
      <c r="E54" s="1124">
        <f>B54*D54</f>
        <v>5760000</v>
      </c>
      <c r="F54" s="1278">
        <f>+B54*$F$189</f>
        <v>1440000</v>
      </c>
      <c r="G54" s="488"/>
      <c r="H54" s="488"/>
      <c r="I54" s="488"/>
    </row>
    <row r="55" spans="1:9" ht="15" hidden="1" outlineLevel="1">
      <c r="A55" s="1322" t="s">
        <v>3306</v>
      </c>
      <c r="B55" s="1277">
        <f>800*30</f>
        <v>24000</v>
      </c>
      <c r="C55" s="479">
        <v>250</v>
      </c>
      <c r="D55" s="479">
        <v>9</v>
      </c>
      <c r="E55" s="1124">
        <f>B55*D55</f>
        <v>216000</v>
      </c>
      <c r="F55" s="1278">
        <f>+B55*$F$190</f>
        <v>48000</v>
      </c>
      <c r="G55" s="488"/>
      <c r="H55" s="488"/>
      <c r="I55" s="488"/>
    </row>
    <row r="56" spans="1:9" ht="15.75" hidden="1" outlineLevel="1" thickBot="1">
      <c r="A56" s="266" t="s">
        <v>3417</v>
      </c>
      <c r="B56" s="1277">
        <v>35029030</v>
      </c>
      <c r="C56" s="1349">
        <v>36</v>
      </c>
      <c r="D56" s="1349">
        <v>1</v>
      </c>
      <c r="E56" s="1124">
        <f>B56*D56</f>
        <v>35029030</v>
      </c>
      <c r="F56" s="1152">
        <v>106000000</v>
      </c>
      <c r="G56" s="488"/>
      <c r="H56" s="488"/>
      <c r="I56" s="488"/>
    </row>
    <row r="57" spans="1:9" ht="13.5" collapsed="1" thickBot="1">
      <c r="A57" s="1326">
        <f>A12</f>
        <v>2</v>
      </c>
      <c r="B57" s="1759" t="str">
        <f>B12</f>
        <v>Ensayos para el control de calidad</v>
      </c>
      <c r="C57" s="1759"/>
      <c r="D57" s="1759"/>
      <c r="E57" s="1759"/>
      <c r="F57" s="1759"/>
      <c r="G57" s="1760"/>
      <c r="H57" s="1760"/>
      <c r="I57" s="1761"/>
    </row>
    <row r="58" spans="1:9" hidden="1" outlineLevel="1">
      <c r="A58" s="1749" t="s">
        <v>3323</v>
      </c>
      <c r="B58" s="1750"/>
      <c r="C58" s="1750"/>
      <c r="D58" s="1750"/>
      <c r="E58" s="1750"/>
      <c r="F58" s="1750"/>
      <c r="G58" s="487"/>
      <c r="H58" s="487"/>
      <c r="I58" s="487"/>
    </row>
    <row r="59" spans="1:9" ht="15" hidden="1" outlineLevel="1">
      <c r="A59" s="1748" t="s">
        <v>3313</v>
      </c>
      <c r="B59" s="1748"/>
      <c r="C59" s="1748"/>
      <c r="D59" s="479" t="s">
        <v>3314</v>
      </c>
      <c r="E59" s="479" t="s">
        <v>2904</v>
      </c>
      <c r="F59" s="1227" t="s">
        <v>2671</v>
      </c>
      <c r="G59" s="488"/>
      <c r="H59" s="488"/>
      <c r="I59" s="488"/>
    </row>
    <row r="60" spans="1:9" hidden="1" outlineLevel="1">
      <c r="A60" s="1790" t="s">
        <v>3312</v>
      </c>
      <c r="B60" s="1791"/>
      <c r="C60" s="1792"/>
      <c r="D60" s="1124" t="s">
        <v>3315</v>
      </c>
      <c r="E60" s="1224">
        <v>2013</v>
      </c>
      <c r="F60" s="1124">
        <v>72200</v>
      </c>
      <c r="G60" s="488"/>
      <c r="H60" s="488"/>
      <c r="I60" s="488"/>
    </row>
    <row r="61" spans="1:9" hidden="1" outlineLevel="1">
      <c r="A61" s="1790" t="s">
        <v>3316</v>
      </c>
      <c r="B61" s="1791"/>
      <c r="C61" s="1792"/>
      <c r="D61" s="1124" t="s">
        <v>3317</v>
      </c>
      <c r="E61" s="1224">
        <v>2013</v>
      </c>
      <c r="F61" s="1124">
        <v>70000</v>
      </c>
      <c r="G61" s="488"/>
      <c r="H61" s="488"/>
      <c r="I61" s="488"/>
    </row>
    <row r="62" spans="1:9" hidden="1" outlineLevel="1">
      <c r="A62" s="1790" t="s">
        <v>3318</v>
      </c>
      <c r="B62" s="1791"/>
      <c r="C62" s="1792"/>
      <c r="D62" s="1124" t="s">
        <v>3319</v>
      </c>
      <c r="E62" s="1224">
        <v>2013</v>
      </c>
      <c r="F62" s="1124">
        <v>70000</v>
      </c>
      <c r="G62" s="488"/>
      <c r="H62" s="488"/>
      <c r="I62" s="488"/>
    </row>
    <row r="63" spans="1:9" hidden="1" outlineLevel="1">
      <c r="A63" s="1742" t="s">
        <v>3322</v>
      </c>
      <c r="B63" s="1743"/>
      <c r="C63" s="1743"/>
      <c r="D63" s="1743"/>
      <c r="E63" s="1744"/>
      <c r="F63" s="1285">
        <f>SUM(F60:F62)</f>
        <v>212200</v>
      </c>
      <c r="G63" s="488"/>
      <c r="H63" s="488"/>
      <c r="I63" s="488"/>
    </row>
    <row r="64" spans="1:9" hidden="1" outlineLevel="1">
      <c r="A64" s="1793" t="s">
        <v>3324</v>
      </c>
      <c r="B64" s="1793"/>
      <c r="C64" s="1793"/>
      <c r="D64" s="1793"/>
      <c r="E64" s="1793"/>
      <c r="F64" s="1793"/>
      <c r="G64" s="1793"/>
      <c r="H64" s="488"/>
      <c r="I64" s="488"/>
    </row>
    <row r="65" spans="1:9" hidden="1" outlineLevel="1">
      <c r="A65" s="1286" t="s">
        <v>3320</v>
      </c>
      <c r="B65" s="654">
        <v>6585.18</v>
      </c>
      <c r="C65" s="1286" t="s">
        <v>3321</v>
      </c>
      <c r="D65" s="1224">
        <f>ROUNDDOWN(B65/200,0)</f>
        <v>32</v>
      </c>
      <c r="E65" s="1286" t="s">
        <v>3325</v>
      </c>
      <c r="F65" s="1224">
        <f>D65*SUM(E67:E69)</f>
        <v>288</v>
      </c>
      <c r="G65" s="479"/>
      <c r="H65" s="488"/>
      <c r="I65" s="488"/>
    </row>
    <row r="66" spans="1:9" hidden="1" outlineLevel="1">
      <c r="A66" s="1808" t="s">
        <v>3313</v>
      </c>
      <c r="B66" s="1808"/>
      <c r="C66" s="1286" t="s">
        <v>3314</v>
      </c>
      <c r="D66" s="1286" t="s">
        <v>2904</v>
      </c>
      <c r="E66" s="1286" t="s">
        <v>524</v>
      </c>
      <c r="F66" s="1282" t="s">
        <v>2671</v>
      </c>
      <c r="G66" s="479" t="s">
        <v>2672</v>
      </c>
      <c r="H66" s="488"/>
      <c r="I66" s="488"/>
    </row>
    <row r="67" spans="1:9" hidden="1" outlineLevel="1">
      <c r="A67" s="1751" t="s">
        <v>3327</v>
      </c>
      <c r="B67" s="1751"/>
      <c r="C67" s="1124" t="s">
        <v>3326</v>
      </c>
      <c r="D67" s="1224">
        <v>2010</v>
      </c>
      <c r="E67" s="1224">
        <v>3</v>
      </c>
      <c r="F67" s="1124">
        <v>12400</v>
      </c>
      <c r="G67" s="1124">
        <f>E67*F67</f>
        <v>37200</v>
      </c>
      <c r="H67" s="488"/>
      <c r="I67" s="488"/>
    </row>
    <row r="68" spans="1:9" hidden="1" outlineLevel="1">
      <c r="A68" s="1751" t="s">
        <v>3328</v>
      </c>
      <c r="B68" s="1751"/>
      <c r="C68" s="1124" t="s">
        <v>3326</v>
      </c>
      <c r="D68" s="1224">
        <v>2010</v>
      </c>
      <c r="E68" s="1224">
        <v>3</v>
      </c>
      <c r="F68" s="1124">
        <v>12400</v>
      </c>
      <c r="G68" s="1124">
        <f>E68*F68</f>
        <v>37200</v>
      </c>
      <c r="H68" s="488"/>
      <c r="I68" s="488"/>
    </row>
    <row r="69" spans="1:9" hidden="1" outlineLevel="1">
      <c r="A69" s="1751" t="s">
        <v>3329</v>
      </c>
      <c r="B69" s="1751"/>
      <c r="C69" s="1124" t="s">
        <v>3326</v>
      </c>
      <c r="D69" s="1224">
        <v>2010</v>
      </c>
      <c r="E69" s="1224">
        <v>3</v>
      </c>
      <c r="F69" s="1124">
        <v>12400</v>
      </c>
      <c r="G69" s="1124">
        <f>E69*F69</f>
        <v>37200</v>
      </c>
      <c r="H69" s="488"/>
      <c r="I69" s="488"/>
    </row>
    <row r="70" spans="1:9" hidden="1" outlineLevel="1">
      <c r="A70" s="1752" t="s">
        <v>3330</v>
      </c>
      <c r="B70" s="1752"/>
      <c r="C70" s="1752"/>
      <c r="D70" s="1752"/>
      <c r="E70" s="1752"/>
      <c r="F70" s="1283">
        <f>SUM(F67:F69)</f>
        <v>37200</v>
      </c>
      <c r="G70" s="1287">
        <f>SUM(G67:G69)</f>
        <v>111600</v>
      </c>
      <c r="H70" s="488"/>
      <c r="I70" s="488"/>
    </row>
    <row r="71" spans="1:9" hidden="1" outlineLevel="1">
      <c r="A71" s="1753" t="s">
        <v>3322</v>
      </c>
      <c r="B71" s="1753"/>
      <c r="C71" s="1753"/>
      <c r="D71" s="1753"/>
      <c r="E71" s="1753"/>
      <c r="F71" s="1753"/>
      <c r="G71" s="1285">
        <f>G70*F65</f>
        <v>32140800</v>
      </c>
      <c r="H71" s="488"/>
      <c r="I71" s="488"/>
    </row>
    <row r="72" spans="1:9" hidden="1" outlineLevel="1">
      <c r="A72" s="1793" t="s">
        <v>3331</v>
      </c>
      <c r="B72" s="1793"/>
      <c r="C72" s="1793"/>
      <c r="D72" s="1793"/>
      <c r="E72" s="1793"/>
      <c r="F72" s="1793"/>
      <c r="G72" s="1793"/>
      <c r="H72" s="1793"/>
      <c r="I72" s="488"/>
    </row>
    <row r="73" spans="1:9" hidden="1" outlineLevel="1">
      <c r="A73" s="1803" t="s">
        <v>3364</v>
      </c>
      <c r="B73" s="1803"/>
      <c r="C73" s="1803"/>
      <c r="D73" s="1803"/>
      <c r="E73" s="1803"/>
      <c r="F73" s="1803"/>
      <c r="G73" s="1803"/>
      <c r="H73" s="1803"/>
      <c r="I73" s="488"/>
    </row>
    <row r="74" spans="1:9" hidden="1" outlineLevel="1">
      <c r="A74" s="1804" t="s">
        <v>3332</v>
      </c>
      <c r="B74" s="1804"/>
      <c r="C74" s="1804"/>
      <c r="D74" s="1804"/>
      <c r="E74" s="1804"/>
      <c r="F74" s="1804"/>
      <c r="G74" s="1804"/>
      <c r="H74" s="1288" t="s">
        <v>1515</v>
      </c>
      <c r="I74" s="488"/>
    </row>
    <row r="75" spans="1:9" hidden="1" outlineLevel="1">
      <c r="A75" s="1797" t="s">
        <v>3333</v>
      </c>
      <c r="B75" s="1797"/>
      <c r="C75" s="1797"/>
      <c r="D75" s="1797"/>
      <c r="E75" s="1797"/>
      <c r="F75" s="1797"/>
      <c r="G75" s="1797"/>
      <c r="H75" s="1289">
        <v>93450</v>
      </c>
      <c r="I75" s="488"/>
    </row>
    <row r="76" spans="1:9" hidden="1" outlineLevel="1">
      <c r="A76" s="1797" t="s">
        <v>3334</v>
      </c>
      <c r="B76" s="1797"/>
      <c r="C76" s="1797"/>
      <c r="D76" s="1797"/>
      <c r="E76" s="1797"/>
      <c r="F76" s="1797"/>
      <c r="G76" s="1797"/>
      <c r="H76" s="1289">
        <v>101850</v>
      </c>
      <c r="I76" s="488"/>
    </row>
    <row r="77" spans="1:9" hidden="1" outlineLevel="1">
      <c r="A77" s="1797" t="s">
        <v>3335</v>
      </c>
      <c r="B77" s="1797"/>
      <c r="C77" s="1797"/>
      <c r="D77" s="1797"/>
      <c r="E77" s="1797"/>
      <c r="F77" s="1797"/>
      <c r="G77" s="1797"/>
      <c r="H77" s="1289">
        <v>106600</v>
      </c>
      <c r="I77" s="488"/>
    </row>
    <row r="78" spans="1:9" hidden="1" outlineLevel="1">
      <c r="A78" s="1797" t="s">
        <v>3336</v>
      </c>
      <c r="B78" s="1797"/>
      <c r="C78" s="1797"/>
      <c r="D78" s="1797"/>
      <c r="E78" s="1797"/>
      <c r="F78" s="1797"/>
      <c r="G78" s="1797"/>
      <c r="H78" s="1289">
        <v>90900</v>
      </c>
      <c r="I78" s="488"/>
    </row>
    <row r="79" spans="1:9" hidden="1" outlineLevel="1">
      <c r="A79" s="1797" t="s">
        <v>3337</v>
      </c>
      <c r="B79" s="1797"/>
      <c r="C79" s="1797"/>
      <c r="D79" s="1797"/>
      <c r="E79" s="1797"/>
      <c r="F79" s="1797"/>
      <c r="G79" s="1797"/>
      <c r="H79" s="1289">
        <v>93450</v>
      </c>
      <c r="I79" s="488"/>
    </row>
    <row r="80" spans="1:9" hidden="1" outlineLevel="1">
      <c r="A80" s="1797" t="s">
        <v>3338</v>
      </c>
      <c r="B80" s="1797"/>
      <c r="C80" s="1797"/>
      <c r="D80" s="1797"/>
      <c r="E80" s="1797"/>
      <c r="F80" s="1797"/>
      <c r="G80" s="1797"/>
      <c r="H80" s="1289">
        <v>103500</v>
      </c>
      <c r="I80" s="488"/>
    </row>
    <row r="81" spans="1:9" hidden="1" outlineLevel="1">
      <c r="A81" s="1797" t="s">
        <v>3339</v>
      </c>
      <c r="B81" s="1797"/>
      <c r="C81" s="1797"/>
      <c r="D81" s="1797"/>
      <c r="E81" s="1797"/>
      <c r="F81" s="1797"/>
      <c r="G81" s="1797"/>
      <c r="H81" s="1289">
        <v>98700</v>
      </c>
      <c r="I81" s="488"/>
    </row>
    <row r="82" spans="1:9" hidden="1" outlineLevel="1">
      <c r="A82" s="1798" t="s">
        <v>3340</v>
      </c>
      <c r="B82" s="1798"/>
      <c r="C82" s="1798"/>
      <c r="D82" s="1798"/>
      <c r="E82" s="1798"/>
      <c r="F82" s="1798"/>
      <c r="G82" s="1798"/>
      <c r="H82" s="1805">
        <v>78499.149999999994</v>
      </c>
      <c r="I82" s="488"/>
    </row>
    <row r="83" spans="1:9" hidden="1" outlineLevel="1">
      <c r="A83" s="1798"/>
      <c r="B83" s="1798"/>
      <c r="C83" s="1798"/>
      <c r="D83" s="1798"/>
      <c r="E83" s="1798"/>
      <c r="F83" s="1798"/>
      <c r="G83" s="1798"/>
      <c r="H83" s="1806"/>
      <c r="I83" s="488"/>
    </row>
    <row r="84" spans="1:9" hidden="1" outlineLevel="1">
      <c r="A84" s="1799" t="s">
        <v>3341</v>
      </c>
      <c r="B84" s="1799"/>
      <c r="C84" s="1799"/>
      <c r="D84" s="1799"/>
      <c r="E84" s="1799"/>
      <c r="F84" s="1799"/>
      <c r="G84" s="1799"/>
      <c r="H84" s="1290">
        <v>120000</v>
      </c>
      <c r="I84" s="488"/>
    </row>
    <row r="85" spans="1:9" hidden="1" outlineLevel="1">
      <c r="A85" s="1800" t="s">
        <v>3342</v>
      </c>
      <c r="B85" s="1800"/>
      <c r="C85" s="1800"/>
      <c r="D85" s="1801" t="s">
        <v>3343</v>
      </c>
      <c r="E85" s="1801" t="s">
        <v>3344</v>
      </c>
      <c r="F85" s="1801" t="s">
        <v>3345</v>
      </c>
      <c r="G85" s="1801" t="s">
        <v>3346</v>
      </c>
      <c r="H85" s="1801" t="s">
        <v>3347</v>
      </c>
      <c r="I85" s="488"/>
    </row>
    <row r="86" spans="1:9" hidden="1" outlineLevel="1">
      <c r="A86" s="1800"/>
      <c r="B86" s="1800"/>
      <c r="C86" s="1800"/>
      <c r="D86" s="1801"/>
      <c r="E86" s="1801"/>
      <c r="F86" s="1801"/>
      <c r="G86" s="1801"/>
      <c r="H86" s="1801"/>
      <c r="I86" s="488"/>
    </row>
    <row r="87" spans="1:9" hidden="1" outlineLevel="1">
      <c r="A87" s="1800"/>
      <c r="B87" s="1800"/>
      <c r="C87" s="1800"/>
      <c r="D87" s="1801"/>
      <c r="E87" s="1801"/>
      <c r="F87" s="1801"/>
      <c r="G87" s="1801"/>
      <c r="H87" s="1801"/>
      <c r="I87" s="488"/>
    </row>
    <row r="88" spans="1:9" ht="14.25" hidden="1" outlineLevel="1">
      <c r="A88" s="1802" t="s">
        <v>3348</v>
      </c>
      <c r="B88" s="1802"/>
      <c r="C88" s="1802"/>
      <c r="D88" s="1226">
        <v>1</v>
      </c>
      <c r="E88" s="1226">
        <f>D88*1</f>
        <v>1</v>
      </c>
      <c r="F88" s="1226">
        <f>D88*1</f>
        <v>1</v>
      </c>
      <c r="G88" s="1226">
        <f>D88*1</f>
        <v>1</v>
      </c>
      <c r="H88" s="1226">
        <f t="shared" ref="H88:H93" si="5">D88*1</f>
        <v>1</v>
      </c>
      <c r="I88" s="488"/>
    </row>
    <row r="89" spans="1:9" ht="14.25" hidden="1" outlineLevel="1">
      <c r="A89" s="1802" t="s">
        <v>3349</v>
      </c>
      <c r="B89" s="1802"/>
      <c r="C89" s="1802"/>
      <c r="D89" s="1226">
        <v>1</v>
      </c>
      <c r="E89" s="1226">
        <f t="shared" ref="E89:E95" si="6">D89*1</f>
        <v>1</v>
      </c>
      <c r="F89" s="1226">
        <f t="shared" ref="F89:F95" si="7">D89*1</f>
        <v>1</v>
      </c>
      <c r="G89" s="1226">
        <f t="shared" ref="G89:G95" si="8">D89*1</f>
        <v>1</v>
      </c>
      <c r="H89" s="1226">
        <f t="shared" si="5"/>
        <v>1</v>
      </c>
      <c r="I89" s="488"/>
    </row>
    <row r="90" spans="1:9" ht="14.25" hidden="1" outlineLevel="1">
      <c r="A90" s="1802" t="s">
        <v>3350</v>
      </c>
      <c r="B90" s="1802"/>
      <c r="C90" s="1802"/>
      <c r="D90" s="1226">
        <v>1</v>
      </c>
      <c r="E90" s="1226">
        <f t="shared" si="6"/>
        <v>1</v>
      </c>
      <c r="F90" s="1226">
        <f t="shared" si="7"/>
        <v>1</v>
      </c>
      <c r="G90" s="1226">
        <f t="shared" si="8"/>
        <v>1</v>
      </c>
      <c r="H90" s="1226">
        <f t="shared" si="5"/>
        <v>1</v>
      </c>
      <c r="I90" s="488"/>
    </row>
    <row r="91" spans="1:9" ht="14.25" hidden="1" outlineLevel="1">
      <c r="A91" s="1802" t="s">
        <v>3351</v>
      </c>
      <c r="B91" s="1802"/>
      <c r="C91" s="1802"/>
      <c r="D91" s="1226">
        <v>1</v>
      </c>
      <c r="E91" s="1226">
        <f t="shared" si="6"/>
        <v>1</v>
      </c>
      <c r="F91" s="1226">
        <f t="shared" si="7"/>
        <v>1</v>
      </c>
      <c r="G91" s="1226">
        <f t="shared" si="8"/>
        <v>1</v>
      </c>
      <c r="H91" s="1226">
        <f t="shared" si="5"/>
        <v>1</v>
      </c>
      <c r="I91" s="488"/>
    </row>
    <row r="92" spans="1:9" ht="14.25" hidden="1" outlineLevel="1">
      <c r="A92" s="1802" t="s">
        <v>3352</v>
      </c>
      <c r="B92" s="1802"/>
      <c r="C92" s="1802"/>
      <c r="D92" s="1226">
        <v>1</v>
      </c>
      <c r="E92" s="1226">
        <f t="shared" si="6"/>
        <v>1</v>
      </c>
      <c r="F92" s="1226">
        <f t="shared" si="7"/>
        <v>1</v>
      </c>
      <c r="G92" s="1226">
        <f t="shared" si="8"/>
        <v>1</v>
      </c>
      <c r="H92" s="1226">
        <f t="shared" si="5"/>
        <v>1</v>
      </c>
      <c r="I92" s="488"/>
    </row>
    <row r="93" spans="1:9" ht="14.25" hidden="1" outlineLevel="1">
      <c r="A93" s="1802" t="s">
        <v>3353</v>
      </c>
      <c r="B93" s="1802"/>
      <c r="C93" s="1802"/>
      <c r="D93" s="1226">
        <v>1</v>
      </c>
      <c r="E93" s="1226">
        <f t="shared" si="6"/>
        <v>1</v>
      </c>
      <c r="F93" s="1226">
        <f t="shared" si="7"/>
        <v>1</v>
      </c>
      <c r="G93" s="1226">
        <f t="shared" si="8"/>
        <v>1</v>
      </c>
      <c r="H93" s="1226">
        <f t="shared" si="5"/>
        <v>1</v>
      </c>
      <c r="I93" s="488"/>
    </row>
    <row r="94" spans="1:9" ht="14.25" hidden="1" outlineLevel="1">
      <c r="A94" s="1802" t="s">
        <v>3365</v>
      </c>
      <c r="B94" s="1802"/>
      <c r="C94" s="1802"/>
      <c r="D94" s="1226">
        <v>1</v>
      </c>
      <c r="E94" s="1226">
        <f t="shared" si="6"/>
        <v>1</v>
      </c>
      <c r="F94" s="1226">
        <f t="shared" si="7"/>
        <v>1</v>
      </c>
      <c r="G94" s="1226">
        <f t="shared" si="8"/>
        <v>1</v>
      </c>
      <c r="H94" s="134"/>
      <c r="I94" s="488"/>
    </row>
    <row r="95" spans="1:9" ht="14.25" hidden="1" outlineLevel="1">
      <c r="A95" s="1802" t="s">
        <v>3366</v>
      </c>
      <c r="B95" s="1802"/>
      <c r="C95" s="1802"/>
      <c r="D95" s="1226">
        <v>1</v>
      </c>
      <c r="E95" s="1226">
        <f t="shared" si="6"/>
        <v>1</v>
      </c>
      <c r="F95" s="1226">
        <f t="shared" si="7"/>
        <v>1</v>
      </c>
      <c r="G95" s="1226">
        <f t="shared" si="8"/>
        <v>1</v>
      </c>
      <c r="H95" s="134"/>
      <c r="I95" s="488"/>
    </row>
    <row r="96" spans="1:9" hidden="1" outlineLevel="1">
      <c r="A96" s="1771" t="s">
        <v>3354</v>
      </c>
      <c r="B96" s="1771"/>
      <c r="C96" s="1771"/>
      <c r="D96" s="1771"/>
      <c r="E96" s="1771"/>
      <c r="F96" s="1771"/>
      <c r="G96" s="1292">
        <f>H75*E88</f>
        <v>93450</v>
      </c>
      <c r="H96" s="1291"/>
      <c r="I96" s="488"/>
    </row>
    <row r="97" spans="1:9" hidden="1" outlineLevel="1">
      <c r="A97" s="1771" t="s">
        <v>3355</v>
      </c>
      <c r="B97" s="1771"/>
      <c r="C97" s="1771"/>
      <c r="D97" s="1771"/>
      <c r="E97" s="1771"/>
      <c r="F97" s="1771"/>
      <c r="G97" s="1292">
        <f>H75*E89</f>
        <v>93450</v>
      </c>
      <c r="H97" s="1291"/>
      <c r="I97" s="488"/>
    </row>
    <row r="98" spans="1:9" hidden="1" outlineLevel="1">
      <c r="A98" s="1771" t="s">
        <v>3356</v>
      </c>
      <c r="B98" s="1771"/>
      <c r="C98" s="1771"/>
      <c r="D98" s="1771"/>
      <c r="E98" s="1771"/>
      <c r="F98" s="1771"/>
      <c r="G98" s="1292">
        <f>E90*H76</f>
        <v>101850</v>
      </c>
      <c r="H98" s="1291"/>
      <c r="I98" s="488"/>
    </row>
    <row r="99" spans="1:9" hidden="1" outlineLevel="1">
      <c r="A99" s="1771" t="s">
        <v>3357</v>
      </c>
      <c r="B99" s="1771"/>
      <c r="C99" s="1771"/>
      <c r="D99" s="1771"/>
      <c r="E99" s="1771"/>
      <c r="F99" s="1771"/>
      <c r="G99" s="1292">
        <f>E91*H76</f>
        <v>101850</v>
      </c>
      <c r="H99" s="1291"/>
      <c r="I99" s="488"/>
    </row>
    <row r="100" spans="1:9" hidden="1" outlineLevel="1">
      <c r="A100" s="1771" t="s">
        <v>3358</v>
      </c>
      <c r="B100" s="1771"/>
      <c r="C100" s="1771"/>
      <c r="D100" s="1771"/>
      <c r="E100" s="1771"/>
      <c r="F100" s="1771"/>
      <c r="G100" s="1292">
        <f>E92*H76</f>
        <v>101850</v>
      </c>
      <c r="H100" s="1291"/>
      <c r="I100" s="488"/>
    </row>
    <row r="101" spans="1:9" hidden="1" outlineLevel="1">
      <c r="A101" s="1771" t="s">
        <v>3359</v>
      </c>
      <c r="B101" s="1771"/>
      <c r="C101" s="1771"/>
      <c r="D101" s="1771"/>
      <c r="E101" s="1771"/>
      <c r="F101" s="1771"/>
      <c r="G101" s="1292">
        <f>E93*H76</f>
        <v>101850</v>
      </c>
      <c r="H101" s="1291"/>
      <c r="I101" s="488"/>
    </row>
    <row r="102" spans="1:9" ht="12.75" hidden="1" customHeight="1" outlineLevel="1">
      <c r="A102" s="1771" t="s">
        <v>3367</v>
      </c>
      <c r="B102" s="1771"/>
      <c r="C102" s="1771"/>
      <c r="D102" s="1771"/>
      <c r="E102" s="1771"/>
      <c r="F102" s="1771"/>
      <c r="G102" s="1292">
        <f>H79</f>
        <v>93450</v>
      </c>
      <c r="H102" s="1291"/>
      <c r="I102" s="488"/>
    </row>
    <row r="103" spans="1:9" hidden="1" outlineLevel="1">
      <c r="A103" s="1771" t="s">
        <v>3368</v>
      </c>
      <c r="B103" s="1771"/>
      <c r="C103" s="1771"/>
      <c r="D103" s="1771"/>
      <c r="E103" s="1771"/>
      <c r="F103" s="1771"/>
      <c r="G103" s="1292">
        <f>H80</f>
        <v>103500</v>
      </c>
      <c r="H103" s="1291"/>
      <c r="I103" s="488"/>
    </row>
    <row r="104" spans="1:9" hidden="1" outlineLevel="1">
      <c r="A104" s="1772" t="s">
        <v>3360</v>
      </c>
      <c r="B104" s="1772"/>
      <c r="C104" s="1772"/>
      <c r="D104" s="1772"/>
      <c r="E104" s="1772"/>
      <c r="F104" s="1772"/>
      <c r="G104" s="1292">
        <f>H81*SUM(F88:F93)</f>
        <v>592200</v>
      </c>
      <c r="H104" s="1291"/>
      <c r="I104" s="488"/>
    </row>
    <row r="105" spans="1:9" hidden="1" outlineLevel="1">
      <c r="A105" s="1772" t="s">
        <v>3361</v>
      </c>
      <c r="B105" s="1772"/>
      <c r="C105" s="1772"/>
      <c r="D105" s="1772"/>
      <c r="E105" s="1772"/>
      <c r="F105" s="1772"/>
      <c r="G105" s="1293">
        <f>SUM(G88:G95)*H82</f>
        <v>627993.19999999995</v>
      </c>
      <c r="H105" s="1291"/>
      <c r="I105" s="488"/>
    </row>
    <row r="106" spans="1:9" hidden="1" outlineLevel="1">
      <c r="A106" s="1768" t="s">
        <v>3362</v>
      </c>
      <c r="B106" s="1769"/>
      <c r="C106" s="1769"/>
      <c r="D106" s="1769"/>
      <c r="E106" s="1769"/>
      <c r="F106" s="1770"/>
      <c r="G106" s="1292">
        <f>SUM(H88:H93)*H84</f>
        <v>720000</v>
      </c>
      <c r="H106" s="1291"/>
      <c r="I106" s="488"/>
    </row>
    <row r="107" spans="1:9" hidden="1" outlineLevel="1">
      <c r="A107" s="1772" t="s">
        <v>45</v>
      </c>
      <c r="B107" s="1772"/>
      <c r="C107" s="1772"/>
      <c r="D107" s="1772"/>
      <c r="E107" s="1772"/>
      <c r="F107" s="1772"/>
      <c r="G107" s="1292">
        <f>SUM(G96:G106)</f>
        <v>2731443.2</v>
      </c>
      <c r="H107" s="1291"/>
      <c r="I107" s="488"/>
    </row>
    <row r="108" spans="1:9" hidden="1" outlineLevel="1">
      <c r="A108" s="1772" t="s">
        <v>3363</v>
      </c>
      <c r="B108" s="1772"/>
      <c r="C108" s="1772"/>
      <c r="D108" s="1772"/>
      <c r="E108" s="1772"/>
      <c r="F108" s="1772"/>
      <c r="G108" s="1293">
        <f>16%*G107</f>
        <v>437030.91200000001</v>
      </c>
      <c r="H108" s="1291"/>
      <c r="I108" s="488"/>
    </row>
    <row r="109" spans="1:9" hidden="1" outlineLevel="1">
      <c r="A109" s="1807" t="s">
        <v>47</v>
      </c>
      <c r="B109" s="1807"/>
      <c r="C109" s="1807"/>
      <c r="D109" s="1807"/>
      <c r="E109" s="1807"/>
      <c r="F109" s="1807"/>
      <c r="G109" s="1284">
        <f>G108+G107</f>
        <v>3168474.1120000002</v>
      </c>
      <c r="H109" s="1291"/>
      <c r="I109" s="488"/>
    </row>
    <row r="110" spans="1:9" hidden="1" outlineLevel="1">
      <c r="A110" s="1793" t="s">
        <v>3434</v>
      </c>
      <c r="B110" s="1793"/>
      <c r="C110" s="1793"/>
      <c r="D110" s="1793"/>
      <c r="E110" s="1793"/>
      <c r="F110" s="1793"/>
      <c r="G110" s="1793"/>
      <c r="H110" s="1793"/>
      <c r="I110" s="488"/>
    </row>
    <row r="111" spans="1:9" hidden="1" outlineLevel="1">
      <c r="B111" s="1337" t="s">
        <v>55</v>
      </c>
    </row>
    <row r="112" spans="1:9" hidden="1" outlineLevel="1">
      <c r="A112" s="1338" t="s">
        <v>3435</v>
      </c>
      <c r="B112" s="5">
        <v>1243.575</v>
      </c>
    </row>
    <row r="113" spans="1:9" hidden="1" outlineLevel="1">
      <c r="A113" s="1338" t="s">
        <v>3439</v>
      </c>
      <c r="B113" s="5">
        <v>40.059049999999992</v>
      </c>
    </row>
    <row r="114" spans="1:9" hidden="1" outlineLevel="1"/>
    <row r="115" spans="1:9" hidden="1" outlineLevel="1">
      <c r="B115" s="1338" t="s">
        <v>3436</v>
      </c>
      <c r="C115" s="1338" t="s">
        <v>3437</v>
      </c>
      <c r="D115" s="1338" t="s">
        <v>3438</v>
      </c>
      <c r="E115" s="1338" t="s">
        <v>2672</v>
      </c>
    </row>
    <row r="116" spans="1:9" hidden="1" outlineLevel="1">
      <c r="B116" s="5">
        <f>(B112)/200</f>
        <v>6.2178750000000003</v>
      </c>
      <c r="C116" s="5">
        <f>B116*3</f>
        <v>18.653625000000002</v>
      </c>
      <c r="D116" s="1339">
        <v>12400</v>
      </c>
      <c r="E116" s="1339">
        <f>D116*19</f>
        <v>235600</v>
      </c>
    </row>
    <row r="117" spans="1:9" hidden="1" outlineLevel="1">
      <c r="B117" s="1338" t="s">
        <v>3440</v>
      </c>
      <c r="C117" s="1338" t="s">
        <v>3437</v>
      </c>
      <c r="D117" s="1338" t="s">
        <v>3438</v>
      </c>
      <c r="E117" s="1338" t="s">
        <v>2672</v>
      </c>
    </row>
    <row r="118" spans="1:9" hidden="1" outlineLevel="1">
      <c r="B118" s="5">
        <f>B113/10</f>
        <v>4.0059049999999994</v>
      </c>
      <c r="C118" s="5">
        <f>B118*3</f>
        <v>12.017714999999999</v>
      </c>
      <c r="D118" s="1339">
        <v>12400</v>
      </c>
      <c r="E118" s="1339">
        <f>D118*12</f>
        <v>148800</v>
      </c>
    </row>
    <row r="119" spans="1:9" hidden="1" outlineLevel="1">
      <c r="C119" s="1338" t="s">
        <v>3441</v>
      </c>
      <c r="D119" s="1338" t="s">
        <v>3437</v>
      </c>
      <c r="E119" s="1338" t="s">
        <v>3442</v>
      </c>
      <c r="F119" s="1338" t="s">
        <v>3443</v>
      </c>
      <c r="G119" s="1338" t="s">
        <v>3444</v>
      </c>
      <c r="H119" s="1338" t="s">
        <v>2672</v>
      </c>
    </row>
    <row r="120" spans="1:9" hidden="1" outlineLevel="1">
      <c r="A120" s="1338" t="s">
        <v>3445</v>
      </c>
      <c r="B120" s="5">
        <f>(B112)/(0.2*0.4)</f>
        <v>15544.687499999998</v>
      </c>
      <c r="C120" s="5">
        <f>(B120/5000)</f>
        <v>3.1089374999999997</v>
      </c>
      <c r="D120" s="5">
        <f>3*3</f>
        <v>9</v>
      </c>
      <c r="E120" s="1339">
        <v>20000</v>
      </c>
      <c r="F120" s="1339">
        <v>16000</v>
      </c>
      <c r="G120" s="1339">
        <v>18000</v>
      </c>
      <c r="H120" s="1339">
        <f>(E120+F120+G120)*D120</f>
        <v>486000</v>
      </c>
    </row>
    <row r="121" spans="1:9" hidden="1" outlineLevel="1">
      <c r="B121" s="1338" t="s">
        <v>3446</v>
      </c>
      <c r="C121" s="1338" t="s">
        <v>3447</v>
      </c>
      <c r="D121" s="1338" t="s">
        <v>3438</v>
      </c>
      <c r="E121" s="1338" t="s">
        <v>2672</v>
      </c>
      <c r="I121" s="488"/>
    </row>
    <row r="122" spans="1:9" hidden="1" outlineLevel="1">
      <c r="B122" s="5">
        <f>(B112)/500</f>
        <v>2.4871500000000002</v>
      </c>
      <c r="C122" s="5">
        <f>B122*3</f>
        <v>7.461450000000001</v>
      </c>
      <c r="D122" s="1339">
        <v>65000</v>
      </c>
      <c r="E122" s="1339">
        <f>D122*8</f>
        <v>520000</v>
      </c>
      <c r="I122" s="488"/>
    </row>
    <row r="123" spans="1:9" ht="15.75" hidden="1" outlineLevel="1" thickBot="1">
      <c r="D123" s="1340" t="s">
        <v>3322</v>
      </c>
      <c r="E123" s="1341">
        <f>E116+E118+H120+E122</f>
        <v>1390400</v>
      </c>
      <c r="I123" s="488"/>
    </row>
    <row r="124" spans="1:9" ht="13.5" collapsed="1" thickBot="1">
      <c r="A124" s="1281">
        <f>A17</f>
        <v>3</v>
      </c>
      <c r="B124" s="1760" t="str">
        <f>B17</f>
        <v>Elementos de protección personal y de seguridad industrial</v>
      </c>
      <c r="C124" s="1760"/>
      <c r="D124" s="1760"/>
      <c r="E124" s="1760"/>
      <c r="F124" s="1760"/>
      <c r="G124" s="1760"/>
      <c r="H124" s="1760"/>
      <c r="I124" s="1761"/>
    </row>
    <row r="125" spans="1:9" ht="13.5" hidden="1" outlineLevel="1" thickBot="1">
      <c r="A125" s="1377" t="s">
        <v>1088</v>
      </c>
      <c r="B125" s="1764" t="s">
        <v>2724</v>
      </c>
      <c r="C125" s="1764"/>
      <c r="D125" s="1764"/>
      <c r="E125" s="1764"/>
      <c r="F125" s="1764"/>
      <c r="G125" s="1764"/>
      <c r="H125" s="1765"/>
      <c r="I125" s="1766"/>
    </row>
    <row r="126" spans="1:9" s="516" customFormat="1" ht="15.75" hidden="1" outlineLevel="1" thickBot="1">
      <c r="A126" s="1135" t="s">
        <v>30</v>
      </c>
      <c r="B126" s="1136" t="s">
        <v>652</v>
      </c>
      <c r="C126" s="1137" t="s">
        <v>2697</v>
      </c>
      <c r="D126" s="1137" t="s">
        <v>575</v>
      </c>
      <c r="E126" s="1138" t="s">
        <v>2698</v>
      </c>
      <c r="F126" s="1139" t="s">
        <v>2699</v>
      </c>
      <c r="G126" s="1137" t="s">
        <v>2700</v>
      </c>
      <c r="H126" s="1745" t="s">
        <v>2701</v>
      </c>
      <c r="I126" s="1746"/>
    </row>
    <row r="127" spans="1:9" s="516" customFormat="1" ht="12.75" hidden="1" customHeight="1" outlineLevel="1" thickBot="1">
      <c r="A127" s="1134" t="s">
        <v>2713</v>
      </c>
      <c r="B127" s="1757" t="s">
        <v>2702</v>
      </c>
      <c r="C127" s="1127" t="s">
        <v>2703</v>
      </c>
      <c r="D127" s="1127" t="s">
        <v>285</v>
      </c>
      <c r="E127" s="1128">
        <v>4</v>
      </c>
      <c r="F127" s="394">
        <v>2</v>
      </c>
      <c r="G127" s="1123">
        <v>35000</v>
      </c>
      <c r="H127" s="1724">
        <f>G127*F127*E127</f>
        <v>280000</v>
      </c>
      <c r="I127" s="1725"/>
    </row>
    <row r="128" spans="1:9" s="516" customFormat="1" ht="12.75" hidden="1" customHeight="1" outlineLevel="1" thickBot="1">
      <c r="A128" s="1130" t="s">
        <v>2714</v>
      </c>
      <c r="B128" s="1758"/>
      <c r="C128" s="1091" t="s">
        <v>2704</v>
      </c>
      <c r="D128" s="1127" t="s">
        <v>285</v>
      </c>
      <c r="E128" s="1128">
        <v>4</v>
      </c>
      <c r="F128" s="394">
        <v>2</v>
      </c>
      <c r="G128" s="1124">
        <v>5500</v>
      </c>
      <c r="H128" s="1724">
        <f t="shared" ref="H128:H135" si="9">G128*F128*E128</f>
        <v>44000</v>
      </c>
      <c r="I128" s="1725"/>
    </row>
    <row r="129" spans="1:9" s="516" customFormat="1" ht="12.75" hidden="1" customHeight="1" outlineLevel="1" thickBot="1">
      <c r="A129" s="1130" t="s">
        <v>2715</v>
      </c>
      <c r="B129" s="1758" t="s">
        <v>2705</v>
      </c>
      <c r="C129" s="1091" t="s">
        <v>2703</v>
      </c>
      <c r="D129" s="1127" t="s">
        <v>285</v>
      </c>
      <c r="E129" s="1128">
        <v>4</v>
      </c>
      <c r="F129" s="394">
        <v>2</v>
      </c>
      <c r="G129" s="1124">
        <v>220000</v>
      </c>
      <c r="H129" s="1724">
        <f t="shared" si="9"/>
        <v>1760000</v>
      </c>
      <c r="I129" s="1725"/>
    </row>
    <row r="130" spans="1:9" s="516" customFormat="1" ht="12.75" hidden="1" customHeight="1" outlineLevel="1" thickBot="1">
      <c r="A130" s="1130" t="s">
        <v>2716</v>
      </c>
      <c r="B130" s="1758"/>
      <c r="C130" s="1091" t="s">
        <v>2704</v>
      </c>
      <c r="D130" s="1127" t="s">
        <v>285</v>
      </c>
      <c r="E130" s="1128">
        <v>4</v>
      </c>
      <c r="F130" s="394">
        <v>2</v>
      </c>
      <c r="G130" s="1124">
        <v>89000</v>
      </c>
      <c r="H130" s="1724">
        <f t="shared" si="9"/>
        <v>712000</v>
      </c>
      <c r="I130" s="1725"/>
    </row>
    <row r="131" spans="1:9" s="516" customFormat="1" ht="15.75" hidden="1" outlineLevel="1" thickBot="1">
      <c r="A131" s="1130" t="s">
        <v>2717</v>
      </c>
      <c r="B131" s="1126" t="s">
        <v>2706</v>
      </c>
      <c r="C131" s="1091" t="s">
        <v>2707</v>
      </c>
      <c r="D131" s="1127" t="s">
        <v>285</v>
      </c>
      <c r="E131" s="1128">
        <v>50</v>
      </c>
      <c r="F131" s="394">
        <v>2</v>
      </c>
      <c r="G131" s="1124">
        <v>45000</v>
      </c>
      <c r="H131" s="1724">
        <f t="shared" si="9"/>
        <v>4500000</v>
      </c>
      <c r="I131" s="1725"/>
    </row>
    <row r="132" spans="1:9" s="516" customFormat="1" ht="15.75" hidden="1" outlineLevel="1" thickBot="1">
      <c r="A132" s="1130" t="s">
        <v>2718</v>
      </c>
      <c r="B132" s="1126" t="s">
        <v>2708</v>
      </c>
      <c r="C132" s="1095" t="s">
        <v>336</v>
      </c>
      <c r="D132" s="1127" t="s">
        <v>285</v>
      </c>
      <c r="E132" s="1128">
        <v>30</v>
      </c>
      <c r="F132" s="394">
        <v>2</v>
      </c>
      <c r="G132" s="1124">
        <v>13000</v>
      </c>
      <c r="H132" s="1724">
        <f t="shared" si="9"/>
        <v>780000</v>
      </c>
      <c r="I132" s="1725"/>
    </row>
    <row r="133" spans="1:9" s="516" customFormat="1" ht="15.75" hidden="1" outlineLevel="1" thickBot="1">
      <c r="A133" s="1130" t="s">
        <v>2719</v>
      </c>
      <c r="B133" s="1126" t="s">
        <v>2709</v>
      </c>
      <c r="C133" s="1095" t="s">
        <v>336</v>
      </c>
      <c r="D133" s="1127" t="s">
        <v>285</v>
      </c>
      <c r="E133" s="1128">
        <v>8</v>
      </c>
      <c r="F133" s="394">
        <v>2</v>
      </c>
      <c r="G133" s="1124">
        <v>35000</v>
      </c>
      <c r="H133" s="1724">
        <f t="shared" si="9"/>
        <v>560000</v>
      </c>
      <c r="I133" s="1725"/>
    </row>
    <row r="134" spans="1:9" s="516" customFormat="1" ht="15.75" hidden="1" outlineLevel="1" thickBot="1">
      <c r="A134" s="1130" t="s">
        <v>2720</v>
      </c>
      <c r="B134" s="1126" t="s">
        <v>2692</v>
      </c>
      <c r="C134" s="1095" t="s">
        <v>336</v>
      </c>
      <c r="D134" s="1127" t="s">
        <v>285</v>
      </c>
      <c r="E134" s="1128">
        <v>50</v>
      </c>
      <c r="F134" s="394">
        <v>2</v>
      </c>
      <c r="G134" s="1124">
        <v>15000</v>
      </c>
      <c r="H134" s="1724">
        <f t="shared" si="9"/>
        <v>1500000</v>
      </c>
      <c r="I134" s="1725"/>
    </row>
    <row r="135" spans="1:9" s="516" customFormat="1" ht="15.75" hidden="1" outlineLevel="1" thickBot="1">
      <c r="A135" s="1130" t="s">
        <v>2721</v>
      </c>
      <c r="B135" s="1126" t="s">
        <v>2710</v>
      </c>
      <c r="C135" s="1095" t="s">
        <v>336</v>
      </c>
      <c r="D135" s="1127" t="s">
        <v>285</v>
      </c>
      <c r="E135" s="1128">
        <v>50</v>
      </c>
      <c r="F135" s="394">
        <v>2</v>
      </c>
      <c r="G135" s="1124">
        <v>20000</v>
      </c>
      <c r="H135" s="1724">
        <f t="shared" si="9"/>
        <v>2000000</v>
      </c>
      <c r="I135" s="1725"/>
    </row>
    <row r="136" spans="1:9" s="516" customFormat="1" ht="15.75" hidden="1" outlineLevel="1" thickBot="1">
      <c r="A136" s="1130" t="s">
        <v>2722</v>
      </c>
      <c r="B136" s="1126" t="s">
        <v>2711</v>
      </c>
      <c r="C136" s="1095" t="s">
        <v>336</v>
      </c>
      <c r="D136" s="1127" t="s">
        <v>285</v>
      </c>
      <c r="E136" s="1128">
        <v>50</v>
      </c>
      <c r="F136" s="394">
        <v>2</v>
      </c>
      <c r="G136" s="1124">
        <v>3000</v>
      </c>
      <c r="H136" s="1724">
        <f>G136*F136*E136</f>
        <v>300000</v>
      </c>
      <c r="I136" s="1725"/>
    </row>
    <row r="137" spans="1:9" s="516" customFormat="1" ht="15.75" hidden="1" outlineLevel="1" thickBot="1">
      <c r="A137" s="1130" t="s">
        <v>2723</v>
      </c>
      <c r="B137" s="1131" t="s">
        <v>2712</v>
      </c>
      <c r="C137" s="1132" t="s">
        <v>336</v>
      </c>
      <c r="D137" s="1127" t="s">
        <v>285</v>
      </c>
      <c r="E137" s="1128">
        <v>10</v>
      </c>
      <c r="F137" s="394">
        <v>2</v>
      </c>
      <c r="G137" s="1133">
        <v>4000</v>
      </c>
      <c r="H137" s="1724">
        <f>G137*F137*E137</f>
        <v>80000</v>
      </c>
      <c r="I137" s="1725"/>
    </row>
    <row r="138" spans="1:9" s="516" customFormat="1" ht="15.75" hidden="1" outlineLevel="1" thickBot="1">
      <c r="A138" s="1129"/>
      <c r="B138" s="1736" t="s">
        <v>47</v>
      </c>
      <c r="C138" s="1737"/>
      <c r="D138" s="1737"/>
      <c r="E138" s="1737"/>
      <c r="F138" s="1737"/>
      <c r="G138" s="1738"/>
      <c r="H138" s="1726">
        <f>+SUM(H127:I137)</f>
        <v>12516000</v>
      </c>
      <c r="I138" s="1727"/>
    </row>
    <row r="139" spans="1:9" ht="13.5" hidden="1" outlineLevel="1" thickBot="1">
      <c r="A139" s="1378" t="s">
        <v>1089</v>
      </c>
      <c r="B139" s="1739" t="s">
        <v>2689</v>
      </c>
      <c r="C139" s="1739"/>
      <c r="D139" s="1739"/>
      <c r="E139" s="1739"/>
      <c r="F139" s="1739"/>
      <c r="G139" s="1739"/>
      <c r="H139" s="1740"/>
      <c r="I139" s="1741"/>
    </row>
    <row r="140" spans="1:9" hidden="1" outlineLevel="1">
      <c r="A140" s="1118" t="s">
        <v>30</v>
      </c>
      <c r="B140" s="1117" t="s">
        <v>2690</v>
      </c>
      <c r="C140" s="1117" t="s">
        <v>2691</v>
      </c>
      <c r="D140" s="1117" t="s">
        <v>2692</v>
      </c>
      <c r="E140" s="1117" t="s">
        <v>2695</v>
      </c>
      <c r="F140" s="1117" t="s">
        <v>2693</v>
      </c>
      <c r="G140" s="1117" t="s">
        <v>2694</v>
      </c>
      <c r="H140" s="1728" t="s">
        <v>47</v>
      </c>
      <c r="I140" s="1729"/>
    </row>
    <row r="141" spans="1:9" ht="13.5" hidden="1" outlineLevel="1" thickBot="1">
      <c r="A141" s="1119" t="s">
        <v>2696</v>
      </c>
      <c r="B141" s="1379">
        <v>20</v>
      </c>
      <c r="C141" s="1120">
        <v>219900</v>
      </c>
      <c r="D141" s="1121">
        <v>20900</v>
      </c>
      <c r="E141" s="1121">
        <v>145000</v>
      </c>
      <c r="F141" s="1121">
        <v>133900</v>
      </c>
      <c r="G141" s="1122">
        <f>SUM(C141:F141)</f>
        <v>519700</v>
      </c>
      <c r="H141" s="1730">
        <f>G141*B141</f>
        <v>10394000</v>
      </c>
      <c r="I141" s="1731"/>
    </row>
    <row r="142" spans="1:9" ht="13.5" collapsed="1" thickBot="1">
      <c r="A142" s="1281">
        <f>A20</f>
        <v>4</v>
      </c>
      <c r="B142" s="1760" t="str">
        <f>B20</f>
        <v>Personal</v>
      </c>
      <c r="C142" s="1760"/>
      <c r="D142" s="1760"/>
      <c r="E142" s="1760"/>
      <c r="F142" s="1760"/>
      <c r="G142" s="1760"/>
      <c r="H142" s="1760"/>
      <c r="I142" s="1761"/>
    </row>
    <row r="143" spans="1:9" ht="15" hidden="1" outlineLevel="1">
      <c r="A143" s="1762" t="s">
        <v>3377</v>
      </c>
      <c r="B143" s="1763"/>
      <c r="C143" s="1763"/>
      <c r="D143" s="1763"/>
      <c r="E143" s="1763"/>
      <c r="F143" s="1763"/>
      <c r="G143" s="1763"/>
      <c r="H143" s="1763"/>
      <c r="I143" s="1763"/>
    </row>
    <row r="144" spans="1:9" ht="14.25" hidden="1" outlineLevel="1">
      <c r="A144" s="1664" t="s">
        <v>3378</v>
      </c>
      <c r="B144" s="1664"/>
      <c r="C144" s="1664"/>
      <c r="D144" s="1664"/>
      <c r="E144" s="1664"/>
      <c r="F144" s="1664"/>
      <c r="G144" s="1664"/>
      <c r="H144" s="1664"/>
      <c r="I144" s="1314">
        <v>689454</v>
      </c>
    </row>
    <row r="145" spans="1:9" ht="14.25" hidden="1" outlineLevel="1">
      <c r="A145" s="1664" t="s">
        <v>3379</v>
      </c>
      <c r="B145" s="1664"/>
      <c r="C145" s="1664"/>
      <c r="D145" s="1664"/>
      <c r="E145" s="1664"/>
      <c r="F145" s="1664"/>
      <c r="G145" s="1664"/>
      <c r="H145" s="1664"/>
      <c r="I145" s="1315">
        <v>77700</v>
      </c>
    </row>
    <row r="146" spans="1:9" ht="14.25" hidden="1" outlineLevel="1">
      <c r="A146" s="1664" t="s">
        <v>3380</v>
      </c>
      <c r="B146" s="1664"/>
      <c r="C146" s="1664"/>
      <c r="D146" s="1664"/>
      <c r="E146" s="1664"/>
      <c r="F146" s="1664"/>
      <c r="G146" s="1664"/>
      <c r="H146" s="1664"/>
      <c r="I146" s="1315">
        <v>11250</v>
      </c>
    </row>
    <row r="147" spans="1:9" ht="14.25" hidden="1" outlineLevel="1">
      <c r="A147" s="1664" t="s">
        <v>3381</v>
      </c>
      <c r="B147" s="1664"/>
      <c r="C147" s="1664"/>
      <c r="D147" s="1664"/>
      <c r="E147" s="1664"/>
      <c r="F147" s="1664"/>
      <c r="G147" s="1664"/>
      <c r="H147" s="1664"/>
      <c r="I147" s="1314">
        <f>($I$144*6.96%)/100%</f>
        <v>47985.998399999997</v>
      </c>
    </row>
    <row r="148" spans="1:9" ht="14.25" hidden="1" outlineLevel="1">
      <c r="A148" s="1664" t="s">
        <v>3382</v>
      </c>
      <c r="B148" s="1664"/>
      <c r="C148" s="1664"/>
      <c r="D148" s="1664"/>
      <c r="E148" s="1664"/>
      <c r="F148" s="1664"/>
      <c r="G148" s="1664"/>
      <c r="H148" s="1664"/>
      <c r="I148" s="1315">
        <f>($I$144*12%)/100%</f>
        <v>82734.48</v>
      </c>
    </row>
    <row r="149" spans="1:9" ht="14.25" hidden="1" outlineLevel="1">
      <c r="A149" s="1664" t="s">
        <v>3383</v>
      </c>
      <c r="B149" s="1664"/>
      <c r="C149" s="1664"/>
      <c r="D149" s="1664"/>
      <c r="E149" s="1664"/>
      <c r="F149" s="1664"/>
      <c r="G149" s="1664"/>
      <c r="H149" s="1664"/>
      <c r="I149" s="1315">
        <f>(($I$144+$I$145)*8.33%)/100%</f>
        <v>63903.928200000002</v>
      </c>
    </row>
    <row r="150" spans="1:9" ht="14.25" hidden="1" outlineLevel="1">
      <c r="A150" s="1664" t="s">
        <v>3384</v>
      </c>
      <c r="B150" s="1664"/>
      <c r="C150" s="1664"/>
      <c r="D150" s="1664"/>
      <c r="E150" s="1664"/>
      <c r="F150" s="1664"/>
      <c r="G150" s="1664"/>
      <c r="H150" s="1664"/>
      <c r="I150" s="1315">
        <f>($I$144*4.17%)/100%</f>
        <v>28750.231800000001</v>
      </c>
    </row>
    <row r="151" spans="1:9" ht="14.25" hidden="1" outlineLevel="1">
      <c r="A151" s="1664" t="s">
        <v>3385</v>
      </c>
      <c r="B151" s="1664"/>
      <c r="C151" s="1664"/>
      <c r="D151" s="1664"/>
      <c r="E151" s="1664"/>
      <c r="F151" s="1664"/>
      <c r="G151" s="1664"/>
      <c r="H151" s="1664"/>
      <c r="I151" s="1315">
        <f>((I144+I145)*10%)/100%</f>
        <v>76715.400000000009</v>
      </c>
    </row>
    <row r="152" spans="1:9" ht="14.25" hidden="1" outlineLevel="1">
      <c r="A152" s="1664" t="s">
        <v>3386</v>
      </c>
      <c r="B152" s="1664"/>
      <c r="C152" s="1664"/>
      <c r="D152" s="1664"/>
      <c r="E152" s="1664"/>
      <c r="F152" s="1664"/>
      <c r="G152" s="1664"/>
      <c r="H152" s="1664"/>
      <c r="I152" s="1315">
        <f>((I151)*12%)/100%</f>
        <v>9205.848</v>
      </c>
    </row>
    <row r="153" spans="1:9" ht="14.25" hidden="1" outlineLevel="1">
      <c r="A153" s="1664" t="s">
        <v>3387</v>
      </c>
      <c r="B153" s="1664"/>
      <c r="C153" s="1664"/>
      <c r="D153" s="1664"/>
      <c r="E153" s="1664"/>
      <c r="F153" s="1664"/>
      <c r="G153" s="1664"/>
      <c r="H153" s="1664"/>
      <c r="I153" s="1314">
        <f>(I144*2%)/100%</f>
        <v>13789.08</v>
      </c>
    </row>
    <row r="154" spans="1:9" ht="14.25" hidden="1" outlineLevel="1">
      <c r="A154" s="1664" t="s">
        <v>3388</v>
      </c>
      <c r="B154" s="1664"/>
      <c r="C154" s="1664"/>
      <c r="D154" s="1664"/>
      <c r="E154" s="1664"/>
      <c r="F154" s="1664"/>
      <c r="G154" s="1664"/>
      <c r="H154" s="1664"/>
      <c r="I154" s="1315">
        <f>(I144*3%)/100%</f>
        <v>20683.62</v>
      </c>
    </row>
    <row r="155" spans="1:9" ht="14.25" hidden="1" outlineLevel="1">
      <c r="A155" s="1664" t="s">
        <v>3389</v>
      </c>
      <c r="B155" s="1664"/>
      <c r="C155" s="1664"/>
      <c r="D155" s="1664"/>
      <c r="E155" s="1664"/>
      <c r="F155" s="1664"/>
      <c r="G155" s="1664"/>
      <c r="H155" s="1664"/>
      <c r="I155" s="1315">
        <f>(I144*4%)/100%</f>
        <v>27578.16</v>
      </c>
    </row>
    <row r="156" spans="1:9" ht="14.25" hidden="1" outlineLevel="1">
      <c r="A156" s="1664" t="s">
        <v>3390</v>
      </c>
      <c r="B156" s="1664"/>
      <c r="C156" s="1664"/>
      <c r="D156" s="1664"/>
      <c r="E156" s="1664"/>
      <c r="F156" s="1664"/>
      <c r="G156" s="1664"/>
      <c r="H156" s="1664"/>
      <c r="I156" s="1315">
        <f>(I144*2.5%)/100%</f>
        <v>17236.350000000002</v>
      </c>
    </row>
    <row r="157" spans="1:9" ht="15" hidden="1" outlineLevel="1">
      <c r="A157" s="1732" t="s">
        <v>47</v>
      </c>
      <c r="B157" s="1732"/>
      <c r="C157" s="1732"/>
      <c r="D157" s="1732"/>
      <c r="E157" s="1732"/>
      <c r="F157" s="1732"/>
      <c r="G157" s="1732"/>
      <c r="H157" s="1732"/>
      <c r="I157" s="1316">
        <f>SUM(I144:I156)</f>
        <v>1166987.0964000002</v>
      </c>
    </row>
    <row r="158" spans="1:9" ht="13.5" hidden="1" outlineLevel="1" thickBot="1"/>
    <row r="159" spans="1:9" ht="30" hidden="1" outlineLevel="1">
      <c r="A159" s="1317">
        <v>4</v>
      </c>
      <c r="B159" s="1733" t="s">
        <v>2677</v>
      </c>
      <c r="C159" s="1733"/>
      <c r="D159" s="1733" t="s">
        <v>3391</v>
      </c>
      <c r="E159" s="1733"/>
      <c r="F159" s="1319" t="s">
        <v>3392</v>
      </c>
      <c r="G159" s="1734" t="s">
        <v>3393</v>
      </c>
      <c r="H159" s="1735"/>
      <c r="I159" s="1321" t="s">
        <v>2219</v>
      </c>
    </row>
    <row r="160" spans="1:9" ht="15" hidden="1" outlineLevel="1">
      <c r="A160" s="1318" t="s">
        <v>1093</v>
      </c>
      <c r="B160" s="1664" t="s">
        <v>3394</v>
      </c>
      <c r="C160" s="1664"/>
      <c r="D160" s="1723">
        <v>10</v>
      </c>
      <c r="E160" s="1723"/>
      <c r="F160" s="1320">
        <f>+$I$157</f>
        <v>1166987.0964000002</v>
      </c>
      <c r="G160" s="1721">
        <f>D160*F160</f>
        <v>11669870.964000002</v>
      </c>
      <c r="H160" s="1722"/>
      <c r="I160" s="1780">
        <f>+SUM(G160:H173)</f>
        <v>43178522.566800006</v>
      </c>
    </row>
    <row r="161" spans="1:9" ht="15" hidden="1" outlineLevel="1">
      <c r="A161" s="1318" t="s">
        <v>1094</v>
      </c>
      <c r="B161" s="1664" t="s">
        <v>3395</v>
      </c>
      <c r="C161" s="1664"/>
      <c r="D161" s="1723">
        <v>5</v>
      </c>
      <c r="E161" s="1723"/>
      <c r="F161" s="1320">
        <f t="shared" ref="F161:F173" si="10">+$I$157</f>
        <v>1166987.0964000002</v>
      </c>
      <c r="G161" s="1721">
        <f t="shared" ref="G161:G173" si="11">D161*F161</f>
        <v>5834935.4820000008</v>
      </c>
      <c r="H161" s="1722"/>
      <c r="I161" s="1781"/>
    </row>
    <row r="162" spans="1:9" ht="15" hidden="1" outlineLevel="1">
      <c r="A162" s="1318" t="s">
        <v>1095</v>
      </c>
      <c r="B162" s="1664" t="s">
        <v>3396</v>
      </c>
      <c r="C162" s="1664"/>
      <c r="D162" s="1723">
        <v>5</v>
      </c>
      <c r="E162" s="1723"/>
      <c r="F162" s="1320">
        <f t="shared" si="10"/>
        <v>1166987.0964000002</v>
      </c>
      <c r="G162" s="1721">
        <f t="shared" si="11"/>
        <v>5834935.4820000008</v>
      </c>
      <c r="H162" s="1722"/>
      <c r="I162" s="1781"/>
    </row>
    <row r="163" spans="1:9" ht="15" hidden="1" outlineLevel="1">
      <c r="A163" s="1318" t="s">
        <v>1096</v>
      </c>
      <c r="B163" s="1664" t="s">
        <v>3397</v>
      </c>
      <c r="C163" s="1664"/>
      <c r="D163" s="1723">
        <v>3</v>
      </c>
      <c r="E163" s="1723"/>
      <c r="F163" s="1320">
        <f t="shared" si="10"/>
        <v>1166987.0964000002</v>
      </c>
      <c r="G163" s="1721">
        <f t="shared" si="11"/>
        <v>3500961.2892000005</v>
      </c>
      <c r="H163" s="1722"/>
      <c r="I163" s="1781"/>
    </row>
    <row r="164" spans="1:9" ht="15" hidden="1" outlineLevel="1">
      <c r="A164" s="1318" t="s">
        <v>1097</v>
      </c>
      <c r="B164" s="1664" t="s">
        <v>3398</v>
      </c>
      <c r="C164" s="1664"/>
      <c r="D164" s="1723">
        <v>3</v>
      </c>
      <c r="E164" s="1723"/>
      <c r="F164" s="1320">
        <f t="shared" si="10"/>
        <v>1166987.0964000002</v>
      </c>
      <c r="G164" s="1721">
        <f t="shared" si="11"/>
        <v>3500961.2892000005</v>
      </c>
      <c r="H164" s="1722"/>
      <c r="I164" s="1781"/>
    </row>
    <row r="165" spans="1:9" ht="15" hidden="1" outlineLevel="1">
      <c r="A165" s="1318" t="s">
        <v>3408</v>
      </c>
      <c r="B165" s="1664" t="s">
        <v>3399</v>
      </c>
      <c r="C165" s="1664"/>
      <c r="D165" s="1723">
        <v>3</v>
      </c>
      <c r="E165" s="1723"/>
      <c r="F165" s="1320">
        <f t="shared" si="10"/>
        <v>1166987.0964000002</v>
      </c>
      <c r="G165" s="1721">
        <f t="shared" si="11"/>
        <v>3500961.2892000005</v>
      </c>
      <c r="H165" s="1722"/>
      <c r="I165" s="1781"/>
    </row>
    <row r="166" spans="1:9" ht="15" hidden="1" outlineLevel="1">
      <c r="A166" s="1318" t="s">
        <v>3409</v>
      </c>
      <c r="B166" s="1664" t="s">
        <v>3400</v>
      </c>
      <c r="C166" s="1664"/>
      <c r="D166" s="1723">
        <v>1</v>
      </c>
      <c r="E166" s="1723"/>
      <c r="F166" s="1320">
        <f t="shared" si="10"/>
        <v>1166987.0964000002</v>
      </c>
      <c r="G166" s="1721">
        <f t="shared" si="11"/>
        <v>1166987.0964000002</v>
      </c>
      <c r="H166" s="1722"/>
      <c r="I166" s="1781"/>
    </row>
    <row r="167" spans="1:9" ht="15" hidden="1" outlineLevel="1">
      <c r="A167" s="1318" t="s">
        <v>3410</v>
      </c>
      <c r="B167" s="1664" t="s">
        <v>3401</v>
      </c>
      <c r="C167" s="1664"/>
      <c r="D167" s="1723">
        <v>1</v>
      </c>
      <c r="E167" s="1723"/>
      <c r="F167" s="1320">
        <f t="shared" si="10"/>
        <v>1166987.0964000002</v>
      </c>
      <c r="G167" s="1721">
        <f t="shared" si="11"/>
        <v>1166987.0964000002</v>
      </c>
      <c r="H167" s="1722"/>
      <c r="I167" s="1781"/>
    </row>
    <row r="168" spans="1:9" ht="15" hidden="1" outlineLevel="1">
      <c r="A168" s="1318" t="s">
        <v>3411</v>
      </c>
      <c r="B168" s="1664" t="s">
        <v>3402</v>
      </c>
      <c r="C168" s="1664"/>
      <c r="D168" s="1723">
        <v>1</v>
      </c>
      <c r="E168" s="1723"/>
      <c r="F168" s="1320">
        <f t="shared" si="10"/>
        <v>1166987.0964000002</v>
      </c>
      <c r="G168" s="1721">
        <f t="shared" si="11"/>
        <v>1166987.0964000002</v>
      </c>
      <c r="H168" s="1722"/>
      <c r="I168" s="1781"/>
    </row>
    <row r="169" spans="1:9" ht="15" hidden="1" outlineLevel="1">
      <c r="A169" s="1318" t="s">
        <v>3412</v>
      </c>
      <c r="B169" s="1664" t="s">
        <v>3403</v>
      </c>
      <c r="C169" s="1664"/>
      <c r="D169" s="1723">
        <v>1</v>
      </c>
      <c r="E169" s="1723"/>
      <c r="F169" s="1320">
        <f t="shared" si="10"/>
        <v>1166987.0964000002</v>
      </c>
      <c r="G169" s="1721">
        <f t="shared" si="11"/>
        <v>1166987.0964000002</v>
      </c>
      <c r="H169" s="1722"/>
      <c r="I169" s="1781"/>
    </row>
    <row r="170" spans="1:9" ht="15" hidden="1" outlineLevel="1">
      <c r="A170" s="1318" t="s">
        <v>3413</v>
      </c>
      <c r="B170" s="1664" t="s">
        <v>3404</v>
      </c>
      <c r="C170" s="1664"/>
      <c r="D170" s="1723">
        <v>1</v>
      </c>
      <c r="E170" s="1723"/>
      <c r="F170" s="1320">
        <f t="shared" si="10"/>
        <v>1166987.0964000002</v>
      </c>
      <c r="G170" s="1721">
        <f t="shared" si="11"/>
        <v>1166987.0964000002</v>
      </c>
      <c r="H170" s="1722"/>
      <c r="I170" s="1781"/>
    </row>
    <row r="171" spans="1:9" ht="15" hidden="1" outlineLevel="1">
      <c r="A171" s="1318" t="s">
        <v>3414</v>
      </c>
      <c r="B171" s="1664" t="s">
        <v>3405</v>
      </c>
      <c r="C171" s="1664"/>
      <c r="D171" s="1723">
        <v>1</v>
      </c>
      <c r="E171" s="1723"/>
      <c r="F171" s="1320">
        <f t="shared" si="10"/>
        <v>1166987.0964000002</v>
      </c>
      <c r="G171" s="1721">
        <f t="shared" si="11"/>
        <v>1166987.0964000002</v>
      </c>
      <c r="H171" s="1722"/>
      <c r="I171" s="1781"/>
    </row>
    <row r="172" spans="1:9" ht="15" hidden="1" outlineLevel="1">
      <c r="A172" s="1318" t="s">
        <v>3415</v>
      </c>
      <c r="B172" s="1664" t="s">
        <v>3406</v>
      </c>
      <c r="C172" s="1664"/>
      <c r="D172" s="1723">
        <v>1</v>
      </c>
      <c r="E172" s="1723"/>
      <c r="F172" s="1320">
        <f t="shared" si="10"/>
        <v>1166987.0964000002</v>
      </c>
      <c r="G172" s="1721">
        <f t="shared" si="11"/>
        <v>1166987.0964000002</v>
      </c>
      <c r="H172" s="1722"/>
      <c r="I172" s="1781"/>
    </row>
    <row r="173" spans="1:9" ht="15.75" hidden="1" outlineLevel="1" thickBot="1">
      <c r="A173" s="1318" t="s">
        <v>3416</v>
      </c>
      <c r="B173" s="1776" t="s">
        <v>3407</v>
      </c>
      <c r="C173" s="1776"/>
      <c r="D173" s="1777">
        <v>1</v>
      </c>
      <c r="E173" s="1777"/>
      <c r="F173" s="1320">
        <f t="shared" si="10"/>
        <v>1166987.0964000002</v>
      </c>
      <c r="G173" s="1778">
        <f t="shared" si="11"/>
        <v>1166987.0964000002</v>
      </c>
      <c r="H173" s="1779"/>
      <c r="I173" s="1782"/>
    </row>
    <row r="174" spans="1:9" ht="13.5" hidden="1" outlineLevel="1" thickBot="1"/>
    <row r="175" spans="1:9" ht="13.5" collapsed="1" thickBot="1">
      <c r="A175" s="1114">
        <f>A35</f>
        <v>5</v>
      </c>
      <c r="B175" s="1720" t="str">
        <f>B35</f>
        <v>Dotación de oficina</v>
      </c>
      <c r="C175" s="1720"/>
      <c r="D175" s="1720"/>
      <c r="E175" s="1720"/>
      <c r="F175" s="1720"/>
      <c r="G175" s="1720"/>
      <c r="H175" s="1720"/>
      <c r="I175" s="1754"/>
    </row>
    <row r="176" spans="1:9" ht="13.5" hidden="1" outlineLevel="1" thickBot="1">
      <c r="A176" s="1111" t="s">
        <v>30</v>
      </c>
      <c r="B176" s="1809" t="s">
        <v>529</v>
      </c>
      <c r="C176" s="1809"/>
      <c r="D176" s="1112" t="s">
        <v>575</v>
      </c>
      <c r="E176" s="1112" t="s">
        <v>524</v>
      </c>
      <c r="F176" s="1112" t="s">
        <v>2671</v>
      </c>
      <c r="G176" s="1783" t="s">
        <v>2672</v>
      </c>
      <c r="H176" s="1784"/>
      <c r="I176" s="1785"/>
    </row>
    <row r="177" spans="1:9" ht="13.5" hidden="1" outlineLevel="1" thickBot="1">
      <c r="A177" s="1113" t="s">
        <v>1098</v>
      </c>
      <c r="B177" s="1630" t="s">
        <v>2687</v>
      </c>
      <c r="C177" s="1630"/>
      <c r="D177" s="1113" t="s">
        <v>285</v>
      </c>
      <c r="E177" s="1113">
        <v>4</v>
      </c>
      <c r="F177" s="1115">
        <f>369000</f>
        <v>369000</v>
      </c>
      <c r="G177" s="1773">
        <f>E177*F177</f>
        <v>1476000</v>
      </c>
      <c r="H177" s="1774"/>
      <c r="I177" s="1775"/>
    </row>
    <row r="178" spans="1:9" ht="13.5" hidden="1" outlineLevel="1" thickBot="1">
      <c r="A178" s="1095" t="s">
        <v>1099</v>
      </c>
      <c r="B178" s="1598" t="s">
        <v>2688</v>
      </c>
      <c r="C178" s="1598"/>
      <c r="D178" s="1095" t="s">
        <v>285</v>
      </c>
      <c r="E178" s="1095">
        <v>4</v>
      </c>
      <c r="F178" s="1116">
        <v>1149000</v>
      </c>
      <c r="G178" s="1773">
        <f t="shared" ref="G178:G184" si="12">E178*F178</f>
        <v>4596000</v>
      </c>
      <c r="H178" s="1774"/>
      <c r="I178" s="1775"/>
    </row>
    <row r="179" spans="1:9" ht="13.5" hidden="1" outlineLevel="1" thickBot="1">
      <c r="A179" s="1095" t="s">
        <v>1100</v>
      </c>
      <c r="B179" s="1598" t="s">
        <v>2681</v>
      </c>
      <c r="C179" s="1598"/>
      <c r="D179" s="1095" t="s">
        <v>285</v>
      </c>
      <c r="E179" s="1095">
        <v>2</v>
      </c>
      <c r="F179" s="1116">
        <v>189900</v>
      </c>
      <c r="G179" s="1773">
        <f t="shared" si="12"/>
        <v>379800</v>
      </c>
      <c r="H179" s="1774"/>
      <c r="I179" s="1775"/>
    </row>
    <row r="180" spans="1:9" ht="13.5" hidden="1" outlineLevel="1" thickBot="1">
      <c r="A180" s="1095" t="s">
        <v>1101</v>
      </c>
      <c r="B180" s="1598" t="s">
        <v>2680</v>
      </c>
      <c r="C180" s="1598"/>
      <c r="D180" s="1095" t="s">
        <v>2682</v>
      </c>
      <c r="E180" s="1307">
        <v>15</v>
      </c>
      <c r="F180" s="1116">
        <v>100000</v>
      </c>
      <c r="G180" s="1773">
        <f t="shared" si="12"/>
        <v>1500000</v>
      </c>
      <c r="H180" s="1774"/>
      <c r="I180" s="1775"/>
    </row>
    <row r="181" spans="1:9" ht="13.5" hidden="1" outlineLevel="1" thickBot="1">
      <c r="A181" s="1095" t="s">
        <v>1102</v>
      </c>
      <c r="B181" s="1598" t="s">
        <v>2686</v>
      </c>
      <c r="C181" s="1598"/>
      <c r="D181" s="1095" t="s">
        <v>285</v>
      </c>
      <c r="E181" s="1095">
        <v>1</v>
      </c>
      <c r="F181" s="1116">
        <v>89900</v>
      </c>
      <c r="G181" s="1773">
        <f t="shared" si="12"/>
        <v>89900</v>
      </c>
      <c r="H181" s="1774"/>
      <c r="I181" s="1775"/>
    </row>
    <row r="182" spans="1:9" ht="13.5" hidden="1" outlineLevel="1" thickBot="1">
      <c r="A182" s="1095" t="s">
        <v>1103</v>
      </c>
      <c r="B182" s="1598" t="s">
        <v>2685</v>
      </c>
      <c r="C182" s="1598"/>
      <c r="D182" s="1095" t="s">
        <v>285</v>
      </c>
      <c r="E182" s="1095">
        <v>2</v>
      </c>
      <c r="F182" s="1116">
        <v>109900</v>
      </c>
      <c r="G182" s="1773">
        <f t="shared" si="12"/>
        <v>219800</v>
      </c>
      <c r="H182" s="1774"/>
      <c r="I182" s="1775"/>
    </row>
    <row r="183" spans="1:9" ht="13.5" hidden="1" outlineLevel="1" thickBot="1">
      <c r="A183" s="1095" t="s">
        <v>1104</v>
      </c>
      <c r="B183" s="1598" t="s">
        <v>2684</v>
      </c>
      <c r="C183" s="1598"/>
      <c r="D183" s="1095" t="s">
        <v>285</v>
      </c>
      <c r="E183" s="1095">
        <v>1</v>
      </c>
      <c r="F183" s="1116">
        <v>54900</v>
      </c>
      <c r="G183" s="1773">
        <f t="shared" si="12"/>
        <v>54900</v>
      </c>
      <c r="H183" s="1774"/>
      <c r="I183" s="1775"/>
    </row>
    <row r="184" spans="1:9" ht="13.5" hidden="1" outlineLevel="1" thickBot="1">
      <c r="A184" s="1095" t="s">
        <v>1105</v>
      </c>
      <c r="B184" s="1598" t="s">
        <v>2683</v>
      </c>
      <c r="C184" s="1598"/>
      <c r="D184" s="1095" t="s">
        <v>285</v>
      </c>
      <c r="E184" s="1095">
        <v>1</v>
      </c>
      <c r="F184" s="1116">
        <v>754900</v>
      </c>
      <c r="G184" s="1773">
        <f t="shared" si="12"/>
        <v>754900</v>
      </c>
      <c r="H184" s="1774"/>
      <c r="I184" s="1775"/>
    </row>
    <row r="185" spans="1:9" ht="13.5" collapsed="1" thickBot="1">
      <c r="A185" s="1114">
        <f>A44</f>
        <v>6</v>
      </c>
      <c r="B185" s="1720" t="str">
        <f>B44</f>
        <v>Servicios públicos</v>
      </c>
      <c r="C185" s="1720"/>
      <c r="D185" s="1720"/>
      <c r="E185" s="1720"/>
      <c r="F185" s="1720"/>
      <c r="G185" s="1720"/>
      <c r="H185" s="1720"/>
      <c r="I185" s="1754"/>
    </row>
    <row r="186" spans="1:9" ht="15" hidden="1" outlineLevel="1">
      <c r="A186" s="1794" t="s">
        <v>3307</v>
      </c>
      <c r="B186" s="1646"/>
      <c r="C186" s="1646"/>
      <c r="D186" s="1646"/>
      <c r="E186" s="1646"/>
      <c r="F186" s="1646"/>
      <c r="G186" s="1647"/>
      <c r="H186" s="1279">
        <v>900000</v>
      </c>
      <c r="I186" s="5"/>
    </row>
    <row r="187" spans="1:9" ht="15" hidden="1" outlineLevel="1">
      <c r="A187" s="1794" t="s">
        <v>3308</v>
      </c>
      <c r="B187" s="1646"/>
      <c r="C187" s="1646"/>
      <c r="D187" s="1646"/>
      <c r="E187" s="1646"/>
      <c r="F187" s="1646">
        <f>C124</f>
        <v>0</v>
      </c>
      <c r="G187" s="1647">
        <v>100000</v>
      </c>
      <c r="H187" s="1279">
        <v>450000</v>
      </c>
    </row>
    <row r="188" spans="1:9" ht="15" hidden="1" outlineLevel="1">
      <c r="A188" s="1794" t="s">
        <v>3309</v>
      </c>
      <c r="B188" s="1646"/>
      <c r="C188" s="1646"/>
      <c r="D188" s="1646"/>
      <c r="E188" s="1646"/>
      <c r="F188" s="1646">
        <v>3</v>
      </c>
      <c r="G188" s="1647">
        <v>949900</v>
      </c>
      <c r="H188" s="1279">
        <v>900000</v>
      </c>
    </row>
    <row r="189" spans="1:9" ht="15" hidden="1" outlineLevel="1">
      <c r="A189" s="1794" t="s">
        <v>3310</v>
      </c>
      <c r="B189" s="1646"/>
      <c r="C189" s="1646"/>
      <c r="D189" s="1646"/>
      <c r="E189" s="1646"/>
      <c r="F189" s="1646">
        <v>2</v>
      </c>
      <c r="G189" s="1647">
        <v>189900</v>
      </c>
      <c r="H189" s="1279">
        <v>200000</v>
      </c>
    </row>
    <row r="190" spans="1:9" ht="15" hidden="1" outlineLevel="1">
      <c r="A190" s="1794" t="s">
        <v>3311</v>
      </c>
      <c r="B190" s="1646"/>
      <c r="C190" s="1646"/>
      <c r="D190" s="1646"/>
      <c r="E190" s="1646"/>
      <c r="F190" s="1646">
        <v>2</v>
      </c>
      <c r="G190" s="1647">
        <v>250900</v>
      </c>
      <c r="H190" s="1279">
        <v>150000</v>
      </c>
    </row>
    <row r="191" spans="1:9" ht="15.75" hidden="1" outlineLevel="1" thickBot="1">
      <c r="A191" s="1795" t="s">
        <v>47</v>
      </c>
      <c r="B191" s="1796"/>
      <c r="C191" s="1796"/>
      <c r="D191" s="1796"/>
      <c r="E191" s="1796"/>
      <c r="F191" s="1796"/>
      <c r="G191" s="1796"/>
      <c r="H191" s="1280">
        <f>SUM(H186:H190)</f>
        <v>2600000</v>
      </c>
    </row>
    <row r="192" spans="1:9" collapsed="1"/>
  </sheetData>
  <mergeCells count="254">
    <mergeCell ref="A92:C92"/>
    <mergeCell ref="A90:C90"/>
    <mergeCell ref="A91:C91"/>
    <mergeCell ref="B185:I185"/>
    <mergeCell ref="A109:F109"/>
    <mergeCell ref="A94:C94"/>
    <mergeCell ref="A95:C95"/>
    <mergeCell ref="A102:F102"/>
    <mergeCell ref="A66:B66"/>
    <mergeCell ref="A67:B67"/>
    <mergeCell ref="B175:I175"/>
    <mergeCell ref="B142:I142"/>
    <mergeCell ref="B180:C180"/>
    <mergeCell ref="B176:C176"/>
    <mergeCell ref="G182:I182"/>
    <mergeCell ref="G183:I183"/>
    <mergeCell ref="G184:I184"/>
    <mergeCell ref="D167:E167"/>
    <mergeCell ref="G167:H167"/>
    <mergeCell ref="B168:C168"/>
    <mergeCell ref="D168:E168"/>
    <mergeCell ref="G168:H168"/>
    <mergeCell ref="B165:C165"/>
    <mergeCell ref="D165:E165"/>
    <mergeCell ref="A108:F108"/>
    <mergeCell ref="B182:C182"/>
    <mergeCell ref="B183:C183"/>
    <mergeCell ref="B181:C181"/>
    <mergeCell ref="B184:C184"/>
    <mergeCell ref="B179:C179"/>
    <mergeCell ref="B177:C177"/>
    <mergeCell ref="D164:E164"/>
    <mergeCell ref="G164:H164"/>
    <mergeCell ref="A189:G189"/>
    <mergeCell ref="A190:G190"/>
    <mergeCell ref="A191:G191"/>
    <mergeCell ref="A77:G77"/>
    <mergeCell ref="A78:G78"/>
    <mergeCell ref="A79:G79"/>
    <mergeCell ref="A80:G80"/>
    <mergeCell ref="A81:G81"/>
    <mergeCell ref="A82:G83"/>
    <mergeCell ref="A84:G84"/>
    <mergeCell ref="A85:C87"/>
    <mergeCell ref="D85:D87"/>
    <mergeCell ref="E85:E87"/>
    <mergeCell ref="F85:F87"/>
    <mergeCell ref="G85:G87"/>
    <mergeCell ref="A98:F98"/>
    <mergeCell ref="A99:F99"/>
    <mergeCell ref="A88:C88"/>
    <mergeCell ref="A187:G187"/>
    <mergeCell ref="A188:G188"/>
    <mergeCell ref="A186:G186"/>
    <mergeCell ref="B178:C178"/>
    <mergeCell ref="A93:C93"/>
    <mergeCell ref="A96:F96"/>
    <mergeCell ref="B3:C3"/>
    <mergeCell ref="B4:C4"/>
    <mergeCell ref="B12:C12"/>
    <mergeCell ref="H3:I3"/>
    <mergeCell ref="H4:I4"/>
    <mergeCell ref="H12:I12"/>
    <mergeCell ref="H17:I17"/>
    <mergeCell ref="H20:I20"/>
    <mergeCell ref="B17:C17"/>
    <mergeCell ref="B20:C20"/>
    <mergeCell ref="B18:C18"/>
    <mergeCell ref="B19:C19"/>
    <mergeCell ref="H18:I18"/>
    <mergeCell ref="H19:I19"/>
    <mergeCell ref="H16:I16"/>
    <mergeCell ref="H11:I11"/>
    <mergeCell ref="B11:C11"/>
    <mergeCell ref="B16:C16"/>
    <mergeCell ref="G165:H165"/>
    <mergeCell ref="B166:C166"/>
    <mergeCell ref="D166:E166"/>
    <mergeCell ref="G177:I177"/>
    <mergeCell ref="G178:I178"/>
    <mergeCell ref="G179:I179"/>
    <mergeCell ref="G180:I180"/>
    <mergeCell ref="G181:I181"/>
    <mergeCell ref="B173:C173"/>
    <mergeCell ref="D173:E173"/>
    <mergeCell ref="G173:H173"/>
    <mergeCell ref="I160:I173"/>
    <mergeCell ref="G176:I176"/>
    <mergeCell ref="B171:C171"/>
    <mergeCell ref="D171:E171"/>
    <mergeCell ref="G171:H171"/>
    <mergeCell ref="B172:C172"/>
    <mergeCell ref="D172:E172"/>
    <mergeCell ref="G172:H172"/>
    <mergeCell ref="B169:C169"/>
    <mergeCell ref="D169:E169"/>
    <mergeCell ref="G169:H169"/>
    <mergeCell ref="B170:C170"/>
    <mergeCell ref="B163:C163"/>
    <mergeCell ref="D163:E163"/>
    <mergeCell ref="G163:H163"/>
    <mergeCell ref="B160:C160"/>
    <mergeCell ref="D160:E160"/>
    <mergeCell ref="A143:I143"/>
    <mergeCell ref="A144:H144"/>
    <mergeCell ref="A145:H145"/>
    <mergeCell ref="B13:C13"/>
    <mergeCell ref="B14:C14"/>
    <mergeCell ref="B15:C15"/>
    <mergeCell ref="H13:I13"/>
    <mergeCell ref="H14:I14"/>
    <mergeCell ref="H15:I15"/>
    <mergeCell ref="B125:I125"/>
    <mergeCell ref="B129:B130"/>
    <mergeCell ref="B35:C35"/>
    <mergeCell ref="H35:I35"/>
    <mergeCell ref="A106:F106"/>
    <mergeCell ref="A100:F100"/>
    <mergeCell ref="A101:F101"/>
    <mergeCell ref="A104:F104"/>
    <mergeCell ref="A105:F105"/>
    <mergeCell ref="A107:F107"/>
    <mergeCell ref="B44:C44"/>
    <mergeCell ref="B127:B128"/>
    <mergeCell ref="B57:I57"/>
    <mergeCell ref="A148:H148"/>
    <mergeCell ref="A149:H149"/>
    <mergeCell ref="A150:H150"/>
    <mergeCell ref="A151:H151"/>
    <mergeCell ref="A152:H152"/>
    <mergeCell ref="B124:I124"/>
    <mergeCell ref="H131:I131"/>
    <mergeCell ref="A60:C60"/>
    <mergeCell ref="A61:C61"/>
    <mergeCell ref="A62:C62"/>
    <mergeCell ref="A64:G64"/>
    <mergeCell ref="A97:F97"/>
    <mergeCell ref="A110:H110"/>
    <mergeCell ref="A89:C89"/>
    <mergeCell ref="A72:H72"/>
    <mergeCell ref="A103:F103"/>
    <mergeCell ref="A73:H73"/>
    <mergeCell ref="A74:G74"/>
    <mergeCell ref="A75:G75"/>
    <mergeCell ref="A76:G76"/>
    <mergeCell ref="H82:H83"/>
    <mergeCell ref="H85:H87"/>
    <mergeCell ref="A153:H153"/>
    <mergeCell ref="A154:H154"/>
    <mergeCell ref="A155:H155"/>
    <mergeCell ref="A156:H156"/>
    <mergeCell ref="H132:I132"/>
    <mergeCell ref="H133:I133"/>
    <mergeCell ref="H134:I134"/>
    <mergeCell ref="H135:I135"/>
    <mergeCell ref="B31:C31"/>
    <mergeCell ref="H136:I136"/>
    <mergeCell ref="H126:I126"/>
    <mergeCell ref="H127:I127"/>
    <mergeCell ref="H128:I128"/>
    <mergeCell ref="H129:I129"/>
    <mergeCell ref="H130:I130"/>
    <mergeCell ref="C50:C51"/>
    <mergeCell ref="D50:D51"/>
    <mergeCell ref="A59:C59"/>
    <mergeCell ref="A58:F58"/>
    <mergeCell ref="A68:B68"/>
    <mergeCell ref="A69:B69"/>
    <mergeCell ref="A70:E70"/>
    <mergeCell ref="A71:F71"/>
    <mergeCell ref="B48:I48"/>
    <mergeCell ref="H32:I32"/>
    <mergeCell ref="H33:I33"/>
    <mergeCell ref="A63:E63"/>
    <mergeCell ref="B5:C5"/>
    <mergeCell ref="B6:C6"/>
    <mergeCell ref="B7:C7"/>
    <mergeCell ref="B8:C8"/>
    <mergeCell ref="B9:C9"/>
    <mergeCell ref="B10:C10"/>
    <mergeCell ref="H5:I5"/>
    <mergeCell ref="H6:I6"/>
    <mergeCell ref="H7:I7"/>
    <mergeCell ref="H8:I8"/>
    <mergeCell ref="H9:I9"/>
    <mergeCell ref="H10:I10"/>
    <mergeCell ref="H23:I23"/>
    <mergeCell ref="H24:I24"/>
    <mergeCell ref="H25:I25"/>
    <mergeCell ref="H26:I26"/>
    <mergeCell ref="H27:I27"/>
    <mergeCell ref="H28:I28"/>
    <mergeCell ref="H29:I29"/>
    <mergeCell ref="H30:I30"/>
    <mergeCell ref="B47:C47"/>
    <mergeCell ref="G166:H166"/>
    <mergeCell ref="D170:E170"/>
    <mergeCell ref="G170:H170"/>
    <mergeCell ref="B167:C167"/>
    <mergeCell ref="B164:C164"/>
    <mergeCell ref="H137:I137"/>
    <mergeCell ref="H138:I138"/>
    <mergeCell ref="H140:I140"/>
    <mergeCell ref="H141:I141"/>
    <mergeCell ref="D161:E161"/>
    <mergeCell ref="G161:H161"/>
    <mergeCell ref="B162:C162"/>
    <mergeCell ref="D162:E162"/>
    <mergeCell ref="G162:H162"/>
    <mergeCell ref="A157:H157"/>
    <mergeCell ref="B159:C159"/>
    <mergeCell ref="D159:E159"/>
    <mergeCell ref="G159:H159"/>
    <mergeCell ref="B138:G138"/>
    <mergeCell ref="B139:I139"/>
    <mergeCell ref="B161:C161"/>
    <mergeCell ref="G160:H160"/>
    <mergeCell ref="A146:H146"/>
    <mergeCell ref="A147:H147"/>
    <mergeCell ref="A46:H46"/>
    <mergeCell ref="B40:C40"/>
    <mergeCell ref="B41:C41"/>
    <mergeCell ref="B42:C42"/>
    <mergeCell ref="B43:C43"/>
    <mergeCell ref="H36:I36"/>
    <mergeCell ref="H37:I37"/>
    <mergeCell ref="H38:I38"/>
    <mergeCell ref="H39:I39"/>
    <mergeCell ref="H40:I40"/>
    <mergeCell ref="H44:I44"/>
    <mergeCell ref="H21:I21"/>
    <mergeCell ref="H22:I22"/>
    <mergeCell ref="H41:I41"/>
    <mergeCell ref="H42:I42"/>
    <mergeCell ref="H43:I43"/>
    <mergeCell ref="H34:I34"/>
    <mergeCell ref="B36:C36"/>
    <mergeCell ref="B37:C37"/>
    <mergeCell ref="B38:C38"/>
    <mergeCell ref="B39:C39"/>
    <mergeCell ref="B32:C32"/>
    <mergeCell ref="B33:C33"/>
    <mergeCell ref="B34:C34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H31:I31"/>
  </mergeCells>
  <pageMargins left="0.7" right="0.7" top="0.75" bottom="0.75" header="0.3" footer="0.3"/>
  <pageSetup orientation="portrait" horizontalDpi="1200" verticalDpi="1200" r:id="rId1"/>
  <ignoredErrors>
    <ignoredError sqref="G141" formulaRange="1"/>
    <ignoredError sqref="F7:F8 G14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5"/>
  <sheetViews>
    <sheetView workbookViewId="0">
      <selection activeCell="B17" sqref="B17"/>
    </sheetView>
  </sheetViews>
  <sheetFormatPr baseColWidth="10" defaultRowHeight="12.75"/>
  <cols>
    <col min="2" max="2" width="15.5703125" bestFit="1" customWidth="1"/>
    <col min="3" max="4" width="19.140625" bestFit="1" customWidth="1"/>
  </cols>
  <sheetData>
    <row r="1" spans="2:4" ht="13.5" thickBot="1"/>
    <row r="2" spans="2:4">
      <c r="B2" s="1816" t="s">
        <v>3459</v>
      </c>
      <c r="C2" s="1817"/>
      <c r="D2" s="1818"/>
    </row>
    <row r="3" spans="2:4">
      <c r="B3" s="1819"/>
      <c r="C3" s="1820"/>
      <c r="D3" s="1821"/>
    </row>
    <row r="4" spans="2:4" ht="15">
      <c r="B4" s="1350" t="s">
        <v>3460</v>
      </c>
      <c r="C4" s="1351" t="s">
        <v>3372</v>
      </c>
      <c r="D4" s="1352" t="s">
        <v>1866</v>
      </c>
    </row>
    <row r="5" spans="2:4">
      <c r="B5" s="1353" t="s">
        <v>3461</v>
      </c>
      <c r="C5" s="1354">
        <f>+'Estructura de Presupuesto'!I261</f>
        <v>6771830994.8416395</v>
      </c>
      <c r="D5" s="1355">
        <f>C5/$D$8</f>
        <v>0.68698926314595743</v>
      </c>
    </row>
    <row r="6" spans="2:4">
      <c r="B6" s="1353" t="s">
        <v>3462</v>
      </c>
      <c r="C6" s="1354">
        <f>+'Costos indirectos'!G17</f>
        <v>2392103745.9987912</v>
      </c>
      <c r="D6" s="1355">
        <f t="shared" ref="D6" si="0">C6/$D$8</f>
        <v>0.24267433594905069</v>
      </c>
    </row>
    <row r="7" spans="2:4">
      <c r="B7" s="1353" t="s">
        <v>3463</v>
      </c>
      <c r="C7" s="1376">
        <f>+'Gastos Generales'!I46</f>
        <v>693324110.38399994</v>
      </c>
      <c r="D7" s="1355">
        <f>+C7/D8</f>
        <v>7.0336400904991742E-2</v>
      </c>
    </row>
    <row r="8" spans="2:4">
      <c r="B8" s="1822" t="s">
        <v>47</v>
      </c>
      <c r="C8" s="1823"/>
      <c r="D8" s="1824">
        <f>SUM(C5:C7)</f>
        <v>9857258851.224432</v>
      </c>
    </row>
    <row r="9" spans="2:4" ht="13.5" thickBot="1">
      <c r="B9" s="1812"/>
      <c r="C9" s="1813"/>
      <c r="D9" s="1825"/>
    </row>
    <row r="10" spans="2:4" ht="13.5" thickBot="1">
      <c r="B10" s="1356"/>
      <c r="C10" s="1356"/>
      <c r="D10" s="1356"/>
    </row>
    <row r="11" spans="2:4">
      <c r="B11" s="1810" t="s">
        <v>3464</v>
      </c>
      <c r="C11" s="1811"/>
      <c r="D11" s="1814">
        <f>+'Estructura de Presupuesto'!I262</f>
        <v>1028343.9742218831</v>
      </c>
    </row>
    <row r="12" spans="2:4" ht="13.5" thickBot="1">
      <c r="B12" s="1812"/>
      <c r="C12" s="1813"/>
      <c r="D12" s="1815"/>
    </row>
    <row r="13" spans="2:4" ht="13.5" thickBot="1">
      <c r="B13" s="1356"/>
      <c r="C13" s="1356"/>
      <c r="D13" s="1356"/>
    </row>
    <row r="14" spans="2:4">
      <c r="B14" s="1810" t="s">
        <v>3465</v>
      </c>
      <c r="C14" s="1811"/>
      <c r="D14" s="1814">
        <f>+D8/'Estructura de Presupuesto'!I7</f>
        <v>1496885.07432088</v>
      </c>
    </row>
    <row r="15" spans="2:4" ht="13.5" thickBot="1">
      <c r="B15" s="1812"/>
      <c r="C15" s="1813"/>
      <c r="D15" s="1815"/>
    </row>
  </sheetData>
  <mergeCells count="7">
    <mergeCell ref="B14:C15"/>
    <mergeCell ref="D14:D15"/>
    <mergeCell ref="B2:D3"/>
    <mergeCell ref="B8:C9"/>
    <mergeCell ref="D8:D9"/>
    <mergeCell ref="B11:C12"/>
    <mergeCell ref="D11:D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9"/>
  <sheetViews>
    <sheetView zoomScale="80" zoomScaleNormal="80" workbookViewId="0">
      <selection activeCell="J1744" sqref="J1744"/>
    </sheetView>
  </sheetViews>
  <sheetFormatPr baseColWidth="10" defaultRowHeight="12.75" outlineLevelRow="2"/>
  <cols>
    <col min="1" max="1" width="17.5703125" bestFit="1" customWidth="1"/>
    <col min="3" max="3" width="13.7109375" customWidth="1"/>
    <col min="4" max="4" width="27.5703125" customWidth="1"/>
    <col min="6" max="6" width="12.42578125" customWidth="1"/>
    <col min="7" max="7" width="13.5703125" bestFit="1" customWidth="1"/>
    <col min="8" max="8" width="18.140625" bestFit="1" customWidth="1"/>
    <col min="9" max="9" width="17.140625" bestFit="1" customWidth="1"/>
    <col min="10" max="10" width="20" bestFit="1" customWidth="1"/>
    <col min="12" max="12" width="15.7109375" bestFit="1" customWidth="1"/>
  </cols>
  <sheetData>
    <row r="1" spans="1:17" ht="15.75">
      <c r="A1" s="318" t="s">
        <v>14</v>
      </c>
      <c r="B1" s="1583" t="s">
        <v>275</v>
      </c>
      <c r="C1" s="1583"/>
      <c r="D1" s="1583"/>
      <c r="E1" s="1583"/>
      <c r="F1" s="1583"/>
      <c r="G1" s="760"/>
      <c r="H1" s="760"/>
      <c r="I1" s="760"/>
      <c r="J1" s="322"/>
      <c r="K1" s="322"/>
      <c r="L1" s="322"/>
      <c r="M1" s="322"/>
      <c r="N1" s="322"/>
      <c r="O1" s="323" t="s">
        <v>17</v>
      </c>
      <c r="P1" s="322" t="s">
        <v>715</v>
      </c>
      <c r="Q1" s="324"/>
    </row>
    <row r="2" spans="1:17" ht="16.5" thickBot="1">
      <c r="A2" s="325" t="s">
        <v>15</v>
      </c>
      <c r="B2" s="326" t="s">
        <v>276</v>
      </c>
      <c r="C2" s="326"/>
      <c r="D2" s="326"/>
      <c r="E2" s="327"/>
      <c r="F2" s="327"/>
      <c r="G2" s="328"/>
      <c r="H2" s="328"/>
      <c r="I2" s="327"/>
      <c r="J2" s="329"/>
      <c r="K2" s="329"/>
      <c r="L2" s="329"/>
      <c r="M2" s="329"/>
      <c r="N2" s="329"/>
      <c r="O2" s="330" t="s">
        <v>16</v>
      </c>
      <c r="P2" s="329">
        <v>1</v>
      </c>
      <c r="Q2" s="331"/>
    </row>
    <row r="4" spans="1:17">
      <c r="A4" s="106" t="s">
        <v>1485</v>
      </c>
      <c r="B4" s="106" t="s">
        <v>1479</v>
      </c>
      <c r="C4" s="106" t="s">
        <v>527</v>
      </c>
      <c r="D4" s="106" t="s">
        <v>742</v>
      </c>
      <c r="E4" s="106" t="s">
        <v>42</v>
      </c>
      <c r="F4" s="106" t="s">
        <v>46</v>
      </c>
      <c r="G4" s="106" t="s">
        <v>1480</v>
      </c>
      <c r="H4" s="106" t="s">
        <v>1515</v>
      </c>
      <c r="I4" s="106" t="s">
        <v>1481</v>
      </c>
      <c r="J4" s="106" t="s">
        <v>47</v>
      </c>
    </row>
    <row r="5" spans="1:17">
      <c r="A5" s="1869">
        <v>1</v>
      </c>
      <c r="B5" s="1870"/>
      <c r="C5" s="1844" t="s">
        <v>712</v>
      </c>
      <c r="D5" s="1844"/>
      <c r="E5" s="1844"/>
      <c r="F5" s="1844"/>
      <c r="G5" s="1844"/>
      <c r="H5" s="1844"/>
      <c r="I5" s="1844"/>
      <c r="J5" s="1844"/>
    </row>
    <row r="6" spans="1:17" ht="12.75" hidden="1" customHeight="1" outlineLevel="1">
      <c r="A6" s="1838" t="s">
        <v>1483</v>
      </c>
      <c r="B6" s="1855" t="s">
        <v>1082</v>
      </c>
      <c r="C6" s="1901" t="s">
        <v>1478</v>
      </c>
      <c r="D6" s="1901"/>
      <c r="E6" s="1901"/>
      <c r="F6" s="1901"/>
      <c r="G6" s="1901"/>
      <c r="H6" s="1901"/>
      <c r="I6" s="1901"/>
      <c r="J6" s="1901"/>
    </row>
    <row r="7" spans="1:17" ht="12.75" hidden="1" customHeight="1" outlineLevel="2">
      <c r="A7" s="1839"/>
      <c r="B7" s="1856"/>
      <c r="C7" s="763" t="s">
        <v>1499</v>
      </c>
      <c r="D7" s="761" t="s">
        <v>1500</v>
      </c>
      <c r="E7" s="763" t="s">
        <v>1501</v>
      </c>
      <c r="F7" s="763">
        <v>1</v>
      </c>
      <c r="G7" s="763">
        <v>0</v>
      </c>
      <c r="H7" s="774">
        <v>2344</v>
      </c>
      <c r="I7" s="763">
        <v>0</v>
      </c>
      <c r="J7" s="774">
        <f>(F7*(1+G7/100)) * (H7*(1+I7/100))</f>
        <v>2344</v>
      </c>
    </row>
    <row r="8" spans="1:17" ht="12.75" hidden="1" customHeight="1" outlineLevel="2">
      <c r="A8" s="1839"/>
      <c r="B8" s="1856"/>
      <c r="C8" s="763" t="s">
        <v>1556</v>
      </c>
      <c r="D8" s="761" t="s">
        <v>1557</v>
      </c>
      <c r="E8" s="763" t="s">
        <v>675</v>
      </c>
      <c r="F8" s="763">
        <v>1</v>
      </c>
      <c r="G8" s="763">
        <v>0</v>
      </c>
      <c r="H8" s="774">
        <v>360000</v>
      </c>
      <c r="I8" s="763">
        <v>0</v>
      </c>
      <c r="J8" s="774">
        <f>(F8*(1+G8/100)) * (H8*(1+I8/100))</f>
        <v>360000</v>
      </c>
    </row>
    <row r="9" spans="1:17" ht="12.75" hidden="1" customHeight="1" outlineLevel="2">
      <c r="A9" s="1839"/>
      <c r="B9" s="1856"/>
      <c r="C9" s="763"/>
      <c r="D9" s="763"/>
      <c r="E9" s="763"/>
      <c r="F9" s="763"/>
      <c r="G9" s="763">
        <v>5</v>
      </c>
      <c r="H9" s="763" t="s">
        <v>1514</v>
      </c>
      <c r="I9" s="763"/>
      <c r="J9" s="774">
        <v>18000</v>
      </c>
      <c r="L9" s="4"/>
    </row>
    <row r="10" spans="1:17" ht="12.75" hidden="1" customHeight="1" outlineLevel="2">
      <c r="A10" s="1839"/>
      <c r="B10" s="1856"/>
      <c r="C10" s="1842" t="s">
        <v>1488</v>
      </c>
      <c r="D10" s="1835"/>
      <c r="E10" s="763" t="s">
        <v>675</v>
      </c>
      <c r="F10" s="763">
        <v>1</v>
      </c>
      <c r="G10" s="763"/>
      <c r="H10" s="763"/>
      <c r="I10" s="763">
        <v>0</v>
      </c>
      <c r="J10" s="774">
        <f>SUM(J7:J9)</f>
        <v>380344</v>
      </c>
      <c r="L10" s="459"/>
    </row>
    <row r="11" spans="1:17" ht="12.75" hidden="1" customHeight="1" outlineLevel="1" collapsed="1">
      <c r="A11" s="1892"/>
      <c r="B11" s="1856"/>
      <c r="C11" s="1902" t="s">
        <v>47</v>
      </c>
      <c r="D11" s="1903"/>
      <c r="E11" s="1903"/>
      <c r="F11" s="1903"/>
      <c r="G11" s="1903"/>
      <c r="H11" s="1903"/>
      <c r="I11" s="1904"/>
      <c r="J11" s="773">
        <f>J10*F10</f>
        <v>380344</v>
      </c>
    </row>
    <row r="12" spans="1:17" ht="15.75" hidden="1" customHeight="1" outlineLevel="1">
      <c r="A12" s="1830" t="s">
        <v>1486</v>
      </c>
      <c r="B12" s="1831" t="s">
        <v>1083</v>
      </c>
      <c r="C12" s="1874" t="s">
        <v>1487</v>
      </c>
      <c r="D12" s="1874"/>
      <c r="E12" s="1874"/>
      <c r="F12" s="1874"/>
      <c r="G12" s="1874"/>
      <c r="H12" s="1874"/>
      <c r="I12" s="1874"/>
      <c r="J12" s="1874"/>
    </row>
    <row r="13" spans="1:17" ht="12.75" hidden="1" customHeight="1" outlineLevel="2">
      <c r="A13" s="1830"/>
      <c r="B13" s="1831"/>
      <c r="C13" s="1798" t="s">
        <v>1489</v>
      </c>
      <c r="D13" s="1798"/>
      <c r="E13" s="1798"/>
      <c r="F13" s="1798"/>
      <c r="G13" s="1798"/>
      <c r="H13" s="1798"/>
      <c r="I13" s="1798"/>
      <c r="J13" s="1798"/>
    </row>
    <row r="14" spans="1:17" ht="12.75" hidden="1" customHeight="1" outlineLevel="2">
      <c r="A14" s="1830"/>
      <c r="B14" s="1831"/>
      <c r="C14" s="1798"/>
      <c r="D14" s="1798"/>
      <c r="E14" s="1798"/>
      <c r="F14" s="1798"/>
      <c r="G14" s="1798"/>
      <c r="H14" s="1798"/>
      <c r="I14" s="1798"/>
      <c r="J14" s="1798"/>
    </row>
    <row r="15" spans="1:17" ht="12.75" hidden="1" customHeight="1" outlineLevel="2">
      <c r="A15" s="1830"/>
      <c r="B15" s="1831"/>
      <c r="C15" s="763" t="s">
        <v>1490</v>
      </c>
      <c r="D15" s="761" t="s">
        <v>1491</v>
      </c>
      <c r="E15" s="763" t="s">
        <v>1492</v>
      </c>
      <c r="F15" s="763">
        <v>12</v>
      </c>
      <c r="G15" s="763">
        <v>0</v>
      </c>
      <c r="H15" s="774">
        <v>42420</v>
      </c>
      <c r="I15" s="763">
        <v>0</v>
      </c>
      <c r="J15" s="774">
        <f t="shared" ref="J15:J25" si="0">(F15*(1+G15/100)) * (H15*(1+I15/100))</f>
        <v>509040</v>
      </c>
    </row>
    <row r="16" spans="1:17" ht="12.75" hidden="1" customHeight="1" outlineLevel="2">
      <c r="A16" s="1830"/>
      <c r="B16" s="1831"/>
      <c r="C16" s="763" t="s">
        <v>1493</v>
      </c>
      <c r="D16" s="761" t="s">
        <v>1494</v>
      </c>
      <c r="E16" s="763" t="s">
        <v>49</v>
      </c>
      <c r="F16" s="763">
        <v>4.8</v>
      </c>
      <c r="G16" s="763">
        <v>0</v>
      </c>
      <c r="H16" s="774">
        <v>56376</v>
      </c>
      <c r="I16" s="763">
        <v>0</v>
      </c>
      <c r="J16" s="774">
        <f t="shared" si="0"/>
        <v>270604.79999999999</v>
      </c>
    </row>
    <row r="17" spans="1:13" ht="12.75" hidden="1" customHeight="1" outlineLevel="2">
      <c r="A17" s="1830"/>
      <c r="B17" s="1831"/>
      <c r="C17" s="763" t="s">
        <v>1495</v>
      </c>
      <c r="D17" s="761" t="s">
        <v>1496</v>
      </c>
      <c r="E17" s="763" t="s">
        <v>49</v>
      </c>
      <c r="F17" s="763">
        <v>2.33</v>
      </c>
      <c r="G17" s="763">
        <v>5</v>
      </c>
      <c r="H17" s="774">
        <v>494415</v>
      </c>
      <c r="I17" s="763">
        <v>0</v>
      </c>
      <c r="J17" s="774">
        <f t="shared" si="0"/>
        <v>1209586.2975000001</v>
      </c>
    </row>
    <row r="18" spans="1:13" ht="12.75" hidden="1" customHeight="1" outlineLevel="2">
      <c r="A18" s="1830"/>
      <c r="B18" s="1831"/>
      <c r="C18" s="763" t="s">
        <v>1497</v>
      </c>
      <c r="D18" s="761" t="s">
        <v>1498</v>
      </c>
      <c r="E18" s="763" t="s">
        <v>49</v>
      </c>
      <c r="F18" s="763">
        <v>1.2</v>
      </c>
      <c r="G18" s="763">
        <v>1</v>
      </c>
      <c r="H18" s="774">
        <v>23200</v>
      </c>
      <c r="I18" s="763">
        <v>0</v>
      </c>
      <c r="J18" s="774">
        <f t="shared" si="0"/>
        <v>28118.399999999998</v>
      </c>
    </row>
    <row r="19" spans="1:13" ht="12.75" hidden="1" customHeight="1" outlineLevel="2">
      <c r="A19" s="1830"/>
      <c r="B19" s="1831"/>
      <c r="C19" s="763" t="s">
        <v>1499</v>
      </c>
      <c r="D19" s="761" t="s">
        <v>1500</v>
      </c>
      <c r="E19" s="763" t="s">
        <v>1501</v>
      </c>
      <c r="F19" s="763">
        <v>1</v>
      </c>
      <c r="G19" s="763">
        <v>10</v>
      </c>
      <c r="H19" s="774">
        <v>2344</v>
      </c>
      <c r="I19" s="763">
        <v>0</v>
      </c>
      <c r="J19" s="774">
        <f t="shared" si="0"/>
        <v>2578.4</v>
      </c>
    </row>
    <row r="20" spans="1:13" ht="12.75" hidden="1" customHeight="1" outlineLevel="2">
      <c r="A20" s="1830"/>
      <c r="B20" s="1831"/>
      <c r="C20" s="763" t="s">
        <v>1502</v>
      </c>
      <c r="D20" s="761" t="s">
        <v>1503</v>
      </c>
      <c r="E20" s="763" t="s">
        <v>1492</v>
      </c>
      <c r="F20" s="763">
        <v>16</v>
      </c>
      <c r="G20" s="763">
        <v>1</v>
      </c>
      <c r="H20" s="774">
        <v>13200</v>
      </c>
      <c r="I20" s="763">
        <v>0</v>
      </c>
      <c r="J20" s="774">
        <f t="shared" si="0"/>
        <v>213312</v>
      </c>
    </row>
    <row r="21" spans="1:13" ht="12.75" hidden="1" customHeight="1" outlineLevel="2">
      <c r="A21" s="1830"/>
      <c r="B21" s="1831"/>
      <c r="C21" s="763" t="s">
        <v>1504</v>
      </c>
      <c r="D21" s="761" t="s">
        <v>1505</v>
      </c>
      <c r="E21" s="763" t="s">
        <v>1492</v>
      </c>
      <c r="F21" s="763">
        <v>32</v>
      </c>
      <c r="G21" s="763">
        <v>1</v>
      </c>
      <c r="H21" s="774">
        <v>17000</v>
      </c>
      <c r="I21" s="763">
        <v>0</v>
      </c>
      <c r="J21" s="774">
        <f t="shared" si="0"/>
        <v>549440</v>
      </c>
    </row>
    <row r="22" spans="1:13" ht="12.75" hidden="1" customHeight="1" outlineLevel="2">
      <c r="A22" s="1830"/>
      <c r="B22" s="1831"/>
      <c r="C22" s="763" t="s">
        <v>1506</v>
      </c>
      <c r="D22" s="761" t="s">
        <v>1507</v>
      </c>
      <c r="E22" s="763" t="s">
        <v>1492</v>
      </c>
      <c r="F22" s="763">
        <v>16</v>
      </c>
      <c r="G22" s="763">
        <v>1</v>
      </c>
      <c r="H22" s="774">
        <v>8500</v>
      </c>
      <c r="I22" s="763">
        <v>0</v>
      </c>
      <c r="J22" s="774">
        <f t="shared" si="0"/>
        <v>137360</v>
      </c>
    </row>
    <row r="23" spans="1:13" ht="12.75" hidden="1" customHeight="1" outlineLevel="2">
      <c r="A23" s="1830"/>
      <c r="B23" s="1831"/>
      <c r="C23" s="763" t="s">
        <v>1508</v>
      </c>
      <c r="D23" s="761" t="s">
        <v>1509</v>
      </c>
      <c r="E23" s="763" t="s">
        <v>1482</v>
      </c>
      <c r="F23" s="763">
        <v>24</v>
      </c>
      <c r="G23" s="763">
        <v>0</v>
      </c>
      <c r="H23" s="774">
        <v>5527.21</v>
      </c>
      <c r="I23" s="763">
        <v>0</v>
      </c>
      <c r="J23" s="774">
        <f t="shared" si="0"/>
        <v>132653.04</v>
      </c>
    </row>
    <row r="24" spans="1:13" ht="12.75" hidden="1" customHeight="1" outlineLevel="2">
      <c r="A24" s="1830"/>
      <c r="B24" s="1831"/>
      <c r="C24" s="763" t="s">
        <v>1510</v>
      </c>
      <c r="D24" s="761" t="s">
        <v>1511</v>
      </c>
      <c r="E24" s="763" t="s">
        <v>1482</v>
      </c>
      <c r="F24" s="763">
        <v>48</v>
      </c>
      <c r="G24" s="763">
        <v>0</v>
      </c>
      <c r="H24" s="774">
        <v>5527.21</v>
      </c>
      <c r="I24" s="763">
        <v>0</v>
      </c>
      <c r="J24" s="774">
        <f t="shared" si="0"/>
        <v>265306.08</v>
      </c>
    </row>
    <row r="25" spans="1:13" ht="12.75" hidden="1" customHeight="1" outlineLevel="2">
      <c r="A25" s="1830"/>
      <c r="B25" s="1831"/>
      <c r="C25" s="763" t="s">
        <v>1512</v>
      </c>
      <c r="D25" s="761" t="s">
        <v>1513</v>
      </c>
      <c r="E25" s="763" t="s">
        <v>49</v>
      </c>
      <c r="F25" s="763">
        <v>6</v>
      </c>
      <c r="G25" s="763">
        <v>0</v>
      </c>
      <c r="H25" s="774">
        <v>1500</v>
      </c>
      <c r="I25" s="763">
        <v>0</v>
      </c>
      <c r="J25" s="774">
        <f t="shared" si="0"/>
        <v>9000</v>
      </c>
      <c r="M25" s="774"/>
    </row>
    <row r="26" spans="1:13" ht="12.75" hidden="1" customHeight="1" outlineLevel="2">
      <c r="A26" s="1830"/>
      <c r="B26" s="1831"/>
      <c r="C26" s="763"/>
      <c r="D26" s="763"/>
      <c r="E26" s="763"/>
      <c r="F26" s="763"/>
      <c r="G26" s="763">
        <v>5</v>
      </c>
      <c r="H26" s="763" t="s">
        <v>1514</v>
      </c>
      <c r="I26" s="763">
        <v>0</v>
      </c>
      <c r="J26" s="774">
        <v>19897.96</v>
      </c>
    </row>
    <row r="27" spans="1:13" ht="12.75" hidden="1" customHeight="1" outlineLevel="2">
      <c r="A27" s="1830"/>
      <c r="B27" s="1831"/>
      <c r="C27" s="1842" t="s">
        <v>1488</v>
      </c>
      <c r="D27" s="1835"/>
      <c r="E27" s="763" t="s">
        <v>285</v>
      </c>
      <c r="F27" s="763">
        <v>12</v>
      </c>
      <c r="G27" s="763"/>
      <c r="H27" s="763"/>
      <c r="I27" s="763">
        <v>0</v>
      </c>
      <c r="J27" s="774">
        <f>SUM(J15:J26)</f>
        <v>3346896.9775</v>
      </c>
    </row>
    <row r="28" spans="1:13" ht="12.75" hidden="1" customHeight="1" outlineLevel="1" collapsed="1">
      <c r="A28" s="1830"/>
      <c r="B28" s="1831"/>
      <c r="C28" s="1827" t="s">
        <v>47</v>
      </c>
      <c r="D28" s="1827"/>
      <c r="E28" s="1827"/>
      <c r="F28" s="1827"/>
      <c r="G28" s="1827"/>
      <c r="H28" s="1827"/>
      <c r="I28" s="1827"/>
      <c r="J28" s="773">
        <f>J27*F27</f>
        <v>40162763.730000004</v>
      </c>
    </row>
    <row r="29" spans="1:13" ht="12.75" hidden="1" customHeight="1" outlineLevel="1">
      <c r="A29" s="1830" t="s">
        <v>1532</v>
      </c>
      <c r="B29" s="1831" t="s">
        <v>1084</v>
      </c>
      <c r="C29" s="1808" t="s">
        <v>1861</v>
      </c>
      <c r="D29" s="1808"/>
      <c r="E29" s="1808"/>
      <c r="F29" s="1808"/>
      <c r="G29" s="1808"/>
      <c r="H29" s="1808"/>
      <c r="I29" s="1808"/>
      <c r="J29" s="1808"/>
    </row>
    <row r="30" spans="1:13" ht="12.75" hidden="1" customHeight="1" outlineLevel="2">
      <c r="A30" s="1830"/>
      <c r="B30" s="1831"/>
      <c r="C30" s="763" t="s">
        <v>1490</v>
      </c>
      <c r="D30" s="761" t="s">
        <v>1491</v>
      </c>
      <c r="E30" s="763" t="s">
        <v>1492</v>
      </c>
      <c r="F30" s="763">
        <v>2</v>
      </c>
      <c r="G30" s="763">
        <v>1</v>
      </c>
      <c r="H30" s="774">
        <v>42420</v>
      </c>
      <c r="I30" s="763">
        <v>0</v>
      </c>
      <c r="J30" s="774">
        <f t="shared" ref="J30:J42" si="1">(F30*(1+G30/100)) * (H30*(1+I30/100))</f>
        <v>85688.4</v>
      </c>
    </row>
    <row r="31" spans="1:13" ht="12.75" hidden="1" customHeight="1" outlineLevel="2">
      <c r="A31" s="1830"/>
      <c r="B31" s="1831"/>
      <c r="C31" s="763" t="s">
        <v>1516</v>
      </c>
      <c r="D31" s="761" t="s">
        <v>1517</v>
      </c>
      <c r="E31" s="763" t="s">
        <v>1492</v>
      </c>
      <c r="F31" s="763">
        <v>1</v>
      </c>
      <c r="G31" s="763">
        <v>1</v>
      </c>
      <c r="H31" s="774">
        <v>267155</v>
      </c>
      <c r="I31" s="763">
        <v>0</v>
      </c>
      <c r="J31" s="774">
        <f t="shared" si="1"/>
        <v>269826.55</v>
      </c>
    </row>
    <row r="32" spans="1:13" ht="12.75" hidden="1" customHeight="1" outlineLevel="2">
      <c r="A32" s="1830"/>
      <c r="B32" s="1831"/>
      <c r="C32" s="763" t="s">
        <v>1493</v>
      </c>
      <c r="D32" s="761" t="s">
        <v>1494</v>
      </c>
      <c r="E32" s="763" t="s">
        <v>49</v>
      </c>
      <c r="F32" s="763">
        <v>0.8</v>
      </c>
      <c r="G32" s="763">
        <v>0</v>
      </c>
      <c r="H32" s="774">
        <v>56376</v>
      </c>
      <c r="I32" s="763">
        <v>0</v>
      </c>
      <c r="J32" s="774">
        <f t="shared" si="1"/>
        <v>45100.800000000003</v>
      </c>
    </row>
    <row r="33" spans="1:19" ht="12.75" hidden="1" customHeight="1" outlineLevel="2">
      <c r="A33" s="1830"/>
      <c r="B33" s="1831"/>
      <c r="C33" s="763" t="s">
        <v>1518</v>
      </c>
      <c r="D33" s="761" t="s">
        <v>1519</v>
      </c>
      <c r="E33" s="763" t="s">
        <v>49</v>
      </c>
      <c r="F33" s="763">
        <v>0.4</v>
      </c>
      <c r="G33" s="763">
        <v>5</v>
      </c>
      <c r="H33" s="774">
        <v>319075</v>
      </c>
      <c r="I33" s="763">
        <v>0</v>
      </c>
      <c r="J33" s="774">
        <f t="shared" si="1"/>
        <v>134011.5</v>
      </c>
      <c r="P33" s="765"/>
      <c r="Q33" s="766"/>
      <c r="R33" s="764"/>
      <c r="S33" s="766"/>
    </row>
    <row r="34" spans="1:19" ht="12.75" hidden="1" customHeight="1" outlineLevel="2">
      <c r="A34" s="1830"/>
      <c r="B34" s="1831"/>
      <c r="C34" s="763" t="s">
        <v>1520</v>
      </c>
      <c r="D34" s="761" t="s">
        <v>1521</v>
      </c>
      <c r="E34" s="763" t="s">
        <v>49</v>
      </c>
      <c r="F34" s="763">
        <v>0.48299999999999998</v>
      </c>
      <c r="G34" s="763">
        <v>5</v>
      </c>
      <c r="H34" s="774">
        <v>194379.28</v>
      </c>
      <c r="I34" s="763">
        <v>0</v>
      </c>
      <c r="J34" s="774">
        <f t="shared" si="1"/>
        <v>98579.451851999998</v>
      </c>
      <c r="P34" s="765"/>
      <c r="Q34" s="766"/>
      <c r="R34" s="764"/>
      <c r="S34" s="766"/>
    </row>
    <row r="35" spans="1:19" ht="12.75" hidden="1" customHeight="1" outlineLevel="2">
      <c r="A35" s="1830"/>
      <c r="B35" s="1831"/>
      <c r="C35" s="763" t="s">
        <v>1522</v>
      </c>
      <c r="D35" s="761" t="s">
        <v>1523</v>
      </c>
      <c r="E35" s="763" t="s">
        <v>1492</v>
      </c>
      <c r="F35" s="763">
        <v>230</v>
      </c>
      <c r="G35" s="763">
        <v>2</v>
      </c>
      <c r="H35" s="774">
        <v>1120</v>
      </c>
      <c r="I35" s="763">
        <v>0</v>
      </c>
      <c r="J35" s="774">
        <f t="shared" si="1"/>
        <v>262752</v>
      </c>
    </row>
    <row r="36" spans="1:19" ht="12.75" hidden="1" customHeight="1" outlineLevel="2">
      <c r="A36" s="1830"/>
      <c r="B36" s="1831"/>
      <c r="C36" s="763" t="s">
        <v>1497</v>
      </c>
      <c r="D36" s="761" t="s">
        <v>1498</v>
      </c>
      <c r="E36" s="763" t="s">
        <v>49</v>
      </c>
      <c r="F36" s="763">
        <v>0.2</v>
      </c>
      <c r="G36" s="763">
        <v>1</v>
      </c>
      <c r="H36" s="774">
        <v>23200</v>
      </c>
      <c r="I36" s="763">
        <v>0</v>
      </c>
      <c r="J36" s="774">
        <f t="shared" si="1"/>
        <v>4686.4000000000005</v>
      </c>
    </row>
    <row r="37" spans="1:19" ht="12.75" hidden="1" customHeight="1" outlineLevel="2">
      <c r="A37" s="1830"/>
      <c r="B37" s="1831"/>
      <c r="C37" s="763" t="s">
        <v>1524</v>
      </c>
      <c r="D37" s="761" t="s">
        <v>1525</v>
      </c>
      <c r="E37" s="763" t="s">
        <v>1492</v>
      </c>
      <c r="F37" s="763">
        <v>1</v>
      </c>
      <c r="G37" s="763">
        <v>0</v>
      </c>
      <c r="H37" s="774">
        <v>11494.439999999999</v>
      </c>
      <c r="I37" s="763">
        <v>0</v>
      </c>
      <c r="J37" s="774">
        <f t="shared" si="1"/>
        <v>11494.439999999999</v>
      </c>
    </row>
    <row r="38" spans="1:19" ht="12.75" hidden="1" customHeight="1" outlineLevel="2">
      <c r="A38" s="1830"/>
      <c r="B38" s="1831"/>
      <c r="C38" s="763" t="s">
        <v>1526</v>
      </c>
      <c r="D38" s="761" t="s">
        <v>1527</v>
      </c>
      <c r="E38" s="763" t="s">
        <v>1492</v>
      </c>
      <c r="F38" s="763">
        <v>1</v>
      </c>
      <c r="G38" s="763">
        <v>0</v>
      </c>
      <c r="H38" s="774">
        <v>4955.04</v>
      </c>
      <c r="I38" s="763">
        <v>0</v>
      </c>
      <c r="J38" s="774">
        <f t="shared" si="1"/>
        <v>4955.04</v>
      </c>
    </row>
    <row r="39" spans="1:19" ht="12.75" hidden="1" customHeight="1" outlineLevel="2">
      <c r="A39" s="1830"/>
      <c r="B39" s="1831"/>
      <c r="C39" s="763" t="s">
        <v>1528</v>
      </c>
      <c r="D39" s="761" t="s">
        <v>1529</v>
      </c>
      <c r="E39" s="763" t="s">
        <v>48</v>
      </c>
      <c r="F39" s="763">
        <v>20</v>
      </c>
      <c r="G39" s="763">
        <v>0</v>
      </c>
      <c r="H39" s="774">
        <v>7621</v>
      </c>
      <c r="I39" s="763">
        <v>0</v>
      </c>
      <c r="J39" s="774">
        <f t="shared" si="1"/>
        <v>152420</v>
      </c>
    </row>
    <row r="40" spans="1:19" ht="12.75" hidden="1" customHeight="1" outlineLevel="2">
      <c r="A40" s="1830"/>
      <c r="B40" s="1831"/>
      <c r="C40" s="763" t="s">
        <v>1508</v>
      </c>
      <c r="D40" s="761" t="s">
        <v>1509</v>
      </c>
      <c r="E40" s="763" t="s">
        <v>1482</v>
      </c>
      <c r="F40" s="763">
        <v>16</v>
      </c>
      <c r="G40" s="763">
        <v>0</v>
      </c>
      <c r="H40" s="774">
        <v>5527.21</v>
      </c>
      <c r="I40" s="763">
        <v>0</v>
      </c>
      <c r="J40" s="774">
        <f t="shared" si="1"/>
        <v>88435.36</v>
      </c>
      <c r="L40" s="774"/>
    </row>
    <row r="41" spans="1:19" ht="12.75" hidden="1" customHeight="1" outlineLevel="2">
      <c r="A41" s="1830"/>
      <c r="B41" s="1831"/>
      <c r="C41" s="763" t="s">
        <v>1510</v>
      </c>
      <c r="D41" s="761" t="s">
        <v>1511</v>
      </c>
      <c r="E41" s="763" t="s">
        <v>1482</v>
      </c>
      <c r="F41" s="763">
        <v>16</v>
      </c>
      <c r="G41" s="763">
        <v>0</v>
      </c>
      <c r="H41" s="774">
        <v>5527.21</v>
      </c>
      <c r="I41" s="763">
        <v>0</v>
      </c>
      <c r="J41" s="774">
        <f t="shared" si="1"/>
        <v>88435.36</v>
      </c>
    </row>
    <row r="42" spans="1:19" ht="12.75" hidden="1" customHeight="1" outlineLevel="2">
      <c r="A42" s="1830"/>
      <c r="B42" s="1831"/>
      <c r="C42" s="763" t="s">
        <v>1530</v>
      </c>
      <c r="D42" s="761" t="s">
        <v>1531</v>
      </c>
      <c r="E42" s="763" t="s">
        <v>1492</v>
      </c>
      <c r="F42" s="763">
        <v>1</v>
      </c>
      <c r="G42" s="763">
        <v>0</v>
      </c>
      <c r="H42" s="774">
        <v>16483.439999999999</v>
      </c>
      <c r="I42" s="763">
        <v>0</v>
      </c>
      <c r="J42" s="774">
        <f t="shared" si="1"/>
        <v>16483.439999999999</v>
      </c>
      <c r="L42" s="778">
        <f>J44*0.05</f>
        <v>63626.822592600009</v>
      </c>
      <c r="M42">
        <f>(J66*0.05)/0.1</f>
        <v>4341.9669999999996</v>
      </c>
    </row>
    <row r="43" spans="1:19" ht="12.75" hidden="1" customHeight="1" outlineLevel="2">
      <c r="A43" s="1830"/>
      <c r="B43" s="1831"/>
      <c r="C43" s="763"/>
      <c r="D43" s="763"/>
      <c r="E43" s="763"/>
      <c r="F43" s="763"/>
      <c r="G43" s="763">
        <v>5</v>
      </c>
      <c r="H43" s="763" t="s">
        <v>1514</v>
      </c>
      <c r="I43" s="763"/>
      <c r="J43" s="774">
        <v>9667.7099999999991</v>
      </c>
    </row>
    <row r="44" spans="1:19" ht="12.75" hidden="1" customHeight="1" outlineLevel="2">
      <c r="A44" s="1830"/>
      <c r="B44" s="1831"/>
      <c r="C44" s="1842" t="s">
        <v>1488</v>
      </c>
      <c r="D44" s="1835"/>
      <c r="E44" s="763" t="s">
        <v>1484</v>
      </c>
      <c r="F44" s="763">
        <v>15</v>
      </c>
      <c r="G44" s="763"/>
      <c r="H44" s="763"/>
      <c r="I44" s="763">
        <v>0</v>
      </c>
      <c r="J44" s="774">
        <f>SUM(J30:J43)</f>
        <v>1272536.4518520001</v>
      </c>
    </row>
    <row r="45" spans="1:19" ht="12.75" hidden="1" customHeight="1" outlineLevel="1" collapsed="1">
      <c r="A45" s="1830"/>
      <c r="B45" s="1831"/>
      <c r="C45" s="1827" t="s">
        <v>47</v>
      </c>
      <c r="D45" s="1827"/>
      <c r="E45" s="1827"/>
      <c r="F45" s="1827"/>
      <c r="G45" s="1827"/>
      <c r="H45" s="1827"/>
      <c r="I45" s="1827"/>
      <c r="J45" s="773">
        <f>F44*J44</f>
        <v>19088046.77778</v>
      </c>
    </row>
    <row r="46" spans="1:19" ht="12.75" hidden="1" customHeight="1" outlineLevel="1">
      <c r="A46" s="1861" t="s">
        <v>1533</v>
      </c>
      <c r="B46" s="1831" t="s">
        <v>1355</v>
      </c>
      <c r="C46" s="1808" t="s">
        <v>1862</v>
      </c>
      <c r="D46" s="1808"/>
      <c r="E46" s="1808"/>
      <c r="F46" s="1808"/>
      <c r="G46" s="1808"/>
      <c r="H46" s="1808"/>
      <c r="I46" s="1808"/>
      <c r="J46" s="1808"/>
    </row>
    <row r="47" spans="1:19" ht="12.75" hidden="1" customHeight="1" outlineLevel="2">
      <c r="A47" s="1861"/>
      <c r="B47" s="1831"/>
      <c r="C47" s="1772" t="s">
        <v>1534</v>
      </c>
      <c r="D47" s="1772"/>
      <c r="E47" s="763" t="s">
        <v>1482</v>
      </c>
      <c r="F47" s="762">
        <v>0.45</v>
      </c>
      <c r="G47" s="762"/>
      <c r="H47" s="5"/>
      <c r="I47" s="775">
        <v>18780</v>
      </c>
      <c r="J47" s="775">
        <f>F47*I47</f>
        <v>8451</v>
      </c>
    </row>
    <row r="48" spans="1:19" ht="12.75" hidden="1" customHeight="1" outlineLevel="2">
      <c r="A48" s="1861"/>
      <c r="B48" s="1831"/>
      <c r="C48" s="1772" t="s">
        <v>1535</v>
      </c>
      <c r="D48" s="1772"/>
      <c r="E48" s="763" t="s">
        <v>48</v>
      </c>
      <c r="F48" s="762">
        <v>1</v>
      </c>
      <c r="G48" s="762"/>
      <c r="H48" s="5"/>
      <c r="I48" s="775">
        <v>1700</v>
      </c>
      <c r="J48" s="775">
        <f>F48*I48</f>
        <v>1700</v>
      </c>
    </row>
    <row r="49" spans="1:10" ht="12.75" hidden="1" customHeight="1" outlineLevel="2">
      <c r="A49" s="1861"/>
      <c r="B49" s="1831"/>
      <c r="C49" s="1772" t="s">
        <v>1536</v>
      </c>
      <c r="D49" s="1772"/>
      <c r="E49" s="763" t="s">
        <v>285</v>
      </c>
      <c r="F49" s="762">
        <v>0.35</v>
      </c>
      <c r="G49" s="762"/>
      <c r="H49" s="5"/>
      <c r="I49" s="775">
        <v>22533</v>
      </c>
      <c r="J49" s="775">
        <f>F49*I49</f>
        <v>7886.5499999999993</v>
      </c>
    </row>
    <row r="50" spans="1:10" ht="12.75" hidden="1" customHeight="1" outlineLevel="2">
      <c r="A50" s="1861"/>
      <c r="B50" s="1831"/>
      <c r="C50" s="1905" t="s">
        <v>1537</v>
      </c>
      <c r="D50" s="1905"/>
      <c r="E50" s="763" t="s">
        <v>49</v>
      </c>
      <c r="F50" s="762">
        <v>0.02</v>
      </c>
      <c r="G50" s="762"/>
      <c r="H50" s="5"/>
      <c r="I50" s="775">
        <v>12785.4</v>
      </c>
      <c r="J50" s="775">
        <f>F50*I50</f>
        <v>255.708</v>
      </c>
    </row>
    <row r="51" spans="1:10" ht="12.75" hidden="1" customHeight="1" outlineLevel="2">
      <c r="A51" s="1861"/>
      <c r="B51" s="1831"/>
      <c r="C51" s="770"/>
      <c r="D51" s="771"/>
      <c r="E51" s="763"/>
      <c r="F51" s="749"/>
      <c r="G51" s="763">
        <v>5</v>
      </c>
      <c r="H51" s="763" t="s">
        <v>1514</v>
      </c>
      <c r="I51" s="751"/>
      <c r="J51" s="810">
        <f>0.05*J47</f>
        <v>422.55</v>
      </c>
    </row>
    <row r="52" spans="1:10" ht="13.5" hidden="1" customHeight="1" outlineLevel="2" thickBot="1">
      <c r="A52" s="1861"/>
      <c r="B52" s="1831"/>
      <c r="C52" s="1842" t="s">
        <v>1488</v>
      </c>
      <c r="D52" s="1835"/>
      <c r="E52" s="763" t="s">
        <v>345</v>
      </c>
      <c r="F52" s="526">
        <f>'1. Preliminares'!C11</f>
        <v>203.12369999999999</v>
      </c>
      <c r="G52" s="763"/>
      <c r="H52" s="763"/>
      <c r="I52" s="769"/>
      <c r="J52" s="774">
        <f>SUM(J47:J51)</f>
        <v>18715.807999999997</v>
      </c>
    </row>
    <row r="53" spans="1:10" ht="12.75" hidden="1" customHeight="1" outlineLevel="1" collapsed="1">
      <c r="A53" s="1861"/>
      <c r="B53" s="1831"/>
      <c r="C53" s="1827" t="s">
        <v>47</v>
      </c>
      <c r="D53" s="1827"/>
      <c r="E53" s="1827"/>
      <c r="F53" s="1827"/>
      <c r="G53" s="1827"/>
      <c r="H53" s="1827"/>
      <c r="I53" s="1827"/>
      <c r="J53" s="773">
        <f>F52*J52</f>
        <v>3801624.169449599</v>
      </c>
    </row>
    <row r="54" spans="1:10" ht="12.75" hidden="1" customHeight="1" outlineLevel="1">
      <c r="A54" s="1830" t="s">
        <v>1539</v>
      </c>
      <c r="B54" s="1831">
        <v>1.5</v>
      </c>
      <c r="C54" s="1808" t="s">
        <v>1538</v>
      </c>
      <c r="D54" s="1808"/>
      <c r="E54" s="1808"/>
      <c r="F54" s="1808"/>
      <c r="G54" s="1808"/>
      <c r="H54" s="1808"/>
      <c r="I54" s="1808"/>
      <c r="J54" s="1808"/>
    </row>
    <row r="55" spans="1:10" ht="12.75" hidden="1" customHeight="1" outlineLevel="2">
      <c r="A55" s="1830"/>
      <c r="B55" s="1831"/>
      <c r="C55" s="772" t="s">
        <v>1540</v>
      </c>
      <c r="D55" s="763" t="s">
        <v>1541</v>
      </c>
      <c r="E55" s="763" t="s">
        <v>1492</v>
      </c>
      <c r="F55" s="763">
        <v>1</v>
      </c>
      <c r="G55" s="763">
        <v>0</v>
      </c>
      <c r="H55" s="774">
        <v>150000</v>
      </c>
      <c r="I55" s="763">
        <v>0</v>
      </c>
      <c r="J55" s="774">
        <f>(F55*(1+G55/100)) * (H55*(1+I55/100))</f>
        <v>150000</v>
      </c>
    </row>
    <row r="56" spans="1:10" ht="12.75" hidden="1" customHeight="1" outlineLevel="2">
      <c r="A56" s="1830"/>
      <c r="B56" s="1831"/>
      <c r="C56" s="772"/>
      <c r="D56" s="763"/>
      <c r="E56" s="763"/>
      <c r="F56" s="763"/>
      <c r="G56" s="763">
        <v>5</v>
      </c>
      <c r="H56" s="763" t="s">
        <v>1514</v>
      </c>
      <c r="I56" s="763"/>
      <c r="J56" s="774">
        <v>0</v>
      </c>
    </row>
    <row r="57" spans="1:10" ht="12.75" hidden="1" customHeight="1" outlineLevel="2">
      <c r="A57" s="1830"/>
      <c r="B57" s="1831"/>
      <c r="C57" s="1843" t="s">
        <v>1488</v>
      </c>
      <c r="D57" s="1835"/>
      <c r="E57" s="763" t="s">
        <v>285</v>
      </c>
      <c r="F57" s="763">
        <v>1</v>
      </c>
      <c r="G57" s="763"/>
      <c r="H57" s="763"/>
      <c r="I57" s="763">
        <v>0</v>
      </c>
      <c r="J57" s="774">
        <v>150000</v>
      </c>
    </row>
    <row r="58" spans="1:10" ht="12.75" hidden="1" customHeight="1" outlineLevel="1" collapsed="1">
      <c r="A58" s="1830"/>
      <c r="B58" s="1831"/>
      <c r="C58" s="1836" t="s">
        <v>47</v>
      </c>
      <c r="D58" s="1827"/>
      <c r="E58" s="1827"/>
      <c r="F58" s="1827"/>
      <c r="G58" s="1827"/>
      <c r="H58" s="1827"/>
      <c r="I58" s="1827"/>
      <c r="J58" s="773">
        <f>F57*J57</f>
        <v>150000</v>
      </c>
    </row>
    <row r="59" spans="1:10" ht="12.75" hidden="1" customHeight="1" outlineLevel="1">
      <c r="A59" s="1906" t="s">
        <v>1533</v>
      </c>
      <c r="B59" s="1831" t="s">
        <v>1357</v>
      </c>
      <c r="C59" s="1808" t="s">
        <v>1549</v>
      </c>
      <c r="D59" s="1808"/>
      <c r="E59" s="1808"/>
      <c r="F59" s="1808"/>
      <c r="G59" s="1808"/>
      <c r="H59" s="1808"/>
      <c r="I59" s="1808"/>
      <c r="J59" s="1808"/>
    </row>
    <row r="60" spans="1:10" ht="12.75" hidden="1" customHeight="1" outlineLevel="2">
      <c r="A60" s="1907"/>
      <c r="B60" s="1831"/>
      <c r="C60" s="1772" t="s">
        <v>1550</v>
      </c>
      <c r="D60" s="1772"/>
      <c r="E60" s="763" t="s">
        <v>285</v>
      </c>
      <c r="F60" s="762">
        <v>1</v>
      </c>
      <c r="G60" s="762"/>
      <c r="H60" s="762"/>
      <c r="I60" s="775">
        <v>12400</v>
      </c>
      <c r="J60" s="775">
        <f t="shared" ref="J60:J65" si="2">F60*I60</f>
        <v>12400</v>
      </c>
    </row>
    <row r="61" spans="1:10" ht="12.75" hidden="1" customHeight="1" outlineLevel="2">
      <c r="A61" s="1907"/>
      <c r="B61" s="1831"/>
      <c r="C61" s="1772" t="s">
        <v>1551</v>
      </c>
      <c r="D61" s="1772"/>
      <c r="E61" s="763" t="s">
        <v>48</v>
      </c>
      <c r="F61" s="762">
        <v>30.9</v>
      </c>
      <c r="G61" s="762"/>
      <c r="H61" s="762"/>
      <c r="I61" s="775">
        <v>2504</v>
      </c>
      <c r="J61" s="775">
        <f t="shared" si="2"/>
        <v>77373.599999999991</v>
      </c>
    </row>
    <row r="62" spans="1:10" ht="12.75" hidden="1" customHeight="1" outlineLevel="2">
      <c r="A62" s="1907"/>
      <c r="B62" s="1831"/>
      <c r="C62" s="1772" t="s">
        <v>1552</v>
      </c>
      <c r="D62" s="1772"/>
      <c r="E62" s="763" t="s">
        <v>285</v>
      </c>
      <c r="F62" s="762">
        <v>0.04</v>
      </c>
      <c r="G62" s="762"/>
      <c r="H62" s="762"/>
      <c r="I62" s="775">
        <v>93198</v>
      </c>
      <c r="J62" s="775">
        <f t="shared" si="2"/>
        <v>3727.92</v>
      </c>
    </row>
    <row r="63" spans="1:10" ht="12.75" hidden="1" customHeight="1" outlineLevel="2">
      <c r="A63" s="1907"/>
      <c r="B63" s="1831"/>
      <c r="C63" s="1772" t="s">
        <v>1553</v>
      </c>
      <c r="D63" s="1772"/>
      <c r="E63" s="763" t="s">
        <v>285</v>
      </c>
      <c r="F63" s="762">
        <v>0.04</v>
      </c>
      <c r="G63" s="762"/>
      <c r="H63" s="762"/>
      <c r="I63" s="775">
        <v>43630</v>
      </c>
      <c r="J63" s="775">
        <f t="shared" si="2"/>
        <v>1745.2</v>
      </c>
    </row>
    <row r="64" spans="1:10" ht="12.75" hidden="1" customHeight="1" outlineLevel="2">
      <c r="A64" s="1907"/>
      <c r="B64" s="1831"/>
      <c r="C64" s="1772" t="s">
        <v>1555</v>
      </c>
      <c r="D64" s="1772"/>
      <c r="E64" s="763" t="s">
        <v>285</v>
      </c>
      <c r="F64" s="762">
        <v>10</v>
      </c>
      <c r="G64" s="762"/>
      <c r="H64" s="762"/>
      <c r="I64" s="775">
        <v>365</v>
      </c>
      <c r="J64" s="775">
        <f t="shared" si="2"/>
        <v>3650</v>
      </c>
    </row>
    <row r="65" spans="1:10" ht="12.75" hidden="1" customHeight="1" outlineLevel="2">
      <c r="A65" s="1907"/>
      <c r="B65" s="1831"/>
      <c r="C65" s="1772" t="s">
        <v>1554</v>
      </c>
      <c r="D65" s="1772"/>
      <c r="E65" s="763" t="s">
        <v>1482</v>
      </c>
      <c r="F65" s="762">
        <v>3.62</v>
      </c>
      <c r="G65" s="762"/>
      <c r="H65" s="762"/>
      <c r="I65" s="775">
        <v>20658</v>
      </c>
      <c r="J65" s="775">
        <f t="shared" si="2"/>
        <v>74781.960000000006</v>
      </c>
    </row>
    <row r="66" spans="1:10" ht="12.75" hidden="1" customHeight="1" outlineLevel="2">
      <c r="A66" s="1907"/>
      <c r="B66" s="1831"/>
      <c r="C66" s="762"/>
      <c r="D66" s="762"/>
      <c r="E66" s="762"/>
      <c r="F66" s="762"/>
      <c r="G66" s="226">
        <v>5</v>
      </c>
      <c r="H66" s="763" t="s">
        <v>1514</v>
      </c>
      <c r="I66" s="775">
        <v>173678.68</v>
      </c>
      <c r="J66" s="775">
        <v>8683.9339999999993</v>
      </c>
    </row>
    <row r="67" spans="1:10" ht="12.75" hidden="1" customHeight="1" outlineLevel="2">
      <c r="A67" s="1907"/>
      <c r="B67" s="1831"/>
      <c r="C67" s="1808" t="s">
        <v>1488</v>
      </c>
      <c r="D67" s="1808"/>
      <c r="E67" s="763" t="s">
        <v>285</v>
      </c>
      <c r="F67" s="763">
        <v>1</v>
      </c>
      <c r="G67" s="763"/>
      <c r="H67" s="763"/>
      <c r="I67" s="763">
        <v>0</v>
      </c>
      <c r="J67" s="774">
        <f>SUM(J60:J66)</f>
        <v>182362.614</v>
      </c>
    </row>
    <row r="68" spans="1:10" ht="12.75" hidden="1" customHeight="1" outlineLevel="1" collapsed="1">
      <c r="A68" s="1908"/>
      <c r="B68" s="1831"/>
      <c r="C68" s="1827" t="s">
        <v>47</v>
      </c>
      <c r="D68" s="1827"/>
      <c r="E68" s="1827"/>
      <c r="F68" s="1827"/>
      <c r="G68" s="1827"/>
      <c r="H68" s="1827"/>
      <c r="I68" s="1827"/>
      <c r="J68" s="773">
        <f>F67*J67</f>
        <v>182362.614</v>
      </c>
    </row>
    <row r="69" spans="1:10" collapsed="1">
      <c r="A69" s="1869">
        <v>2</v>
      </c>
      <c r="B69" s="1870"/>
      <c r="C69" s="1844" t="s">
        <v>1542</v>
      </c>
      <c r="D69" s="1844"/>
      <c r="E69" s="1844"/>
      <c r="F69" s="1844"/>
      <c r="G69" s="1844"/>
      <c r="H69" s="1844"/>
      <c r="I69" s="1844"/>
      <c r="J69" s="1844"/>
    </row>
    <row r="70" spans="1:10" ht="12.75" hidden="1" customHeight="1" outlineLevel="1">
      <c r="A70" s="1830" t="s">
        <v>1544</v>
      </c>
      <c r="B70" s="1831" t="s">
        <v>1085</v>
      </c>
      <c r="C70" s="1808" t="s">
        <v>1543</v>
      </c>
      <c r="D70" s="1808"/>
      <c r="E70" s="1808"/>
      <c r="F70" s="1808"/>
      <c r="G70" s="1808"/>
      <c r="H70" s="1808"/>
      <c r="I70" s="1808"/>
      <c r="J70" s="1808"/>
    </row>
    <row r="71" spans="1:10" ht="12.75" hidden="1" customHeight="1" outlineLevel="2">
      <c r="A71" s="1830"/>
      <c r="B71" s="1831"/>
      <c r="C71" s="763" t="s">
        <v>1545</v>
      </c>
      <c r="D71" s="763" t="s">
        <v>1546</v>
      </c>
      <c r="E71" s="763" t="s">
        <v>1482</v>
      </c>
      <c r="F71" s="763">
        <v>0.06</v>
      </c>
      <c r="G71" s="763">
        <v>0</v>
      </c>
      <c r="H71" s="763">
        <v>4671.93</v>
      </c>
      <c r="I71" s="763">
        <v>0</v>
      </c>
      <c r="J71" s="763">
        <f>(F71*(1+G71/100)) * (H71*(1+I71/100))</f>
        <v>280.31580000000002</v>
      </c>
    </row>
    <row r="72" spans="1:10" ht="12.75" hidden="1" customHeight="1" outlineLevel="2">
      <c r="A72" s="1830"/>
      <c r="B72" s="1831"/>
      <c r="C72" s="763" t="s">
        <v>1547</v>
      </c>
      <c r="D72" s="763" t="s">
        <v>1548</v>
      </c>
      <c r="E72" s="763" t="s">
        <v>1482</v>
      </c>
      <c r="F72" s="763">
        <v>0.06</v>
      </c>
      <c r="G72" s="763">
        <v>0</v>
      </c>
      <c r="H72" s="763">
        <v>263650</v>
      </c>
      <c r="I72" s="763">
        <v>0</v>
      </c>
      <c r="J72" s="763">
        <f>(F72*(1+G72/100)) * (H72*(1+I72/100))</f>
        <v>15819</v>
      </c>
    </row>
    <row r="73" spans="1:10" ht="12.75" hidden="1" customHeight="1" outlineLevel="2">
      <c r="A73" s="1830"/>
      <c r="B73" s="1831"/>
      <c r="C73" s="763"/>
      <c r="D73" s="763"/>
      <c r="E73" s="763"/>
      <c r="F73" s="763"/>
      <c r="G73" s="763">
        <v>5</v>
      </c>
      <c r="H73" s="763" t="s">
        <v>1514</v>
      </c>
      <c r="I73" s="763"/>
      <c r="J73" s="763">
        <v>14.02</v>
      </c>
    </row>
    <row r="74" spans="1:10" ht="12.75" hidden="1" customHeight="1" outlineLevel="2">
      <c r="A74" s="1830"/>
      <c r="B74" s="1831"/>
      <c r="C74" s="1808" t="s">
        <v>1488</v>
      </c>
      <c r="D74" s="1808"/>
      <c r="E74" s="763" t="s">
        <v>49</v>
      </c>
      <c r="F74" s="583">
        <f>'2. Movimiento de tierra'!H9</f>
        <v>387.86939999999998</v>
      </c>
      <c r="G74" s="763"/>
      <c r="H74" s="763"/>
      <c r="I74" s="763">
        <v>0</v>
      </c>
      <c r="J74" s="763">
        <f>SUM(J71:J73)</f>
        <v>16113.335800000001</v>
      </c>
    </row>
    <row r="75" spans="1:10" ht="12.75" hidden="1" customHeight="1" outlineLevel="1" collapsed="1">
      <c r="A75" s="1830"/>
      <c r="B75" s="1831"/>
      <c r="C75" s="1827" t="s">
        <v>47</v>
      </c>
      <c r="D75" s="1827"/>
      <c r="E75" s="1827"/>
      <c r="F75" s="1827"/>
      <c r="G75" s="1827"/>
      <c r="H75" s="1827"/>
      <c r="I75" s="1827"/>
      <c r="J75" s="773">
        <f>F74*J74</f>
        <v>6249869.88874452</v>
      </c>
    </row>
    <row r="76" spans="1:10" ht="12.75" hidden="1" customHeight="1" outlineLevel="1">
      <c r="A76" s="1830" t="s">
        <v>1559</v>
      </c>
      <c r="B76" s="1831" t="s">
        <v>1086</v>
      </c>
      <c r="C76" s="1808" t="s">
        <v>1558</v>
      </c>
      <c r="D76" s="1808"/>
      <c r="E76" s="1808"/>
      <c r="F76" s="1808"/>
      <c r="G76" s="1808"/>
      <c r="H76" s="1808"/>
      <c r="I76" s="1808"/>
      <c r="J76" s="1808"/>
    </row>
    <row r="77" spans="1:10" ht="12.75" hidden="1" customHeight="1" outlineLevel="2">
      <c r="A77" s="1830"/>
      <c r="B77" s="1831"/>
      <c r="C77" s="772" t="s">
        <v>1510</v>
      </c>
      <c r="D77" s="761" t="s">
        <v>1511</v>
      </c>
      <c r="E77" s="763" t="s">
        <v>1482</v>
      </c>
      <c r="F77" s="763">
        <v>0.2</v>
      </c>
      <c r="G77" s="763">
        <v>0</v>
      </c>
      <c r="H77" s="774">
        <v>5527.21</v>
      </c>
      <c r="I77" s="763">
        <v>0</v>
      </c>
      <c r="J77" s="774">
        <f>(F77*(1+G77/100)) * (H77*(1+I77/100))</f>
        <v>1105.442</v>
      </c>
    </row>
    <row r="78" spans="1:10" ht="12.75" hidden="1" customHeight="1" outlineLevel="2">
      <c r="A78" s="1830"/>
      <c r="B78" s="1831"/>
      <c r="C78" s="772" t="s">
        <v>1547</v>
      </c>
      <c r="D78" s="761" t="s">
        <v>1548</v>
      </c>
      <c r="E78" s="763" t="s">
        <v>1482</v>
      </c>
      <c r="F78" s="763">
        <v>0.06</v>
      </c>
      <c r="G78" s="763">
        <v>0</v>
      </c>
      <c r="H78" s="774">
        <v>263650</v>
      </c>
      <c r="I78" s="763">
        <v>0</v>
      </c>
      <c r="J78" s="774">
        <f>(F78*(1+G78/100)) * (H78*(1+I78/100))</f>
        <v>15819</v>
      </c>
    </row>
    <row r="79" spans="1:10" ht="12.75" hidden="1" customHeight="1" outlineLevel="2">
      <c r="A79" s="1830"/>
      <c r="B79" s="1831"/>
      <c r="C79" s="772" t="s">
        <v>1560</v>
      </c>
      <c r="D79" s="761" t="s">
        <v>1561</v>
      </c>
      <c r="E79" s="763" t="s">
        <v>1482</v>
      </c>
      <c r="F79" s="763">
        <v>0.06</v>
      </c>
      <c r="G79" s="763">
        <v>0</v>
      </c>
      <c r="H79" s="774">
        <v>41500</v>
      </c>
      <c r="I79" s="763">
        <v>0</v>
      </c>
      <c r="J79" s="774">
        <f>(F79*(1+G79/100)) * (H79*(1+I79/100))</f>
        <v>2490</v>
      </c>
    </row>
    <row r="80" spans="1:10" ht="12.75" hidden="1" customHeight="1" outlineLevel="2">
      <c r="A80" s="1830"/>
      <c r="B80" s="1831"/>
      <c r="C80" s="772"/>
      <c r="D80" s="763"/>
      <c r="E80" s="763"/>
      <c r="F80" s="763"/>
      <c r="G80" s="763">
        <v>5</v>
      </c>
      <c r="H80" s="763" t="s">
        <v>1514</v>
      </c>
      <c r="I80" s="763"/>
      <c r="J80" s="774">
        <v>55.27</v>
      </c>
    </row>
    <row r="81" spans="1:10" ht="12.75" hidden="1" customHeight="1" outlineLevel="2">
      <c r="A81" s="1830"/>
      <c r="B81" s="1831"/>
      <c r="C81" s="1835" t="s">
        <v>1488</v>
      </c>
      <c r="D81" s="1808"/>
      <c r="E81" s="763" t="s">
        <v>49</v>
      </c>
      <c r="F81" s="586">
        <f>'2. Movimiento de tierra'!C9</f>
        <v>6299.2006000000001</v>
      </c>
      <c r="G81" s="763"/>
      <c r="H81" s="763"/>
      <c r="I81" s="763">
        <v>0</v>
      </c>
      <c r="J81" s="774">
        <f>SUM(J77:J80)</f>
        <v>19469.712</v>
      </c>
    </row>
    <row r="82" spans="1:10" ht="12.75" hidden="1" customHeight="1" outlineLevel="1" collapsed="1">
      <c r="A82" s="1830"/>
      <c r="B82" s="1831"/>
      <c r="C82" s="1836" t="s">
        <v>47</v>
      </c>
      <c r="D82" s="1827"/>
      <c r="E82" s="1827"/>
      <c r="F82" s="1827"/>
      <c r="G82" s="1827"/>
      <c r="H82" s="1827"/>
      <c r="I82" s="1827"/>
      <c r="J82" s="773">
        <f>J81*F81</f>
        <v>122643621.51222719</v>
      </c>
    </row>
    <row r="83" spans="1:10" ht="12.75" hidden="1" customHeight="1" outlineLevel="1">
      <c r="A83" s="1830" t="s">
        <v>1567</v>
      </c>
      <c r="B83" s="1831" t="s">
        <v>1087</v>
      </c>
      <c r="C83" s="1808" t="s">
        <v>1562</v>
      </c>
      <c r="D83" s="1808"/>
      <c r="E83" s="1808"/>
      <c r="F83" s="1808"/>
      <c r="G83" s="1808"/>
      <c r="H83" s="1808"/>
      <c r="I83" s="1808"/>
      <c r="J83" s="1808"/>
    </row>
    <row r="84" spans="1:10" ht="12.75" hidden="1" customHeight="1" outlineLevel="2">
      <c r="A84" s="1830"/>
      <c r="B84" s="1831"/>
      <c r="C84" s="777" t="s">
        <v>1545</v>
      </c>
      <c r="D84" s="776" t="s">
        <v>1546</v>
      </c>
      <c r="E84" s="774" t="s">
        <v>1482</v>
      </c>
      <c r="F84" s="774">
        <v>0.1</v>
      </c>
      <c r="G84" s="774">
        <v>0</v>
      </c>
      <c r="H84" s="774">
        <v>4671.93</v>
      </c>
      <c r="I84" s="774">
        <v>0</v>
      </c>
      <c r="J84" s="774">
        <f>(F84*(1+G84/100)) * (H84*(1+I84/100))</f>
        <v>467.19300000000004</v>
      </c>
    </row>
    <row r="85" spans="1:10" ht="12.75" hidden="1" customHeight="1" outlineLevel="2">
      <c r="A85" s="1830"/>
      <c r="B85" s="1831"/>
      <c r="C85" s="777" t="s">
        <v>1563</v>
      </c>
      <c r="D85" s="776" t="s">
        <v>1564</v>
      </c>
      <c r="E85" s="774" t="s">
        <v>49</v>
      </c>
      <c r="F85" s="774">
        <v>1</v>
      </c>
      <c r="G85" s="774">
        <v>0</v>
      </c>
      <c r="H85" s="774">
        <v>6932.4800000000005</v>
      </c>
      <c r="I85" s="774">
        <v>0</v>
      </c>
      <c r="J85" s="774">
        <f>(F85*(1+G85/100)) * (H85*(1+I85/100))</f>
        <v>6932.4800000000005</v>
      </c>
    </row>
    <row r="86" spans="1:10" ht="12.75" hidden="1" customHeight="1" outlineLevel="2">
      <c r="A86" s="1830"/>
      <c r="B86" s="1831"/>
      <c r="C86" s="777" t="s">
        <v>1565</v>
      </c>
      <c r="D86" s="776" t="s">
        <v>1566</v>
      </c>
      <c r="E86" s="774" t="s">
        <v>1482</v>
      </c>
      <c r="F86" s="774">
        <v>0.05</v>
      </c>
      <c r="G86" s="774">
        <v>0</v>
      </c>
      <c r="H86" s="774">
        <v>87000</v>
      </c>
      <c r="I86" s="774">
        <v>0</v>
      </c>
      <c r="J86" s="774">
        <f>(F86*(1+G86/100)) * (H86*(1+I86/100))</f>
        <v>4350</v>
      </c>
    </row>
    <row r="87" spans="1:10" ht="12.75" hidden="1" customHeight="1" outlineLevel="2">
      <c r="A87" s="1830"/>
      <c r="B87" s="1831"/>
      <c r="C87" s="777"/>
      <c r="D87" s="774"/>
      <c r="E87" s="774"/>
      <c r="F87" s="774"/>
      <c r="G87" s="774">
        <v>5</v>
      </c>
      <c r="H87" s="774" t="s">
        <v>1514</v>
      </c>
      <c r="I87" s="774"/>
      <c r="J87" s="774">
        <v>369.98</v>
      </c>
    </row>
    <row r="88" spans="1:10" ht="12.75" hidden="1" customHeight="1" outlineLevel="2">
      <c r="A88" s="1830"/>
      <c r="B88" s="1831"/>
      <c r="C88" s="1835" t="s">
        <v>1488</v>
      </c>
      <c r="D88" s="1808"/>
      <c r="E88" s="763" t="s">
        <v>49</v>
      </c>
      <c r="F88" s="583">
        <f>'2. Movimiento de tierra'!C43</f>
        <v>7168.4836183072457</v>
      </c>
      <c r="G88" s="763"/>
      <c r="H88" s="763"/>
      <c r="I88" s="763">
        <v>0</v>
      </c>
      <c r="J88" s="774">
        <f>SUM(J84:J87)</f>
        <v>12119.653</v>
      </c>
    </row>
    <row r="89" spans="1:10" ht="12.75" hidden="1" customHeight="1" outlineLevel="1" collapsed="1">
      <c r="A89" s="1830"/>
      <c r="B89" s="1831"/>
      <c r="C89" s="1836" t="s">
        <v>47</v>
      </c>
      <c r="D89" s="1827"/>
      <c r="E89" s="1827"/>
      <c r="F89" s="1827"/>
      <c r="G89" s="1827"/>
      <c r="H89" s="1827"/>
      <c r="I89" s="1827"/>
      <c r="J89" s="773">
        <f>J88*F88</f>
        <v>86879533.990068272</v>
      </c>
    </row>
    <row r="90" spans="1:10" collapsed="1">
      <c r="A90" s="1844">
        <v>3</v>
      </c>
      <c r="B90" s="1844"/>
      <c r="C90" s="1927" t="s">
        <v>707</v>
      </c>
      <c r="D90" s="1927"/>
      <c r="E90" s="1927"/>
      <c r="F90" s="1927"/>
      <c r="G90" s="1927"/>
      <c r="H90" s="1927"/>
      <c r="I90" s="1927"/>
      <c r="J90" s="1927"/>
    </row>
    <row r="91" spans="1:10" ht="12.75" hidden="1" customHeight="1" outlineLevel="1">
      <c r="A91" s="1872" t="s">
        <v>1576</v>
      </c>
      <c r="B91" s="1831" t="s">
        <v>1088</v>
      </c>
      <c r="C91" s="1808" t="s">
        <v>1048</v>
      </c>
      <c r="D91" s="1808"/>
      <c r="E91" s="1808"/>
      <c r="F91" s="1808"/>
      <c r="G91" s="1808"/>
      <c r="H91" s="1808"/>
      <c r="I91" s="1808"/>
      <c r="J91" s="1808"/>
    </row>
    <row r="92" spans="1:10" ht="12.75" hidden="1" customHeight="1" outlineLevel="2">
      <c r="A92" s="1872"/>
      <c r="B92" s="1831"/>
      <c r="C92" s="774" t="s">
        <v>1568</v>
      </c>
      <c r="D92" s="776" t="s">
        <v>1569</v>
      </c>
      <c r="E92" s="774" t="s">
        <v>48</v>
      </c>
      <c r="F92" s="774">
        <v>1</v>
      </c>
      <c r="G92" s="774">
        <v>0</v>
      </c>
      <c r="H92" s="774">
        <v>9900</v>
      </c>
      <c r="I92" s="774">
        <v>0</v>
      </c>
      <c r="J92" s="774">
        <f>(F92*(1+G92/100)) * (H92*(1+I92/100))</f>
        <v>9900</v>
      </c>
    </row>
    <row r="93" spans="1:10" ht="12.75" hidden="1" customHeight="1" outlineLevel="2">
      <c r="A93" s="1872"/>
      <c r="B93" s="1831"/>
      <c r="C93" s="774" t="s">
        <v>1570</v>
      </c>
      <c r="D93" s="776" t="s">
        <v>1571</v>
      </c>
      <c r="E93" s="774" t="s">
        <v>49</v>
      </c>
      <c r="F93" s="774">
        <v>1</v>
      </c>
      <c r="G93" s="774">
        <v>0</v>
      </c>
      <c r="H93" s="774">
        <v>28510.870000000003</v>
      </c>
      <c r="I93" s="774">
        <v>0</v>
      </c>
      <c r="J93" s="774">
        <f>(F93*(1+G93/100)) * (H93*(1+I93/100))</f>
        <v>28510.870000000003</v>
      </c>
    </row>
    <row r="94" spans="1:10" ht="12.75" hidden="1" customHeight="1" outlineLevel="2">
      <c r="A94" s="1872"/>
      <c r="B94" s="1831"/>
      <c r="C94" s="774" t="s">
        <v>1572</v>
      </c>
      <c r="D94" s="776" t="s">
        <v>1573</v>
      </c>
      <c r="E94" s="774" t="s">
        <v>1212</v>
      </c>
      <c r="F94" s="774">
        <v>0.12</v>
      </c>
      <c r="G94" s="774">
        <v>0</v>
      </c>
      <c r="H94" s="774">
        <v>2784</v>
      </c>
      <c r="I94" s="774">
        <v>0</v>
      </c>
      <c r="J94" s="774">
        <f>(F94*(1+G94/100)) * (H94*(1+I94/100))</f>
        <v>334.08</v>
      </c>
    </row>
    <row r="95" spans="1:10" ht="12.75" hidden="1" customHeight="1" outlineLevel="2">
      <c r="A95" s="1872"/>
      <c r="B95" s="1831"/>
      <c r="C95" s="774" t="s">
        <v>1574</v>
      </c>
      <c r="D95" s="776" t="s">
        <v>1575</v>
      </c>
      <c r="E95" s="774" t="s">
        <v>1212</v>
      </c>
      <c r="F95" s="774">
        <v>3.1E-2</v>
      </c>
      <c r="G95" s="774">
        <v>0</v>
      </c>
      <c r="H95" s="774">
        <v>22000</v>
      </c>
      <c r="I95" s="774">
        <v>0</v>
      </c>
      <c r="J95" s="774">
        <f>(F95*(1+G95/100)) * (H95*(1+I95/100))</f>
        <v>682</v>
      </c>
    </row>
    <row r="96" spans="1:10" ht="12.75" hidden="1" customHeight="1" outlineLevel="2">
      <c r="A96" s="1872"/>
      <c r="B96" s="1831"/>
      <c r="C96" s="774"/>
      <c r="D96" s="774"/>
      <c r="E96" s="774"/>
      <c r="F96" s="774"/>
      <c r="G96" s="774">
        <v>5</v>
      </c>
      <c r="H96" s="774" t="s">
        <v>1514</v>
      </c>
      <c r="I96" s="774"/>
      <c r="J96" s="774">
        <v>1425.54</v>
      </c>
    </row>
    <row r="97" spans="1:10" ht="12.75" hidden="1" customHeight="1" outlineLevel="2">
      <c r="A97" s="1872"/>
      <c r="B97" s="1831"/>
      <c r="C97" s="1808" t="s">
        <v>1488</v>
      </c>
      <c r="D97" s="1808"/>
      <c r="E97" s="763" t="s">
        <v>49</v>
      </c>
      <c r="F97" s="583">
        <f>'2. Movimiento de tierra'!H25</f>
        <v>280.42316792865017</v>
      </c>
      <c r="G97" s="763"/>
      <c r="H97" s="763"/>
      <c r="I97" s="763">
        <v>0</v>
      </c>
      <c r="J97" s="774">
        <f>SUM(J92:J96)</f>
        <v>40852.490000000005</v>
      </c>
    </row>
    <row r="98" spans="1:10" ht="12.75" hidden="1" customHeight="1" outlineLevel="1" collapsed="1">
      <c r="A98" s="1872"/>
      <c r="B98" s="1831"/>
      <c r="C98" s="1827" t="s">
        <v>47</v>
      </c>
      <c r="D98" s="1827"/>
      <c r="E98" s="1827"/>
      <c r="F98" s="1827"/>
      <c r="G98" s="1827"/>
      <c r="H98" s="1827"/>
      <c r="I98" s="1827"/>
      <c r="J98" s="773">
        <f>J97*F97</f>
        <v>11455984.663573503</v>
      </c>
    </row>
    <row r="99" spans="1:10" ht="12.75" hidden="1" customHeight="1" outlineLevel="1">
      <c r="A99" s="1872" t="s">
        <v>1577</v>
      </c>
      <c r="B99" s="1831" t="s">
        <v>1089</v>
      </c>
      <c r="C99" s="1808" t="s">
        <v>1049</v>
      </c>
      <c r="D99" s="1808"/>
      <c r="E99" s="1808"/>
      <c r="F99" s="1808"/>
      <c r="G99" s="1808"/>
      <c r="H99" s="1808"/>
      <c r="I99" s="1808"/>
      <c r="J99" s="1808"/>
    </row>
    <row r="100" spans="1:10" ht="12.75" hidden="1" customHeight="1" outlineLevel="2">
      <c r="A100" s="1872"/>
      <c r="B100" s="1831"/>
      <c r="C100" s="777" t="s">
        <v>1510</v>
      </c>
      <c r="D100" s="774" t="s">
        <v>1511</v>
      </c>
      <c r="E100" s="774" t="s">
        <v>1482</v>
      </c>
      <c r="F100" s="774">
        <v>1.5</v>
      </c>
      <c r="G100" s="774">
        <v>0</v>
      </c>
      <c r="H100" s="774">
        <v>5527.21</v>
      </c>
      <c r="I100" s="774">
        <v>0</v>
      </c>
      <c r="J100" s="774">
        <f>(F100*(1+G100/100)) * (H100*(1+I100/100))</f>
        <v>8290.8150000000005</v>
      </c>
    </row>
    <row r="101" spans="1:10" ht="12.75" hidden="1" customHeight="1" outlineLevel="2">
      <c r="A101" s="1872"/>
      <c r="B101" s="1831"/>
      <c r="C101" s="777" t="s">
        <v>1545</v>
      </c>
      <c r="D101" s="774" t="s">
        <v>1546</v>
      </c>
      <c r="E101" s="774" t="s">
        <v>1482</v>
      </c>
      <c r="F101" s="774">
        <v>1</v>
      </c>
      <c r="G101" s="774">
        <v>0</v>
      </c>
      <c r="H101" s="774">
        <v>4671.93</v>
      </c>
      <c r="I101" s="774">
        <v>0</v>
      </c>
      <c r="J101" s="774">
        <f>(F101*(1+G101/100)) * (H101*(1+I101/100))</f>
        <v>4671.93</v>
      </c>
    </row>
    <row r="102" spans="1:10" ht="12.75" hidden="1" customHeight="1" outlineLevel="2">
      <c r="A102" s="1872"/>
      <c r="B102" s="1831"/>
      <c r="C102" s="777"/>
      <c r="D102" s="774"/>
      <c r="E102" s="774"/>
      <c r="F102" s="774"/>
      <c r="G102" s="774">
        <v>5</v>
      </c>
      <c r="H102" s="774" t="s">
        <v>1514</v>
      </c>
      <c r="I102" s="774"/>
      <c r="J102" s="774">
        <v>648.14</v>
      </c>
    </row>
    <row r="103" spans="1:10" ht="12.75" hidden="1" customHeight="1" outlineLevel="2">
      <c r="A103" s="1872"/>
      <c r="B103" s="1831"/>
      <c r="C103" s="1835" t="s">
        <v>1488</v>
      </c>
      <c r="D103" s="1808"/>
      <c r="E103" s="763" t="s">
        <v>49</v>
      </c>
      <c r="F103" s="583">
        <f>'2. Movimiento de tierra'!C30</f>
        <v>128.13299999999998</v>
      </c>
      <c r="G103" s="763"/>
      <c r="H103" s="763"/>
      <c r="I103" s="763">
        <v>0</v>
      </c>
      <c r="J103" s="774">
        <f>SUM(J100:J102)</f>
        <v>13610.885</v>
      </c>
    </row>
    <row r="104" spans="1:10" ht="12.75" hidden="1" customHeight="1" outlineLevel="1" collapsed="1">
      <c r="A104" s="1872"/>
      <c r="B104" s="1831"/>
      <c r="C104" s="1836" t="s">
        <v>47</v>
      </c>
      <c r="D104" s="1827"/>
      <c r="E104" s="1827"/>
      <c r="F104" s="1827"/>
      <c r="G104" s="1827"/>
      <c r="H104" s="1827"/>
      <c r="I104" s="1827"/>
      <c r="J104" s="773">
        <f>J103*F103</f>
        <v>1744003.5277049998</v>
      </c>
    </row>
    <row r="105" spans="1:10" ht="12.75" hidden="1" customHeight="1" outlineLevel="1">
      <c r="A105" s="1883"/>
      <c r="B105" s="1855" t="s">
        <v>1090</v>
      </c>
      <c r="C105" s="1747" t="s">
        <v>1868</v>
      </c>
      <c r="D105" s="1747"/>
      <c r="E105" s="1747"/>
      <c r="F105" s="1747"/>
      <c r="G105" s="1747"/>
      <c r="H105" s="1747"/>
      <c r="I105" s="1747"/>
      <c r="J105" s="1747"/>
    </row>
    <row r="106" spans="1:10" ht="12.75" hidden="1" customHeight="1" outlineLevel="2">
      <c r="A106" s="1884"/>
      <c r="B106" s="1856"/>
      <c r="C106" s="1093" t="s">
        <v>1510</v>
      </c>
      <c r="D106" s="776" t="s">
        <v>1511</v>
      </c>
      <c r="E106" s="1092" t="s">
        <v>1482</v>
      </c>
      <c r="F106" s="1092">
        <v>1.5</v>
      </c>
      <c r="G106" s="1092">
        <v>0</v>
      </c>
      <c r="H106" s="1092">
        <v>5527.21</v>
      </c>
      <c r="I106" s="1092">
        <v>0</v>
      </c>
      <c r="J106" s="1092">
        <f>(F106*(1+G106/100)) * (H106*(1+I106/100))</f>
        <v>8290.8150000000005</v>
      </c>
    </row>
    <row r="107" spans="1:10" ht="12.75" hidden="1" customHeight="1" outlineLevel="2">
      <c r="A107" s="1884"/>
      <c r="B107" s="1856"/>
      <c r="C107" s="1093" t="s">
        <v>1545</v>
      </c>
      <c r="D107" s="776" t="s">
        <v>1546</v>
      </c>
      <c r="E107" s="1092" t="s">
        <v>1482</v>
      </c>
      <c r="F107" s="1092">
        <v>1</v>
      </c>
      <c r="G107" s="1092">
        <v>0</v>
      </c>
      <c r="H107" s="1092">
        <v>4671.93</v>
      </c>
      <c r="I107" s="1092">
        <v>0</v>
      </c>
      <c r="J107" s="1092">
        <f>(F107*(1+G107/100)) * (H107*(1+I107/100))</f>
        <v>4671.93</v>
      </c>
    </row>
    <row r="108" spans="1:10" ht="12.75" hidden="1" customHeight="1" outlineLevel="2">
      <c r="A108" s="1884"/>
      <c r="B108" s="1856"/>
      <c r="C108" s="1093"/>
      <c r="D108" s="1092"/>
      <c r="E108" s="1092"/>
      <c r="F108" s="1092"/>
      <c r="G108" s="1092">
        <v>5</v>
      </c>
      <c r="H108" s="1092" t="s">
        <v>1514</v>
      </c>
      <c r="I108" s="1092"/>
      <c r="J108" s="1092">
        <v>648.14</v>
      </c>
    </row>
    <row r="109" spans="1:10" ht="12.75" hidden="1" customHeight="1" outlineLevel="2">
      <c r="A109" s="1884"/>
      <c r="B109" s="1856"/>
      <c r="C109" s="1835" t="s">
        <v>1488</v>
      </c>
      <c r="D109" s="1808"/>
      <c r="E109" s="1094" t="s">
        <v>49</v>
      </c>
      <c r="F109" s="583">
        <f>'2. Movimiento de tierra'!H31</f>
        <v>19.752000000000002</v>
      </c>
      <c r="G109" s="1094"/>
      <c r="H109" s="1094"/>
      <c r="I109" s="1094">
        <v>0</v>
      </c>
      <c r="J109" s="1092">
        <f>SUM(J106:J108)</f>
        <v>13610.885</v>
      </c>
    </row>
    <row r="110" spans="1:10" ht="12.75" hidden="1" customHeight="1" outlineLevel="1" collapsed="1">
      <c r="A110" s="1885"/>
      <c r="B110" s="1857"/>
      <c r="C110" s="1852" t="s">
        <v>47</v>
      </c>
      <c r="D110" s="1853"/>
      <c r="E110" s="1853"/>
      <c r="F110" s="1853"/>
      <c r="G110" s="1853"/>
      <c r="H110" s="1853"/>
      <c r="I110" s="1836"/>
      <c r="J110" s="773">
        <f>J109*F109</f>
        <v>268842.20052000001</v>
      </c>
    </row>
    <row r="111" spans="1:10" ht="12.75" hidden="1" customHeight="1" outlineLevel="1">
      <c r="A111" s="1872" t="s">
        <v>1578</v>
      </c>
      <c r="B111" s="1831" t="s">
        <v>1091</v>
      </c>
      <c r="C111" s="1873" t="s">
        <v>1050</v>
      </c>
      <c r="D111" s="1873"/>
      <c r="E111" s="1873"/>
      <c r="F111" s="1873"/>
      <c r="G111" s="1873"/>
      <c r="H111" s="1873"/>
      <c r="I111" s="1873"/>
      <c r="J111" s="1873"/>
    </row>
    <row r="112" spans="1:10" ht="12.75" hidden="1" customHeight="1" outlineLevel="2">
      <c r="A112" s="1872"/>
      <c r="B112" s="1831"/>
      <c r="C112" s="811" t="s">
        <v>1849</v>
      </c>
      <c r="D112" s="794" t="s">
        <v>1847</v>
      </c>
      <c r="E112" s="774" t="s">
        <v>49</v>
      </c>
      <c r="F112" s="774">
        <f>Tenores!G54</f>
        <v>0.80769604203979029</v>
      </c>
      <c r="G112" s="774">
        <v>10</v>
      </c>
      <c r="H112" s="774">
        <v>360025.25199999998</v>
      </c>
      <c r="I112" s="774">
        <v>0</v>
      </c>
      <c r="J112" s="774">
        <f>(F112*(1+G112/100)) * (H112*(1+I112/100))</f>
        <v>319870.0681822559</v>
      </c>
    </row>
    <row r="113" spans="1:10" ht="12.75" hidden="1" customHeight="1" outlineLevel="2">
      <c r="A113" s="1872"/>
      <c r="B113" s="1831"/>
      <c r="C113" s="774" t="s">
        <v>1582</v>
      </c>
      <c r="D113" s="776" t="s">
        <v>1583</v>
      </c>
      <c r="E113" s="774" t="s">
        <v>49</v>
      </c>
      <c r="F113" s="774">
        <v>1</v>
      </c>
      <c r="G113" s="774">
        <v>0</v>
      </c>
      <c r="H113" s="774">
        <v>27657.54</v>
      </c>
      <c r="I113" s="774">
        <v>0</v>
      </c>
      <c r="J113" s="774">
        <f>(F113*(1+G113/100)) * (H113*(1+I113/100))</f>
        <v>27657.54</v>
      </c>
    </row>
    <row r="114" spans="1:10" ht="12.75" hidden="1" customHeight="1" outlineLevel="2">
      <c r="A114" s="1872"/>
      <c r="B114" s="1831"/>
      <c r="C114" s="774" t="s">
        <v>1584</v>
      </c>
      <c r="D114" s="776" t="s">
        <v>1585</v>
      </c>
      <c r="E114" s="774" t="s">
        <v>49</v>
      </c>
      <c r="F114" s="774">
        <v>1.1000000000000001</v>
      </c>
      <c r="G114" s="774">
        <v>0</v>
      </c>
      <c r="H114" s="774">
        <v>8284.18</v>
      </c>
      <c r="I114" s="774">
        <v>0</v>
      </c>
      <c r="J114" s="774">
        <f>(F114*(1+G114/100)) * (H114*(1+I114/100))</f>
        <v>9112.5980000000018</v>
      </c>
    </row>
    <row r="115" spans="1:10" ht="12.75" hidden="1" customHeight="1" outlineLevel="2">
      <c r="A115" s="1872"/>
      <c r="B115" s="1831"/>
      <c r="C115" s="774" t="s">
        <v>1586</v>
      </c>
      <c r="D115" s="776" t="s">
        <v>1587</v>
      </c>
      <c r="E115" s="774" t="s">
        <v>49</v>
      </c>
      <c r="F115" s="774">
        <v>1.1000000000000001</v>
      </c>
      <c r="G115" s="774">
        <v>3</v>
      </c>
      <c r="H115" s="774">
        <v>8528</v>
      </c>
      <c r="I115" s="774">
        <v>0</v>
      </c>
      <c r="J115" s="774">
        <f>(F115*(1+G115/100)) * (H115*(1+I115/100))</f>
        <v>9662.224000000002</v>
      </c>
    </row>
    <row r="116" spans="1:10" ht="12.75" hidden="1" customHeight="1" outlineLevel="2">
      <c r="A116" s="1872"/>
      <c r="B116" s="1831"/>
      <c r="C116" s="774"/>
      <c r="D116" s="774"/>
      <c r="E116" s="774"/>
      <c r="F116" s="774"/>
      <c r="G116" s="774">
        <v>5</v>
      </c>
      <c r="H116" s="774" t="s">
        <v>1514</v>
      </c>
      <c r="I116" s="774"/>
      <c r="J116" s="774">
        <v>1838.5099999999998</v>
      </c>
    </row>
    <row r="117" spans="1:10" ht="12.75" hidden="1" customHeight="1" outlineLevel="2">
      <c r="A117" s="1872"/>
      <c r="B117" s="1831"/>
      <c r="C117" s="1808" t="s">
        <v>1488</v>
      </c>
      <c r="D117" s="1808"/>
      <c r="E117" s="763" t="s">
        <v>49</v>
      </c>
      <c r="F117" s="583">
        <f>'3.Concreto'!AL59</f>
        <v>226.49668283223019</v>
      </c>
      <c r="G117" s="763"/>
      <c r="H117" s="763"/>
      <c r="I117" s="763">
        <v>0</v>
      </c>
      <c r="J117" s="774">
        <f>SUM(J112:J116)</f>
        <v>368140.94018225587</v>
      </c>
    </row>
    <row r="118" spans="1:10" ht="12.75" hidden="1" customHeight="1" outlineLevel="1" collapsed="1">
      <c r="A118" s="1872"/>
      <c r="B118" s="1831"/>
      <c r="C118" s="1827" t="s">
        <v>47</v>
      </c>
      <c r="D118" s="1827"/>
      <c r="E118" s="1827"/>
      <c r="F118" s="1827"/>
      <c r="G118" s="1827"/>
      <c r="H118" s="1827"/>
      <c r="I118" s="1827"/>
      <c r="J118" s="773">
        <f>J117*F117</f>
        <v>83382701.766019434</v>
      </c>
    </row>
    <row r="119" spans="1:10" ht="12.75" hidden="1" customHeight="1" outlineLevel="1">
      <c r="A119" s="1872" t="s">
        <v>2725</v>
      </c>
      <c r="B119" s="1831" t="s">
        <v>1092</v>
      </c>
      <c r="C119" s="1873" t="s">
        <v>1628</v>
      </c>
      <c r="D119" s="1873"/>
      <c r="E119" s="1873"/>
      <c r="F119" s="1873"/>
      <c r="G119" s="1873"/>
      <c r="H119" s="1873"/>
      <c r="I119" s="1873"/>
      <c r="J119" s="1873"/>
    </row>
    <row r="120" spans="1:10" ht="12.75" hidden="1" customHeight="1" outlineLevel="2">
      <c r="A120" s="1872"/>
      <c r="B120" s="1831"/>
      <c r="C120" s="811" t="s">
        <v>1850</v>
      </c>
      <c r="D120" s="794" t="s">
        <v>1848</v>
      </c>
      <c r="E120" s="774" t="s">
        <v>49</v>
      </c>
      <c r="F120" s="774">
        <f>Tenores!G40</f>
        <v>1</v>
      </c>
      <c r="G120" s="774">
        <v>7</v>
      </c>
      <c r="H120" s="774">
        <v>354650.71100000007</v>
      </c>
      <c r="I120" s="774">
        <v>0</v>
      </c>
      <c r="J120" s="774">
        <f>(F120*(1+G120/100)) * (H120*(1+I120/100))</f>
        <v>379476.26077000011</v>
      </c>
    </row>
    <row r="121" spans="1:10" ht="12.75" hidden="1" customHeight="1" outlineLevel="2">
      <c r="A121" s="1872"/>
      <c r="B121" s="1831"/>
      <c r="C121" s="774" t="s">
        <v>1588</v>
      </c>
      <c r="D121" s="776" t="s">
        <v>1589</v>
      </c>
      <c r="E121" s="774" t="s">
        <v>49</v>
      </c>
      <c r="F121" s="774">
        <v>1</v>
      </c>
      <c r="G121" s="774">
        <v>0</v>
      </c>
      <c r="H121" s="774">
        <v>83344.26999999999</v>
      </c>
      <c r="I121" s="774">
        <v>0</v>
      </c>
      <c r="J121" s="774">
        <f>(F121*(1+G121/100)) * (H121*(1+I121/100))</f>
        <v>83344.26999999999</v>
      </c>
    </row>
    <row r="122" spans="1:10" ht="12.75" hidden="1" customHeight="1" outlineLevel="2">
      <c r="A122" s="1872"/>
      <c r="B122" s="1831"/>
      <c r="C122" s="774" t="s">
        <v>1590</v>
      </c>
      <c r="D122" s="776" t="s">
        <v>1591</v>
      </c>
      <c r="E122" s="774" t="s">
        <v>1482</v>
      </c>
      <c r="F122" s="774">
        <v>0.75</v>
      </c>
      <c r="G122" s="774">
        <v>0</v>
      </c>
      <c r="H122" s="774">
        <v>3190</v>
      </c>
      <c r="I122" s="774">
        <v>0</v>
      </c>
      <c r="J122" s="774">
        <f>(F122*(1+G122/100)) * (H122*(1+I122/100))</f>
        <v>2392.5</v>
      </c>
    </row>
    <row r="123" spans="1:10" ht="12.75" hidden="1" customHeight="1" outlineLevel="2">
      <c r="A123" s="1872"/>
      <c r="B123" s="1831"/>
      <c r="C123" s="774"/>
      <c r="D123" s="774"/>
      <c r="E123" s="774"/>
      <c r="F123" s="774"/>
      <c r="G123" s="774">
        <v>5</v>
      </c>
      <c r="H123" s="774" t="s">
        <v>1514</v>
      </c>
      <c r="I123" s="774"/>
      <c r="J123" s="774">
        <v>4167.21</v>
      </c>
    </row>
    <row r="124" spans="1:10" ht="12.75" hidden="1" customHeight="1" outlineLevel="2">
      <c r="A124" s="1872"/>
      <c r="B124" s="1831"/>
      <c r="C124" s="1808" t="s">
        <v>1488</v>
      </c>
      <c r="D124" s="1808"/>
      <c r="E124" s="763" t="s">
        <v>49</v>
      </c>
      <c r="F124" s="583">
        <f>'3.Concreto'!I102</f>
        <v>128.13299999999998</v>
      </c>
      <c r="G124" s="763"/>
      <c r="H124" s="763"/>
      <c r="I124" s="763">
        <v>0</v>
      </c>
      <c r="J124" s="774">
        <f>SUM(J120:J123)</f>
        <v>469380.24077000009</v>
      </c>
    </row>
    <row r="125" spans="1:10" ht="12.75" hidden="1" customHeight="1" outlineLevel="1" collapsed="1">
      <c r="A125" s="1872"/>
      <c r="B125" s="1831"/>
      <c r="C125" s="1827" t="s">
        <v>47</v>
      </c>
      <c r="D125" s="1827"/>
      <c r="E125" s="1827"/>
      <c r="F125" s="1827"/>
      <c r="G125" s="1827"/>
      <c r="H125" s="1827"/>
      <c r="I125" s="1827"/>
      <c r="J125" s="773">
        <f>J124*F124</f>
        <v>60143098.390582412</v>
      </c>
    </row>
    <row r="126" spans="1:10" ht="12.75" hidden="1" customHeight="1" outlineLevel="1">
      <c r="A126" s="1872" t="s">
        <v>1592</v>
      </c>
      <c r="B126" s="1831" t="s">
        <v>1869</v>
      </c>
      <c r="C126" s="1873" t="s">
        <v>1456</v>
      </c>
      <c r="D126" s="1873"/>
      <c r="E126" s="1873"/>
      <c r="F126" s="1873"/>
      <c r="G126" s="1873"/>
      <c r="H126" s="1873"/>
      <c r="I126" s="1873"/>
      <c r="J126" s="1873"/>
    </row>
    <row r="127" spans="1:10" ht="12.75" hidden="1" customHeight="1" outlineLevel="2">
      <c r="A127" s="1872"/>
      <c r="B127" s="1831"/>
      <c r="C127" s="811" t="s">
        <v>1851</v>
      </c>
      <c r="D127" s="776" t="s">
        <v>1594</v>
      </c>
      <c r="E127" s="774" t="s">
        <v>39</v>
      </c>
      <c r="F127" s="774">
        <v>5</v>
      </c>
      <c r="G127" s="774">
        <v>0</v>
      </c>
      <c r="H127" s="774">
        <v>2438</v>
      </c>
      <c r="I127" s="774">
        <v>0</v>
      </c>
      <c r="J127" s="774">
        <f t="shared" ref="J127:J132" si="3">(F127*(1+G127/100)) * (H127*(1+I127/100))</f>
        <v>12190</v>
      </c>
    </row>
    <row r="128" spans="1:10" ht="12.75" hidden="1" customHeight="1" outlineLevel="2">
      <c r="A128" s="1872"/>
      <c r="B128" s="1831"/>
      <c r="C128" s="774" t="s">
        <v>1581</v>
      </c>
      <c r="D128" s="776" t="s">
        <v>1852</v>
      </c>
      <c r="E128" s="774" t="s">
        <v>49</v>
      </c>
      <c r="F128" s="774">
        <v>1</v>
      </c>
      <c r="G128" s="774">
        <v>10</v>
      </c>
      <c r="H128" s="774">
        <v>288565.39800000004</v>
      </c>
      <c r="I128" s="774">
        <v>0</v>
      </c>
      <c r="J128" s="774">
        <f t="shared" si="3"/>
        <v>317421.93780000007</v>
      </c>
    </row>
    <row r="129" spans="1:10" ht="12.75" hidden="1" customHeight="1" outlineLevel="2">
      <c r="A129" s="1872"/>
      <c r="B129" s="1831"/>
      <c r="C129" s="774" t="s">
        <v>1579</v>
      </c>
      <c r="D129" s="776" t="s">
        <v>1580</v>
      </c>
      <c r="E129" s="774" t="s">
        <v>1482</v>
      </c>
      <c r="F129" s="774">
        <v>5</v>
      </c>
      <c r="G129" s="774">
        <v>0</v>
      </c>
      <c r="H129" s="774">
        <v>6810.12</v>
      </c>
      <c r="I129" s="774">
        <v>0</v>
      </c>
      <c r="J129" s="774">
        <f t="shared" si="3"/>
        <v>34050.6</v>
      </c>
    </row>
    <row r="130" spans="1:10" ht="12.75" hidden="1" customHeight="1" outlineLevel="2">
      <c r="A130" s="1872"/>
      <c r="B130" s="1831"/>
      <c r="C130" s="774" t="s">
        <v>1510</v>
      </c>
      <c r="D130" s="776" t="s">
        <v>1511</v>
      </c>
      <c r="E130" s="774" t="s">
        <v>1482</v>
      </c>
      <c r="F130" s="774">
        <v>8</v>
      </c>
      <c r="G130" s="774">
        <v>0</v>
      </c>
      <c r="H130" s="774">
        <v>5527.21</v>
      </c>
      <c r="I130" s="774">
        <v>0</v>
      </c>
      <c r="J130" s="774">
        <f t="shared" si="3"/>
        <v>44217.68</v>
      </c>
    </row>
    <row r="131" spans="1:10" ht="12.75" hidden="1" customHeight="1" outlineLevel="2">
      <c r="A131" s="1872"/>
      <c r="B131" s="1831"/>
      <c r="C131" s="774" t="s">
        <v>1595</v>
      </c>
      <c r="D131" s="776" t="s">
        <v>1596</v>
      </c>
      <c r="E131" s="774" t="s">
        <v>1482</v>
      </c>
      <c r="F131" s="774">
        <v>3</v>
      </c>
      <c r="G131" s="774">
        <v>0</v>
      </c>
      <c r="H131" s="774">
        <v>13524</v>
      </c>
      <c r="I131" s="774">
        <v>0</v>
      </c>
      <c r="J131" s="774">
        <f t="shared" si="3"/>
        <v>40572</v>
      </c>
    </row>
    <row r="132" spans="1:10" ht="12.75" hidden="1" customHeight="1" outlineLevel="2">
      <c r="A132" s="1872"/>
      <c r="B132" s="1831"/>
      <c r="C132" s="774" t="s">
        <v>1597</v>
      </c>
      <c r="D132" s="776" t="s">
        <v>1598</v>
      </c>
      <c r="E132" s="774" t="s">
        <v>1212</v>
      </c>
      <c r="F132" s="774">
        <v>0.5</v>
      </c>
      <c r="G132" s="774">
        <v>0</v>
      </c>
      <c r="H132" s="774">
        <v>63800</v>
      </c>
      <c r="I132" s="774">
        <v>0</v>
      </c>
      <c r="J132" s="774">
        <f t="shared" si="3"/>
        <v>31900</v>
      </c>
    </row>
    <row r="133" spans="1:10" ht="12.75" hidden="1" customHeight="1" outlineLevel="2">
      <c r="A133" s="1872"/>
      <c r="B133" s="1831"/>
      <c r="C133" s="774"/>
      <c r="D133" s="774"/>
      <c r="E133" s="774"/>
      <c r="F133" s="774"/>
      <c r="G133" s="774">
        <v>5</v>
      </c>
      <c r="H133" s="774" t="s">
        <v>1514</v>
      </c>
      <c r="I133" s="774"/>
      <c r="J133" s="774">
        <v>5942.01</v>
      </c>
    </row>
    <row r="134" spans="1:10" ht="12.75" hidden="1" customHeight="1" outlineLevel="2">
      <c r="A134" s="1872"/>
      <c r="B134" s="1831"/>
      <c r="C134" s="1808" t="s">
        <v>1488</v>
      </c>
      <c r="D134" s="1808"/>
      <c r="E134" s="763" t="s">
        <v>49</v>
      </c>
      <c r="F134" s="583">
        <f>'3.Concreto'!AK79</f>
        <v>52.741057468465435</v>
      </c>
      <c r="G134" s="763"/>
      <c r="H134" s="763"/>
      <c r="I134" s="763">
        <v>0</v>
      </c>
      <c r="J134" s="774">
        <f>SUM(J127:J133)</f>
        <v>486294.22780000005</v>
      </c>
    </row>
    <row r="135" spans="1:10" ht="12.75" hidden="1" customHeight="1" outlineLevel="1" collapsed="1">
      <c r="A135" s="1872"/>
      <c r="B135" s="1831"/>
      <c r="C135" s="1827" t="s">
        <v>47</v>
      </c>
      <c r="D135" s="1827"/>
      <c r="E135" s="1827"/>
      <c r="F135" s="1827"/>
      <c r="G135" s="1827"/>
      <c r="H135" s="1827"/>
      <c r="I135" s="1827"/>
      <c r="J135" s="773">
        <f>J134*F134</f>
        <v>25647671.814982824</v>
      </c>
    </row>
    <row r="136" spans="1:10" collapsed="1">
      <c r="A136" s="1844">
        <v>4</v>
      </c>
      <c r="B136" s="1844"/>
      <c r="C136" s="1844" t="s">
        <v>58</v>
      </c>
      <c r="D136" s="1844"/>
      <c r="E136" s="1844"/>
      <c r="F136" s="1844"/>
      <c r="G136" s="1844"/>
      <c r="H136" s="1844"/>
      <c r="I136" s="1844"/>
      <c r="J136" s="1844"/>
    </row>
    <row r="137" spans="1:10" ht="12.75" hidden="1" customHeight="1" outlineLevel="1">
      <c r="A137" s="1830" t="s">
        <v>1612</v>
      </c>
      <c r="B137" s="1831" t="s">
        <v>1093</v>
      </c>
      <c r="C137" s="1808" t="s">
        <v>3451</v>
      </c>
      <c r="D137" s="1808"/>
      <c r="E137" s="1808"/>
      <c r="F137" s="1808"/>
      <c r="G137" s="1808"/>
      <c r="H137" s="1808"/>
      <c r="I137" s="1808"/>
      <c r="J137" s="1808"/>
    </row>
    <row r="138" spans="1:10" ht="12.75" hidden="1" customHeight="1" outlineLevel="2">
      <c r="A138" s="1830"/>
      <c r="B138" s="1831"/>
      <c r="C138" s="1342"/>
      <c r="D138" s="1342" t="s">
        <v>3452</v>
      </c>
      <c r="E138" s="1343" t="s">
        <v>55</v>
      </c>
      <c r="F138" s="1344">
        <v>1</v>
      </c>
      <c r="G138" s="1345"/>
      <c r="H138" s="1346"/>
      <c r="I138" s="856"/>
      <c r="J138" s="1346">
        <f>SUM(J139:J144)</f>
        <v>61969.494000000006</v>
      </c>
    </row>
    <row r="139" spans="1:10" ht="12.75" hidden="1" customHeight="1" outlineLevel="2">
      <c r="A139" s="1830"/>
      <c r="B139" s="1831"/>
      <c r="C139" s="856" t="s">
        <v>3453</v>
      </c>
      <c r="D139" s="856" t="s">
        <v>3454</v>
      </c>
      <c r="E139" s="857" t="s">
        <v>1492</v>
      </c>
      <c r="F139" s="858">
        <v>0.08</v>
      </c>
      <c r="G139" s="859">
        <v>0</v>
      </c>
      <c r="H139" s="860">
        <v>38164</v>
      </c>
      <c r="I139" s="856">
        <v>0</v>
      </c>
      <c r="J139" s="860">
        <f>(F139*(1+G139/100)) * (H139*(1+I139/100))</f>
        <v>3053.12</v>
      </c>
    </row>
    <row r="140" spans="1:10" ht="12.75" hidden="1" customHeight="1" outlineLevel="2">
      <c r="A140" s="1830"/>
      <c r="B140" s="1831"/>
      <c r="C140" s="856" t="s">
        <v>1581</v>
      </c>
      <c r="D140" s="856" t="s">
        <v>1911</v>
      </c>
      <c r="E140" s="857" t="s">
        <v>49</v>
      </c>
      <c r="F140" s="858">
        <v>0.08</v>
      </c>
      <c r="G140" s="859">
        <v>10</v>
      </c>
      <c r="H140" s="860">
        <v>463529</v>
      </c>
      <c r="I140" s="856">
        <v>0</v>
      </c>
      <c r="J140" s="860">
        <f>(F140*(1+G140/100)) * (H140*(1+I140/100))</f>
        <v>40790.552000000003</v>
      </c>
    </row>
    <row r="141" spans="1:10" ht="12.75" hidden="1" customHeight="1" outlineLevel="2">
      <c r="A141" s="1830"/>
      <c r="B141" s="1831"/>
      <c r="C141" s="856" t="s">
        <v>1502</v>
      </c>
      <c r="D141" s="856" t="s">
        <v>1503</v>
      </c>
      <c r="E141" s="857" t="s">
        <v>1492</v>
      </c>
      <c r="F141" s="858">
        <v>0.03</v>
      </c>
      <c r="G141" s="859">
        <v>10</v>
      </c>
      <c r="H141" s="860">
        <v>13200</v>
      </c>
      <c r="I141" s="856">
        <v>0</v>
      </c>
      <c r="J141" s="860">
        <f>(F141*(1+G141/100)) * (H141*(1+I141/100))</f>
        <v>435.6</v>
      </c>
    </row>
    <row r="142" spans="1:10" ht="12.75" hidden="1" customHeight="1" outlineLevel="2">
      <c r="A142" s="1830"/>
      <c r="B142" s="1831"/>
      <c r="C142" s="856" t="s">
        <v>1579</v>
      </c>
      <c r="D142" s="856" t="s">
        <v>1580</v>
      </c>
      <c r="E142" s="857" t="s">
        <v>1482</v>
      </c>
      <c r="F142" s="858">
        <v>1.5</v>
      </c>
      <c r="G142" s="859">
        <v>0</v>
      </c>
      <c r="H142" s="860">
        <v>6810.12</v>
      </c>
      <c r="I142" s="856">
        <v>0</v>
      </c>
      <c r="J142" s="860">
        <f>(F142*(1+G142/100)) * (H142*(1+I142/100))</f>
        <v>10215.18</v>
      </c>
    </row>
    <row r="143" spans="1:10" ht="12.75" hidden="1" customHeight="1" outlineLevel="2">
      <c r="A143" s="1830"/>
      <c r="B143" s="1831"/>
      <c r="C143" s="856" t="s">
        <v>1510</v>
      </c>
      <c r="D143" s="856" t="s">
        <v>1511</v>
      </c>
      <c r="E143" s="857" t="s">
        <v>1482</v>
      </c>
      <c r="F143" s="858">
        <v>1.2</v>
      </c>
      <c r="G143" s="859">
        <v>0</v>
      </c>
      <c r="H143" s="860">
        <v>5527.21</v>
      </c>
      <c r="I143" s="856">
        <v>0</v>
      </c>
      <c r="J143" s="860">
        <f>(F143*(1+G143/100)) * (H143*(1+I143/100))</f>
        <v>6632.652</v>
      </c>
    </row>
    <row r="144" spans="1:10" ht="12.75" hidden="1" customHeight="1" outlineLevel="2">
      <c r="A144" s="1830"/>
      <c r="B144" s="1831"/>
      <c r="C144" s="856"/>
      <c r="D144" s="856"/>
      <c r="E144" s="857"/>
      <c r="F144" s="858"/>
      <c r="G144" s="859">
        <v>5</v>
      </c>
      <c r="H144" s="860" t="s">
        <v>1514</v>
      </c>
      <c r="I144" s="856"/>
      <c r="J144" s="860">
        <v>842.39</v>
      </c>
    </row>
    <row r="145" spans="1:10" ht="12.75" hidden="1" customHeight="1" outlineLevel="2">
      <c r="A145" s="1830"/>
      <c r="B145" s="1831"/>
      <c r="C145" s="1835" t="s">
        <v>1488</v>
      </c>
      <c r="D145" s="1808"/>
      <c r="E145" s="1309" t="s">
        <v>55</v>
      </c>
      <c r="F145" s="583">
        <f>+'9. Pisos y zócalos'!Q8</f>
        <v>240.18550000000005</v>
      </c>
      <c r="G145" s="1309"/>
      <c r="H145" s="1309"/>
      <c r="I145" s="1309">
        <v>0</v>
      </c>
      <c r="J145" s="1310">
        <f>SUM(J138:J144)</f>
        <v>123938.98800000003</v>
      </c>
    </row>
    <row r="146" spans="1:10" ht="12.75" hidden="1" customHeight="1" outlineLevel="1" collapsed="1">
      <c r="A146" s="1830"/>
      <c r="B146" s="1831"/>
      <c r="C146" s="1836" t="s">
        <v>47</v>
      </c>
      <c r="D146" s="1827"/>
      <c r="E146" s="1827"/>
      <c r="F146" s="1827"/>
      <c r="G146" s="1827"/>
      <c r="H146" s="1827"/>
      <c r="I146" s="1827"/>
      <c r="J146" s="773">
        <f>J145*F145</f>
        <v>29768347.802274011</v>
      </c>
    </row>
    <row r="147" spans="1:10" ht="12.75" hidden="1" customHeight="1" outlineLevel="1">
      <c r="A147" s="1830" t="s">
        <v>1612</v>
      </c>
      <c r="B147" s="1831" t="s">
        <v>1093</v>
      </c>
      <c r="C147" s="1832" t="s">
        <v>1051</v>
      </c>
      <c r="D147" s="1832"/>
      <c r="E147" s="1832"/>
      <c r="F147" s="1832"/>
      <c r="G147" s="1832"/>
      <c r="H147" s="1832"/>
      <c r="I147" s="1832"/>
      <c r="J147" s="1832"/>
    </row>
    <row r="148" spans="1:10" ht="12.75" hidden="1" customHeight="1" outlineLevel="2">
      <c r="A148" s="1830"/>
      <c r="B148" s="1831"/>
      <c r="C148" s="811" t="s">
        <v>1849</v>
      </c>
      <c r="D148" s="794" t="s">
        <v>1847</v>
      </c>
      <c r="E148" s="774" t="s">
        <v>49</v>
      </c>
      <c r="F148" s="774">
        <f>Tenores!G8</f>
        <v>0.29653893754302918</v>
      </c>
      <c r="G148" s="774">
        <v>6</v>
      </c>
      <c r="H148" s="774">
        <v>360025.25199999998</v>
      </c>
      <c r="I148" s="774">
        <v>0</v>
      </c>
      <c r="J148" s="774">
        <f t="shared" ref="J148:J157" si="4">(F148*(1+G148/100)) * (H148*(1+I148/100))</f>
        <v>113167.19605974581</v>
      </c>
    </row>
    <row r="149" spans="1:10" ht="12.75" hidden="1" customHeight="1" outlineLevel="2">
      <c r="A149" s="1830"/>
      <c r="B149" s="1831"/>
      <c r="C149" s="777" t="s">
        <v>1607</v>
      </c>
      <c r="D149" s="776" t="s">
        <v>1608</v>
      </c>
      <c r="E149" s="774" t="s">
        <v>48</v>
      </c>
      <c r="F149" s="774">
        <v>7.0999999999999994E-2</v>
      </c>
      <c r="G149" s="774">
        <v>0</v>
      </c>
      <c r="H149" s="774">
        <v>4900</v>
      </c>
      <c r="I149" s="774">
        <v>0</v>
      </c>
      <c r="J149" s="774">
        <f t="shared" si="4"/>
        <v>347.9</v>
      </c>
    </row>
    <row r="150" spans="1:10" ht="12.75" hidden="1" customHeight="1" outlineLevel="2">
      <c r="A150" s="1830"/>
      <c r="B150" s="1831"/>
      <c r="C150" s="777" t="s">
        <v>1609</v>
      </c>
      <c r="D150" s="794" t="s">
        <v>1629</v>
      </c>
      <c r="E150" s="774" t="s">
        <v>55</v>
      </c>
      <c r="F150" s="774">
        <v>0.75</v>
      </c>
      <c r="G150" s="774">
        <v>0</v>
      </c>
      <c r="H150" s="774">
        <v>12600</v>
      </c>
      <c r="I150" s="774">
        <v>0</v>
      </c>
      <c r="J150" s="774">
        <f t="shared" si="4"/>
        <v>9450</v>
      </c>
    </row>
    <row r="151" spans="1:10" ht="12.75" hidden="1" customHeight="1" outlineLevel="2">
      <c r="A151" s="1830"/>
      <c r="B151" s="1831"/>
      <c r="C151" s="777" t="s">
        <v>1579</v>
      </c>
      <c r="D151" s="776" t="s">
        <v>1580</v>
      </c>
      <c r="E151" s="774" t="s">
        <v>1482</v>
      </c>
      <c r="F151" s="774">
        <v>3.6</v>
      </c>
      <c r="G151" s="774">
        <v>0</v>
      </c>
      <c r="H151" s="774">
        <v>6810.12</v>
      </c>
      <c r="I151" s="774">
        <v>0</v>
      </c>
      <c r="J151" s="774">
        <f t="shared" si="4"/>
        <v>24516.432000000001</v>
      </c>
    </row>
    <row r="152" spans="1:10" ht="12.75" hidden="1" customHeight="1" outlineLevel="2">
      <c r="A152" s="1830"/>
      <c r="B152" s="1831"/>
      <c r="C152" s="777" t="s">
        <v>1510</v>
      </c>
      <c r="D152" s="776" t="s">
        <v>1511</v>
      </c>
      <c r="E152" s="774" t="s">
        <v>1482</v>
      </c>
      <c r="F152" s="774">
        <v>5</v>
      </c>
      <c r="G152" s="774">
        <v>0</v>
      </c>
      <c r="H152" s="774">
        <v>5527.21</v>
      </c>
      <c r="I152" s="774">
        <v>0</v>
      </c>
      <c r="J152" s="774">
        <f t="shared" si="4"/>
        <v>27636.05</v>
      </c>
    </row>
    <row r="153" spans="1:10" ht="12.75" hidden="1" customHeight="1" outlineLevel="2">
      <c r="A153" s="1830"/>
      <c r="B153" s="1831"/>
      <c r="C153" s="777" t="s">
        <v>1610</v>
      </c>
      <c r="D153" s="776" t="s">
        <v>1611</v>
      </c>
      <c r="E153" s="774" t="s">
        <v>1212</v>
      </c>
      <c r="F153" s="774">
        <v>2.9</v>
      </c>
      <c r="G153" s="774">
        <v>0</v>
      </c>
      <c r="H153" s="774">
        <v>279</v>
      </c>
      <c r="I153" s="774">
        <v>0</v>
      </c>
      <c r="J153" s="774">
        <f t="shared" si="4"/>
        <v>809.1</v>
      </c>
    </row>
    <row r="154" spans="1:10" ht="12.75" hidden="1" customHeight="1" outlineLevel="2">
      <c r="A154" s="1830"/>
      <c r="B154" s="1831"/>
      <c r="C154" s="777" t="s">
        <v>1599</v>
      </c>
      <c r="D154" s="776" t="s">
        <v>1600</v>
      </c>
      <c r="E154" s="774" t="s">
        <v>1212</v>
      </c>
      <c r="F154" s="774">
        <v>5</v>
      </c>
      <c r="G154" s="774">
        <v>0</v>
      </c>
      <c r="H154" s="774">
        <v>266.8</v>
      </c>
      <c r="I154" s="774">
        <v>0</v>
      </c>
      <c r="J154" s="774">
        <f t="shared" si="4"/>
        <v>1334</v>
      </c>
    </row>
    <row r="155" spans="1:10" ht="12.75" hidden="1" customHeight="1" outlineLevel="2">
      <c r="A155" s="1830"/>
      <c r="B155" s="1831"/>
      <c r="C155" s="777" t="s">
        <v>1601</v>
      </c>
      <c r="D155" s="776" t="s">
        <v>1602</v>
      </c>
      <c r="E155" s="774" t="s">
        <v>1212</v>
      </c>
      <c r="F155" s="774">
        <v>7.2</v>
      </c>
      <c r="G155" s="774">
        <v>0</v>
      </c>
      <c r="H155" s="774">
        <v>315</v>
      </c>
      <c r="I155" s="774">
        <v>0</v>
      </c>
      <c r="J155" s="774">
        <f t="shared" si="4"/>
        <v>2268</v>
      </c>
    </row>
    <row r="156" spans="1:10" ht="12.75" hidden="1" customHeight="1" outlineLevel="2">
      <c r="A156" s="1830"/>
      <c r="B156" s="1831"/>
      <c r="C156" s="777" t="s">
        <v>1603</v>
      </c>
      <c r="D156" s="776" t="s">
        <v>1604</v>
      </c>
      <c r="E156" s="774" t="s">
        <v>1212</v>
      </c>
      <c r="F156" s="774">
        <v>2.8</v>
      </c>
      <c r="G156" s="774">
        <v>0</v>
      </c>
      <c r="H156" s="774">
        <v>651.91999999999996</v>
      </c>
      <c r="I156" s="774">
        <v>0</v>
      </c>
      <c r="J156" s="774">
        <f t="shared" si="4"/>
        <v>1825.3759999999997</v>
      </c>
    </row>
    <row r="157" spans="1:10" ht="12.75" hidden="1" customHeight="1" outlineLevel="2">
      <c r="A157" s="1830"/>
      <c r="B157" s="1831"/>
      <c r="C157" s="777" t="s">
        <v>1605</v>
      </c>
      <c r="D157" s="776" t="s">
        <v>1606</v>
      </c>
      <c r="E157" s="774" t="s">
        <v>1212</v>
      </c>
      <c r="F157" s="774">
        <v>2.5</v>
      </c>
      <c r="G157" s="774">
        <v>0</v>
      </c>
      <c r="H157" s="774">
        <v>650</v>
      </c>
      <c r="I157" s="774">
        <v>0</v>
      </c>
      <c r="J157" s="774">
        <f t="shared" si="4"/>
        <v>1625</v>
      </c>
    </row>
    <row r="158" spans="1:10" ht="12.75" hidden="1" customHeight="1" outlineLevel="2">
      <c r="A158" s="1830"/>
      <c r="B158" s="1831"/>
      <c r="C158" s="777"/>
      <c r="D158" s="774"/>
      <c r="E158" s="774"/>
      <c r="F158" s="774"/>
      <c r="G158" s="774">
        <v>5</v>
      </c>
      <c r="H158" s="774" t="s">
        <v>1514</v>
      </c>
      <c r="I158" s="774"/>
      <c r="J158" s="774">
        <v>2607.62</v>
      </c>
    </row>
    <row r="159" spans="1:10" ht="12.75" hidden="1" customHeight="1" outlineLevel="2">
      <c r="A159" s="1830"/>
      <c r="B159" s="1831"/>
      <c r="C159" s="1835" t="s">
        <v>1488</v>
      </c>
      <c r="D159" s="1808"/>
      <c r="E159" s="767" t="s">
        <v>55</v>
      </c>
      <c r="F159" s="583">
        <f>Tenores!F6</f>
        <v>4425.0544999999993</v>
      </c>
      <c r="G159" s="767"/>
      <c r="H159" s="767"/>
      <c r="I159" s="767">
        <v>0</v>
      </c>
      <c r="J159" s="774">
        <f>SUM(J148:J158)</f>
        <v>185586.67405974577</v>
      </c>
    </row>
    <row r="160" spans="1:10" ht="12.75" hidden="1" customHeight="1" outlineLevel="1">
      <c r="A160" s="1830"/>
      <c r="B160" s="1831"/>
      <c r="C160" s="1836" t="s">
        <v>47</v>
      </c>
      <c r="D160" s="1827"/>
      <c r="E160" s="1827"/>
      <c r="F160" s="1827"/>
      <c r="G160" s="1827"/>
      <c r="H160" s="1827"/>
      <c r="I160" s="1827"/>
      <c r="J160" s="773">
        <f>J159*F159</f>
        <v>821231147.18811119</v>
      </c>
    </row>
    <row r="161" spans="1:10" ht="12.75" hidden="1" customHeight="1" outlineLevel="1">
      <c r="A161" s="1830" t="s">
        <v>1612</v>
      </c>
      <c r="B161" s="1831" t="s">
        <v>1094</v>
      </c>
      <c r="C161" s="1909" t="s">
        <v>1052</v>
      </c>
      <c r="D161" s="1909"/>
      <c r="E161" s="1909"/>
      <c r="F161" s="1909"/>
      <c r="G161" s="1909"/>
      <c r="H161" s="1909"/>
      <c r="I161" s="1909"/>
      <c r="J161" s="1909"/>
    </row>
    <row r="162" spans="1:10" ht="12.75" hidden="1" customHeight="1" outlineLevel="2">
      <c r="A162" s="1830"/>
      <c r="B162" s="1831"/>
      <c r="C162" s="811" t="s">
        <v>1849</v>
      </c>
      <c r="D162" s="794" t="s">
        <v>1847</v>
      </c>
      <c r="E162" s="774" t="s">
        <v>49</v>
      </c>
      <c r="F162" s="774">
        <f>Tenores!G24</f>
        <v>0.17697792517495217</v>
      </c>
      <c r="G162" s="774">
        <v>6</v>
      </c>
      <c r="H162" s="774">
        <v>360025.25199999998</v>
      </c>
      <c r="I162" s="774">
        <v>0</v>
      </c>
      <c r="J162" s="774">
        <f t="shared" ref="J162:J171" si="5">(F162*(1+G162/100)) * (H162*(1+I162/100))</f>
        <v>67539.513436122259</v>
      </c>
    </row>
    <row r="163" spans="1:10" ht="12.75" hidden="1" customHeight="1" outlineLevel="2">
      <c r="A163" s="1830"/>
      <c r="B163" s="1831"/>
      <c r="C163" s="777" t="s">
        <v>1607</v>
      </c>
      <c r="D163" s="776" t="s">
        <v>1608</v>
      </c>
      <c r="E163" s="774" t="s">
        <v>48</v>
      </c>
      <c r="F163" s="774">
        <v>7.0999999999999994E-2</v>
      </c>
      <c r="G163" s="774">
        <v>0</v>
      </c>
      <c r="H163" s="774">
        <v>4900</v>
      </c>
      <c r="I163" s="774">
        <v>0</v>
      </c>
      <c r="J163" s="774">
        <f t="shared" si="5"/>
        <v>347.9</v>
      </c>
    </row>
    <row r="164" spans="1:10" ht="12.75" hidden="1" customHeight="1" outlineLevel="2">
      <c r="A164" s="1830"/>
      <c r="B164" s="1831"/>
      <c r="C164" s="777" t="s">
        <v>1609</v>
      </c>
      <c r="D164" s="794" t="s">
        <v>1630</v>
      </c>
      <c r="E164" s="774" t="s">
        <v>55</v>
      </c>
      <c r="F164" s="774">
        <v>0.75</v>
      </c>
      <c r="G164" s="774">
        <v>0</v>
      </c>
      <c r="H164" s="774">
        <v>12600</v>
      </c>
      <c r="I164" s="774">
        <v>0</v>
      </c>
      <c r="J164" s="774">
        <f t="shared" si="5"/>
        <v>9450</v>
      </c>
    </row>
    <row r="165" spans="1:10" ht="12.75" hidden="1" customHeight="1" outlineLevel="2">
      <c r="A165" s="1830"/>
      <c r="B165" s="1831"/>
      <c r="C165" s="777" t="s">
        <v>1579</v>
      </c>
      <c r="D165" s="776" t="s">
        <v>1580</v>
      </c>
      <c r="E165" s="774" t="s">
        <v>1482</v>
      </c>
      <c r="F165" s="774">
        <v>3.6</v>
      </c>
      <c r="G165" s="774">
        <v>0</v>
      </c>
      <c r="H165" s="774">
        <v>6810.12</v>
      </c>
      <c r="I165" s="774">
        <v>0</v>
      </c>
      <c r="J165" s="774">
        <f t="shared" si="5"/>
        <v>24516.432000000001</v>
      </c>
    </row>
    <row r="166" spans="1:10" ht="12.75" hidden="1" customHeight="1" outlineLevel="2">
      <c r="A166" s="1830"/>
      <c r="B166" s="1831"/>
      <c r="C166" s="777" t="s">
        <v>1510</v>
      </c>
      <c r="D166" s="776" t="s">
        <v>1511</v>
      </c>
      <c r="E166" s="774" t="s">
        <v>1482</v>
      </c>
      <c r="F166" s="774">
        <v>5</v>
      </c>
      <c r="G166" s="774">
        <v>0</v>
      </c>
      <c r="H166" s="774">
        <v>5527.21</v>
      </c>
      <c r="I166" s="774">
        <v>0</v>
      </c>
      <c r="J166" s="774">
        <f t="shared" si="5"/>
        <v>27636.05</v>
      </c>
    </row>
    <row r="167" spans="1:10" ht="12.75" hidden="1" customHeight="1" outlineLevel="2">
      <c r="A167" s="1830"/>
      <c r="B167" s="1831"/>
      <c r="C167" s="777" t="s">
        <v>1610</v>
      </c>
      <c r="D167" s="776" t="s">
        <v>1611</v>
      </c>
      <c r="E167" s="774" t="s">
        <v>1212</v>
      </c>
      <c r="F167" s="774">
        <v>2.9</v>
      </c>
      <c r="G167" s="774">
        <v>0</v>
      </c>
      <c r="H167" s="774">
        <v>279</v>
      </c>
      <c r="I167" s="774">
        <v>0</v>
      </c>
      <c r="J167" s="774">
        <f t="shared" si="5"/>
        <v>809.1</v>
      </c>
    </row>
    <row r="168" spans="1:10" ht="12.75" hidden="1" customHeight="1" outlineLevel="2">
      <c r="A168" s="1830"/>
      <c r="B168" s="1831"/>
      <c r="C168" s="777" t="s">
        <v>1599</v>
      </c>
      <c r="D168" s="776" t="s">
        <v>1600</v>
      </c>
      <c r="E168" s="774" t="s">
        <v>1212</v>
      </c>
      <c r="F168" s="774">
        <v>5</v>
      </c>
      <c r="G168" s="774">
        <v>0</v>
      </c>
      <c r="H168" s="774">
        <v>266.8</v>
      </c>
      <c r="I168" s="774">
        <v>0</v>
      </c>
      <c r="J168" s="774">
        <f t="shared" si="5"/>
        <v>1334</v>
      </c>
    </row>
    <row r="169" spans="1:10" ht="12.75" hidden="1" customHeight="1" outlineLevel="2">
      <c r="A169" s="1830"/>
      <c r="B169" s="1831"/>
      <c r="C169" s="777" t="s">
        <v>1601</v>
      </c>
      <c r="D169" s="776" t="s">
        <v>1602</v>
      </c>
      <c r="E169" s="774" t="s">
        <v>1212</v>
      </c>
      <c r="F169" s="774">
        <v>7.2</v>
      </c>
      <c r="G169" s="774">
        <v>0</v>
      </c>
      <c r="H169" s="774">
        <v>315</v>
      </c>
      <c r="I169" s="774">
        <v>0</v>
      </c>
      <c r="J169" s="774">
        <f t="shared" si="5"/>
        <v>2268</v>
      </c>
    </row>
    <row r="170" spans="1:10" ht="12.75" hidden="1" customHeight="1" outlineLevel="2">
      <c r="A170" s="1830"/>
      <c r="B170" s="1831"/>
      <c r="C170" s="777" t="s">
        <v>1603</v>
      </c>
      <c r="D170" s="776" t="s">
        <v>1604</v>
      </c>
      <c r="E170" s="774" t="s">
        <v>1212</v>
      </c>
      <c r="F170" s="774">
        <v>2.8</v>
      </c>
      <c r="G170" s="774">
        <v>0</v>
      </c>
      <c r="H170" s="774">
        <v>651.91999999999996</v>
      </c>
      <c r="I170" s="774">
        <v>0</v>
      </c>
      <c r="J170" s="774">
        <f t="shared" si="5"/>
        <v>1825.3759999999997</v>
      </c>
    </row>
    <row r="171" spans="1:10" ht="12.75" hidden="1" customHeight="1" outlineLevel="2">
      <c r="A171" s="1830"/>
      <c r="B171" s="1831"/>
      <c r="C171" s="777" t="s">
        <v>1605</v>
      </c>
      <c r="D171" s="776" t="s">
        <v>1606</v>
      </c>
      <c r="E171" s="774" t="s">
        <v>1212</v>
      </c>
      <c r="F171" s="774">
        <v>2.5</v>
      </c>
      <c r="G171" s="774">
        <v>0</v>
      </c>
      <c r="H171" s="774">
        <v>650</v>
      </c>
      <c r="I171" s="774">
        <v>0</v>
      </c>
      <c r="J171" s="774">
        <f t="shared" si="5"/>
        <v>1625</v>
      </c>
    </row>
    <row r="172" spans="1:10" ht="12.75" hidden="1" customHeight="1" outlineLevel="2">
      <c r="A172" s="1830"/>
      <c r="B172" s="1831"/>
      <c r="C172" s="777"/>
      <c r="D172" s="774"/>
      <c r="E172" s="774"/>
      <c r="F172" s="774"/>
      <c r="G172" s="774">
        <v>5</v>
      </c>
      <c r="H172" s="774" t="s">
        <v>1514</v>
      </c>
      <c r="I172" s="774"/>
      <c r="J172" s="774">
        <v>2607.62</v>
      </c>
    </row>
    <row r="173" spans="1:10" ht="12.75" hidden="1" customHeight="1" outlineLevel="2">
      <c r="A173" s="1830"/>
      <c r="B173" s="1831"/>
      <c r="C173" s="1835" t="s">
        <v>1488</v>
      </c>
      <c r="D173" s="1808"/>
      <c r="E173" s="767" t="s">
        <v>55</v>
      </c>
      <c r="F173" s="583">
        <f>Tenores!F22</f>
        <v>3660.3143999999998</v>
      </c>
      <c r="G173" s="767"/>
      <c r="H173" s="767"/>
      <c r="I173" s="767">
        <v>0</v>
      </c>
      <c r="J173" s="774">
        <f>SUM(J162:J172)</f>
        <v>139958.99143612225</v>
      </c>
    </row>
    <row r="174" spans="1:10" ht="12.75" hidden="1" customHeight="1" outlineLevel="1">
      <c r="A174" s="1830"/>
      <c r="B174" s="1831"/>
      <c r="C174" s="1836" t="s">
        <v>47</v>
      </c>
      <c r="D174" s="1827"/>
      <c r="E174" s="1827"/>
      <c r="F174" s="1827"/>
      <c r="G174" s="1827"/>
      <c r="H174" s="1827"/>
      <c r="I174" s="1827"/>
      <c r="J174" s="773">
        <f>J173*F173</f>
        <v>512293911.76311493</v>
      </c>
    </row>
    <row r="175" spans="1:10" ht="12.75" hidden="1" customHeight="1" outlineLevel="1">
      <c r="A175" s="1830" t="s">
        <v>1613</v>
      </c>
      <c r="B175" s="1831" t="s">
        <v>1095</v>
      </c>
      <c r="C175" s="1909" t="s">
        <v>1213</v>
      </c>
      <c r="D175" s="1909"/>
      <c r="E175" s="1909"/>
      <c r="F175" s="1909"/>
      <c r="G175" s="1909"/>
      <c r="H175" s="1909"/>
      <c r="I175" s="1909"/>
      <c r="J175" s="1909"/>
    </row>
    <row r="176" spans="1:10" ht="12.75" hidden="1" customHeight="1" outlineLevel="2">
      <c r="A176" s="1830"/>
      <c r="B176" s="1831"/>
      <c r="C176" s="777" t="s">
        <v>1568</v>
      </c>
      <c r="D176" s="776" t="s">
        <v>1569</v>
      </c>
      <c r="E176" s="774" t="s">
        <v>48</v>
      </c>
      <c r="F176" s="774">
        <v>5</v>
      </c>
      <c r="G176" s="774">
        <v>0</v>
      </c>
      <c r="H176" s="774">
        <v>9900</v>
      </c>
      <c r="I176" s="774">
        <v>0</v>
      </c>
      <c r="J176" s="774">
        <f t="shared" ref="J176:J182" si="6">(F176*(1+G176/100)) * (H176*(1+I176/100))</f>
        <v>49500</v>
      </c>
    </row>
    <row r="177" spans="1:10" ht="12.75" hidden="1" customHeight="1" outlineLevel="2">
      <c r="A177" s="1830"/>
      <c r="B177" s="1831"/>
      <c r="C177" s="811" t="s">
        <v>1849</v>
      </c>
      <c r="D177" s="794" t="s">
        <v>1847</v>
      </c>
      <c r="E177" s="774" t="s">
        <v>49</v>
      </c>
      <c r="F177" s="774">
        <f>Tenores!G64</f>
        <v>1</v>
      </c>
      <c r="G177" s="774">
        <v>8</v>
      </c>
      <c r="H177" s="774">
        <v>360025.25199999998</v>
      </c>
      <c r="I177" s="774">
        <v>0</v>
      </c>
      <c r="J177" s="774">
        <f t="shared" si="6"/>
        <v>388827.27215999999</v>
      </c>
    </row>
    <row r="178" spans="1:10" ht="12.75" hidden="1" customHeight="1" outlineLevel="2">
      <c r="A178" s="1830"/>
      <c r="B178" s="1831"/>
      <c r="C178" s="777" t="s">
        <v>1579</v>
      </c>
      <c r="D178" s="776" t="s">
        <v>1580</v>
      </c>
      <c r="E178" s="774" t="s">
        <v>1482</v>
      </c>
      <c r="F178" s="774">
        <v>17</v>
      </c>
      <c r="G178" s="774">
        <v>0</v>
      </c>
      <c r="H178" s="774">
        <v>6810.12</v>
      </c>
      <c r="I178" s="774">
        <v>0</v>
      </c>
      <c r="J178" s="774">
        <f t="shared" si="6"/>
        <v>115772.04</v>
      </c>
    </row>
    <row r="179" spans="1:10" ht="12.75" hidden="1" customHeight="1" outlineLevel="2">
      <c r="A179" s="1830"/>
      <c r="B179" s="1831"/>
      <c r="C179" s="777" t="s">
        <v>1510</v>
      </c>
      <c r="D179" s="776" t="s">
        <v>1511</v>
      </c>
      <c r="E179" s="774" t="s">
        <v>1482</v>
      </c>
      <c r="F179" s="774">
        <v>22</v>
      </c>
      <c r="G179" s="774">
        <v>0</v>
      </c>
      <c r="H179" s="774">
        <v>5527.21</v>
      </c>
      <c r="I179" s="774">
        <v>0</v>
      </c>
      <c r="J179" s="774">
        <f t="shared" si="6"/>
        <v>121598.62</v>
      </c>
    </row>
    <row r="180" spans="1:10" ht="12.75" hidden="1" customHeight="1" outlineLevel="2">
      <c r="A180" s="1830"/>
      <c r="B180" s="1831"/>
      <c r="C180" s="777" t="s">
        <v>1601</v>
      </c>
      <c r="D180" s="776" t="s">
        <v>1602</v>
      </c>
      <c r="E180" s="774" t="s">
        <v>1212</v>
      </c>
      <c r="F180" s="774">
        <v>45</v>
      </c>
      <c r="G180" s="774">
        <v>0</v>
      </c>
      <c r="H180" s="774">
        <v>315</v>
      </c>
      <c r="I180" s="774">
        <v>0</v>
      </c>
      <c r="J180" s="774">
        <f t="shared" si="6"/>
        <v>14175</v>
      </c>
    </row>
    <row r="181" spans="1:10" ht="12.75" hidden="1" customHeight="1" outlineLevel="2">
      <c r="A181" s="1830"/>
      <c r="B181" s="1831"/>
      <c r="C181" s="777" t="s">
        <v>1603</v>
      </c>
      <c r="D181" s="776" t="s">
        <v>1604</v>
      </c>
      <c r="E181" s="774" t="s">
        <v>1212</v>
      </c>
      <c r="F181" s="774">
        <v>27</v>
      </c>
      <c r="G181" s="774">
        <v>0</v>
      </c>
      <c r="H181" s="774">
        <v>651.91999999999996</v>
      </c>
      <c r="I181" s="774">
        <v>0</v>
      </c>
      <c r="J181" s="774">
        <f t="shared" si="6"/>
        <v>17601.84</v>
      </c>
    </row>
    <row r="182" spans="1:10" ht="12.75" hidden="1" customHeight="1" outlineLevel="2">
      <c r="A182" s="1830"/>
      <c r="B182" s="1831"/>
      <c r="C182" s="777" t="s">
        <v>1605</v>
      </c>
      <c r="D182" s="776" t="s">
        <v>1606</v>
      </c>
      <c r="E182" s="774" t="s">
        <v>1212</v>
      </c>
      <c r="F182" s="774">
        <v>55</v>
      </c>
      <c r="G182" s="774">
        <v>0</v>
      </c>
      <c r="H182" s="774">
        <v>650</v>
      </c>
      <c r="I182" s="774">
        <v>0</v>
      </c>
      <c r="J182" s="774">
        <f t="shared" si="6"/>
        <v>35750</v>
      </c>
    </row>
    <row r="183" spans="1:10" ht="12.75" hidden="1" customHeight="1" outlineLevel="2">
      <c r="A183" s="1830"/>
      <c r="B183" s="1831"/>
      <c r="C183" s="777"/>
      <c r="D183" s="774"/>
      <c r="E183" s="774"/>
      <c r="F183" s="774"/>
      <c r="G183" s="774">
        <v>5</v>
      </c>
      <c r="H183" s="774" t="s">
        <v>1514</v>
      </c>
      <c r="I183" s="774"/>
      <c r="J183" s="774">
        <v>11868.53</v>
      </c>
    </row>
    <row r="184" spans="1:10" ht="12.75" hidden="1" customHeight="1" outlineLevel="2">
      <c r="A184" s="1830"/>
      <c r="B184" s="1831"/>
      <c r="C184" s="1835" t="s">
        <v>1488</v>
      </c>
      <c r="D184" s="1808"/>
      <c r="E184" s="767" t="s">
        <v>49</v>
      </c>
      <c r="F184" s="583">
        <f>'3.Concreto'!AJ39+'3.Concreto'!AJ21</f>
        <v>133.8366</v>
      </c>
      <c r="G184" s="767"/>
      <c r="H184" s="767"/>
      <c r="I184" s="767">
        <v>0</v>
      </c>
      <c r="J184" s="774">
        <f>SUM(J176:J183)</f>
        <v>755093.30215999996</v>
      </c>
    </row>
    <row r="185" spans="1:10" ht="12.75" hidden="1" customHeight="1" outlineLevel="1">
      <c r="A185" s="1830"/>
      <c r="B185" s="1831"/>
      <c r="C185" s="1836" t="s">
        <v>47</v>
      </c>
      <c r="D185" s="1827"/>
      <c r="E185" s="1827"/>
      <c r="F185" s="1827"/>
      <c r="G185" s="1827"/>
      <c r="H185" s="1827"/>
      <c r="I185" s="1827"/>
      <c r="J185" s="773">
        <f>J184*F184</f>
        <v>101059120.24386705</v>
      </c>
    </row>
    <row r="186" spans="1:10" ht="12.75" hidden="1" customHeight="1" outlineLevel="1">
      <c r="A186" s="1830" t="s">
        <v>1642</v>
      </c>
      <c r="B186" s="1831" t="s">
        <v>1096</v>
      </c>
      <c r="C186" s="1909" t="s">
        <v>3649</v>
      </c>
      <c r="D186" s="1909"/>
      <c r="E186" s="1909"/>
      <c r="F186" s="1909"/>
      <c r="G186" s="1909"/>
      <c r="H186" s="1909"/>
      <c r="I186" s="1909"/>
      <c r="J186" s="1909"/>
    </row>
    <row r="187" spans="1:10" ht="12.75" hidden="1" customHeight="1" outlineLevel="2">
      <c r="A187" s="1830"/>
      <c r="B187" s="1831"/>
      <c r="C187" s="811" t="s">
        <v>1853</v>
      </c>
      <c r="D187" s="794" t="s">
        <v>1614</v>
      </c>
      <c r="E187" s="796" t="s">
        <v>49</v>
      </c>
      <c r="F187" s="796">
        <f>Tenores!G82</f>
        <v>1.1111111111111112</v>
      </c>
      <c r="G187" s="774">
        <v>10</v>
      </c>
      <c r="H187" s="797">
        <v>413468.17500000005</v>
      </c>
      <c r="I187" s="774">
        <v>0</v>
      </c>
      <c r="J187" s="774">
        <f>(F187*(1+G187/100)) * (H187*(1+I187/100))</f>
        <v>505349.99166666676</v>
      </c>
    </row>
    <row r="188" spans="1:10" ht="12.75" hidden="1" customHeight="1" outlineLevel="2">
      <c r="A188" s="1830"/>
      <c r="B188" s="1831"/>
      <c r="C188" s="777" t="s">
        <v>1615</v>
      </c>
      <c r="D188" s="776" t="s">
        <v>1616</v>
      </c>
      <c r="E188" s="774" t="s">
        <v>39</v>
      </c>
      <c r="F188" s="774">
        <v>1.33</v>
      </c>
      <c r="G188" s="774">
        <v>0</v>
      </c>
      <c r="H188" s="774">
        <v>3014.5</v>
      </c>
      <c r="I188" s="774">
        <v>0</v>
      </c>
      <c r="J188" s="774">
        <f t="shared" ref="J188:J194" si="7">(F188*(1+G188/100)) * (H188*(1+I188/100))</f>
        <v>4009.2850000000003</v>
      </c>
    </row>
    <row r="189" spans="1:10" ht="12.75" hidden="1" customHeight="1" outlineLevel="2">
      <c r="A189" s="1830"/>
      <c r="B189" s="1831"/>
      <c r="C189" s="777" t="s">
        <v>1617</v>
      </c>
      <c r="D189" s="776" t="s">
        <v>1618</v>
      </c>
      <c r="E189" s="774" t="s">
        <v>1619</v>
      </c>
      <c r="F189" s="774">
        <v>0.13</v>
      </c>
      <c r="G189" s="774">
        <v>0</v>
      </c>
      <c r="H189" s="774">
        <v>7800</v>
      </c>
      <c r="I189" s="774">
        <v>0</v>
      </c>
      <c r="J189" s="774">
        <f t="shared" si="7"/>
        <v>1014</v>
      </c>
    </row>
    <row r="190" spans="1:10" ht="12.75" hidden="1" customHeight="1" outlineLevel="2">
      <c r="A190" s="1830"/>
      <c r="B190" s="1831"/>
      <c r="C190" s="777" t="s">
        <v>1620</v>
      </c>
      <c r="D190" s="776" t="s">
        <v>1621</v>
      </c>
      <c r="E190" s="774" t="s">
        <v>39</v>
      </c>
      <c r="F190" s="774">
        <v>0.2</v>
      </c>
      <c r="G190" s="774">
        <v>0</v>
      </c>
      <c r="H190" s="774">
        <v>7400</v>
      </c>
      <c r="I190" s="774">
        <v>0</v>
      </c>
      <c r="J190" s="774">
        <f t="shared" si="7"/>
        <v>1480</v>
      </c>
    </row>
    <row r="191" spans="1:10" ht="12.75" hidden="1" customHeight="1" outlineLevel="2">
      <c r="A191" s="1830"/>
      <c r="B191" s="1831"/>
      <c r="C191" s="777" t="s">
        <v>1622</v>
      </c>
      <c r="D191" s="776" t="s">
        <v>1623</v>
      </c>
      <c r="E191" s="774" t="s">
        <v>48</v>
      </c>
      <c r="F191" s="774">
        <v>1</v>
      </c>
      <c r="G191" s="774">
        <v>0</v>
      </c>
      <c r="H191" s="774">
        <v>17929.79</v>
      </c>
      <c r="I191" s="774">
        <v>0</v>
      </c>
      <c r="J191" s="774">
        <f t="shared" si="7"/>
        <v>17929.79</v>
      </c>
    </row>
    <row r="192" spans="1:10" ht="12.75" hidden="1" customHeight="1" outlineLevel="2">
      <c r="A192" s="1830"/>
      <c r="B192" s="1831"/>
      <c r="C192" s="777" t="s">
        <v>1584</v>
      </c>
      <c r="D192" s="776" t="s">
        <v>1585</v>
      </c>
      <c r="E192" s="774" t="s">
        <v>49</v>
      </c>
      <c r="F192" s="774">
        <v>0.27399999999999997</v>
      </c>
      <c r="G192" s="774">
        <v>0</v>
      </c>
      <c r="H192" s="774">
        <v>8284.18</v>
      </c>
      <c r="I192" s="774">
        <v>0</v>
      </c>
      <c r="J192" s="774">
        <f t="shared" si="7"/>
        <v>2269.8653199999999</v>
      </c>
    </row>
    <row r="193" spans="1:10" ht="12.75" hidden="1" customHeight="1" outlineLevel="2">
      <c r="A193" s="1830"/>
      <c r="B193" s="1831"/>
      <c r="C193" s="777" t="s">
        <v>1624</v>
      </c>
      <c r="D193" s="776" t="s">
        <v>1625</v>
      </c>
      <c r="E193" s="774" t="s">
        <v>1212</v>
      </c>
      <c r="F193" s="774">
        <v>5</v>
      </c>
      <c r="G193" s="774">
        <v>0</v>
      </c>
      <c r="H193" s="774">
        <v>150.80000000000001</v>
      </c>
      <c r="I193" s="774">
        <v>0</v>
      </c>
      <c r="J193" s="774">
        <f t="shared" si="7"/>
        <v>754</v>
      </c>
    </row>
    <row r="194" spans="1:10" ht="12.75" hidden="1" customHeight="1" outlineLevel="2">
      <c r="A194" s="1830"/>
      <c r="B194" s="1831"/>
      <c r="C194" s="777" t="s">
        <v>1626</v>
      </c>
      <c r="D194" s="776" t="s">
        <v>1627</v>
      </c>
      <c r="E194" s="774" t="s">
        <v>1212</v>
      </c>
      <c r="F194" s="774">
        <v>2.1</v>
      </c>
      <c r="G194" s="774">
        <v>0</v>
      </c>
      <c r="H194" s="774">
        <v>3074</v>
      </c>
      <c r="I194" s="774">
        <v>0</v>
      </c>
      <c r="J194" s="774">
        <f t="shared" si="7"/>
        <v>6455.4000000000005</v>
      </c>
    </row>
    <row r="195" spans="1:10" ht="12.75" hidden="1" customHeight="1" outlineLevel="2">
      <c r="A195" s="1830"/>
      <c r="B195" s="1831"/>
      <c r="C195" s="798"/>
      <c r="D195" s="797"/>
      <c r="E195" s="797"/>
      <c r="F195" s="797"/>
      <c r="G195" s="797">
        <v>5</v>
      </c>
      <c r="H195" s="797" t="s">
        <v>1514</v>
      </c>
      <c r="I195" s="797"/>
      <c r="J195" s="797">
        <v>1009.9799999999999</v>
      </c>
    </row>
    <row r="196" spans="1:10" ht="12.75" hidden="1" customHeight="1" outlineLevel="2">
      <c r="A196" s="1830"/>
      <c r="B196" s="1831"/>
      <c r="C196" s="1835" t="s">
        <v>1488</v>
      </c>
      <c r="D196" s="1808"/>
      <c r="E196" s="767" t="s">
        <v>345</v>
      </c>
      <c r="F196" s="583">
        <f>'3.Concreto'!P171</f>
        <v>10.56</v>
      </c>
      <c r="G196" s="767"/>
      <c r="H196" s="767"/>
      <c r="I196" s="767">
        <v>0</v>
      </c>
      <c r="J196" s="774">
        <f>SUM(J187:J195)</f>
        <v>540272.31198666675</v>
      </c>
    </row>
    <row r="197" spans="1:10" ht="12.75" hidden="1" customHeight="1" outlineLevel="1">
      <c r="A197" s="1830"/>
      <c r="B197" s="1831"/>
      <c r="C197" s="1836" t="s">
        <v>47</v>
      </c>
      <c r="D197" s="1827"/>
      <c r="E197" s="1827"/>
      <c r="F197" s="1827"/>
      <c r="G197" s="1827"/>
      <c r="H197" s="1827"/>
      <c r="I197" s="1827"/>
      <c r="J197" s="773">
        <f>J196*F196</f>
        <v>5705275.6145792007</v>
      </c>
    </row>
    <row r="198" spans="1:10" ht="12.75" hidden="1" customHeight="1" outlineLevel="1">
      <c r="A198" s="1830" t="s">
        <v>1642</v>
      </c>
      <c r="B198" s="1831" t="s">
        <v>1096</v>
      </c>
      <c r="C198" s="1909" t="s">
        <v>3650</v>
      </c>
      <c r="D198" s="1909"/>
      <c r="E198" s="1909"/>
      <c r="F198" s="1909"/>
      <c r="G198" s="1909"/>
      <c r="H198" s="1909"/>
      <c r="I198" s="1909"/>
      <c r="J198" s="1909"/>
    </row>
    <row r="199" spans="1:10" ht="12.75" hidden="1" customHeight="1" outlineLevel="2">
      <c r="A199" s="1830"/>
      <c r="B199" s="1831"/>
      <c r="C199" s="811" t="s">
        <v>1853</v>
      </c>
      <c r="D199" s="794" t="s">
        <v>1614</v>
      </c>
      <c r="E199" s="796" t="s">
        <v>49</v>
      </c>
      <c r="F199" s="796">
        <f>Tenores!G84</f>
        <v>1.25</v>
      </c>
      <c r="G199" s="1400">
        <v>10</v>
      </c>
      <c r="H199" s="797">
        <v>413468.17500000005</v>
      </c>
      <c r="I199" s="1400">
        <v>0</v>
      </c>
      <c r="J199" s="1400">
        <f>(F199*(1+G199/100)) * (H199*(1+I199/100))</f>
        <v>568518.74062500009</v>
      </c>
    </row>
    <row r="200" spans="1:10" ht="12.75" hidden="1" customHeight="1" outlineLevel="2">
      <c r="A200" s="1830"/>
      <c r="B200" s="1831"/>
      <c r="C200" s="1401" t="s">
        <v>1615</v>
      </c>
      <c r="D200" s="776" t="s">
        <v>1616</v>
      </c>
      <c r="E200" s="1400" t="s">
        <v>39</v>
      </c>
      <c r="F200" s="1400">
        <v>1.33</v>
      </c>
      <c r="G200" s="1400">
        <v>0</v>
      </c>
      <c r="H200" s="1400">
        <v>3014.5</v>
      </c>
      <c r="I200" s="1400">
        <v>0</v>
      </c>
      <c r="J200" s="1400">
        <f t="shared" ref="J200:J206" si="8">(F200*(1+G200/100)) * (H200*(1+I200/100))</f>
        <v>4009.2850000000003</v>
      </c>
    </row>
    <row r="201" spans="1:10" ht="12.75" hidden="1" customHeight="1" outlineLevel="2">
      <c r="A201" s="1830"/>
      <c r="B201" s="1831"/>
      <c r="C201" s="1401" t="s">
        <v>1617</v>
      </c>
      <c r="D201" s="776" t="s">
        <v>1618</v>
      </c>
      <c r="E201" s="1400" t="s">
        <v>1619</v>
      </c>
      <c r="F201" s="1400">
        <v>0.13</v>
      </c>
      <c r="G201" s="1400">
        <v>0</v>
      </c>
      <c r="H201" s="1400">
        <v>7800</v>
      </c>
      <c r="I201" s="1400">
        <v>0</v>
      </c>
      <c r="J201" s="1400">
        <f t="shared" si="8"/>
        <v>1014</v>
      </c>
    </row>
    <row r="202" spans="1:10" ht="12.75" hidden="1" customHeight="1" outlineLevel="2">
      <c r="A202" s="1830"/>
      <c r="B202" s="1831"/>
      <c r="C202" s="1401" t="s">
        <v>1620</v>
      </c>
      <c r="D202" s="776" t="s">
        <v>1621</v>
      </c>
      <c r="E202" s="1400" t="s">
        <v>39</v>
      </c>
      <c r="F202" s="1400">
        <v>0.2</v>
      </c>
      <c r="G202" s="1400">
        <v>0</v>
      </c>
      <c r="H202" s="1400">
        <v>7400</v>
      </c>
      <c r="I202" s="1400">
        <v>0</v>
      </c>
      <c r="J202" s="1400">
        <f t="shared" si="8"/>
        <v>1480</v>
      </c>
    </row>
    <row r="203" spans="1:10" ht="12.75" hidden="1" customHeight="1" outlineLevel="2">
      <c r="A203" s="1830"/>
      <c r="B203" s="1831"/>
      <c r="C203" s="1401" t="s">
        <v>1622</v>
      </c>
      <c r="D203" s="776" t="s">
        <v>1623</v>
      </c>
      <c r="E203" s="1400" t="s">
        <v>48</v>
      </c>
      <c r="F203" s="1400">
        <v>1</v>
      </c>
      <c r="G203" s="1400">
        <v>0</v>
      </c>
      <c r="H203" s="1400">
        <v>17929.79</v>
      </c>
      <c r="I203" s="1400">
        <v>0</v>
      </c>
      <c r="J203" s="1400">
        <f t="shared" si="8"/>
        <v>17929.79</v>
      </c>
    </row>
    <row r="204" spans="1:10" ht="12.75" hidden="1" customHeight="1" outlineLevel="2">
      <c r="A204" s="1830"/>
      <c r="B204" s="1831"/>
      <c r="C204" s="1401" t="s">
        <v>1584</v>
      </c>
      <c r="D204" s="776" t="s">
        <v>1585</v>
      </c>
      <c r="E204" s="1400" t="s">
        <v>49</v>
      </c>
      <c r="F204" s="1400">
        <v>0.27399999999999997</v>
      </c>
      <c r="G204" s="1400">
        <v>0</v>
      </c>
      <c r="H204" s="1400">
        <v>8284.18</v>
      </c>
      <c r="I204" s="1400">
        <v>0</v>
      </c>
      <c r="J204" s="1400">
        <f t="shared" si="8"/>
        <v>2269.8653199999999</v>
      </c>
    </row>
    <row r="205" spans="1:10" ht="12.75" hidden="1" customHeight="1" outlineLevel="2">
      <c r="A205" s="1830"/>
      <c r="B205" s="1831"/>
      <c r="C205" s="1401" t="s">
        <v>1624</v>
      </c>
      <c r="D205" s="776" t="s">
        <v>1625</v>
      </c>
      <c r="E205" s="1400" t="s">
        <v>1212</v>
      </c>
      <c r="F205" s="1400">
        <v>5</v>
      </c>
      <c r="G205" s="1400">
        <v>0</v>
      </c>
      <c r="H205" s="1400">
        <v>150.80000000000001</v>
      </c>
      <c r="I205" s="1400">
        <v>0</v>
      </c>
      <c r="J205" s="1400">
        <f t="shared" si="8"/>
        <v>754</v>
      </c>
    </row>
    <row r="206" spans="1:10" ht="12.75" hidden="1" customHeight="1" outlineLevel="2">
      <c r="A206" s="1830"/>
      <c r="B206" s="1831"/>
      <c r="C206" s="1401" t="s">
        <v>1626</v>
      </c>
      <c r="D206" s="776" t="s">
        <v>1627</v>
      </c>
      <c r="E206" s="1400" t="s">
        <v>1212</v>
      </c>
      <c r="F206" s="1400">
        <v>2.1</v>
      </c>
      <c r="G206" s="1400">
        <v>0</v>
      </c>
      <c r="H206" s="1400">
        <v>3074</v>
      </c>
      <c r="I206" s="1400">
        <v>0</v>
      </c>
      <c r="J206" s="1400">
        <f t="shared" si="8"/>
        <v>6455.4000000000005</v>
      </c>
    </row>
    <row r="207" spans="1:10" ht="12.75" hidden="1" customHeight="1" outlineLevel="2">
      <c r="A207" s="1830"/>
      <c r="B207" s="1831"/>
      <c r="C207" s="798"/>
      <c r="D207" s="797"/>
      <c r="E207" s="797"/>
      <c r="F207" s="797"/>
      <c r="G207" s="797">
        <v>5</v>
      </c>
      <c r="H207" s="797" t="s">
        <v>1514</v>
      </c>
      <c r="I207" s="797"/>
      <c r="J207" s="797">
        <v>1009.9799999999999</v>
      </c>
    </row>
    <row r="208" spans="1:10" ht="12.75" hidden="1" customHeight="1" outlineLevel="2">
      <c r="A208" s="1830"/>
      <c r="B208" s="1831"/>
      <c r="C208" s="1835" t="s">
        <v>1488</v>
      </c>
      <c r="D208" s="1808"/>
      <c r="E208" s="1399" t="s">
        <v>345</v>
      </c>
      <c r="F208" s="583">
        <f>'3.Concreto'!P172</f>
        <v>5.28</v>
      </c>
      <c r="G208" s="1399"/>
      <c r="H208" s="1399"/>
      <c r="I208" s="1399">
        <v>0</v>
      </c>
      <c r="J208" s="1400">
        <f>SUM(J199:J207)</f>
        <v>603441.06094500015</v>
      </c>
    </row>
    <row r="209" spans="1:10" ht="12.75" hidden="1" customHeight="1" outlineLevel="1">
      <c r="A209" s="1830"/>
      <c r="B209" s="1831"/>
      <c r="C209" s="1836" t="s">
        <v>47</v>
      </c>
      <c r="D209" s="1827"/>
      <c r="E209" s="1827"/>
      <c r="F209" s="1827"/>
      <c r="G209" s="1827"/>
      <c r="H209" s="1827"/>
      <c r="I209" s="1827"/>
      <c r="J209" s="773">
        <f>J208*F208</f>
        <v>3186168.8017896009</v>
      </c>
    </row>
    <row r="210" spans="1:10" ht="12.75" hidden="1" customHeight="1" outlineLevel="1">
      <c r="A210" s="1830" t="s">
        <v>1642</v>
      </c>
      <c r="B210" s="1831" t="s">
        <v>1096</v>
      </c>
      <c r="C210" s="1909" t="s">
        <v>3651</v>
      </c>
      <c r="D210" s="1909"/>
      <c r="E210" s="1909"/>
      <c r="F210" s="1909"/>
      <c r="G210" s="1909"/>
      <c r="H210" s="1909"/>
      <c r="I210" s="1909"/>
      <c r="J210" s="1909"/>
    </row>
    <row r="211" spans="1:10" ht="12.75" hidden="1" customHeight="1" outlineLevel="2">
      <c r="A211" s="1830"/>
      <c r="B211" s="1831"/>
      <c r="C211" s="811" t="s">
        <v>1853</v>
      </c>
      <c r="D211" s="794" t="s">
        <v>1614</v>
      </c>
      <c r="E211" s="796" t="s">
        <v>49</v>
      </c>
      <c r="F211" s="796">
        <f>Tenores!G86</f>
        <v>16</v>
      </c>
      <c r="G211" s="1400">
        <v>10</v>
      </c>
      <c r="H211" s="797">
        <v>413468.17500000005</v>
      </c>
      <c r="I211" s="1400">
        <v>0</v>
      </c>
      <c r="J211" s="1400">
        <f>(F211*(1+G211/100)) * (H211*(1+I211/100))</f>
        <v>7277039.8800000018</v>
      </c>
    </row>
    <row r="212" spans="1:10" ht="12.75" hidden="1" customHeight="1" outlineLevel="2">
      <c r="A212" s="1830"/>
      <c r="B212" s="1831"/>
      <c r="C212" s="1401" t="s">
        <v>1615</v>
      </c>
      <c r="D212" s="776" t="s">
        <v>1616</v>
      </c>
      <c r="E212" s="1400" t="s">
        <v>39</v>
      </c>
      <c r="F212" s="1400">
        <v>1.33</v>
      </c>
      <c r="G212" s="1400">
        <v>0</v>
      </c>
      <c r="H212" s="1400">
        <v>3014.5</v>
      </c>
      <c r="I212" s="1400">
        <v>0</v>
      </c>
      <c r="J212" s="1400">
        <f t="shared" ref="J212:J218" si="9">(F212*(1+G212/100)) * (H212*(1+I212/100))</f>
        <v>4009.2850000000003</v>
      </c>
    </row>
    <row r="213" spans="1:10" ht="12.75" hidden="1" customHeight="1" outlineLevel="2">
      <c r="A213" s="1830"/>
      <c r="B213" s="1831"/>
      <c r="C213" s="1401" t="s">
        <v>1617</v>
      </c>
      <c r="D213" s="776" t="s">
        <v>1618</v>
      </c>
      <c r="E213" s="1400" t="s">
        <v>1619</v>
      </c>
      <c r="F213" s="1400">
        <v>0.13</v>
      </c>
      <c r="G213" s="1400">
        <v>0</v>
      </c>
      <c r="H213" s="1400">
        <v>7800</v>
      </c>
      <c r="I213" s="1400">
        <v>0</v>
      </c>
      <c r="J213" s="1400">
        <f t="shared" si="9"/>
        <v>1014</v>
      </c>
    </row>
    <row r="214" spans="1:10" ht="12.75" hidden="1" customHeight="1" outlineLevel="2">
      <c r="A214" s="1830"/>
      <c r="B214" s="1831"/>
      <c r="C214" s="1401" t="s">
        <v>1620</v>
      </c>
      <c r="D214" s="776" t="s">
        <v>1621</v>
      </c>
      <c r="E214" s="1400" t="s">
        <v>39</v>
      </c>
      <c r="F214" s="1400">
        <v>0.2</v>
      </c>
      <c r="G214" s="1400">
        <v>0</v>
      </c>
      <c r="H214" s="1400">
        <v>7400</v>
      </c>
      <c r="I214" s="1400">
        <v>0</v>
      </c>
      <c r="J214" s="1400">
        <f t="shared" si="9"/>
        <v>1480</v>
      </c>
    </row>
    <row r="215" spans="1:10" ht="12.75" hidden="1" customHeight="1" outlineLevel="2">
      <c r="A215" s="1830"/>
      <c r="B215" s="1831"/>
      <c r="C215" s="1401" t="s">
        <v>1622</v>
      </c>
      <c r="D215" s="776" t="s">
        <v>1623</v>
      </c>
      <c r="E215" s="1400" t="s">
        <v>48</v>
      </c>
      <c r="F215" s="1400">
        <v>1</v>
      </c>
      <c r="G215" s="1400">
        <v>0</v>
      </c>
      <c r="H215" s="1400">
        <v>17929.79</v>
      </c>
      <c r="I215" s="1400">
        <v>0</v>
      </c>
      <c r="J215" s="1400">
        <f t="shared" si="9"/>
        <v>17929.79</v>
      </c>
    </row>
    <row r="216" spans="1:10" ht="12.75" hidden="1" customHeight="1" outlineLevel="2">
      <c r="A216" s="1830"/>
      <c r="B216" s="1831"/>
      <c r="C216" s="1401" t="s">
        <v>1584</v>
      </c>
      <c r="D216" s="776" t="s">
        <v>1585</v>
      </c>
      <c r="E216" s="1400" t="s">
        <v>49</v>
      </c>
      <c r="F216" s="1400">
        <v>0.27399999999999997</v>
      </c>
      <c r="G216" s="1400">
        <v>0</v>
      </c>
      <c r="H216" s="1400">
        <v>8284.18</v>
      </c>
      <c r="I216" s="1400">
        <v>0</v>
      </c>
      <c r="J216" s="1400">
        <f t="shared" si="9"/>
        <v>2269.8653199999999</v>
      </c>
    </row>
    <row r="217" spans="1:10" ht="12.75" hidden="1" customHeight="1" outlineLevel="2">
      <c r="A217" s="1830"/>
      <c r="B217" s="1831"/>
      <c r="C217" s="1401" t="s">
        <v>1624</v>
      </c>
      <c r="D217" s="776" t="s">
        <v>1625</v>
      </c>
      <c r="E217" s="1400" t="s">
        <v>1212</v>
      </c>
      <c r="F217" s="1400">
        <v>5</v>
      </c>
      <c r="G217" s="1400">
        <v>0</v>
      </c>
      <c r="H217" s="1400">
        <v>150.80000000000001</v>
      </c>
      <c r="I217" s="1400">
        <v>0</v>
      </c>
      <c r="J217" s="1400">
        <f t="shared" si="9"/>
        <v>754</v>
      </c>
    </row>
    <row r="218" spans="1:10" ht="12.75" hidden="1" customHeight="1" outlineLevel="2">
      <c r="A218" s="1830"/>
      <c r="B218" s="1831"/>
      <c r="C218" s="1401" t="s">
        <v>1626</v>
      </c>
      <c r="D218" s="776" t="s">
        <v>1627</v>
      </c>
      <c r="E218" s="1400" t="s">
        <v>1212</v>
      </c>
      <c r="F218" s="1400">
        <v>2.1</v>
      </c>
      <c r="G218" s="1400">
        <v>0</v>
      </c>
      <c r="H218" s="1400">
        <v>3074</v>
      </c>
      <c r="I218" s="1400">
        <v>0</v>
      </c>
      <c r="J218" s="1400">
        <f t="shared" si="9"/>
        <v>6455.4000000000005</v>
      </c>
    </row>
    <row r="219" spans="1:10" ht="12.75" hidden="1" customHeight="1" outlineLevel="2">
      <c r="A219" s="1830"/>
      <c r="B219" s="1831"/>
      <c r="C219" s="798"/>
      <c r="D219" s="797"/>
      <c r="E219" s="797"/>
      <c r="F219" s="797"/>
      <c r="G219" s="797">
        <v>5</v>
      </c>
      <c r="H219" s="797" t="s">
        <v>1514</v>
      </c>
      <c r="I219" s="797"/>
      <c r="J219" s="797">
        <v>1009.9799999999999</v>
      </c>
    </row>
    <row r="220" spans="1:10" ht="12.75" hidden="1" customHeight="1" outlineLevel="2">
      <c r="A220" s="1830"/>
      <c r="B220" s="1831"/>
      <c r="C220" s="1835" t="s">
        <v>1488</v>
      </c>
      <c r="D220" s="1808"/>
      <c r="E220" s="1399" t="s">
        <v>345</v>
      </c>
      <c r="F220" s="583">
        <f>'3.Concreto'!P173</f>
        <v>2.64</v>
      </c>
      <c r="G220" s="1399"/>
      <c r="H220" s="1399"/>
      <c r="I220" s="1399">
        <v>0</v>
      </c>
      <c r="J220" s="1400">
        <f>SUM(J211:J219)</f>
        <v>7311962.2003200026</v>
      </c>
    </row>
    <row r="221" spans="1:10" ht="12.75" hidden="1" customHeight="1" outlineLevel="1">
      <c r="A221" s="1830"/>
      <c r="B221" s="1831"/>
      <c r="C221" s="1836" t="s">
        <v>47</v>
      </c>
      <c r="D221" s="1827"/>
      <c r="E221" s="1827"/>
      <c r="F221" s="1827"/>
      <c r="G221" s="1827"/>
      <c r="H221" s="1827"/>
      <c r="I221" s="1827"/>
      <c r="J221" s="773">
        <f>J220*F220</f>
        <v>19303580.208844807</v>
      </c>
    </row>
    <row r="222" spans="1:10" ht="12.75" hidden="1" customHeight="1" outlineLevel="1">
      <c r="A222" s="1830" t="s">
        <v>1642</v>
      </c>
      <c r="B222" s="1831" t="s">
        <v>1096</v>
      </c>
      <c r="C222" s="1909" t="s">
        <v>3652</v>
      </c>
      <c r="D222" s="1909"/>
      <c r="E222" s="1909"/>
      <c r="F222" s="1909"/>
      <c r="G222" s="1909"/>
      <c r="H222" s="1909"/>
      <c r="I222" s="1909"/>
      <c r="J222" s="1909"/>
    </row>
    <row r="223" spans="1:10" ht="12.75" hidden="1" customHeight="1" outlineLevel="2">
      <c r="A223" s="1830"/>
      <c r="B223" s="1831"/>
      <c r="C223" s="811" t="s">
        <v>1853</v>
      </c>
      <c r="D223" s="794" t="s">
        <v>1614</v>
      </c>
      <c r="E223" s="796" t="s">
        <v>49</v>
      </c>
      <c r="F223" s="796">
        <f>Tenores!G80</f>
        <v>1.3888888888888897</v>
      </c>
      <c r="G223" s="1400">
        <v>10</v>
      </c>
      <c r="H223" s="797">
        <v>413468.17500000005</v>
      </c>
      <c r="I223" s="1400">
        <v>0</v>
      </c>
      <c r="J223" s="1400">
        <f>(F223*(1+G223/100)) * (H223*(1+I223/100))</f>
        <v>631687.48958333384</v>
      </c>
    </row>
    <row r="224" spans="1:10" ht="12.75" hidden="1" customHeight="1" outlineLevel="2">
      <c r="A224" s="1830"/>
      <c r="B224" s="1831"/>
      <c r="C224" s="1401" t="s">
        <v>1615</v>
      </c>
      <c r="D224" s="776" t="s">
        <v>1616</v>
      </c>
      <c r="E224" s="1400" t="s">
        <v>39</v>
      </c>
      <c r="F224" s="1400">
        <v>1.33</v>
      </c>
      <c r="G224" s="1400">
        <v>0</v>
      </c>
      <c r="H224" s="1400">
        <v>3014.5</v>
      </c>
      <c r="I224" s="1400">
        <v>0</v>
      </c>
      <c r="J224" s="1400">
        <f t="shared" ref="J224:J230" si="10">(F224*(1+G224/100)) * (H224*(1+I224/100))</f>
        <v>4009.2850000000003</v>
      </c>
    </row>
    <row r="225" spans="1:10" ht="12.75" hidden="1" customHeight="1" outlineLevel="2">
      <c r="A225" s="1830"/>
      <c r="B225" s="1831"/>
      <c r="C225" s="1401" t="s">
        <v>1617</v>
      </c>
      <c r="D225" s="776" t="s">
        <v>1618</v>
      </c>
      <c r="E225" s="1400" t="s">
        <v>1619</v>
      </c>
      <c r="F225" s="1400">
        <v>0.13</v>
      </c>
      <c r="G225" s="1400">
        <v>0</v>
      </c>
      <c r="H225" s="1400">
        <v>7800</v>
      </c>
      <c r="I225" s="1400">
        <v>0</v>
      </c>
      <c r="J225" s="1400">
        <f t="shared" si="10"/>
        <v>1014</v>
      </c>
    </row>
    <row r="226" spans="1:10" ht="12.75" hidden="1" customHeight="1" outlineLevel="2">
      <c r="A226" s="1830"/>
      <c r="B226" s="1831"/>
      <c r="C226" s="1401" t="s">
        <v>1620</v>
      </c>
      <c r="D226" s="776" t="s">
        <v>1621</v>
      </c>
      <c r="E226" s="1400" t="s">
        <v>39</v>
      </c>
      <c r="F226" s="1400">
        <v>0.2</v>
      </c>
      <c r="G226" s="1400">
        <v>0</v>
      </c>
      <c r="H226" s="1400">
        <v>7400</v>
      </c>
      <c r="I226" s="1400">
        <v>0</v>
      </c>
      <c r="J226" s="1400">
        <f t="shared" si="10"/>
        <v>1480</v>
      </c>
    </row>
    <row r="227" spans="1:10" ht="12.75" hidden="1" customHeight="1" outlineLevel="2">
      <c r="A227" s="1830"/>
      <c r="B227" s="1831"/>
      <c r="C227" s="1401" t="s">
        <v>1622</v>
      </c>
      <c r="D227" s="776" t="s">
        <v>1623</v>
      </c>
      <c r="E227" s="1400" t="s">
        <v>48</v>
      </c>
      <c r="F227" s="1400">
        <v>1</v>
      </c>
      <c r="G227" s="1400">
        <v>0</v>
      </c>
      <c r="H227" s="1400">
        <v>17929.79</v>
      </c>
      <c r="I227" s="1400">
        <v>0</v>
      </c>
      <c r="J227" s="1400">
        <f t="shared" si="10"/>
        <v>17929.79</v>
      </c>
    </row>
    <row r="228" spans="1:10" ht="12.75" hidden="1" customHeight="1" outlineLevel="2">
      <c r="A228" s="1830"/>
      <c r="B228" s="1831"/>
      <c r="C228" s="1401" t="s">
        <v>1584</v>
      </c>
      <c r="D228" s="776" t="s">
        <v>1585</v>
      </c>
      <c r="E228" s="1400" t="s">
        <v>49</v>
      </c>
      <c r="F228" s="1400">
        <v>0.27399999999999997</v>
      </c>
      <c r="G228" s="1400">
        <v>0</v>
      </c>
      <c r="H228" s="1400">
        <v>8284.18</v>
      </c>
      <c r="I228" s="1400">
        <v>0</v>
      </c>
      <c r="J228" s="1400">
        <f t="shared" si="10"/>
        <v>2269.8653199999999</v>
      </c>
    </row>
    <row r="229" spans="1:10" ht="12.75" hidden="1" customHeight="1" outlineLevel="2">
      <c r="A229" s="1830"/>
      <c r="B229" s="1831"/>
      <c r="C229" s="1401" t="s">
        <v>1624</v>
      </c>
      <c r="D229" s="776" t="s">
        <v>1625</v>
      </c>
      <c r="E229" s="1400" t="s">
        <v>1212</v>
      </c>
      <c r="F229" s="1400">
        <v>5</v>
      </c>
      <c r="G229" s="1400">
        <v>0</v>
      </c>
      <c r="H229" s="1400">
        <v>150.80000000000001</v>
      </c>
      <c r="I229" s="1400">
        <v>0</v>
      </c>
      <c r="J229" s="1400">
        <f t="shared" si="10"/>
        <v>754</v>
      </c>
    </row>
    <row r="230" spans="1:10" ht="12.75" hidden="1" customHeight="1" outlineLevel="2">
      <c r="A230" s="1830"/>
      <c r="B230" s="1831"/>
      <c r="C230" s="1401" t="s">
        <v>1626</v>
      </c>
      <c r="D230" s="776" t="s">
        <v>1627</v>
      </c>
      <c r="E230" s="1400" t="s">
        <v>1212</v>
      </c>
      <c r="F230" s="1400">
        <v>2.1</v>
      </c>
      <c r="G230" s="1400">
        <v>0</v>
      </c>
      <c r="H230" s="1400">
        <v>3074</v>
      </c>
      <c r="I230" s="1400">
        <v>0</v>
      </c>
      <c r="J230" s="1400">
        <f t="shared" si="10"/>
        <v>6455.4000000000005</v>
      </c>
    </row>
    <row r="231" spans="1:10" ht="12.75" hidden="1" customHeight="1" outlineLevel="2">
      <c r="A231" s="1830"/>
      <c r="B231" s="1831"/>
      <c r="C231" s="798"/>
      <c r="D231" s="797"/>
      <c r="E231" s="797"/>
      <c r="F231" s="797"/>
      <c r="G231" s="797">
        <v>5</v>
      </c>
      <c r="H231" s="797" t="s">
        <v>1514</v>
      </c>
      <c r="I231" s="797"/>
      <c r="J231" s="797">
        <v>1009.9799999999999</v>
      </c>
    </row>
    <row r="232" spans="1:10" ht="12.75" hidden="1" customHeight="1" outlineLevel="2">
      <c r="A232" s="1830"/>
      <c r="B232" s="1831"/>
      <c r="C232" s="1835" t="s">
        <v>1488</v>
      </c>
      <c r="D232" s="1808"/>
      <c r="E232" s="1399" t="s">
        <v>345</v>
      </c>
      <c r="F232" s="583">
        <f>'3.Concreto'!P174</f>
        <v>87.84</v>
      </c>
      <c r="G232" s="1399"/>
      <c r="H232" s="1399"/>
      <c r="I232" s="1399">
        <v>0</v>
      </c>
      <c r="J232" s="1400">
        <f>SUM(J223:J231)</f>
        <v>666609.80990333389</v>
      </c>
    </row>
    <row r="233" spans="1:10" ht="12.75" hidden="1" customHeight="1" outlineLevel="1">
      <c r="A233" s="1830"/>
      <c r="B233" s="1831"/>
      <c r="C233" s="1836" t="s">
        <v>47</v>
      </c>
      <c r="D233" s="1827"/>
      <c r="E233" s="1827"/>
      <c r="F233" s="1827"/>
      <c r="G233" s="1827"/>
      <c r="H233" s="1827"/>
      <c r="I233" s="1827"/>
      <c r="J233" s="773">
        <f>J232*F232</f>
        <v>58555005.701908849</v>
      </c>
    </row>
    <row r="234" spans="1:10" ht="12.75" hidden="1" customHeight="1" outlineLevel="1">
      <c r="A234" s="1830" t="s">
        <v>1642</v>
      </c>
      <c r="B234" s="1831" t="s">
        <v>1096</v>
      </c>
      <c r="C234" s="1909" t="s">
        <v>3653</v>
      </c>
      <c r="D234" s="1909"/>
      <c r="E234" s="1909"/>
      <c r="F234" s="1909"/>
      <c r="G234" s="1909"/>
      <c r="H234" s="1909"/>
      <c r="I234" s="1909"/>
      <c r="J234" s="1909"/>
    </row>
    <row r="235" spans="1:10" ht="12.75" hidden="1" customHeight="1" outlineLevel="2">
      <c r="A235" s="1830"/>
      <c r="B235" s="1831"/>
      <c r="C235" s="811" t="s">
        <v>1853</v>
      </c>
      <c r="D235" s="794" t="s">
        <v>1614</v>
      </c>
      <c r="E235" s="796" t="s">
        <v>49</v>
      </c>
      <c r="F235" s="796">
        <f>Tenores!G78</f>
        <v>2.083333333333333</v>
      </c>
      <c r="G235" s="1400">
        <v>10</v>
      </c>
      <c r="H235" s="797">
        <v>413468.17500000005</v>
      </c>
      <c r="I235" s="1400">
        <v>0</v>
      </c>
      <c r="J235" s="1400">
        <f>(F235*(1+G235/100)) * (H235*(1+I235/100))</f>
        <v>947531.234375</v>
      </c>
    </row>
    <row r="236" spans="1:10" ht="12.75" hidden="1" customHeight="1" outlineLevel="2">
      <c r="A236" s="1830"/>
      <c r="B236" s="1831"/>
      <c r="C236" s="1401" t="s">
        <v>1615</v>
      </c>
      <c r="D236" s="776" t="s">
        <v>1616</v>
      </c>
      <c r="E236" s="1400" t="s">
        <v>39</v>
      </c>
      <c r="F236" s="1400">
        <v>1.33</v>
      </c>
      <c r="G236" s="1400">
        <v>0</v>
      </c>
      <c r="H236" s="1400">
        <v>3014.5</v>
      </c>
      <c r="I236" s="1400">
        <v>0</v>
      </c>
      <c r="J236" s="1400">
        <f t="shared" ref="J236:J242" si="11">(F236*(1+G236/100)) * (H236*(1+I236/100))</f>
        <v>4009.2850000000003</v>
      </c>
    </row>
    <row r="237" spans="1:10" ht="12.75" hidden="1" customHeight="1" outlineLevel="2">
      <c r="A237" s="1830"/>
      <c r="B237" s="1831"/>
      <c r="C237" s="1401" t="s">
        <v>1617</v>
      </c>
      <c r="D237" s="776" t="s">
        <v>1618</v>
      </c>
      <c r="E237" s="1400" t="s">
        <v>1619</v>
      </c>
      <c r="F237" s="1400">
        <v>0.13</v>
      </c>
      <c r="G237" s="1400">
        <v>0</v>
      </c>
      <c r="H237" s="1400">
        <v>7800</v>
      </c>
      <c r="I237" s="1400">
        <v>0</v>
      </c>
      <c r="J237" s="1400">
        <f t="shared" si="11"/>
        <v>1014</v>
      </c>
    </row>
    <row r="238" spans="1:10" ht="12.75" hidden="1" customHeight="1" outlineLevel="2">
      <c r="A238" s="1830"/>
      <c r="B238" s="1831"/>
      <c r="C238" s="1401" t="s">
        <v>1620</v>
      </c>
      <c r="D238" s="776" t="s">
        <v>1621</v>
      </c>
      <c r="E238" s="1400" t="s">
        <v>39</v>
      </c>
      <c r="F238" s="1400">
        <v>0.2</v>
      </c>
      <c r="G238" s="1400">
        <v>0</v>
      </c>
      <c r="H238" s="1400">
        <v>7400</v>
      </c>
      <c r="I238" s="1400">
        <v>0</v>
      </c>
      <c r="J238" s="1400">
        <f t="shared" si="11"/>
        <v>1480</v>
      </c>
    </row>
    <row r="239" spans="1:10" ht="12.75" hidden="1" customHeight="1" outlineLevel="2">
      <c r="A239" s="1830"/>
      <c r="B239" s="1831"/>
      <c r="C239" s="1401" t="s">
        <v>1622</v>
      </c>
      <c r="D239" s="776" t="s">
        <v>1623</v>
      </c>
      <c r="E239" s="1400" t="s">
        <v>48</v>
      </c>
      <c r="F239" s="1400">
        <v>1</v>
      </c>
      <c r="G239" s="1400">
        <v>0</v>
      </c>
      <c r="H239" s="1400">
        <v>17929.79</v>
      </c>
      <c r="I239" s="1400">
        <v>0</v>
      </c>
      <c r="J239" s="1400">
        <f t="shared" si="11"/>
        <v>17929.79</v>
      </c>
    </row>
    <row r="240" spans="1:10" ht="12.75" hidden="1" customHeight="1" outlineLevel="2">
      <c r="A240" s="1830"/>
      <c r="B240" s="1831"/>
      <c r="C240" s="1401" t="s">
        <v>1584</v>
      </c>
      <c r="D240" s="776" t="s">
        <v>1585</v>
      </c>
      <c r="E240" s="1400" t="s">
        <v>49</v>
      </c>
      <c r="F240" s="1400">
        <v>0.27399999999999997</v>
      </c>
      <c r="G240" s="1400">
        <v>0</v>
      </c>
      <c r="H240" s="1400">
        <v>8284.18</v>
      </c>
      <c r="I240" s="1400">
        <v>0</v>
      </c>
      <c r="J240" s="1400">
        <f t="shared" si="11"/>
        <v>2269.8653199999999</v>
      </c>
    </row>
    <row r="241" spans="1:10" ht="12.75" hidden="1" customHeight="1" outlineLevel="2">
      <c r="A241" s="1830"/>
      <c r="B241" s="1831"/>
      <c r="C241" s="1401" t="s">
        <v>1624</v>
      </c>
      <c r="D241" s="776" t="s">
        <v>1625</v>
      </c>
      <c r="E241" s="1400" t="s">
        <v>1212</v>
      </c>
      <c r="F241" s="1400">
        <v>5</v>
      </c>
      <c r="G241" s="1400">
        <v>0</v>
      </c>
      <c r="H241" s="1400">
        <v>150.80000000000001</v>
      </c>
      <c r="I241" s="1400">
        <v>0</v>
      </c>
      <c r="J241" s="1400">
        <f t="shared" si="11"/>
        <v>754</v>
      </c>
    </row>
    <row r="242" spans="1:10" ht="12.75" hidden="1" customHeight="1" outlineLevel="2">
      <c r="A242" s="1830"/>
      <c r="B242" s="1831"/>
      <c r="C242" s="1401" t="s">
        <v>1626</v>
      </c>
      <c r="D242" s="776" t="s">
        <v>1627</v>
      </c>
      <c r="E242" s="1400" t="s">
        <v>1212</v>
      </c>
      <c r="F242" s="1400">
        <v>2.1</v>
      </c>
      <c r="G242" s="1400">
        <v>0</v>
      </c>
      <c r="H242" s="1400">
        <v>3074</v>
      </c>
      <c r="I242" s="1400">
        <v>0</v>
      </c>
      <c r="J242" s="1400">
        <f t="shared" si="11"/>
        <v>6455.4000000000005</v>
      </c>
    </row>
    <row r="243" spans="1:10" ht="12.75" hidden="1" customHeight="1" outlineLevel="2">
      <c r="A243" s="1830"/>
      <c r="B243" s="1831"/>
      <c r="C243" s="798"/>
      <c r="D243" s="797"/>
      <c r="E243" s="797"/>
      <c r="F243" s="797"/>
      <c r="G243" s="797">
        <v>5</v>
      </c>
      <c r="H243" s="797" t="s">
        <v>1514</v>
      </c>
      <c r="I243" s="797"/>
      <c r="J243" s="797">
        <v>1009.9799999999999</v>
      </c>
    </row>
    <row r="244" spans="1:10" ht="12.75" hidden="1" customHeight="1" outlineLevel="2">
      <c r="A244" s="1830"/>
      <c r="B244" s="1831"/>
      <c r="C244" s="1835" t="s">
        <v>1488</v>
      </c>
      <c r="D244" s="1808"/>
      <c r="E244" s="1399" t="s">
        <v>345</v>
      </c>
      <c r="F244" s="583">
        <f>'3.Concreto'!P175</f>
        <v>88.32</v>
      </c>
      <c r="G244" s="1399"/>
      <c r="H244" s="1399"/>
      <c r="I244" s="1399">
        <v>0</v>
      </c>
      <c r="J244" s="1400">
        <f>SUM(J235:J243)</f>
        <v>982453.55469500006</v>
      </c>
    </row>
    <row r="245" spans="1:10" ht="12.75" hidden="1" customHeight="1" outlineLevel="1">
      <c r="A245" s="1830"/>
      <c r="B245" s="1831"/>
      <c r="C245" s="1836" t="s">
        <v>47</v>
      </c>
      <c r="D245" s="1827"/>
      <c r="E245" s="1827"/>
      <c r="F245" s="1827"/>
      <c r="G245" s="1827"/>
      <c r="H245" s="1827"/>
      <c r="I245" s="1827"/>
      <c r="J245" s="773">
        <f>J244*F244</f>
        <v>86770297.950662404</v>
      </c>
    </row>
    <row r="246" spans="1:10" ht="12.75" hidden="1" customHeight="1" outlineLevel="1">
      <c r="A246" s="1830" t="s">
        <v>1642</v>
      </c>
      <c r="B246" s="1831" t="s">
        <v>1096</v>
      </c>
      <c r="C246" s="1909" t="s">
        <v>3654</v>
      </c>
      <c r="D246" s="1909"/>
      <c r="E246" s="1909"/>
      <c r="F246" s="1909"/>
      <c r="G246" s="1909"/>
      <c r="H246" s="1909"/>
      <c r="I246" s="1909"/>
      <c r="J246" s="1909"/>
    </row>
    <row r="247" spans="1:10" ht="12.75" hidden="1" customHeight="1" outlineLevel="2">
      <c r="A247" s="1830"/>
      <c r="B247" s="1831"/>
      <c r="C247" s="811" t="s">
        <v>1853</v>
      </c>
      <c r="D247" s="794" t="s">
        <v>1614</v>
      </c>
      <c r="E247" s="796" t="s">
        <v>49</v>
      </c>
      <c r="F247" s="796">
        <f>Tenores!G85</f>
        <v>6.2499999999999991</v>
      </c>
      <c r="G247" s="1400">
        <v>10</v>
      </c>
      <c r="H247" s="797">
        <v>413468.17500000005</v>
      </c>
      <c r="I247" s="1400">
        <v>0</v>
      </c>
      <c r="J247" s="1400">
        <f>(F247*(1+G247/100)) * (H247*(1+I247/100))</f>
        <v>2842593.7031250005</v>
      </c>
    </row>
    <row r="248" spans="1:10" ht="12.75" hidden="1" customHeight="1" outlineLevel="2">
      <c r="A248" s="1830"/>
      <c r="B248" s="1831"/>
      <c r="C248" s="1401" t="s">
        <v>1615</v>
      </c>
      <c r="D248" s="776" t="s">
        <v>1616</v>
      </c>
      <c r="E248" s="1400" t="s">
        <v>39</v>
      </c>
      <c r="F248" s="1400">
        <v>1.33</v>
      </c>
      <c r="G248" s="1400">
        <v>0</v>
      </c>
      <c r="H248" s="1400">
        <v>3014.5</v>
      </c>
      <c r="I248" s="1400">
        <v>0</v>
      </c>
      <c r="J248" s="1400">
        <f t="shared" ref="J248:J254" si="12">(F248*(1+G248/100)) * (H248*(1+I248/100))</f>
        <v>4009.2850000000003</v>
      </c>
    </row>
    <row r="249" spans="1:10" ht="12.75" hidden="1" customHeight="1" outlineLevel="2">
      <c r="A249" s="1830"/>
      <c r="B249" s="1831"/>
      <c r="C249" s="1401" t="s">
        <v>1617</v>
      </c>
      <c r="D249" s="776" t="s">
        <v>1618</v>
      </c>
      <c r="E249" s="1400" t="s">
        <v>1619</v>
      </c>
      <c r="F249" s="1400">
        <v>0.13</v>
      </c>
      <c r="G249" s="1400">
        <v>0</v>
      </c>
      <c r="H249" s="1400">
        <v>7800</v>
      </c>
      <c r="I249" s="1400">
        <v>0</v>
      </c>
      <c r="J249" s="1400">
        <f t="shared" si="12"/>
        <v>1014</v>
      </c>
    </row>
    <row r="250" spans="1:10" ht="12.75" hidden="1" customHeight="1" outlineLevel="2">
      <c r="A250" s="1830"/>
      <c r="B250" s="1831"/>
      <c r="C250" s="1401" t="s">
        <v>1620</v>
      </c>
      <c r="D250" s="776" t="s">
        <v>1621</v>
      </c>
      <c r="E250" s="1400" t="s">
        <v>39</v>
      </c>
      <c r="F250" s="1400">
        <v>0.2</v>
      </c>
      <c r="G250" s="1400">
        <v>0</v>
      </c>
      <c r="H250" s="1400">
        <v>7400</v>
      </c>
      <c r="I250" s="1400">
        <v>0</v>
      </c>
      <c r="J250" s="1400">
        <f t="shared" si="12"/>
        <v>1480</v>
      </c>
    </row>
    <row r="251" spans="1:10" ht="12.75" hidden="1" customHeight="1" outlineLevel="2">
      <c r="A251" s="1830"/>
      <c r="B251" s="1831"/>
      <c r="C251" s="1401" t="s">
        <v>1622</v>
      </c>
      <c r="D251" s="776" t="s">
        <v>1623</v>
      </c>
      <c r="E251" s="1400" t="s">
        <v>48</v>
      </c>
      <c r="F251" s="1400">
        <v>1</v>
      </c>
      <c r="G251" s="1400">
        <v>0</v>
      </c>
      <c r="H251" s="1400">
        <v>17929.79</v>
      </c>
      <c r="I251" s="1400">
        <v>0</v>
      </c>
      <c r="J251" s="1400">
        <f t="shared" si="12"/>
        <v>17929.79</v>
      </c>
    </row>
    <row r="252" spans="1:10" ht="12.75" hidden="1" customHeight="1" outlineLevel="2">
      <c r="A252" s="1830"/>
      <c r="B252" s="1831"/>
      <c r="C252" s="1401" t="s">
        <v>1584</v>
      </c>
      <c r="D252" s="776" t="s">
        <v>1585</v>
      </c>
      <c r="E252" s="1400" t="s">
        <v>49</v>
      </c>
      <c r="F252" s="1400">
        <v>0.27399999999999997</v>
      </c>
      <c r="G252" s="1400">
        <v>0</v>
      </c>
      <c r="H252" s="1400">
        <v>8284.18</v>
      </c>
      <c r="I252" s="1400">
        <v>0</v>
      </c>
      <c r="J252" s="1400">
        <f t="shared" si="12"/>
        <v>2269.8653199999999</v>
      </c>
    </row>
    <row r="253" spans="1:10" ht="12.75" hidden="1" customHeight="1" outlineLevel="2">
      <c r="A253" s="1830"/>
      <c r="B253" s="1831"/>
      <c r="C253" s="1401" t="s">
        <v>1624</v>
      </c>
      <c r="D253" s="776" t="s">
        <v>1625</v>
      </c>
      <c r="E253" s="1400" t="s">
        <v>1212</v>
      </c>
      <c r="F253" s="1400">
        <v>5</v>
      </c>
      <c r="G253" s="1400">
        <v>0</v>
      </c>
      <c r="H253" s="1400">
        <v>150.80000000000001</v>
      </c>
      <c r="I253" s="1400">
        <v>0</v>
      </c>
      <c r="J253" s="1400">
        <f t="shared" si="12"/>
        <v>754</v>
      </c>
    </row>
    <row r="254" spans="1:10" ht="12.75" hidden="1" customHeight="1" outlineLevel="2">
      <c r="A254" s="1830"/>
      <c r="B254" s="1831"/>
      <c r="C254" s="1401" t="s">
        <v>1626</v>
      </c>
      <c r="D254" s="776" t="s">
        <v>1627</v>
      </c>
      <c r="E254" s="1400" t="s">
        <v>1212</v>
      </c>
      <c r="F254" s="1400">
        <v>2.1</v>
      </c>
      <c r="G254" s="1400">
        <v>0</v>
      </c>
      <c r="H254" s="1400">
        <v>3074</v>
      </c>
      <c r="I254" s="1400">
        <v>0</v>
      </c>
      <c r="J254" s="1400">
        <f t="shared" si="12"/>
        <v>6455.4000000000005</v>
      </c>
    </row>
    <row r="255" spans="1:10" ht="12.75" hidden="1" customHeight="1" outlineLevel="2">
      <c r="A255" s="1830"/>
      <c r="B255" s="1831"/>
      <c r="C255" s="798"/>
      <c r="D255" s="797"/>
      <c r="E255" s="797"/>
      <c r="F255" s="797"/>
      <c r="G255" s="797">
        <v>5</v>
      </c>
      <c r="H255" s="797" t="s">
        <v>1514</v>
      </c>
      <c r="I255" s="797"/>
      <c r="J255" s="797">
        <v>1009.9799999999999</v>
      </c>
    </row>
    <row r="256" spans="1:10" ht="12.75" hidden="1" customHeight="1" outlineLevel="2">
      <c r="A256" s="1830"/>
      <c r="B256" s="1831"/>
      <c r="C256" s="1835" t="s">
        <v>1488</v>
      </c>
      <c r="D256" s="1808"/>
      <c r="E256" s="1399" t="s">
        <v>345</v>
      </c>
      <c r="F256" s="583">
        <f>'3.Concreto'!P176</f>
        <v>5.28</v>
      </c>
      <c r="G256" s="1399"/>
      <c r="H256" s="1399"/>
      <c r="I256" s="1399">
        <v>0</v>
      </c>
      <c r="J256" s="1400">
        <f>SUM(J247:J255)</f>
        <v>2877516.0234450004</v>
      </c>
    </row>
    <row r="257" spans="1:10" ht="12.75" hidden="1" customHeight="1" outlineLevel="1">
      <c r="A257" s="1830"/>
      <c r="B257" s="1831"/>
      <c r="C257" s="1836" t="s">
        <v>47</v>
      </c>
      <c r="D257" s="1827"/>
      <c r="E257" s="1827"/>
      <c r="F257" s="1827"/>
      <c r="G257" s="1827"/>
      <c r="H257" s="1827"/>
      <c r="I257" s="1827"/>
      <c r="J257" s="773">
        <f>J256*F256</f>
        <v>15193284.603789603</v>
      </c>
    </row>
    <row r="258" spans="1:10" ht="12.75" hidden="1" customHeight="1" outlineLevel="1">
      <c r="A258" s="1830" t="s">
        <v>1642</v>
      </c>
      <c r="B258" s="1831" t="s">
        <v>1097</v>
      </c>
      <c r="C258" s="1909" t="s">
        <v>3655</v>
      </c>
      <c r="D258" s="1909"/>
      <c r="E258" s="1909"/>
      <c r="F258" s="1909"/>
      <c r="G258" s="1909"/>
      <c r="H258" s="1909"/>
      <c r="I258" s="1909"/>
      <c r="J258" s="1909"/>
    </row>
    <row r="259" spans="1:10" ht="12.75" hidden="1" customHeight="1" outlineLevel="2">
      <c r="A259" s="1830"/>
      <c r="B259" s="1831"/>
      <c r="C259" s="811" t="s">
        <v>1849</v>
      </c>
      <c r="D259" s="776" t="s">
        <v>1641</v>
      </c>
      <c r="E259" s="774" t="s">
        <v>49</v>
      </c>
      <c r="F259" s="774">
        <f>Tenores!G83</f>
        <v>1.1111111111111112</v>
      </c>
      <c r="G259" s="774">
        <v>10</v>
      </c>
      <c r="H259" s="774">
        <v>360025.25199999998</v>
      </c>
      <c r="I259" s="774">
        <v>0</v>
      </c>
      <c r="J259" s="774">
        <f>(F259*(1+G259/100)) * (H259*(1+I259/100))</f>
        <v>440030.86355555558</v>
      </c>
    </row>
    <row r="260" spans="1:10" ht="12.75" hidden="1" customHeight="1" outlineLevel="2">
      <c r="A260" s="1830"/>
      <c r="B260" s="1831"/>
      <c r="C260" s="777" t="s">
        <v>1615</v>
      </c>
      <c r="D260" s="776" t="s">
        <v>1616</v>
      </c>
      <c r="E260" s="774" t="s">
        <v>39</v>
      </c>
      <c r="F260" s="774">
        <v>1.33</v>
      </c>
      <c r="G260" s="774">
        <v>0</v>
      </c>
      <c r="H260" s="774">
        <v>3014.5</v>
      </c>
      <c r="I260" s="774">
        <v>0</v>
      </c>
      <c r="J260" s="774">
        <f t="shared" ref="J260:J266" si="13">(F260*(1+G260/100)) * (H260*(1+I260/100))</f>
        <v>4009.2850000000003</v>
      </c>
    </row>
    <row r="261" spans="1:10" ht="12.75" hidden="1" customHeight="1" outlineLevel="2">
      <c r="A261" s="1830"/>
      <c r="B261" s="1831"/>
      <c r="C261" s="777" t="s">
        <v>1617</v>
      </c>
      <c r="D261" s="776" t="s">
        <v>1618</v>
      </c>
      <c r="E261" s="774" t="s">
        <v>1619</v>
      </c>
      <c r="F261" s="774">
        <v>0.13</v>
      </c>
      <c r="G261" s="774">
        <v>0</v>
      </c>
      <c r="H261" s="774">
        <v>7800</v>
      </c>
      <c r="I261" s="774">
        <v>0</v>
      </c>
      <c r="J261" s="774">
        <f t="shared" si="13"/>
        <v>1014</v>
      </c>
    </row>
    <row r="262" spans="1:10" ht="12.75" hidden="1" customHeight="1" outlineLevel="2">
      <c r="A262" s="1830"/>
      <c r="B262" s="1831"/>
      <c r="C262" s="777" t="s">
        <v>1620</v>
      </c>
      <c r="D262" s="776" t="s">
        <v>1621</v>
      </c>
      <c r="E262" s="774" t="s">
        <v>39</v>
      </c>
      <c r="F262" s="774">
        <v>0.2</v>
      </c>
      <c r="G262" s="774">
        <v>0</v>
      </c>
      <c r="H262" s="774">
        <v>7400</v>
      </c>
      <c r="I262" s="774">
        <v>0</v>
      </c>
      <c r="J262" s="774">
        <f t="shared" si="13"/>
        <v>1480</v>
      </c>
    </row>
    <row r="263" spans="1:10" ht="12.75" hidden="1" customHeight="1" outlineLevel="2">
      <c r="A263" s="1830"/>
      <c r="B263" s="1831"/>
      <c r="C263" s="777" t="s">
        <v>1622</v>
      </c>
      <c r="D263" s="776" t="s">
        <v>1623</v>
      </c>
      <c r="E263" s="774" t="s">
        <v>48</v>
      </c>
      <c r="F263" s="774">
        <v>1</v>
      </c>
      <c r="G263" s="774">
        <v>0</v>
      </c>
      <c r="H263" s="774">
        <v>17929.79</v>
      </c>
      <c r="I263" s="774">
        <v>0</v>
      </c>
      <c r="J263" s="774">
        <f t="shared" si="13"/>
        <v>17929.79</v>
      </c>
    </row>
    <row r="264" spans="1:10" ht="12.75" hidden="1" customHeight="1" outlineLevel="2">
      <c r="A264" s="1830"/>
      <c r="B264" s="1831"/>
      <c r="C264" s="777" t="s">
        <v>1584</v>
      </c>
      <c r="D264" s="776" t="s">
        <v>1585</v>
      </c>
      <c r="E264" s="774" t="s">
        <v>49</v>
      </c>
      <c r="F264" s="774">
        <v>0.27399999999999997</v>
      </c>
      <c r="G264" s="774">
        <v>0</v>
      </c>
      <c r="H264" s="774">
        <v>8284.18</v>
      </c>
      <c r="I264" s="774">
        <v>0</v>
      </c>
      <c r="J264" s="774">
        <f t="shared" si="13"/>
        <v>2269.8653199999999</v>
      </c>
    </row>
    <row r="265" spans="1:10" ht="12.75" hidden="1" customHeight="1" outlineLevel="2">
      <c r="A265" s="1830"/>
      <c r="B265" s="1831"/>
      <c r="C265" s="777" t="s">
        <v>1624</v>
      </c>
      <c r="D265" s="776" t="s">
        <v>1625</v>
      </c>
      <c r="E265" s="774" t="s">
        <v>1212</v>
      </c>
      <c r="F265" s="774">
        <v>5</v>
      </c>
      <c r="G265" s="774">
        <v>0</v>
      </c>
      <c r="H265" s="774">
        <v>150.80000000000001</v>
      </c>
      <c r="I265" s="774">
        <v>0</v>
      </c>
      <c r="J265" s="774">
        <f t="shared" si="13"/>
        <v>754</v>
      </c>
    </row>
    <row r="266" spans="1:10" ht="12.75" hidden="1" customHeight="1" outlineLevel="2">
      <c r="A266" s="1830"/>
      <c r="B266" s="1831"/>
      <c r="C266" s="777" t="s">
        <v>1626</v>
      </c>
      <c r="D266" s="776" t="s">
        <v>1627</v>
      </c>
      <c r="E266" s="774" t="s">
        <v>1212</v>
      </c>
      <c r="F266" s="774">
        <v>2.1</v>
      </c>
      <c r="G266" s="774">
        <v>0</v>
      </c>
      <c r="H266" s="774">
        <v>3074</v>
      </c>
      <c r="I266" s="774">
        <v>0</v>
      </c>
      <c r="J266" s="774">
        <f t="shared" si="13"/>
        <v>6455.4000000000005</v>
      </c>
    </row>
    <row r="267" spans="1:10" ht="12.75" hidden="1" customHeight="1" outlineLevel="2">
      <c r="A267" s="1830"/>
      <c r="B267" s="1831"/>
      <c r="C267" s="798"/>
      <c r="D267" s="797"/>
      <c r="E267" s="797"/>
      <c r="F267" s="797"/>
      <c r="G267" s="797">
        <v>5</v>
      </c>
      <c r="H267" s="797" t="s">
        <v>1514</v>
      </c>
      <c r="I267" s="797"/>
      <c r="J267" s="797">
        <v>1009.9799999999999</v>
      </c>
    </row>
    <row r="268" spans="1:10" ht="12.75" hidden="1" customHeight="1" outlineLevel="2">
      <c r="A268" s="1830"/>
      <c r="B268" s="1831"/>
      <c r="C268" s="1835" t="s">
        <v>1488</v>
      </c>
      <c r="D268" s="1808"/>
      <c r="E268" s="767" t="s">
        <v>345</v>
      </c>
      <c r="F268" s="583">
        <f>'3.Concreto'!P177</f>
        <v>12</v>
      </c>
      <c r="G268" s="767"/>
      <c r="H268" s="767"/>
      <c r="I268" s="767">
        <v>0</v>
      </c>
      <c r="J268" s="774">
        <f>SUM(J259:J267)</f>
        <v>474953.18387555552</v>
      </c>
    </row>
    <row r="269" spans="1:10" ht="12.75" hidden="1" customHeight="1" outlineLevel="1">
      <c r="A269" s="1830"/>
      <c r="B269" s="1831"/>
      <c r="C269" s="1836" t="s">
        <v>47</v>
      </c>
      <c r="D269" s="1827"/>
      <c r="E269" s="1827"/>
      <c r="F269" s="1827"/>
      <c r="G269" s="1827"/>
      <c r="H269" s="1827"/>
      <c r="I269" s="1827"/>
      <c r="J269" s="773">
        <f>J268*F268</f>
        <v>5699438.2065066658</v>
      </c>
    </row>
    <row r="270" spans="1:10" ht="12.75" hidden="1" customHeight="1" outlineLevel="1">
      <c r="A270" s="1830" t="s">
        <v>1642</v>
      </c>
      <c r="B270" s="1831" t="s">
        <v>1097</v>
      </c>
      <c r="C270" s="1909" t="s">
        <v>3656</v>
      </c>
      <c r="D270" s="1909"/>
      <c r="E270" s="1909"/>
      <c r="F270" s="1909"/>
      <c r="G270" s="1909"/>
      <c r="H270" s="1909"/>
      <c r="I270" s="1909"/>
      <c r="J270" s="1909"/>
    </row>
    <row r="271" spans="1:10" ht="12.75" hidden="1" customHeight="1" outlineLevel="2">
      <c r="A271" s="1830"/>
      <c r="B271" s="1831"/>
      <c r="C271" s="811" t="s">
        <v>1849</v>
      </c>
      <c r="D271" s="776" t="s">
        <v>1641</v>
      </c>
      <c r="E271" s="1400" t="s">
        <v>49</v>
      </c>
      <c r="F271" s="1400">
        <f>Tenores!G79</f>
        <v>2.0833333333333335</v>
      </c>
      <c r="G271" s="1400">
        <v>10</v>
      </c>
      <c r="H271" s="1400">
        <v>360025.25199999998</v>
      </c>
      <c r="I271" s="1400">
        <v>0</v>
      </c>
      <c r="J271" s="1400">
        <f>(F271*(1+G271/100)) * (H271*(1+I271/100))</f>
        <v>825057.86916666676</v>
      </c>
    </row>
    <row r="272" spans="1:10" ht="12.75" hidden="1" customHeight="1" outlineLevel="2">
      <c r="A272" s="1830"/>
      <c r="B272" s="1831"/>
      <c r="C272" s="1401" t="s">
        <v>1615</v>
      </c>
      <c r="D272" s="776" t="s">
        <v>1616</v>
      </c>
      <c r="E272" s="1400" t="s">
        <v>39</v>
      </c>
      <c r="F272" s="1400">
        <v>1.33</v>
      </c>
      <c r="G272" s="1400">
        <v>0</v>
      </c>
      <c r="H272" s="1400">
        <v>3014.5</v>
      </c>
      <c r="I272" s="1400">
        <v>0</v>
      </c>
      <c r="J272" s="1400">
        <f t="shared" ref="J272:J278" si="14">(F272*(1+G272/100)) * (H272*(1+I272/100))</f>
        <v>4009.2850000000003</v>
      </c>
    </row>
    <row r="273" spans="1:10" ht="12.75" hidden="1" customHeight="1" outlineLevel="2">
      <c r="A273" s="1830"/>
      <c r="B273" s="1831"/>
      <c r="C273" s="1401" t="s">
        <v>1617</v>
      </c>
      <c r="D273" s="776" t="s">
        <v>1618</v>
      </c>
      <c r="E273" s="1400" t="s">
        <v>1619</v>
      </c>
      <c r="F273" s="1400">
        <v>0.13</v>
      </c>
      <c r="G273" s="1400">
        <v>0</v>
      </c>
      <c r="H273" s="1400">
        <v>7800</v>
      </c>
      <c r="I273" s="1400">
        <v>0</v>
      </c>
      <c r="J273" s="1400">
        <f t="shared" si="14"/>
        <v>1014</v>
      </c>
    </row>
    <row r="274" spans="1:10" ht="12.75" hidden="1" customHeight="1" outlineLevel="2">
      <c r="A274" s="1830"/>
      <c r="B274" s="1831"/>
      <c r="C274" s="1401" t="s">
        <v>1620</v>
      </c>
      <c r="D274" s="776" t="s">
        <v>1621</v>
      </c>
      <c r="E274" s="1400" t="s">
        <v>39</v>
      </c>
      <c r="F274" s="1400">
        <v>0.2</v>
      </c>
      <c r="G274" s="1400">
        <v>0</v>
      </c>
      <c r="H274" s="1400">
        <v>7400</v>
      </c>
      <c r="I274" s="1400">
        <v>0</v>
      </c>
      <c r="J274" s="1400">
        <f t="shared" si="14"/>
        <v>1480</v>
      </c>
    </row>
    <row r="275" spans="1:10" ht="12.75" hidden="1" customHeight="1" outlineLevel="2">
      <c r="A275" s="1830"/>
      <c r="B275" s="1831"/>
      <c r="C275" s="1401" t="s">
        <v>1622</v>
      </c>
      <c r="D275" s="776" t="s">
        <v>1623</v>
      </c>
      <c r="E275" s="1400" t="s">
        <v>48</v>
      </c>
      <c r="F275" s="1400">
        <v>1</v>
      </c>
      <c r="G275" s="1400">
        <v>0</v>
      </c>
      <c r="H275" s="1400">
        <v>17929.79</v>
      </c>
      <c r="I275" s="1400">
        <v>0</v>
      </c>
      <c r="J275" s="1400">
        <f t="shared" si="14"/>
        <v>17929.79</v>
      </c>
    </row>
    <row r="276" spans="1:10" ht="12.75" hidden="1" customHeight="1" outlineLevel="2">
      <c r="A276" s="1830"/>
      <c r="B276" s="1831"/>
      <c r="C276" s="1401" t="s">
        <v>1584</v>
      </c>
      <c r="D276" s="776" t="s">
        <v>1585</v>
      </c>
      <c r="E276" s="1400" t="s">
        <v>49</v>
      </c>
      <c r="F276" s="1400">
        <v>0.27399999999999997</v>
      </c>
      <c r="G276" s="1400">
        <v>0</v>
      </c>
      <c r="H276" s="1400">
        <v>8284.18</v>
      </c>
      <c r="I276" s="1400">
        <v>0</v>
      </c>
      <c r="J276" s="1400">
        <f t="shared" si="14"/>
        <v>2269.8653199999999</v>
      </c>
    </row>
    <row r="277" spans="1:10" ht="12.75" hidden="1" customHeight="1" outlineLevel="2">
      <c r="A277" s="1830"/>
      <c r="B277" s="1831"/>
      <c r="C277" s="1401" t="s">
        <v>1624</v>
      </c>
      <c r="D277" s="776" t="s">
        <v>1625</v>
      </c>
      <c r="E277" s="1400" t="s">
        <v>1212</v>
      </c>
      <c r="F277" s="1400">
        <v>5</v>
      </c>
      <c r="G277" s="1400">
        <v>0</v>
      </c>
      <c r="H277" s="1400">
        <v>150.80000000000001</v>
      </c>
      <c r="I277" s="1400">
        <v>0</v>
      </c>
      <c r="J277" s="1400">
        <f t="shared" si="14"/>
        <v>754</v>
      </c>
    </row>
    <row r="278" spans="1:10" ht="12.75" hidden="1" customHeight="1" outlineLevel="2">
      <c r="A278" s="1830"/>
      <c r="B278" s="1831"/>
      <c r="C278" s="1401" t="s">
        <v>1626</v>
      </c>
      <c r="D278" s="776" t="s">
        <v>1627</v>
      </c>
      <c r="E278" s="1400" t="s">
        <v>1212</v>
      </c>
      <c r="F278" s="1400">
        <v>2.1</v>
      </c>
      <c r="G278" s="1400">
        <v>0</v>
      </c>
      <c r="H278" s="1400">
        <v>3074</v>
      </c>
      <c r="I278" s="1400">
        <v>0</v>
      </c>
      <c r="J278" s="1400">
        <f t="shared" si="14"/>
        <v>6455.4000000000005</v>
      </c>
    </row>
    <row r="279" spans="1:10" ht="12.75" hidden="1" customHeight="1" outlineLevel="2">
      <c r="A279" s="1830"/>
      <c r="B279" s="1831"/>
      <c r="C279" s="798"/>
      <c r="D279" s="797"/>
      <c r="E279" s="797"/>
      <c r="F279" s="797"/>
      <c r="G279" s="797">
        <v>5</v>
      </c>
      <c r="H279" s="797" t="s">
        <v>1514</v>
      </c>
      <c r="I279" s="797"/>
      <c r="J279" s="797">
        <v>1009.9799999999999</v>
      </c>
    </row>
    <row r="280" spans="1:10" ht="12.75" hidden="1" customHeight="1" outlineLevel="2">
      <c r="A280" s="1830"/>
      <c r="B280" s="1831"/>
      <c r="C280" s="1835" t="s">
        <v>1488</v>
      </c>
      <c r="D280" s="1808"/>
      <c r="E280" s="1399" t="s">
        <v>345</v>
      </c>
      <c r="F280" s="583">
        <f>'3.Concreto'!P178</f>
        <v>77.88</v>
      </c>
      <c r="G280" s="1399"/>
      <c r="H280" s="1399"/>
      <c r="I280" s="1399">
        <v>0</v>
      </c>
      <c r="J280" s="1400">
        <f>SUM(J271:J279)</f>
        <v>859980.18948666682</v>
      </c>
    </row>
    <row r="281" spans="1:10" ht="12.75" hidden="1" customHeight="1" outlineLevel="1">
      <c r="A281" s="1830"/>
      <c r="B281" s="1831"/>
      <c r="C281" s="1836" t="s">
        <v>47</v>
      </c>
      <c r="D281" s="1827"/>
      <c r="E281" s="1827"/>
      <c r="F281" s="1827"/>
      <c r="G281" s="1827"/>
      <c r="H281" s="1827"/>
      <c r="I281" s="1827"/>
      <c r="J281" s="773">
        <f>J280*F280</f>
        <v>66975257.157221608</v>
      </c>
    </row>
    <row r="282" spans="1:10" ht="12.75" hidden="1" customHeight="1" outlineLevel="1">
      <c r="A282" s="1830" t="s">
        <v>1642</v>
      </c>
      <c r="B282" s="1831" t="s">
        <v>1097</v>
      </c>
      <c r="C282" s="1909" t="s">
        <v>3657</v>
      </c>
      <c r="D282" s="1909"/>
      <c r="E282" s="1909"/>
      <c r="F282" s="1909"/>
      <c r="G282" s="1909"/>
      <c r="H282" s="1909"/>
      <c r="I282" s="1909"/>
      <c r="J282" s="1909"/>
    </row>
    <row r="283" spans="1:10" ht="12.75" hidden="1" customHeight="1" outlineLevel="2">
      <c r="A283" s="1830"/>
      <c r="B283" s="1831"/>
      <c r="C283" s="811" t="s">
        <v>1849</v>
      </c>
      <c r="D283" s="776" t="s">
        <v>1641</v>
      </c>
      <c r="E283" s="1400" t="s">
        <v>49</v>
      </c>
      <c r="F283" s="1400">
        <f>Tenores!G80</f>
        <v>1.3888888888888897</v>
      </c>
      <c r="G283" s="1400">
        <v>10</v>
      </c>
      <c r="H283" s="1400">
        <v>360025.25199999998</v>
      </c>
      <c r="I283" s="1400">
        <v>0</v>
      </c>
      <c r="J283" s="1400">
        <f>(F283*(1+G283/100)) * (H283*(1+I283/100))</f>
        <v>550038.57944444474</v>
      </c>
    </row>
    <row r="284" spans="1:10" ht="12.75" hidden="1" customHeight="1" outlineLevel="2">
      <c r="A284" s="1830"/>
      <c r="B284" s="1831"/>
      <c r="C284" s="1401" t="s">
        <v>1615</v>
      </c>
      <c r="D284" s="776" t="s">
        <v>1616</v>
      </c>
      <c r="E284" s="1400" t="s">
        <v>39</v>
      </c>
      <c r="F284" s="1400">
        <v>1.33</v>
      </c>
      <c r="G284" s="1400">
        <v>0</v>
      </c>
      <c r="H284" s="1400">
        <v>3014.5</v>
      </c>
      <c r="I284" s="1400">
        <v>0</v>
      </c>
      <c r="J284" s="1400">
        <f t="shared" ref="J284:J290" si="15">(F284*(1+G284/100)) * (H284*(1+I284/100))</f>
        <v>4009.2850000000003</v>
      </c>
    </row>
    <row r="285" spans="1:10" ht="12.75" hidden="1" customHeight="1" outlineLevel="2">
      <c r="A285" s="1830"/>
      <c r="B285" s="1831"/>
      <c r="C285" s="1401" t="s">
        <v>1617</v>
      </c>
      <c r="D285" s="776" t="s">
        <v>1618</v>
      </c>
      <c r="E285" s="1400" t="s">
        <v>1619</v>
      </c>
      <c r="F285" s="1400">
        <v>0.13</v>
      </c>
      <c r="G285" s="1400">
        <v>0</v>
      </c>
      <c r="H285" s="1400">
        <v>7800</v>
      </c>
      <c r="I285" s="1400">
        <v>0</v>
      </c>
      <c r="J285" s="1400">
        <f t="shared" si="15"/>
        <v>1014</v>
      </c>
    </row>
    <row r="286" spans="1:10" ht="12.75" hidden="1" customHeight="1" outlineLevel="2">
      <c r="A286" s="1830"/>
      <c r="B286" s="1831"/>
      <c r="C286" s="1401" t="s">
        <v>1620</v>
      </c>
      <c r="D286" s="776" t="s">
        <v>1621</v>
      </c>
      <c r="E286" s="1400" t="s">
        <v>39</v>
      </c>
      <c r="F286" s="1400">
        <v>0.2</v>
      </c>
      <c r="G286" s="1400">
        <v>0</v>
      </c>
      <c r="H286" s="1400">
        <v>7400</v>
      </c>
      <c r="I286" s="1400">
        <v>0</v>
      </c>
      <c r="J286" s="1400">
        <f t="shared" si="15"/>
        <v>1480</v>
      </c>
    </row>
    <row r="287" spans="1:10" ht="12.75" hidden="1" customHeight="1" outlineLevel="2">
      <c r="A287" s="1830"/>
      <c r="B287" s="1831"/>
      <c r="C287" s="1401" t="s">
        <v>1622</v>
      </c>
      <c r="D287" s="776" t="s">
        <v>1623</v>
      </c>
      <c r="E287" s="1400" t="s">
        <v>48</v>
      </c>
      <c r="F287" s="1400">
        <v>1</v>
      </c>
      <c r="G287" s="1400">
        <v>0</v>
      </c>
      <c r="H287" s="1400">
        <v>17929.79</v>
      </c>
      <c r="I287" s="1400">
        <v>0</v>
      </c>
      <c r="J287" s="1400">
        <f t="shared" si="15"/>
        <v>17929.79</v>
      </c>
    </row>
    <row r="288" spans="1:10" ht="12.75" hidden="1" customHeight="1" outlineLevel="2">
      <c r="A288" s="1830"/>
      <c r="B288" s="1831"/>
      <c r="C288" s="1401" t="s">
        <v>1584</v>
      </c>
      <c r="D288" s="776" t="s">
        <v>1585</v>
      </c>
      <c r="E288" s="1400" t="s">
        <v>49</v>
      </c>
      <c r="F288" s="1400">
        <v>0.27399999999999997</v>
      </c>
      <c r="G288" s="1400">
        <v>0</v>
      </c>
      <c r="H288" s="1400">
        <v>8284.18</v>
      </c>
      <c r="I288" s="1400">
        <v>0</v>
      </c>
      <c r="J288" s="1400">
        <f t="shared" si="15"/>
        <v>2269.8653199999999</v>
      </c>
    </row>
    <row r="289" spans="1:10" ht="12.75" hidden="1" customHeight="1" outlineLevel="2">
      <c r="A289" s="1830"/>
      <c r="B289" s="1831"/>
      <c r="C289" s="1401" t="s">
        <v>1624</v>
      </c>
      <c r="D289" s="776" t="s">
        <v>1625</v>
      </c>
      <c r="E289" s="1400" t="s">
        <v>1212</v>
      </c>
      <c r="F289" s="1400">
        <v>5</v>
      </c>
      <c r="G289" s="1400">
        <v>0</v>
      </c>
      <c r="H289" s="1400">
        <v>150.80000000000001</v>
      </c>
      <c r="I289" s="1400">
        <v>0</v>
      </c>
      <c r="J289" s="1400">
        <f t="shared" si="15"/>
        <v>754</v>
      </c>
    </row>
    <row r="290" spans="1:10" ht="12.75" hidden="1" customHeight="1" outlineLevel="2">
      <c r="A290" s="1830"/>
      <c r="B290" s="1831"/>
      <c r="C290" s="1401" t="s">
        <v>1626</v>
      </c>
      <c r="D290" s="776" t="s">
        <v>1627</v>
      </c>
      <c r="E290" s="1400" t="s">
        <v>1212</v>
      </c>
      <c r="F290" s="1400">
        <v>2.1</v>
      </c>
      <c r="G290" s="1400">
        <v>0</v>
      </c>
      <c r="H290" s="1400">
        <v>3074</v>
      </c>
      <c r="I290" s="1400">
        <v>0</v>
      </c>
      <c r="J290" s="1400">
        <f t="shared" si="15"/>
        <v>6455.4000000000005</v>
      </c>
    </row>
    <row r="291" spans="1:10" ht="12.75" hidden="1" customHeight="1" outlineLevel="2">
      <c r="A291" s="1830"/>
      <c r="B291" s="1831"/>
      <c r="C291" s="798"/>
      <c r="D291" s="797"/>
      <c r="E291" s="797"/>
      <c r="F291" s="797"/>
      <c r="G291" s="797">
        <v>5</v>
      </c>
      <c r="H291" s="797" t="s">
        <v>1514</v>
      </c>
      <c r="I291" s="797"/>
      <c r="J291" s="797">
        <v>1009.9799999999999</v>
      </c>
    </row>
    <row r="292" spans="1:10" ht="12.75" hidden="1" customHeight="1" outlineLevel="2">
      <c r="A292" s="1830"/>
      <c r="B292" s="1831"/>
      <c r="C292" s="1835" t="s">
        <v>1488</v>
      </c>
      <c r="D292" s="1808"/>
      <c r="E292" s="1399" t="s">
        <v>345</v>
      </c>
      <c r="F292" s="583">
        <f>'3.Concreto'!P179</f>
        <v>29.59</v>
      </c>
      <c r="G292" s="1399"/>
      <c r="H292" s="1399"/>
      <c r="I292" s="1399">
        <v>0</v>
      </c>
      <c r="J292" s="1400">
        <f>SUM(J283:J291)</f>
        <v>584960.8997644448</v>
      </c>
    </row>
    <row r="293" spans="1:10" ht="12.75" hidden="1" customHeight="1" outlineLevel="1">
      <c r="A293" s="1830"/>
      <c r="B293" s="1831"/>
      <c r="C293" s="1836" t="s">
        <v>47</v>
      </c>
      <c r="D293" s="1827"/>
      <c r="E293" s="1827"/>
      <c r="F293" s="1827"/>
      <c r="G293" s="1827"/>
      <c r="H293" s="1827"/>
      <c r="I293" s="1827"/>
      <c r="J293" s="773">
        <f>J292*F292</f>
        <v>17308993.024029922</v>
      </c>
    </row>
    <row r="294" spans="1:10" ht="12.75" hidden="1" customHeight="1" outlineLevel="1">
      <c r="A294" s="1830" t="s">
        <v>1612</v>
      </c>
      <c r="B294" s="1831" t="s">
        <v>3408</v>
      </c>
      <c r="C294" s="1808" t="s">
        <v>3458</v>
      </c>
      <c r="D294" s="1808"/>
      <c r="E294" s="1808"/>
      <c r="F294" s="1808"/>
      <c r="G294" s="1808"/>
      <c r="H294" s="1808"/>
      <c r="I294" s="1808"/>
      <c r="J294" s="1808"/>
    </row>
    <row r="295" spans="1:10" ht="12.75" hidden="1" customHeight="1" outlineLevel="2">
      <c r="A295" s="1830"/>
      <c r="B295" s="1831"/>
      <c r="C295" s="811" t="s">
        <v>1849</v>
      </c>
      <c r="D295" s="1445" t="s">
        <v>1847</v>
      </c>
      <c r="E295" s="836" t="s">
        <v>49</v>
      </c>
      <c r="F295" s="836">
        <f>[2]Tenores!G71</f>
        <v>0</v>
      </c>
      <c r="G295" s="836">
        <v>6</v>
      </c>
      <c r="H295" s="836">
        <v>360025.25199999998</v>
      </c>
      <c r="I295" s="836">
        <v>0</v>
      </c>
      <c r="J295" s="836">
        <f t="shared" ref="J295:J304" si="16">(F295*(1+G295/100)) * (H295*(1+I295/100))</f>
        <v>0</v>
      </c>
    </row>
    <row r="296" spans="1:10" ht="12.75" hidden="1" customHeight="1" outlineLevel="2">
      <c r="A296" s="1830"/>
      <c r="B296" s="1831"/>
      <c r="C296" s="1311" t="s">
        <v>1607</v>
      </c>
      <c r="D296" s="776" t="s">
        <v>1608</v>
      </c>
      <c r="E296" s="1310" t="s">
        <v>48</v>
      </c>
      <c r="F296" s="1310">
        <v>7.0999999999999994E-2</v>
      </c>
      <c r="G296" s="1310">
        <v>0</v>
      </c>
      <c r="H296" s="1310">
        <v>4900</v>
      </c>
      <c r="I296" s="1310">
        <v>0</v>
      </c>
      <c r="J296" s="1310">
        <f t="shared" si="16"/>
        <v>347.9</v>
      </c>
    </row>
    <row r="297" spans="1:10" ht="12.75" hidden="1" customHeight="1" outlineLevel="2">
      <c r="A297" s="1830"/>
      <c r="B297" s="1831"/>
      <c r="C297" s="1311" t="s">
        <v>1609</v>
      </c>
      <c r="D297" s="794" t="s">
        <v>1629</v>
      </c>
      <c r="E297" s="1310" t="s">
        <v>55</v>
      </c>
      <c r="F297" s="1310">
        <v>0.75</v>
      </c>
      <c r="G297" s="1310">
        <v>0</v>
      </c>
      <c r="H297" s="1310">
        <v>12600</v>
      </c>
      <c r="I297" s="1310">
        <v>0</v>
      </c>
      <c r="J297" s="1310">
        <f t="shared" si="16"/>
        <v>9450</v>
      </c>
    </row>
    <row r="298" spans="1:10" ht="12.75" hidden="1" customHeight="1" outlineLevel="2">
      <c r="A298" s="1830"/>
      <c r="B298" s="1831"/>
      <c r="C298" s="1311" t="s">
        <v>1579</v>
      </c>
      <c r="D298" s="776" t="s">
        <v>1580</v>
      </c>
      <c r="E298" s="1310" t="s">
        <v>1482</v>
      </c>
      <c r="F298" s="1310">
        <v>3.6</v>
      </c>
      <c r="G298" s="1310">
        <v>0</v>
      </c>
      <c r="H298" s="1310">
        <v>6810.12</v>
      </c>
      <c r="I298" s="1310">
        <v>0</v>
      </c>
      <c r="J298" s="1310">
        <f t="shared" si="16"/>
        <v>24516.432000000001</v>
      </c>
    </row>
    <row r="299" spans="1:10" ht="12.75" hidden="1" customHeight="1" outlineLevel="2">
      <c r="A299" s="1830"/>
      <c r="B299" s="1831"/>
      <c r="C299" s="1311" t="s">
        <v>1510</v>
      </c>
      <c r="D299" s="776" t="s">
        <v>1511</v>
      </c>
      <c r="E299" s="1310" t="s">
        <v>1482</v>
      </c>
      <c r="F299" s="1310">
        <v>5</v>
      </c>
      <c r="G299" s="1310">
        <v>0</v>
      </c>
      <c r="H299" s="1310">
        <v>5527.21</v>
      </c>
      <c r="I299" s="1310">
        <v>0</v>
      </c>
      <c r="J299" s="1310">
        <f t="shared" si="16"/>
        <v>27636.05</v>
      </c>
    </row>
    <row r="300" spans="1:10" ht="12.75" hidden="1" customHeight="1" outlineLevel="2">
      <c r="A300" s="1830"/>
      <c r="B300" s="1831"/>
      <c r="C300" s="1311" t="s">
        <v>1610</v>
      </c>
      <c r="D300" s="776" t="s">
        <v>1611</v>
      </c>
      <c r="E300" s="1310" t="s">
        <v>1212</v>
      </c>
      <c r="F300" s="1310">
        <v>2.9</v>
      </c>
      <c r="G300" s="1310">
        <v>0</v>
      </c>
      <c r="H300" s="1310">
        <v>279</v>
      </c>
      <c r="I300" s="1310">
        <v>0</v>
      </c>
      <c r="J300" s="1310">
        <f t="shared" si="16"/>
        <v>809.1</v>
      </c>
    </row>
    <row r="301" spans="1:10" ht="12.75" hidden="1" customHeight="1" outlineLevel="2">
      <c r="A301" s="1830"/>
      <c r="B301" s="1831"/>
      <c r="C301" s="1311" t="s">
        <v>1599</v>
      </c>
      <c r="D301" s="776" t="s">
        <v>1600</v>
      </c>
      <c r="E301" s="1310" t="s">
        <v>1212</v>
      </c>
      <c r="F301" s="1310">
        <v>5</v>
      </c>
      <c r="G301" s="1310">
        <v>0</v>
      </c>
      <c r="H301" s="1310">
        <v>266.8</v>
      </c>
      <c r="I301" s="1310">
        <v>0</v>
      </c>
      <c r="J301" s="1310">
        <f t="shared" si="16"/>
        <v>1334</v>
      </c>
    </row>
    <row r="302" spans="1:10" ht="12.75" hidden="1" customHeight="1" outlineLevel="2">
      <c r="A302" s="1830"/>
      <c r="B302" s="1831"/>
      <c r="C302" s="1311" t="s">
        <v>1601</v>
      </c>
      <c r="D302" s="776" t="s">
        <v>1602</v>
      </c>
      <c r="E302" s="1310" t="s">
        <v>1212</v>
      </c>
      <c r="F302" s="1310">
        <v>7.2</v>
      </c>
      <c r="G302" s="1310">
        <v>0</v>
      </c>
      <c r="H302" s="1310">
        <v>315</v>
      </c>
      <c r="I302" s="1310">
        <v>0</v>
      </c>
      <c r="J302" s="1310">
        <f t="shared" si="16"/>
        <v>2268</v>
      </c>
    </row>
    <row r="303" spans="1:10" ht="12.75" hidden="1" customHeight="1" outlineLevel="2">
      <c r="A303" s="1830"/>
      <c r="B303" s="1831"/>
      <c r="C303" s="1311" t="s">
        <v>1603</v>
      </c>
      <c r="D303" s="776" t="s">
        <v>1604</v>
      </c>
      <c r="E303" s="1310" t="s">
        <v>1212</v>
      </c>
      <c r="F303" s="1310">
        <v>2.8</v>
      </c>
      <c r="G303" s="1310">
        <v>0</v>
      </c>
      <c r="H303" s="1310">
        <v>651.91999999999996</v>
      </c>
      <c r="I303" s="1310">
        <v>0</v>
      </c>
      <c r="J303" s="1310">
        <f t="shared" si="16"/>
        <v>1825.3759999999997</v>
      </c>
    </row>
    <row r="304" spans="1:10" ht="12.75" hidden="1" customHeight="1" outlineLevel="2">
      <c r="A304" s="1830"/>
      <c r="B304" s="1831"/>
      <c r="C304" s="1311" t="s">
        <v>1605</v>
      </c>
      <c r="D304" s="776" t="s">
        <v>1606</v>
      </c>
      <c r="E304" s="1310" t="s">
        <v>1212</v>
      </c>
      <c r="F304" s="1310">
        <v>2.5</v>
      </c>
      <c r="G304" s="1310">
        <v>0</v>
      </c>
      <c r="H304" s="1310">
        <v>650</v>
      </c>
      <c r="I304" s="1310">
        <v>0</v>
      </c>
      <c r="J304" s="1310">
        <f t="shared" si="16"/>
        <v>1625</v>
      </c>
    </row>
    <row r="305" spans="1:10" ht="12.75" hidden="1" customHeight="1" outlineLevel="2">
      <c r="A305" s="1830"/>
      <c r="B305" s="1831"/>
      <c r="C305" s="1311"/>
      <c r="D305" s="1310"/>
      <c r="E305" s="1310"/>
      <c r="F305" s="1310"/>
      <c r="G305" s="1310">
        <v>5</v>
      </c>
      <c r="H305" s="1310" t="s">
        <v>1514</v>
      </c>
      <c r="I305" s="1310"/>
      <c r="J305" s="1310">
        <v>2607.62</v>
      </c>
    </row>
    <row r="306" spans="1:10" ht="12.75" hidden="1" customHeight="1" outlineLevel="2">
      <c r="A306" s="1830"/>
      <c r="B306" s="1831"/>
      <c r="C306" s="1835" t="s">
        <v>1488</v>
      </c>
      <c r="D306" s="1808"/>
      <c r="E306" s="1309" t="s">
        <v>55</v>
      </c>
      <c r="F306" s="583">
        <f>Tenores!F138</f>
        <v>991.26</v>
      </c>
      <c r="G306" s="1309"/>
      <c r="H306" s="1309"/>
      <c r="I306" s="1309">
        <v>0</v>
      </c>
      <c r="J306" s="1310">
        <f>SUM(J295:J305)</f>
        <v>72419.477999999988</v>
      </c>
    </row>
    <row r="307" spans="1:10" ht="12.75" hidden="1" customHeight="1" outlineLevel="1">
      <c r="A307" s="1830"/>
      <c r="B307" s="1831"/>
      <c r="C307" s="1836" t="s">
        <v>47</v>
      </c>
      <c r="D307" s="1827"/>
      <c r="E307" s="1827"/>
      <c r="F307" s="1827"/>
      <c r="G307" s="1827"/>
      <c r="H307" s="1827"/>
      <c r="I307" s="1827"/>
      <c r="J307" s="773">
        <f>J306*F306</f>
        <v>71786531.762279987</v>
      </c>
    </row>
    <row r="308" spans="1:10" collapsed="1">
      <c r="A308" s="1844">
        <v>5</v>
      </c>
      <c r="B308" s="1844"/>
      <c r="C308" s="1844" t="s">
        <v>702</v>
      </c>
      <c r="D308" s="1844"/>
      <c r="E308" s="1844"/>
      <c r="F308" s="1844"/>
      <c r="G308" s="1844"/>
      <c r="H308" s="1844"/>
      <c r="I308" s="1844"/>
      <c r="J308" s="1844"/>
    </row>
    <row r="309" spans="1:10" ht="12.75" hidden="1" customHeight="1" outlineLevel="1">
      <c r="A309" s="1830" t="s">
        <v>1651</v>
      </c>
      <c r="B309" s="1831" t="s">
        <v>1098</v>
      </c>
      <c r="C309" s="1862" t="s">
        <v>1245</v>
      </c>
      <c r="D309" s="1862"/>
      <c r="E309" s="1862"/>
      <c r="F309" s="1862"/>
      <c r="G309" s="1862"/>
      <c r="H309" s="1862"/>
      <c r="I309" s="1862"/>
      <c r="J309" s="1862"/>
    </row>
    <row r="310" spans="1:10" ht="12.75" hidden="1" customHeight="1" outlineLevel="2">
      <c r="A310" s="1830"/>
      <c r="B310" s="1831"/>
      <c r="C310" s="777" t="s">
        <v>1643</v>
      </c>
      <c r="D310" s="793" t="s">
        <v>1644</v>
      </c>
      <c r="E310" s="774" t="s">
        <v>39</v>
      </c>
      <c r="F310" s="774">
        <v>1</v>
      </c>
      <c r="G310" s="774">
        <v>3</v>
      </c>
      <c r="H310" s="774">
        <v>2304</v>
      </c>
      <c r="I310" s="774">
        <v>0</v>
      </c>
      <c r="J310" s="774">
        <f t="shared" ref="J310:J315" si="17">(F310*(1+G310/100)) * (H310*(1+I310/100))</f>
        <v>2373.12</v>
      </c>
    </row>
    <row r="311" spans="1:10" ht="12.75" hidden="1" customHeight="1" outlineLevel="2">
      <c r="A311" s="1830"/>
      <c r="B311" s="1831"/>
      <c r="C311" s="777" t="s">
        <v>1645</v>
      </c>
      <c r="D311" s="793" t="s">
        <v>1646</v>
      </c>
      <c r="E311" s="774" t="s">
        <v>39</v>
      </c>
      <c r="F311" s="774">
        <v>0.04</v>
      </c>
      <c r="G311" s="774">
        <v>5</v>
      </c>
      <c r="H311" s="774">
        <v>3361</v>
      </c>
      <c r="I311" s="774">
        <v>0</v>
      </c>
      <c r="J311" s="774">
        <f t="shared" si="17"/>
        <v>141.16200000000001</v>
      </c>
    </row>
    <row r="312" spans="1:10" ht="12.75" hidden="1" customHeight="1" outlineLevel="2">
      <c r="A312" s="1830"/>
      <c r="B312" s="1831"/>
      <c r="C312" s="777" t="s">
        <v>1579</v>
      </c>
      <c r="D312" s="793" t="s">
        <v>1580</v>
      </c>
      <c r="E312" s="774" t="s">
        <v>1482</v>
      </c>
      <c r="F312" s="774">
        <v>0</v>
      </c>
      <c r="G312" s="774">
        <v>0</v>
      </c>
      <c r="H312" s="774">
        <v>6810.12</v>
      </c>
      <c r="I312" s="774">
        <v>0</v>
      </c>
      <c r="J312" s="774">
        <f t="shared" si="17"/>
        <v>0</v>
      </c>
    </row>
    <row r="313" spans="1:10" ht="12.75" hidden="1" customHeight="1" outlineLevel="2">
      <c r="A313" s="1830"/>
      <c r="B313" s="1831"/>
      <c r="C313" s="777" t="s">
        <v>1510</v>
      </c>
      <c r="D313" s="793" t="s">
        <v>1511</v>
      </c>
      <c r="E313" s="774" t="s">
        <v>1482</v>
      </c>
      <c r="F313" s="774">
        <v>0</v>
      </c>
      <c r="G313" s="774">
        <v>0</v>
      </c>
      <c r="H313" s="774">
        <v>5527.21</v>
      </c>
      <c r="I313" s="774">
        <v>0</v>
      </c>
      <c r="J313" s="774">
        <f t="shared" si="17"/>
        <v>0</v>
      </c>
    </row>
    <row r="314" spans="1:10" ht="12.75" hidden="1" customHeight="1" outlineLevel="2">
      <c r="A314" s="1830"/>
      <c r="B314" s="1831"/>
      <c r="C314" s="777" t="s">
        <v>1647</v>
      </c>
      <c r="D314" s="793" t="s">
        <v>1648</v>
      </c>
      <c r="E314" s="774" t="s">
        <v>39</v>
      </c>
      <c r="F314" s="774">
        <v>1</v>
      </c>
      <c r="G314" s="774">
        <v>0</v>
      </c>
      <c r="H314" s="774">
        <v>417.62</v>
      </c>
      <c r="I314" s="774">
        <v>0</v>
      </c>
      <c r="J314" s="774">
        <f t="shared" si="17"/>
        <v>417.62</v>
      </c>
    </row>
    <row r="315" spans="1:10" ht="12.75" hidden="1" customHeight="1" outlineLevel="2">
      <c r="A315" s="1830"/>
      <c r="B315" s="1831"/>
      <c r="C315" s="777" t="s">
        <v>1649</v>
      </c>
      <c r="D315" s="793" t="s">
        <v>1650</v>
      </c>
      <c r="E315" s="774" t="s">
        <v>39</v>
      </c>
      <c r="F315" s="774">
        <v>1</v>
      </c>
      <c r="G315" s="774">
        <v>0</v>
      </c>
      <c r="H315" s="774">
        <v>361.94</v>
      </c>
      <c r="I315" s="774">
        <v>0</v>
      </c>
      <c r="J315" s="774">
        <f t="shared" si="17"/>
        <v>361.94</v>
      </c>
    </row>
    <row r="316" spans="1:10" ht="12.75" hidden="1" customHeight="1" outlineLevel="2">
      <c r="A316" s="1830"/>
      <c r="B316" s="1831"/>
      <c r="C316" s="777"/>
      <c r="D316" s="774"/>
      <c r="E316" s="774"/>
      <c r="F316" s="774"/>
      <c r="G316" s="774">
        <v>5</v>
      </c>
      <c r="H316" s="774" t="s">
        <v>1514</v>
      </c>
      <c r="I316" s="774"/>
      <c r="J316" s="774">
        <v>38.980000000000004</v>
      </c>
    </row>
    <row r="317" spans="1:10" ht="12.75" hidden="1" customHeight="1" outlineLevel="2">
      <c r="A317" s="1830"/>
      <c r="B317" s="1831"/>
      <c r="C317" s="1835" t="s">
        <v>1488</v>
      </c>
      <c r="D317" s="1808"/>
      <c r="E317" s="767" t="s">
        <v>39</v>
      </c>
      <c r="F317" s="583">
        <f>'4. Refuerzo'!H2808</f>
        <v>4837.7650000000003</v>
      </c>
      <c r="G317" s="767"/>
      <c r="H317" s="767"/>
      <c r="I317" s="767">
        <v>0</v>
      </c>
      <c r="J317" s="774">
        <f>SUM(J309:J316)</f>
        <v>3332.8219999999997</v>
      </c>
    </row>
    <row r="318" spans="1:10" ht="12.75" hidden="1" customHeight="1" outlineLevel="1" collapsed="1">
      <c r="A318" s="1830"/>
      <c r="B318" s="1831"/>
      <c r="C318" s="1836" t="s">
        <v>47</v>
      </c>
      <c r="D318" s="1827"/>
      <c r="E318" s="1827"/>
      <c r="F318" s="1827"/>
      <c r="G318" s="1827"/>
      <c r="H318" s="1827"/>
      <c r="I318" s="1827"/>
      <c r="J318" s="773">
        <f>J317*F317</f>
        <v>16123409.62283</v>
      </c>
    </row>
    <row r="319" spans="1:10" ht="12.75" hidden="1" customHeight="1" outlineLevel="1">
      <c r="A319" s="1830" t="s">
        <v>1654</v>
      </c>
      <c r="B319" s="1831" t="s">
        <v>1099</v>
      </c>
      <c r="C319" s="1862" t="s">
        <v>1246</v>
      </c>
      <c r="D319" s="1862"/>
      <c r="E319" s="1862"/>
      <c r="F319" s="1862"/>
      <c r="G319" s="1862"/>
      <c r="H319" s="1862"/>
      <c r="I319" s="1862"/>
      <c r="J319" s="1862"/>
    </row>
    <row r="320" spans="1:10" ht="12.75" hidden="1" customHeight="1" outlineLevel="2">
      <c r="A320" s="1830"/>
      <c r="B320" s="1831"/>
      <c r="C320" s="777" t="s">
        <v>1652</v>
      </c>
      <c r="D320" s="776" t="s">
        <v>1653</v>
      </c>
      <c r="E320" s="774" t="s">
        <v>39</v>
      </c>
      <c r="F320" s="774">
        <v>1</v>
      </c>
      <c r="G320" s="774">
        <v>3</v>
      </c>
      <c r="H320" s="774">
        <v>2250</v>
      </c>
      <c r="I320" s="774">
        <v>0</v>
      </c>
      <c r="J320" s="774">
        <f>(F320*(1+G320/100)) * (H320*(1+I320/100))</f>
        <v>2317.5</v>
      </c>
    </row>
    <row r="321" spans="1:10" ht="12.75" hidden="1" customHeight="1" outlineLevel="2">
      <c r="A321" s="1830"/>
      <c r="B321" s="1831"/>
      <c r="C321" s="777" t="s">
        <v>1645</v>
      </c>
      <c r="D321" s="776" t="s">
        <v>1646</v>
      </c>
      <c r="E321" s="774" t="s">
        <v>39</v>
      </c>
      <c r="F321" s="774">
        <v>0.04</v>
      </c>
      <c r="G321" s="774">
        <v>5</v>
      </c>
      <c r="H321" s="774">
        <v>3361</v>
      </c>
      <c r="I321" s="774">
        <v>0</v>
      </c>
      <c r="J321" s="774">
        <f>(F321*(1+G321/100)) * (H321*(1+I321/100))</f>
        <v>141.16200000000001</v>
      </c>
    </row>
    <row r="322" spans="1:10" ht="12.75" hidden="1" customHeight="1" outlineLevel="2">
      <c r="A322" s="1830"/>
      <c r="B322" s="1831"/>
      <c r="C322" s="777" t="s">
        <v>1647</v>
      </c>
      <c r="D322" s="776" t="s">
        <v>1648</v>
      </c>
      <c r="E322" s="774" t="s">
        <v>39</v>
      </c>
      <c r="F322" s="774">
        <v>1</v>
      </c>
      <c r="G322" s="774">
        <v>0</v>
      </c>
      <c r="H322" s="774">
        <v>417.62</v>
      </c>
      <c r="I322" s="774">
        <v>0</v>
      </c>
      <c r="J322" s="774">
        <f>(F322*(1+G322/100)) * (H322*(1+I322/100))</f>
        <v>417.62</v>
      </c>
    </row>
    <row r="323" spans="1:10" ht="12.75" hidden="1" customHeight="1" outlineLevel="2">
      <c r="A323" s="1830"/>
      <c r="B323" s="1831"/>
      <c r="C323" s="777" t="s">
        <v>1649</v>
      </c>
      <c r="D323" s="776" t="s">
        <v>1650</v>
      </c>
      <c r="E323" s="774" t="s">
        <v>39</v>
      </c>
      <c r="F323" s="774">
        <v>1</v>
      </c>
      <c r="G323" s="774">
        <v>0</v>
      </c>
      <c r="H323" s="774">
        <v>361.94</v>
      </c>
      <c r="I323" s="774">
        <v>0</v>
      </c>
      <c r="J323" s="774">
        <f>(F323*(1+G323/100)) * (H323*(1+I323/100))</f>
        <v>361.94</v>
      </c>
    </row>
    <row r="324" spans="1:10" ht="12.75" hidden="1" customHeight="1" outlineLevel="2">
      <c r="A324" s="1830"/>
      <c r="B324" s="1831"/>
      <c r="C324" s="777"/>
      <c r="D324" s="774"/>
      <c r="E324" s="774"/>
      <c r="F324" s="774"/>
      <c r="G324" s="774">
        <v>5</v>
      </c>
      <c r="H324" s="774" t="s">
        <v>1514</v>
      </c>
      <c r="I324" s="774"/>
      <c r="J324" s="774">
        <v>38.980000000000004</v>
      </c>
    </row>
    <row r="325" spans="1:10" ht="12.75" hidden="1" customHeight="1" outlineLevel="2">
      <c r="A325" s="1830"/>
      <c r="B325" s="1831"/>
      <c r="C325" s="1835" t="s">
        <v>1488</v>
      </c>
      <c r="D325" s="1808"/>
      <c r="E325" s="767" t="s">
        <v>39</v>
      </c>
      <c r="F325" s="583">
        <f>'4. Refuerzo'!I2808</f>
        <v>27242.7232</v>
      </c>
      <c r="G325" s="767"/>
      <c r="H325" s="767"/>
      <c r="I325" s="767">
        <v>0</v>
      </c>
      <c r="J325" s="774">
        <f>SUM(J320:J324)</f>
        <v>3277.2019999999998</v>
      </c>
    </row>
    <row r="326" spans="1:10" ht="12.75" hidden="1" customHeight="1" outlineLevel="1">
      <c r="A326" s="1830"/>
      <c r="B326" s="1831"/>
      <c r="C326" s="1836" t="s">
        <v>47</v>
      </c>
      <c r="D326" s="1827"/>
      <c r="E326" s="1827"/>
      <c r="F326" s="1827"/>
      <c r="G326" s="1827"/>
      <c r="H326" s="1827"/>
      <c r="I326" s="1827"/>
      <c r="J326" s="773">
        <f>J325*F325</f>
        <v>89279906.956486389</v>
      </c>
    </row>
    <row r="327" spans="1:10" ht="12.75" hidden="1" customHeight="1" outlineLevel="1">
      <c r="A327" s="1830" t="s">
        <v>1657</v>
      </c>
      <c r="B327" s="1831" t="s">
        <v>1100</v>
      </c>
      <c r="C327" s="1862" t="s">
        <v>1247</v>
      </c>
      <c r="D327" s="1862"/>
      <c r="E327" s="1862"/>
      <c r="F327" s="1862"/>
      <c r="G327" s="1862"/>
      <c r="H327" s="1862"/>
      <c r="I327" s="1862"/>
      <c r="J327" s="1862"/>
    </row>
    <row r="328" spans="1:10" ht="12.75" hidden="1" customHeight="1" outlineLevel="2">
      <c r="A328" s="1830"/>
      <c r="B328" s="1831"/>
      <c r="C328" s="774" t="s">
        <v>1655</v>
      </c>
      <c r="D328" s="776" t="s">
        <v>1656</v>
      </c>
      <c r="E328" s="774" t="s">
        <v>39</v>
      </c>
      <c r="F328" s="774">
        <v>1</v>
      </c>
      <c r="G328" s="774">
        <v>3</v>
      </c>
      <c r="H328" s="774">
        <v>2438</v>
      </c>
      <c r="I328" s="774">
        <v>0</v>
      </c>
      <c r="J328" s="774">
        <f>(F328*(1+G328/100)) * (H328*(1+I328/100))</f>
        <v>2511.14</v>
      </c>
    </row>
    <row r="329" spans="1:10" ht="12.75" hidden="1" customHeight="1" outlineLevel="2">
      <c r="A329" s="1830"/>
      <c r="B329" s="1831"/>
      <c r="C329" s="774" t="s">
        <v>1645</v>
      </c>
      <c r="D329" s="776" t="s">
        <v>1646</v>
      </c>
      <c r="E329" s="774" t="s">
        <v>39</v>
      </c>
      <c r="F329" s="774">
        <v>0.04</v>
      </c>
      <c r="G329" s="774">
        <v>5</v>
      </c>
      <c r="H329" s="774">
        <v>3361</v>
      </c>
      <c r="I329" s="774">
        <v>0</v>
      </c>
      <c r="J329" s="774">
        <f>(F329*(1+G329/100)) * (H329*(1+I329/100))</f>
        <v>141.16200000000001</v>
      </c>
    </row>
    <row r="330" spans="1:10" ht="12.75" hidden="1" customHeight="1" outlineLevel="2">
      <c r="A330" s="1830"/>
      <c r="B330" s="1831"/>
      <c r="C330" s="774" t="s">
        <v>1647</v>
      </c>
      <c r="D330" s="776" t="s">
        <v>1648</v>
      </c>
      <c r="E330" s="774" t="s">
        <v>39</v>
      </c>
      <c r="F330" s="774">
        <v>1</v>
      </c>
      <c r="G330" s="774">
        <v>0</v>
      </c>
      <c r="H330" s="774">
        <v>417.62</v>
      </c>
      <c r="I330" s="774">
        <v>0</v>
      </c>
      <c r="J330" s="774">
        <f>(F330*(1+G330/100)) * (H330*(1+I330/100))</f>
        <v>417.62</v>
      </c>
    </row>
    <row r="331" spans="1:10" ht="12.75" hidden="1" customHeight="1" outlineLevel="2">
      <c r="A331" s="1830"/>
      <c r="B331" s="1831"/>
      <c r="C331" s="774" t="s">
        <v>1649</v>
      </c>
      <c r="D331" s="776" t="s">
        <v>1650</v>
      </c>
      <c r="E331" s="774" t="s">
        <v>39</v>
      </c>
      <c r="F331" s="774">
        <v>1</v>
      </c>
      <c r="G331" s="774">
        <v>0</v>
      </c>
      <c r="H331" s="774">
        <v>361.94</v>
      </c>
      <c r="I331" s="774">
        <v>0</v>
      </c>
      <c r="J331" s="774">
        <f>(F331*(1+G331/100)) * (H331*(1+I331/100))</f>
        <v>361.94</v>
      </c>
    </row>
    <row r="332" spans="1:10" ht="12.75" hidden="1" customHeight="1" outlineLevel="2">
      <c r="A332" s="1830"/>
      <c r="B332" s="1831"/>
      <c r="C332" s="774"/>
      <c r="D332" s="774"/>
      <c r="E332" s="774"/>
      <c r="F332" s="774"/>
      <c r="G332" s="774">
        <v>5</v>
      </c>
      <c r="H332" s="774" t="s">
        <v>1514</v>
      </c>
      <c r="I332" s="774"/>
      <c r="J332" s="774">
        <v>38.980000000000004</v>
      </c>
    </row>
    <row r="333" spans="1:10" ht="12.75" hidden="1" customHeight="1" outlineLevel="2">
      <c r="A333" s="1830"/>
      <c r="B333" s="1831"/>
      <c r="C333" s="1835" t="s">
        <v>1488</v>
      </c>
      <c r="D333" s="1808"/>
      <c r="E333" s="767" t="s">
        <v>39</v>
      </c>
      <c r="F333" s="583">
        <f>'4. Refuerzo'!J2808</f>
        <v>29699.952030233566</v>
      </c>
      <c r="G333" s="767"/>
      <c r="H333" s="767"/>
      <c r="I333" s="767">
        <v>0</v>
      </c>
      <c r="J333" s="774">
        <f>SUM(J328:J332)</f>
        <v>3470.8419999999996</v>
      </c>
    </row>
    <row r="334" spans="1:10" ht="12.75" hidden="1" customHeight="1" outlineLevel="1" collapsed="1">
      <c r="A334" s="1830"/>
      <c r="B334" s="1831"/>
      <c r="C334" s="1836" t="s">
        <v>47</v>
      </c>
      <c r="D334" s="1827"/>
      <c r="E334" s="1827"/>
      <c r="F334" s="1827"/>
      <c r="G334" s="1827"/>
      <c r="H334" s="1827"/>
      <c r="I334" s="1827"/>
      <c r="J334" s="773">
        <f>J333*F333</f>
        <v>103083840.90451992</v>
      </c>
    </row>
    <row r="335" spans="1:10" ht="12.75" hidden="1" customHeight="1" outlineLevel="1">
      <c r="A335" s="1830" t="s">
        <v>1660</v>
      </c>
      <c r="B335" s="1831" t="s">
        <v>1101</v>
      </c>
      <c r="C335" s="1862" t="s">
        <v>1248</v>
      </c>
      <c r="D335" s="1862"/>
      <c r="E335" s="1862"/>
      <c r="F335" s="1862"/>
      <c r="G335" s="1862"/>
      <c r="H335" s="1862"/>
      <c r="I335" s="1862"/>
      <c r="J335" s="1862"/>
    </row>
    <row r="336" spans="1:10" ht="12.75" hidden="1" customHeight="1" outlineLevel="2">
      <c r="A336" s="1830"/>
      <c r="B336" s="1831"/>
      <c r="C336" s="777" t="s">
        <v>1658</v>
      </c>
      <c r="D336" s="793" t="s">
        <v>1659</v>
      </c>
      <c r="E336" s="774" t="s">
        <v>39</v>
      </c>
      <c r="F336" s="774">
        <v>1</v>
      </c>
      <c r="G336" s="774">
        <v>3</v>
      </c>
      <c r="H336" s="774">
        <v>2438</v>
      </c>
      <c r="I336" s="774">
        <v>0</v>
      </c>
      <c r="J336" s="774">
        <f>(F336*(1+G336/100)) * (H336*(1+I336/100))</f>
        <v>2511.14</v>
      </c>
    </row>
    <row r="337" spans="1:10" ht="12.75" hidden="1" customHeight="1" outlineLevel="2">
      <c r="A337" s="1830"/>
      <c r="B337" s="1831"/>
      <c r="C337" s="777" t="s">
        <v>1645</v>
      </c>
      <c r="D337" s="793" t="s">
        <v>1646</v>
      </c>
      <c r="E337" s="774" t="s">
        <v>39</v>
      </c>
      <c r="F337" s="774">
        <v>0.04</v>
      </c>
      <c r="G337" s="774">
        <v>5</v>
      </c>
      <c r="H337" s="774">
        <v>3361</v>
      </c>
      <c r="I337" s="774">
        <v>0</v>
      </c>
      <c r="J337" s="774">
        <f>(F337*(1+G337/100)) * (H337*(1+I337/100))</f>
        <v>141.16200000000001</v>
      </c>
    </row>
    <row r="338" spans="1:10" ht="12.75" hidden="1" customHeight="1" outlineLevel="2">
      <c r="A338" s="1830"/>
      <c r="B338" s="1831"/>
      <c r="C338" s="777" t="s">
        <v>1647</v>
      </c>
      <c r="D338" s="793" t="s">
        <v>1648</v>
      </c>
      <c r="E338" s="774" t="s">
        <v>39</v>
      </c>
      <c r="F338" s="774">
        <v>1</v>
      </c>
      <c r="G338" s="774">
        <v>0</v>
      </c>
      <c r="H338" s="774">
        <v>417.62</v>
      </c>
      <c r="I338" s="774">
        <v>0</v>
      </c>
      <c r="J338" s="774">
        <f>(F338*(1+G338/100)) * (H338*(1+I338/100))</f>
        <v>417.62</v>
      </c>
    </row>
    <row r="339" spans="1:10" ht="12.75" hidden="1" customHeight="1" outlineLevel="2">
      <c r="A339" s="1830"/>
      <c r="B339" s="1831"/>
      <c r="C339" s="777" t="s">
        <v>1649</v>
      </c>
      <c r="D339" s="793" t="s">
        <v>1650</v>
      </c>
      <c r="E339" s="774" t="s">
        <v>39</v>
      </c>
      <c r="F339" s="774">
        <v>1</v>
      </c>
      <c r="G339" s="774">
        <v>0</v>
      </c>
      <c r="H339" s="774">
        <v>361.94</v>
      </c>
      <c r="I339" s="774">
        <v>0</v>
      </c>
      <c r="J339" s="774">
        <f>(F339*(1+G339/100)) * (H339*(1+I339/100))</f>
        <v>361.94</v>
      </c>
    </row>
    <row r="340" spans="1:10" ht="12.75" hidden="1" customHeight="1" outlineLevel="2">
      <c r="A340" s="1830"/>
      <c r="B340" s="1831"/>
      <c r="C340" s="777"/>
      <c r="D340" s="774"/>
      <c r="E340" s="774"/>
      <c r="F340" s="774"/>
      <c r="G340" s="774">
        <v>5</v>
      </c>
      <c r="H340" s="774" t="s">
        <v>1514</v>
      </c>
      <c r="I340" s="774"/>
      <c r="J340" s="774">
        <v>38.980000000000004</v>
      </c>
    </row>
    <row r="341" spans="1:10" ht="12.75" hidden="1" customHeight="1" outlineLevel="2">
      <c r="A341" s="1830"/>
      <c r="B341" s="1831"/>
      <c r="C341" s="1835" t="s">
        <v>1488</v>
      </c>
      <c r="D341" s="1808"/>
      <c r="E341" s="767" t="s">
        <v>39</v>
      </c>
      <c r="F341" s="583">
        <f>'4. Refuerzo'!K2808</f>
        <v>20362.772000000001</v>
      </c>
      <c r="G341" s="767"/>
      <c r="H341" s="767"/>
      <c r="I341" s="767">
        <v>0</v>
      </c>
      <c r="J341" s="774">
        <f>SUM(J336:J340)</f>
        <v>3470.8419999999996</v>
      </c>
    </row>
    <row r="342" spans="1:10" ht="12.75" hidden="1" customHeight="1" outlineLevel="1" collapsed="1">
      <c r="A342" s="1830"/>
      <c r="B342" s="1831"/>
      <c r="C342" s="1836" t="s">
        <v>47</v>
      </c>
      <c r="D342" s="1827"/>
      <c r="E342" s="1827"/>
      <c r="F342" s="1827"/>
      <c r="G342" s="1827"/>
      <c r="H342" s="1827"/>
      <c r="I342" s="1827"/>
      <c r="J342" s="773">
        <f>J341*F341</f>
        <v>70675964.294023991</v>
      </c>
    </row>
    <row r="343" spans="1:10" ht="12.75" hidden="1" customHeight="1" outlineLevel="1">
      <c r="A343" s="1830" t="s">
        <v>1660</v>
      </c>
      <c r="B343" s="1831" t="s">
        <v>1102</v>
      </c>
      <c r="C343" s="1862" t="s">
        <v>1249</v>
      </c>
      <c r="D343" s="1862"/>
      <c r="E343" s="1862"/>
      <c r="F343" s="1862"/>
      <c r="G343" s="1862"/>
      <c r="H343" s="1862"/>
      <c r="I343" s="1862"/>
      <c r="J343" s="1862"/>
    </row>
    <row r="344" spans="1:10" ht="12.75" hidden="1" customHeight="1" outlineLevel="2">
      <c r="A344" s="1830"/>
      <c r="B344" s="1831"/>
      <c r="C344" s="777" t="s">
        <v>1658</v>
      </c>
      <c r="D344" s="793" t="s">
        <v>1659</v>
      </c>
      <c r="E344" s="774" t="s">
        <v>39</v>
      </c>
      <c r="F344" s="774">
        <v>1</v>
      </c>
      <c r="G344" s="774">
        <v>3</v>
      </c>
      <c r="H344" s="774">
        <v>2438</v>
      </c>
      <c r="I344" s="774">
        <v>0</v>
      </c>
      <c r="J344" s="774">
        <f>(F344*(1+G344/100)) * (H344*(1+I344/100))</f>
        <v>2511.14</v>
      </c>
    </row>
    <row r="345" spans="1:10" ht="12.75" hidden="1" customHeight="1" outlineLevel="2">
      <c r="A345" s="1830"/>
      <c r="B345" s="1831"/>
      <c r="C345" s="777" t="s">
        <v>1645</v>
      </c>
      <c r="D345" s="793" t="s">
        <v>1646</v>
      </c>
      <c r="E345" s="774" t="s">
        <v>39</v>
      </c>
      <c r="F345" s="774">
        <v>0.04</v>
      </c>
      <c r="G345" s="774">
        <v>5</v>
      </c>
      <c r="H345" s="774">
        <v>3361</v>
      </c>
      <c r="I345" s="774">
        <v>0</v>
      </c>
      <c r="J345" s="774">
        <f>(F345*(1+G345/100)) * (H345*(1+I345/100))</f>
        <v>141.16200000000001</v>
      </c>
    </row>
    <row r="346" spans="1:10" ht="12.75" hidden="1" customHeight="1" outlineLevel="2">
      <c r="A346" s="1830"/>
      <c r="B346" s="1831"/>
      <c r="C346" s="777" t="s">
        <v>1647</v>
      </c>
      <c r="D346" s="793" t="s">
        <v>1648</v>
      </c>
      <c r="E346" s="774" t="s">
        <v>39</v>
      </c>
      <c r="F346" s="774">
        <v>1</v>
      </c>
      <c r="G346" s="774">
        <v>0</v>
      </c>
      <c r="H346" s="774">
        <v>417.62</v>
      </c>
      <c r="I346" s="774">
        <v>0</v>
      </c>
      <c r="J346" s="774">
        <f>(F346*(1+G346/100)) * (H346*(1+I346/100))</f>
        <v>417.62</v>
      </c>
    </row>
    <row r="347" spans="1:10" ht="12.75" hidden="1" customHeight="1" outlineLevel="2">
      <c r="A347" s="1830"/>
      <c r="B347" s="1831"/>
      <c r="C347" s="777" t="s">
        <v>1649</v>
      </c>
      <c r="D347" s="793" t="s">
        <v>1650</v>
      </c>
      <c r="E347" s="774" t="s">
        <v>39</v>
      </c>
      <c r="F347" s="774">
        <v>1</v>
      </c>
      <c r="G347" s="774">
        <v>0</v>
      </c>
      <c r="H347" s="774">
        <v>361.94</v>
      </c>
      <c r="I347" s="774">
        <v>0</v>
      </c>
      <c r="J347" s="774">
        <f>(F347*(1+G347/100)) * (H347*(1+I347/100))</f>
        <v>361.94</v>
      </c>
    </row>
    <row r="348" spans="1:10" ht="12.75" hidden="1" customHeight="1" outlineLevel="2">
      <c r="A348" s="1830"/>
      <c r="B348" s="1831"/>
      <c r="C348" s="777"/>
      <c r="D348" s="774"/>
      <c r="E348" s="774"/>
      <c r="F348" s="774"/>
      <c r="G348" s="774">
        <v>5</v>
      </c>
      <c r="H348" s="774" t="s">
        <v>1514</v>
      </c>
      <c r="I348" s="774"/>
      <c r="J348" s="774">
        <v>38.980000000000004</v>
      </c>
    </row>
    <row r="349" spans="1:10" ht="12.75" hidden="1" customHeight="1" outlineLevel="2">
      <c r="A349" s="1830"/>
      <c r="B349" s="1831"/>
      <c r="C349" s="1835" t="s">
        <v>1488</v>
      </c>
      <c r="D349" s="1808"/>
      <c r="E349" s="767" t="s">
        <v>39</v>
      </c>
      <c r="F349" s="583">
        <f>'4. Refuerzo'!L2808</f>
        <v>34588.827799999999</v>
      </c>
      <c r="G349" s="767"/>
      <c r="H349" s="767"/>
      <c r="I349" s="767">
        <v>0</v>
      </c>
      <c r="J349" s="774">
        <f>SUM(J344:J348)</f>
        <v>3470.8419999999996</v>
      </c>
    </row>
    <row r="350" spans="1:10" ht="12.75" hidden="1" customHeight="1" outlineLevel="1" collapsed="1">
      <c r="A350" s="1830"/>
      <c r="B350" s="1831"/>
      <c r="C350" s="1836" t="s">
        <v>47</v>
      </c>
      <c r="D350" s="1827"/>
      <c r="E350" s="1827"/>
      <c r="F350" s="1827"/>
      <c r="G350" s="1827"/>
      <c r="H350" s="1827"/>
      <c r="I350" s="1827"/>
      <c r="J350" s="773">
        <f>J349*F349</f>
        <v>120052356.25900759</v>
      </c>
    </row>
    <row r="351" spans="1:10" ht="12.75" hidden="1" customHeight="1" outlineLevel="1">
      <c r="A351" s="1830" t="s">
        <v>1661</v>
      </c>
      <c r="B351" s="1831" t="s">
        <v>1103</v>
      </c>
      <c r="C351" s="1862" t="s">
        <v>1250</v>
      </c>
      <c r="D351" s="1862"/>
      <c r="E351" s="1862"/>
      <c r="F351" s="1862"/>
      <c r="G351" s="1862"/>
      <c r="H351" s="1862"/>
      <c r="I351" s="1862"/>
      <c r="J351" s="1862"/>
    </row>
    <row r="352" spans="1:10" ht="12.75" hidden="1" customHeight="1" outlineLevel="2">
      <c r="A352" s="1830"/>
      <c r="B352" s="1831"/>
      <c r="C352" s="777" t="s">
        <v>1593</v>
      </c>
      <c r="D352" s="776" t="s">
        <v>1594</v>
      </c>
      <c r="E352" s="774" t="s">
        <v>39</v>
      </c>
      <c r="F352" s="774">
        <v>1</v>
      </c>
      <c r="G352" s="774">
        <v>3</v>
      </c>
      <c r="H352" s="774">
        <v>2438</v>
      </c>
      <c r="I352" s="774">
        <v>0</v>
      </c>
      <c r="J352" s="774">
        <f>(F352*(1+G352/100)) * (H352*(1+I352/100))</f>
        <v>2511.14</v>
      </c>
    </row>
    <row r="353" spans="1:10" ht="12.75" hidden="1" customHeight="1" outlineLevel="2">
      <c r="A353" s="1830"/>
      <c r="B353" s="1831"/>
      <c r="C353" s="777" t="s">
        <v>1645</v>
      </c>
      <c r="D353" s="776" t="s">
        <v>1646</v>
      </c>
      <c r="E353" s="774" t="s">
        <v>39</v>
      </c>
      <c r="F353" s="774">
        <v>0.04</v>
      </c>
      <c r="G353" s="774">
        <v>5</v>
      </c>
      <c r="H353" s="774">
        <v>3361</v>
      </c>
      <c r="I353" s="774">
        <v>0</v>
      </c>
      <c r="J353" s="774">
        <f>(F353*(1+G353/100)) * (H353*(1+I353/100))</f>
        <v>141.16200000000001</v>
      </c>
    </row>
    <row r="354" spans="1:10" ht="12.75" hidden="1" customHeight="1" outlineLevel="2">
      <c r="A354" s="1830"/>
      <c r="B354" s="1831"/>
      <c r="C354" s="777" t="s">
        <v>1647</v>
      </c>
      <c r="D354" s="776" t="s">
        <v>1648</v>
      </c>
      <c r="E354" s="774" t="s">
        <v>39</v>
      </c>
      <c r="F354" s="774">
        <v>1</v>
      </c>
      <c r="G354" s="774">
        <v>0</v>
      </c>
      <c r="H354" s="774">
        <v>417.62</v>
      </c>
      <c r="I354" s="774">
        <v>0</v>
      </c>
      <c r="J354" s="774">
        <f>(F354*(1+G354/100)) * (H354*(1+I354/100))</f>
        <v>417.62</v>
      </c>
    </row>
    <row r="355" spans="1:10" ht="12.75" hidden="1" customHeight="1" outlineLevel="2">
      <c r="A355" s="1830"/>
      <c r="B355" s="1831"/>
      <c r="C355" s="777" t="s">
        <v>1649</v>
      </c>
      <c r="D355" s="776" t="s">
        <v>1650</v>
      </c>
      <c r="E355" s="774" t="s">
        <v>39</v>
      </c>
      <c r="F355" s="774">
        <v>1</v>
      </c>
      <c r="G355" s="774">
        <v>0</v>
      </c>
      <c r="H355" s="774">
        <v>361.94</v>
      </c>
      <c r="I355" s="774">
        <v>0</v>
      </c>
      <c r="J355" s="774">
        <f>(F355*(1+G355/100)) * (H355*(1+I355/100))</f>
        <v>361.94</v>
      </c>
    </row>
    <row r="356" spans="1:10" ht="12.75" hidden="1" customHeight="1" outlineLevel="2">
      <c r="A356" s="1830"/>
      <c r="B356" s="1831"/>
      <c r="C356" s="777"/>
      <c r="D356" s="774"/>
      <c r="E356" s="774"/>
      <c r="F356" s="774"/>
      <c r="G356" s="774">
        <v>5</v>
      </c>
      <c r="H356" s="774" t="s">
        <v>1514</v>
      </c>
      <c r="I356" s="774"/>
      <c r="J356" s="774">
        <v>38.980000000000004</v>
      </c>
    </row>
    <row r="357" spans="1:10" ht="12.75" hidden="1" customHeight="1" outlineLevel="2">
      <c r="A357" s="1830"/>
      <c r="B357" s="1831"/>
      <c r="C357" s="1835" t="s">
        <v>1488</v>
      </c>
      <c r="D357" s="1808"/>
      <c r="E357" s="767" t="s">
        <v>39</v>
      </c>
      <c r="F357" s="583">
        <f>'4. Refuerzo'!M2808</f>
        <v>31893.599999999999</v>
      </c>
      <c r="G357" s="767"/>
      <c r="H357" s="767"/>
      <c r="I357" s="767">
        <v>0</v>
      </c>
      <c r="J357" s="774">
        <f>SUM(J352:J356)</f>
        <v>3470.8419999999996</v>
      </c>
    </row>
    <row r="358" spans="1:10" ht="12.75" hidden="1" customHeight="1" outlineLevel="1" collapsed="1">
      <c r="A358" s="1830"/>
      <c r="B358" s="1831"/>
      <c r="C358" s="1836" t="s">
        <v>47</v>
      </c>
      <c r="D358" s="1827"/>
      <c r="E358" s="1827"/>
      <c r="F358" s="1827"/>
      <c r="G358" s="1827"/>
      <c r="H358" s="1827"/>
      <c r="I358" s="1827"/>
      <c r="J358" s="773">
        <f>J357*F357</f>
        <v>110697646.41119999</v>
      </c>
    </row>
    <row r="359" spans="1:10" ht="12.75" hidden="1" customHeight="1" outlineLevel="1">
      <c r="A359" s="1830" t="s">
        <v>1661</v>
      </c>
      <c r="B359" s="1831" t="s">
        <v>1104</v>
      </c>
      <c r="C359" s="1900" t="s">
        <v>1251</v>
      </c>
      <c r="D359" s="1862"/>
      <c r="E359" s="1862"/>
      <c r="F359" s="1862"/>
      <c r="G359" s="1862"/>
      <c r="H359" s="1862"/>
      <c r="I359" s="1862"/>
      <c r="J359" s="1862"/>
    </row>
    <row r="360" spans="1:10" ht="12.75" hidden="1" customHeight="1" outlineLevel="2">
      <c r="A360" s="1830"/>
      <c r="B360" s="1831"/>
      <c r="C360" s="777" t="s">
        <v>1593</v>
      </c>
      <c r="D360" s="776" t="s">
        <v>1594</v>
      </c>
      <c r="E360" s="774" t="s">
        <v>39</v>
      </c>
      <c r="F360" s="774">
        <v>1</v>
      </c>
      <c r="G360" s="774">
        <v>3</v>
      </c>
      <c r="H360" s="774">
        <v>2438</v>
      </c>
      <c r="I360" s="774">
        <v>0</v>
      </c>
      <c r="J360" s="774">
        <f>(F360*(1+G360/100)) * (H360*(1+I360/100))</f>
        <v>2511.14</v>
      </c>
    </row>
    <row r="361" spans="1:10" ht="12.75" hidden="1" customHeight="1" outlineLevel="2">
      <c r="A361" s="1830"/>
      <c r="B361" s="1831"/>
      <c r="C361" s="777" t="s">
        <v>1645</v>
      </c>
      <c r="D361" s="776" t="s">
        <v>1646</v>
      </c>
      <c r="E361" s="774" t="s">
        <v>39</v>
      </c>
      <c r="F361" s="774">
        <v>0.04</v>
      </c>
      <c r="G361" s="774">
        <v>5</v>
      </c>
      <c r="H361" s="774">
        <v>3361</v>
      </c>
      <c r="I361" s="774">
        <v>0</v>
      </c>
      <c r="J361" s="774">
        <f>(F361*(1+G361/100)) * (H361*(1+I361/100))</f>
        <v>141.16200000000001</v>
      </c>
    </row>
    <row r="362" spans="1:10" ht="12.75" hidden="1" customHeight="1" outlineLevel="2">
      <c r="A362" s="1830"/>
      <c r="B362" s="1831"/>
      <c r="C362" s="777" t="s">
        <v>1647</v>
      </c>
      <c r="D362" s="776" t="s">
        <v>1648</v>
      </c>
      <c r="E362" s="774" t="s">
        <v>39</v>
      </c>
      <c r="F362" s="774">
        <v>1</v>
      </c>
      <c r="G362" s="774">
        <v>0</v>
      </c>
      <c r="H362" s="774">
        <v>417.62</v>
      </c>
      <c r="I362" s="774">
        <v>0</v>
      </c>
      <c r="J362" s="774">
        <f>(F362*(1+G362/100)) * (H362*(1+I362/100))</f>
        <v>417.62</v>
      </c>
    </row>
    <row r="363" spans="1:10" ht="12.75" hidden="1" customHeight="1" outlineLevel="2">
      <c r="A363" s="1830"/>
      <c r="B363" s="1831"/>
      <c r="C363" s="777" t="s">
        <v>1649</v>
      </c>
      <c r="D363" s="776" t="s">
        <v>1650</v>
      </c>
      <c r="E363" s="774" t="s">
        <v>39</v>
      </c>
      <c r="F363" s="774">
        <v>1</v>
      </c>
      <c r="G363" s="774">
        <v>0</v>
      </c>
      <c r="H363" s="774">
        <v>361.94</v>
      </c>
      <c r="I363" s="774">
        <v>0</v>
      </c>
      <c r="J363" s="774">
        <f>(F363*(1+G363/100)) * (H363*(1+I363/100))</f>
        <v>361.94</v>
      </c>
    </row>
    <row r="364" spans="1:10" ht="12.75" hidden="1" customHeight="1" outlineLevel="2">
      <c r="A364" s="1830"/>
      <c r="B364" s="1831"/>
      <c r="C364" s="777"/>
      <c r="D364" s="774"/>
      <c r="E364" s="774"/>
      <c r="F364" s="774"/>
      <c r="G364" s="774">
        <v>5</v>
      </c>
      <c r="H364" s="774" t="s">
        <v>1514</v>
      </c>
      <c r="I364" s="774"/>
      <c r="J364" s="774">
        <v>38.980000000000004</v>
      </c>
    </row>
    <row r="365" spans="1:10" ht="12.75" hidden="1" customHeight="1" outlineLevel="2">
      <c r="A365" s="1830"/>
      <c r="B365" s="1831"/>
      <c r="C365" s="1835" t="s">
        <v>1488</v>
      </c>
      <c r="D365" s="1808"/>
      <c r="E365" s="767" t="s">
        <v>39</v>
      </c>
      <c r="F365" s="583">
        <f>'4. Refuerzo'!N2808</f>
        <v>53043.92</v>
      </c>
      <c r="G365" s="767"/>
      <c r="H365" s="767"/>
      <c r="I365" s="767">
        <v>0</v>
      </c>
      <c r="J365" s="774">
        <f>SUM(J360:J364)</f>
        <v>3470.8419999999996</v>
      </c>
    </row>
    <row r="366" spans="1:10" ht="12.75" hidden="1" customHeight="1" outlineLevel="1" collapsed="1">
      <c r="A366" s="1830"/>
      <c r="B366" s="1831"/>
      <c r="C366" s="1836" t="s">
        <v>47</v>
      </c>
      <c r="D366" s="1827"/>
      <c r="E366" s="1827"/>
      <c r="F366" s="1827"/>
      <c r="G366" s="1827"/>
      <c r="H366" s="1827"/>
      <c r="I366" s="1827"/>
      <c r="J366" s="773">
        <f>J365*F365</f>
        <v>184107065.38063997</v>
      </c>
    </row>
    <row r="367" spans="1:10" ht="12.75" hidden="1" customHeight="1" outlineLevel="1">
      <c r="A367" s="1910" t="s">
        <v>1662</v>
      </c>
      <c r="B367" s="1831" t="s">
        <v>1105</v>
      </c>
      <c r="C367" s="1862" t="s">
        <v>1252</v>
      </c>
      <c r="D367" s="1862"/>
      <c r="E367" s="1862"/>
      <c r="F367" s="1862"/>
      <c r="G367" s="1862"/>
      <c r="H367" s="1862"/>
      <c r="I367" s="1862"/>
      <c r="J367" s="1862"/>
    </row>
    <row r="368" spans="1:10" ht="12.75" hidden="1" customHeight="1" outlineLevel="2">
      <c r="A368" s="1910"/>
      <c r="B368" s="1831"/>
      <c r="C368" s="777" t="s">
        <v>1593</v>
      </c>
      <c r="D368" s="776" t="s">
        <v>1594</v>
      </c>
      <c r="E368" s="774" t="s">
        <v>39</v>
      </c>
      <c r="F368" s="774">
        <v>1</v>
      </c>
      <c r="G368" s="774">
        <v>0</v>
      </c>
      <c r="H368" s="774">
        <v>2438</v>
      </c>
      <c r="I368" s="774">
        <v>0</v>
      </c>
      <c r="J368" s="774">
        <f>(F368*(1+G368/100)) * (H368*(1+I368/100))</f>
        <v>2438</v>
      </c>
    </row>
    <row r="369" spans="1:10" ht="12.75" hidden="1" customHeight="1" outlineLevel="2">
      <c r="A369" s="1910"/>
      <c r="B369" s="1831"/>
      <c r="C369" s="777" t="s">
        <v>1645</v>
      </c>
      <c r="D369" s="776" t="s">
        <v>1646</v>
      </c>
      <c r="E369" s="774" t="s">
        <v>39</v>
      </c>
      <c r="F369" s="774">
        <v>0.04</v>
      </c>
      <c r="G369" s="774">
        <v>5</v>
      </c>
      <c r="H369" s="774">
        <v>3361</v>
      </c>
      <c r="I369" s="774">
        <v>0</v>
      </c>
      <c r="J369" s="774">
        <f>(F369*(1+G369/100)) * (H369*(1+I369/100))</f>
        <v>141.16200000000001</v>
      </c>
    </row>
    <row r="370" spans="1:10" ht="12.75" hidden="1" customHeight="1" outlineLevel="2">
      <c r="A370" s="1910"/>
      <c r="B370" s="1831"/>
      <c r="C370" s="777" t="s">
        <v>1647</v>
      </c>
      <c r="D370" s="776" t="s">
        <v>1648</v>
      </c>
      <c r="E370" s="774" t="s">
        <v>39</v>
      </c>
      <c r="F370" s="774">
        <v>1</v>
      </c>
      <c r="G370" s="774">
        <v>0</v>
      </c>
      <c r="H370" s="774">
        <v>417.62</v>
      </c>
      <c r="I370" s="774">
        <v>0</v>
      </c>
      <c r="J370" s="774">
        <f>(F370*(1+G370/100)) * (H370*(1+I370/100))</f>
        <v>417.62</v>
      </c>
    </row>
    <row r="371" spans="1:10" ht="12.75" hidden="1" customHeight="1" outlineLevel="2">
      <c r="A371" s="1910"/>
      <c r="B371" s="1831"/>
      <c r="C371" s="777" t="s">
        <v>1649</v>
      </c>
      <c r="D371" s="776" t="s">
        <v>1650</v>
      </c>
      <c r="E371" s="774" t="s">
        <v>39</v>
      </c>
      <c r="F371" s="774">
        <v>1</v>
      </c>
      <c r="G371" s="774">
        <v>0</v>
      </c>
      <c r="H371" s="774">
        <v>361.94</v>
      </c>
      <c r="I371" s="774">
        <v>0</v>
      </c>
      <c r="J371" s="774">
        <f>(F371*(1+G371/100)) * (H371*(1+I371/100))</f>
        <v>361.94</v>
      </c>
    </row>
    <row r="372" spans="1:10" ht="12.75" hidden="1" customHeight="1" outlineLevel="2">
      <c r="A372" s="1910"/>
      <c r="B372" s="1831"/>
      <c r="C372" s="777"/>
      <c r="D372" s="774"/>
      <c r="E372" s="774"/>
      <c r="F372" s="774"/>
      <c r="G372" s="774">
        <v>5</v>
      </c>
      <c r="H372" s="774" t="s">
        <v>1514</v>
      </c>
      <c r="I372" s="774"/>
      <c r="J372" s="774">
        <v>38.980000000000004</v>
      </c>
    </row>
    <row r="373" spans="1:10" ht="12.75" hidden="1" customHeight="1" outlineLevel="2">
      <c r="A373" s="1910"/>
      <c r="B373" s="1831"/>
      <c r="C373" s="1835" t="s">
        <v>1488</v>
      </c>
      <c r="D373" s="1808"/>
      <c r="E373" s="767" t="s">
        <v>39</v>
      </c>
      <c r="F373" s="583">
        <f>'4. Refuerzo'!O2808</f>
        <v>138838.326</v>
      </c>
      <c r="G373" s="767"/>
      <c r="H373" s="767"/>
      <c r="I373" s="767">
        <v>0</v>
      </c>
      <c r="J373" s="774">
        <f>SUM(J368:J372)</f>
        <v>3397.7019999999998</v>
      </c>
    </row>
    <row r="374" spans="1:10" ht="12.75" hidden="1" customHeight="1" outlineLevel="1" collapsed="1">
      <c r="A374" s="1910"/>
      <c r="B374" s="1831"/>
      <c r="C374" s="1836" t="s">
        <v>47</v>
      </c>
      <c r="D374" s="1827"/>
      <c r="E374" s="1827"/>
      <c r="F374" s="1827"/>
      <c r="G374" s="1827"/>
      <c r="H374" s="1827"/>
      <c r="I374" s="1827"/>
      <c r="J374" s="773">
        <f>J373*F373</f>
        <v>471731257.92685199</v>
      </c>
    </row>
    <row r="375" spans="1:10" ht="12.75" hidden="1" customHeight="1" outlineLevel="1">
      <c r="A375" s="1830" t="s">
        <v>1664</v>
      </c>
      <c r="B375" s="1831" t="s">
        <v>1106</v>
      </c>
      <c r="C375" s="1862" t="s">
        <v>1053</v>
      </c>
      <c r="D375" s="1862"/>
      <c r="E375" s="1862"/>
      <c r="F375" s="1862"/>
      <c r="G375" s="1862"/>
      <c r="H375" s="1862"/>
      <c r="I375" s="1862"/>
      <c r="J375" s="1862"/>
    </row>
    <row r="376" spans="1:10" ht="12.75" hidden="1" customHeight="1" outlineLevel="2">
      <c r="A376" s="1830"/>
      <c r="B376" s="1831"/>
      <c r="C376" s="777" t="s">
        <v>1665</v>
      </c>
      <c r="D376" s="776" t="s">
        <v>1663</v>
      </c>
      <c r="E376" s="774" t="s">
        <v>1492</v>
      </c>
      <c r="F376" s="774">
        <v>6.9999999999999993E-2</v>
      </c>
      <c r="G376" s="774">
        <v>15</v>
      </c>
      <c r="H376" s="774">
        <v>115037</v>
      </c>
      <c r="I376" s="774">
        <v>0</v>
      </c>
      <c r="J376" s="774">
        <f>(F376*(1+G376/100)) * (H376*(1+I376/100))</f>
        <v>9260.4784999999993</v>
      </c>
    </row>
    <row r="377" spans="1:10" ht="12.75" hidden="1" customHeight="1" outlineLevel="2">
      <c r="A377" s="1830"/>
      <c r="B377" s="1831"/>
      <c r="C377" s="777" t="s">
        <v>1645</v>
      </c>
      <c r="D377" s="776" t="s">
        <v>1646</v>
      </c>
      <c r="E377" s="774" t="s">
        <v>39</v>
      </c>
      <c r="F377" s="774">
        <v>0.02</v>
      </c>
      <c r="G377" s="774">
        <v>5</v>
      </c>
      <c r="H377" s="774">
        <v>3361</v>
      </c>
      <c r="I377" s="774">
        <v>0</v>
      </c>
      <c r="J377" s="774">
        <f>(F377*(1+G377/100)) * (H377*(1+I377/100))</f>
        <v>70.581000000000003</v>
      </c>
    </row>
    <row r="378" spans="1:10" ht="12.75" hidden="1" customHeight="1" outlineLevel="2">
      <c r="A378" s="1830"/>
      <c r="B378" s="1831"/>
      <c r="C378" s="777" t="s">
        <v>1579</v>
      </c>
      <c r="D378" s="776" t="s">
        <v>1580</v>
      </c>
      <c r="E378" s="774" t="s">
        <v>1482</v>
      </c>
      <c r="F378" s="774">
        <v>0.04</v>
      </c>
      <c r="G378" s="774">
        <v>0</v>
      </c>
      <c r="H378" s="774">
        <v>6810.12</v>
      </c>
      <c r="I378" s="774">
        <v>0</v>
      </c>
      <c r="J378" s="774">
        <f>(F378*(1+G378/100)) * (H378*(1+I378/100))</f>
        <v>272.40480000000002</v>
      </c>
    </row>
    <row r="379" spans="1:10" ht="12.75" hidden="1" customHeight="1" outlineLevel="2">
      <c r="A379" s="1830"/>
      <c r="B379" s="1831"/>
      <c r="C379" s="777" t="s">
        <v>1510</v>
      </c>
      <c r="D379" s="776" t="s">
        <v>1511</v>
      </c>
      <c r="E379" s="774" t="s">
        <v>1482</v>
      </c>
      <c r="F379" s="774">
        <v>0.06</v>
      </c>
      <c r="G379" s="774">
        <v>0</v>
      </c>
      <c r="H379" s="774">
        <v>5527.21</v>
      </c>
      <c r="I379" s="774">
        <v>0</v>
      </c>
      <c r="J379" s="774">
        <f>(F379*(1+G379/100)) * (H379*(1+I379/100))</f>
        <v>331.63259999999997</v>
      </c>
    </row>
    <row r="380" spans="1:10" ht="12.75" hidden="1" customHeight="1" outlineLevel="2">
      <c r="A380" s="1830"/>
      <c r="B380" s="1831"/>
      <c r="C380" s="777"/>
      <c r="D380" s="774"/>
      <c r="E380" s="774"/>
      <c r="F380" s="774"/>
      <c r="G380" s="774">
        <v>5</v>
      </c>
      <c r="H380" s="774" t="s">
        <v>1514</v>
      </c>
      <c r="I380" s="774"/>
      <c r="J380" s="774">
        <v>30.2</v>
      </c>
    </row>
    <row r="381" spans="1:10" ht="12.75" hidden="1" customHeight="1" outlineLevel="2">
      <c r="A381" s="1830"/>
      <c r="B381" s="1831"/>
      <c r="C381" s="1835" t="s">
        <v>1488</v>
      </c>
      <c r="D381" s="1808"/>
      <c r="E381" s="784" t="s">
        <v>55</v>
      </c>
      <c r="F381" s="583">
        <f>'5. Malla'!J67</f>
        <v>26539.367991999992</v>
      </c>
      <c r="G381" s="767"/>
      <c r="H381" s="767"/>
      <c r="I381" s="767">
        <v>0</v>
      </c>
      <c r="J381" s="774">
        <f>SUM(J376:J380)</f>
        <v>9965.2969000000012</v>
      </c>
    </row>
    <row r="382" spans="1:10" ht="12.75" hidden="1" customHeight="1" outlineLevel="1" collapsed="1">
      <c r="A382" s="1830"/>
      <c r="B382" s="1831"/>
      <c r="C382" s="1836" t="s">
        <v>47</v>
      </c>
      <c r="D382" s="1827"/>
      <c r="E382" s="1827"/>
      <c r="F382" s="1827"/>
      <c r="G382" s="1827"/>
      <c r="H382" s="1827"/>
      <c r="I382" s="1827"/>
      <c r="J382" s="773">
        <f>J381*F381</f>
        <v>264472681.57863677</v>
      </c>
    </row>
    <row r="383" spans="1:10" collapsed="1">
      <c r="A383" s="1844">
        <v>6</v>
      </c>
      <c r="B383" s="1844"/>
      <c r="C383" s="1844" t="s">
        <v>1234</v>
      </c>
      <c r="D383" s="1844"/>
      <c r="E383" s="1844"/>
      <c r="F383" s="1844"/>
      <c r="G383" s="1844"/>
      <c r="H383" s="1844"/>
      <c r="I383" s="1844"/>
      <c r="J383" s="1844"/>
    </row>
    <row r="384" spans="1:10" ht="12.75" hidden="1" customHeight="1" outlineLevel="1">
      <c r="A384" s="1864" t="s">
        <v>2039</v>
      </c>
      <c r="B384" s="1829">
        <v>6.1</v>
      </c>
      <c r="C384" s="1837" t="s">
        <v>1054</v>
      </c>
      <c r="D384" s="1837"/>
      <c r="E384" s="1837"/>
      <c r="F384" s="1837"/>
      <c r="G384" s="1837"/>
      <c r="H384" s="1837"/>
      <c r="I384" s="1837"/>
      <c r="J384" s="1837"/>
    </row>
    <row r="385" spans="1:10" ht="12.75" hidden="1" customHeight="1" outlineLevel="2">
      <c r="A385" s="1864"/>
      <c r="B385" s="1829"/>
      <c r="C385" s="5" t="s">
        <v>2040</v>
      </c>
      <c r="D385" s="5" t="s">
        <v>2041</v>
      </c>
      <c r="E385" s="5" t="s">
        <v>49</v>
      </c>
      <c r="F385" s="5">
        <v>0.03</v>
      </c>
      <c r="G385" s="5">
        <v>8</v>
      </c>
      <c r="H385" s="5">
        <v>246795.37999999998</v>
      </c>
      <c r="I385" s="5">
        <v>0</v>
      </c>
      <c r="J385" s="5">
        <f t="shared" ref="J385:J392" si="18">(F385*(1+G385/100)) * (H385*(1+I385/100))</f>
        <v>7996.1703119999984</v>
      </c>
    </row>
    <row r="386" spans="1:10" ht="12.75" hidden="1" customHeight="1" outlineLevel="2">
      <c r="A386" s="1864"/>
      <c r="B386" s="1829"/>
      <c r="C386" s="5" t="s">
        <v>2042</v>
      </c>
      <c r="D386" s="5" t="s">
        <v>2043</v>
      </c>
      <c r="E386" s="5" t="s">
        <v>1492</v>
      </c>
      <c r="F386" s="5">
        <v>12.5</v>
      </c>
      <c r="G386" s="5">
        <v>5</v>
      </c>
      <c r="H386" s="5">
        <v>1620</v>
      </c>
      <c r="I386" s="5">
        <v>0</v>
      </c>
      <c r="J386" s="5">
        <f t="shared" si="18"/>
        <v>21262.5</v>
      </c>
    </row>
    <row r="387" spans="1:10" ht="12.75" hidden="1" customHeight="1" outlineLevel="2">
      <c r="A387" s="1864"/>
      <c r="B387" s="1829"/>
      <c r="C387" s="5" t="s">
        <v>1579</v>
      </c>
      <c r="D387" s="5" t="s">
        <v>1580</v>
      </c>
      <c r="E387" s="5" t="s">
        <v>1482</v>
      </c>
      <c r="F387" s="5">
        <v>1.3</v>
      </c>
      <c r="G387" s="5">
        <v>0</v>
      </c>
      <c r="H387" s="5">
        <v>6810.12</v>
      </c>
      <c r="I387" s="5">
        <v>0</v>
      </c>
      <c r="J387" s="5">
        <f t="shared" si="18"/>
        <v>8853.1560000000009</v>
      </c>
    </row>
    <row r="388" spans="1:10" ht="12.75" hidden="1" customHeight="1" outlineLevel="2">
      <c r="A388" s="1864"/>
      <c r="B388" s="1829"/>
      <c r="C388" s="5" t="s">
        <v>1510</v>
      </c>
      <c r="D388" s="5" t="s">
        <v>1511</v>
      </c>
      <c r="E388" s="5" t="s">
        <v>1482</v>
      </c>
      <c r="F388" s="5">
        <v>1.3</v>
      </c>
      <c r="G388" s="5">
        <v>0</v>
      </c>
      <c r="H388" s="5">
        <v>5527.21</v>
      </c>
      <c r="I388" s="5">
        <v>0</v>
      </c>
      <c r="J388" s="5">
        <f t="shared" si="18"/>
        <v>7185.3730000000005</v>
      </c>
    </row>
    <row r="389" spans="1:10" ht="12.75" hidden="1" customHeight="1" outlineLevel="2">
      <c r="A389" s="1864"/>
      <c r="B389" s="1829"/>
      <c r="C389" s="5" t="s">
        <v>2044</v>
      </c>
      <c r="D389" s="5" t="s">
        <v>2045</v>
      </c>
      <c r="E389" s="5" t="s">
        <v>1492</v>
      </c>
      <c r="F389" s="5">
        <v>12.5</v>
      </c>
      <c r="G389" s="5">
        <v>0</v>
      </c>
      <c r="H389" s="5">
        <v>1057.97</v>
      </c>
      <c r="I389" s="5">
        <v>0</v>
      </c>
      <c r="J389" s="5">
        <f t="shared" si="18"/>
        <v>13224.625</v>
      </c>
    </row>
    <row r="390" spans="1:10" ht="12.75" hidden="1" customHeight="1" outlineLevel="2">
      <c r="A390" s="1864"/>
      <c r="B390" s="1829"/>
      <c r="C390" s="5" t="s">
        <v>2046</v>
      </c>
      <c r="D390" s="5" t="s">
        <v>2047</v>
      </c>
      <c r="E390" s="5" t="s">
        <v>1212</v>
      </c>
      <c r="F390" s="5">
        <v>0.4</v>
      </c>
      <c r="G390" s="5">
        <v>0</v>
      </c>
      <c r="H390" s="5">
        <v>10000</v>
      </c>
      <c r="I390" s="5">
        <v>0</v>
      </c>
      <c r="J390" s="5">
        <f t="shared" si="18"/>
        <v>4000</v>
      </c>
    </row>
    <row r="391" spans="1:10" ht="12.75" hidden="1" customHeight="1" outlineLevel="2">
      <c r="A391" s="1864"/>
      <c r="B391" s="1829"/>
      <c r="C391" s="5" t="s">
        <v>1610</v>
      </c>
      <c r="D391" s="5" t="s">
        <v>1611</v>
      </c>
      <c r="E391" s="5" t="s">
        <v>1212</v>
      </c>
      <c r="F391" s="5">
        <v>0.5</v>
      </c>
      <c r="G391" s="5">
        <v>0</v>
      </c>
      <c r="H391" s="5">
        <v>279</v>
      </c>
      <c r="I391" s="5">
        <v>0</v>
      </c>
      <c r="J391" s="5">
        <f t="shared" si="18"/>
        <v>139.5</v>
      </c>
    </row>
    <row r="392" spans="1:10" ht="12.75" hidden="1" customHeight="1" outlineLevel="2">
      <c r="A392" s="1864"/>
      <c r="B392" s="1829"/>
      <c r="C392" s="5" t="s">
        <v>2048</v>
      </c>
      <c r="D392" s="5" t="s">
        <v>2049</v>
      </c>
      <c r="E392" s="5" t="s">
        <v>1492</v>
      </c>
      <c r="F392" s="5">
        <v>13.125</v>
      </c>
      <c r="G392" s="5">
        <v>0</v>
      </c>
      <c r="H392" s="5">
        <v>160</v>
      </c>
      <c r="I392" s="5">
        <v>0</v>
      </c>
      <c r="J392" s="5">
        <f t="shared" si="18"/>
        <v>2100</v>
      </c>
    </row>
    <row r="393" spans="1:10" ht="12.75" hidden="1" customHeight="1" outlineLevel="2">
      <c r="A393" s="1864"/>
      <c r="B393" s="1829"/>
      <c r="C393" s="5"/>
      <c r="D393" s="5"/>
      <c r="E393" s="5"/>
      <c r="F393" s="5"/>
      <c r="G393" s="5">
        <v>5</v>
      </c>
      <c r="H393" s="5" t="s">
        <v>1514</v>
      </c>
      <c r="I393" s="5"/>
      <c r="J393" s="5">
        <v>1463.16</v>
      </c>
    </row>
    <row r="394" spans="1:10" ht="12.75" hidden="1" customHeight="1" outlineLevel="2">
      <c r="A394" s="1864"/>
      <c r="B394" s="1829"/>
      <c r="C394" s="1808" t="s">
        <v>1488</v>
      </c>
      <c r="D394" s="1808"/>
      <c r="E394" s="851" t="s">
        <v>55</v>
      </c>
      <c r="F394" s="583">
        <f>'6. Mampostería'!I638</f>
        <v>4937.9292449999994</v>
      </c>
      <c r="G394" s="851"/>
      <c r="H394" s="851"/>
      <c r="I394" s="851">
        <v>0</v>
      </c>
      <c r="J394" s="850">
        <f>SUM(J385:J393)</f>
        <v>66224.484312000001</v>
      </c>
    </row>
    <row r="395" spans="1:10" ht="12.75" hidden="1" customHeight="1" outlineLevel="1" collapsed="1">
      <c r="A395" s="1864"/>
      <c r="B395" s="1829"/>
      <c r="C395" s="1827" t="s">
        <v>47</v>
      </c>
      <c r="D395" s="1827"/>
      <c r="E395" s="1827"/>
      <c r="F395" s="1827"/>
      <c r="G395" s="1827"/>
      <c r="H395" s="1827"/>
      <c r="I395" s="1827"/>
      <c r="J395" s="773">
        <f>J394*F394</f>
        <v>327011817.81926847</v>
      </c>
    </row>
    <row r="396" spans="1:10" ht="12.75" hidden="1" customHeight="1" outlineLevel="1">
      <c r="A396" s="1864" t="s">
        <v>2050</v>
      </c>
      <c r="B396" s="1829">
        <v>6.2</v>
      </c>
      <c r="C396" s="1837" t="s">
        <v>1055</v>
      </c>
      <c r="D396" s="1837"/>
      <c r="E396" s="1837"/>
      <c r="F396" s="1837"/>
      <c r="G396" s="1837" t="s">
        <v>1055</v>
      </c>
      <c r="H396" s="1837"/>
      <c r="I396" s="1837"/>
      <c r="J396" s="1837"/>
    </row>
    <row r="397" spans="1:10" ht="12.75" hidden="1" customHeight="1" outlineLevel="2">
      <c r="A397" s="1864"/>
      <c r="B397" s="1829"/>
      <c r="C397" s="5" t="s">
        <v>2051</v>
      </c>
      <c r="D397" s="5" t="s">
        <v>2052</v>
      </c>
      <c r="E397" s="5" t="s">
        <v>1492</v>
      </c>
      <c r="F397" s="5">
        <v>0.77</v>
      </c>
      <c r="G397" s="5">
        <v>0</v>
      </c>
      <c r="H397" s="5">
        <v>5000</v>
      </c>
      <c r="I397" s="5">
        <v>0</v>
      </c>
      <c r="J397" s="5">
        <f t="shared" ref="J397:J407" si="19">(F397*(1+G397/100)) * (H397*(1+I397/100))</f>
        <v>3850</v>
      </c>
    </row>
    <row r="398" spans="1:10" ht="12.75" hidden="1" customHeight="1" outlineLevel="2">
      <c r="A398" s="1864"/>
      <c r="B398" s="1829"/>
      <c r="C398" s="5" t="s">
        <v>2053</v>
      </c>
      <c r="D398" s="5" t="s">
        <v>2054</v>
      </c>
      <c r="E398" s="5" t="s">
        <v>1492</v>
      </c>
      <c r="F398" s="5">
        <v>0.33999999999999997</v>
      </c>
      <c r="G398" s="5">
        <v>0</v>
      </c>
      <c r="H398" s="5">
        <v>4300</v>
      </c>
      <c r="I398" s="5">
        <v>0</v>
      </c>
      <c r="J398" s="5">
        <f t="shared" si="19"/>
        <v>1461.9999999999998</v>
      </c>
    </row>
    <row r="399" spans="1:10" ht="12.75" hidden="1" customHeight="1" outlineLevel="2">
      <c r="A399" s="1864"/>
      <c r="B399" s="1829"/>
      <c r="C399" s="5" t="s">
        <v>2055</v>
      </c>
      <c r="D399" s="5" t="s">
        <v>2056</v>
      </c>
      <c r="E399" s="5" t="s">
        <v>1492</v>
      </c>
      <c r="F399" s="5">
        <v>2</v>
      </c>
      <c r="G399" s="5">
        <v>0</v>
      </c>
      <c r="H399" s="5">
        <v>318</v>
      </c>
      <c r="I399" s="5">
        <v>0</v>
      </c>
      <c r="J399" s="5">
        <f t="shared" si="19"/>
        <v>636</v>
      </c>
    </row>
    <row r="400" spans="1:10" ht="12.75" hidden="1" customHeight="1" outlineLevel="2">
      <c r="A400" s="1864"/>
      <c r="B400" s="1829"/>
      <c r="C400" s="5" t="s">
        <v>2057</v>
      </c>
      <c r="D400" s="5" t="s">
        <v>2058</v>
      </c>
      <c r="E400" s="5" t="s">
        <v>1492</v>
      </c>
      <c r="F400" s="5">
        <v>3</v>
      </c>
      <c r="G400" s="5">
        <v>0</v>
      </c>
      <c r="H400" s="5">
        <v>30</v>
      </c>
      <c r="I400" s="5">
        <v>0</v>
      </c>
      <c r="J400" s="5">
        <f t="shared" si="19"/>
        <v>90</v>
      </c>
    </row>
    <row r="401" spans="1:21" ht="12.75" hidden="1" customHeight="1" outlineLevel="2">
      <c r="A401" s="1864"/>
      <c r="B401" s="1829"/>
      <c r="C401" s="5" t="s">
        <v>2059</v>
      </c>
      <c r="D401" s="5" t="s">
        <v>2060</v>
      </c>
      <c r="E401" s="5" t="s">
        <v>1492</v>
      </c>
      <c r="F401" s="5">
        <v>23</v>
      </c>
      <c r="G401" s="5">
        <v>0</v>
      </c>
      <c r="H401" s="5">
        <v>19</v>
      </c>
      <c r="I401" s="5">
        <v>0</v>
      </c>
      <c r="J401" s="5">
        <f t="shared" si="19"/>
        <v>437</v>
      </c>
    </row>
    <row r="402" spans="1:21" ht="12.75" hidden="1" customHeight="1" outlineLevel="2">
      <c r="A402" s="1864"/>
      <c r="B402" s="1829"/>
      <c r="C402" s="5" t="s">
        <v>2061</v>
      </c>
      <c r="D402" s="5" t="s">
        <v>2062</v>
      </c>
      <c r="E402" s="5" t="s">
        <v>2063</v>
      </c>
      <c r="F402" s="5">
        <v>0.06</v>
      </c>
      <c r="G402" s="5">
        <v>0</v>
      </c>
      <c r="H402" s="5">
        <v>98000</v>
      </c>
      <c r="I402" s="5">
        <v>0</v>
      </c>
      <c r="J402" s="5">
        <f t="shared" si="19"/>
        <v>5880</v>
      </c>
    </row>
    <row r="403" spans="1:21" ht="12.75" hidden="1" customHeight="1" outlineLevel="2">
      <c r="A403" s="1864"/>
      <c r="B403" s="1829"/>
      <c r="C403" s="5" t="s">
        <v>2064</v>
      </c>
      <c r="D403" s="5" t="s">
        <v>2065</v>
      </c>
      <c r="E403" s="5" t="s">
        <v>1492</v>
      </c>
      <c r="F403" s="5">
        <v>0.06</v>
      </c>
      <c r="G403" s="5">
        <v>0</v>
      </c>
      <c r="H403" s="5">
        <v>32000</v>
      </c>
      <c r="I403" s="5">
        <v>0</v>
      </c>
      <c r="J403" s="5">
        <f t="shared" si="19"/>
        <v>1920</v>
      </c>
    </row>
    <row r="404" spans="1:21" ht="12.75" hidden="1" customHeight="1" outlineLevel="2">
      <c r="A404" s="1864"/>
      <c r="B404" s="1829"/>
      <c r="C404" s="5" t="s">
        <v>2066</v>
      </c>
      <c r="D404" s="5" t="s">
        <v>2067</v>
      </c>
      <c r="E404" s="5" t="s">
        <v>2063</v>
      </c>
      <c r="F404" s="5">
        <v>0.01</v>
      </c>
      <c r="G404" s="5">
        <v>0</v>
      </c>
      <c r="H404" s="5">
        <v>9564</v>
      </c>
      <c r="I404" s="5">
        <v>0</v>
      </c>
      <c r="J404" s="5">
        <f t="shared" si="19"/>
        <v>95.64</v>
      </c>
    </row>
    <row r="405" spans="1:21" ht="12.75" hidden="1" customHeight="1" outlineLevel="2">
      <c r="A405" s="1864"/>
      <c r="B405" s="1829"/>
      <c r="C405" s="5" t="s">
        <v>2068</v>
      </c>
      <c r="D405" s="5" t="s">
        <v>2069</v>
      </c>
      <c r="E405" s="5" t="s">
        <v>1492</v>
      </c>
      <c r="F405" s="5">
        <v>0.33999999999999997</v>
      </c>
      <c r="G405" s="5">
        <v>0</v>
      </c>
      <c r="H405" s="5">
        <v>16500</v>
      </c>
      <c r="I405" s="5">
        <v>0</v>
      </c>
      <c r="J405" s="5">
        <f t="shared" si="19"/>
        <v>5609.9999999999991</v>
      </c>
    </row>
    <row r="406" spans="1:21" ht="12.75" hidden="1" customHeight="1" outlineLevel="2">
      <c r="A406" s="1864"/>
      <c r="B406" s="1829"/>
      <c r="C406" s="5" t="s">
        <v>2070</v>
      </c>
      <c r="D406" s="5" t="s">
        <v>2071</v>
      </c>
      <c r="E406" s="5" t="s">
        <v>1492</v>
      </c>
      <c r="F406" s="5">
        <v>0.33999999999999997</v>
      </c>
      <c r="G406" s="5">
        <v>0</v>
      </c>
      <c r="H406" s="5">
        <v>30000</v>
      </c>
      <c r="I406" s="5">
        <v>0</v>
      </c>
      <c r="J406" s="5">
        <f t="shared" si="19"/>
        <v>10199.999999999998</v>
      </c>
    </row>
    <row r="407" spans="1:21" ht="12.75" hidden="1" customHeight="1" outlineLevel="2">
      <c r="A407" s="1864"/>
      <c r="B407" s="1829"/>
      <c r="C407" s="5" t="s">
        <v>2072</v>
      </c>
      <c r="D407" s="5" t="s">
        <v>2073</v>
      </c>
      <c r="E407" s="5" t="s">
        <v>55</v>
      </c>
      <c r="F407" s="5">
        <v>1</v>
      </c>
      <c r="G407" s="5">
        <v>0</v>
      </c>
      <c r="H407" s="5">
        <v>19488.900000000001</v>
      </c>
      <c r="I407" s="5">
        <v>0</v>
      </c>
      <c r="J407" s="5">
        <f t="shared" si="19"/>
        <v>19488.900000000001</v>
      </c>
    </row>
    <row r="408" spans="1:21" ht="12.75" hidden="1" customHeight="1" outlineLevel="2">
      <c r="A408" s="1864"/>
      <c r="B408" s="1829"/>
      <c r="C408" s="5"/>
      <c r="D408" s="5"/>
      <c r="E408" s="5"/>
      <c r="F408" s="5"/>
      <c r="G408" s="5">
        <v>5</v>
      </c>
      <c r="H408" s="5" t="s">
        <v>1514</v>
      </c>
      <c r="I408" s="5"/>
      <c r="J408" s="5">
        <v>974.45</v>
      </c>
    </row>
    <row r="409" spans="1:21" ht="12.75" hidden="1" customHeight="1" outlineLevel="2">
      <c r="A409" s="1864"/>
      <c r="B409" s="1829"/>
      <c r="C409" s="1808" t="s">
        <v>1488</v>
      </c>
      <c r="D409" s="1808"/>
      <c r="E409" s="851" t="s">
        <v>55</v>
      </c>
      <c r="F409" s="583">
        <f>'6. Mampostería'!I639</f>
        <v>1704.5063999999998</v>
      </c>
      <c r="G409" s="851"/>
      <c r="H409" s="851"/>
      <c r="I409" s="851">
        <v>0</v>
      </c>
      <c r="J409" s="850">
        <f>SUM(J397:J408)</f>
        <v>50643.99</v>
      </c>
    </row>
    <row r="410" spans="1:21" ht="12.75" hidden="1" customHeight="1" outlineLevel="1" collapsed="1">
      <c r="A410" s="1864"/>
      <c r="B410" s="1829"/>
      <c r="C410" s="1827" t="s">
        <v>47</v>
      </c>
      <c r="D410" s="1827"/>
      <c r="E410" s="1827"/>
      <c r="F410" s="1827"/>
      <c r="G410" s="1827"/>
      <c r="H410" s="1827"/>
      <c r="I410" s="1827"/>
      <c r="J410" s="773">
        <f>J409*F409</f>
        <v>86323005.076535985</v>
      </c>
    </row>
    <row r="411" spans="1:21" ht="15" collapsed="1">
      <c r="A411" s="1844">
        <v>7</v>
      </c>
      <c r="B411" s="1844"/>
      <c r="C411" s="1844" t="s">
        <v>1262</v>
      </c>
      <c r="D411" s="1844"/>
      <c r="E411" s="1844"/>
      <c r="F411" s="1844"/>
      <c r="G411" s="1844"/>
      <c r="H411" s="1844"/>
      <c r="I411" s="1844"/>
      <c r="J411" s="1844"/>
      <c r="M411" s="805"/>
      <c r="N411" s="764"/>
      <c r="O411" s="764"/>
      <c r="P411" s="806"/>
      <c r="Q411" s="807"/>
      <c r="R411" s="765"/>
      <c r="S411" s="766"/>
      <c r="T411" s="764"/>
      <c r="U411" s="766"/>
    </row>
    <row r="412" spans="1:21" ht="15" hidden="1" customHeight="1" outlineLevel="1">
      <c r="A412" s="1830" t="s">
        <v>1685</v>
      </c>
      <c r="B412" s="1831" t="s">
        <v>1108</v>
      </c>
      <c r="C412" s="1826" t="s">
        <v>1264</v>
      </c>
      <c r="D412" s="1826"/>
      <c r="E412" s="1826"/>
      <c r="F412" s="1826"/>
      <c r="G412" s="1826"/>
      <c r="H412" s="1826"/>
      <c r="I412" s="1826"/>
      <c r="J412" s="1826"/>
      <c r="M412" s="805"/>
      <c r="N412" s="764"/>
      <c r="O412" s="764"/>
      <c r="P412" s="806"/>
      <c r="Q412" s="807"/>
      <c r="R412" s="765"/>
      <c r="S412" s="766"/>
      <c r="T412" s="764"/>
      <c r="U412" s="766"/>
    </row>
    <row r="413" spans="1:21" ht="15" hidden="1" customHeight="1" outlineLevel="2">
      <c r="A413" s="1830"/>
      <c r="B413" s="1831"/>
      <c r="C413" s="774" t="s">
        <v>1677</v>
      </c>
      <c r="D413" s="776" t="s">
        <v>1678</v>
      </c>
      <c r="E413" s="774" t="s">
        <v>49</v>
      </c>
      <c r="F413" s="774">
        <v>0.02</v>
      </c>
      <c r="G413" s="774">
        <v>15</v>
      </c>
      <c r="H413" s="774">
        <v>279580.59999999998</v>
      </c>
      <c r="I413" s="774">
        <v>0</v>
      </c>
      <c r="J413" s="774">
        <f>(F413*(1+G413/100)) * (H413*(1+I413/100))</f>
        <v>6430.353799999999</v>
      </c>
      <c r="M413" s="805"/>
      <c r="N413" s="764"/>
      <c r="O413" s="764"/>
      <c r="P413" s="806"/>
      <c r="Q413" s="807"/>
      <c r="R413" s="765"/>
      <c r="S413" s="766"/>
      <c r="T413" s="764"/>
      <c r="U413" s="766"/>
    </row>
    <row r="414" spans="1:21" ht="15" hidden="1" customHeight="1" outlineLevel="2">
      <c r="A414" s="1830"/>
      <c r="B414" s="1831"/>
      <c r="C414" s="774" t="s">
        <v>1679</v>
      </c>
      <c r="D414" s="776" t="s">
        <v>1680</v>
      </c>
      <c r="E414" s="774" t="s">
        <v>39</v>
      </c>
      <c r="F414" s="774">
        <v>0.5</v>
      </c>
      <c r="G414" s="774">
        <v>5</v>
      </c>
      <c r="H414" s="774">
        <v>990</v>
      </c>
      <c r="I414" s="774">
        <v>0</v>
      </c>
      <c r="J414" s="774">
        <f>(F414*(1+G414/100)) * (H414*(1+I414/100))</f>
        <v>519.75</v>
      </c>
      <c r="M414" s="805"/>
      <c r="N414" s="764"/>
      <c r="O414" s="764"/>
      <c r="P414" s="806"/>
      <c r="Q414" s="807"/>
      <c r="R414" s="765"/>
      <c r="S414" s="766"/>
      <c r="T414" s="764"/>
      <c r="U414" s="766"/>
    </row>
    <row r="415" spans="1:21" ht="12.75" hidden="1" customHeight="1" outlineLevel="2">
      <c r="A415" s="1830"/>
      <c r="B415" s="1831"/>
      <c r="C415" s="774" t="s">
        <v>1686</v>
      </c>
      <c r="D415" s="776" t="s">
        <v>1687</v>
      </c>
      <c r="E415" s="774" t="s">
        <v>55</v>
      </c>
      <c r="F415" s="774">
        <v>1</v>
      </c>
      <c r="G415" s="774">
        <v>0</v>
      </c>
      <c r="H415" s="774">
        <v>6079.15</v>
      </c>
      <c r="I415" s="774">
        <v>0</v>
      </c>
      <c r="J415" s="774">
        <f>(F415*(1+G415/100)) * (H415*(1+I415/100))</f>
        <v>6079.15</v>
      </c>
    </row>
    <row r="416" spans="1:21" ht="12.75" hidden="1" customHeight="1" outlineLevel="2">
      <c r="A416" s="1830"/>
      <c r="B416" s="1831"/>
      <c r="C416" s="774" t="s">
        <v>1610</v>
      </c>
      <c r="D416" s="776" t="s">
        <v>1611</v>
      </c>
      <c r="E416" s="774" t="s">
        <v>1212</v>
      </c>
      <c r="F416" s="774">
        <v>0.12</v>
      </c>
      <c r="G416" s="774">
        <v>0</v>
      </c>
      <c r="H416" s="774">
        <v>279</v>
      </c>
      <c r="I416" s="774">
        <v>0</v>
      </c>
      <c r="J416" s="774">
        <f>(F416*(1+G416/100)) * (H416*(1+I416/100))</f>
        <v>33.479999999999997</v>
      </c>
    </row>
    <row r="417" spans="1:10" ht="12.75" hidden="1" customHeight="1" outlineLevel="2">
      <c r="A417" s="1830"/>
      <c r="B417" s="1831"/>
      <c r="C417" s="774"/>
      <c r="D417" s="774"/>
      <c r="E417" s="774"/>
      <c r="F417" s="774"/>
      <c r="G417" s="774">
        <v>5</v>
      </c>
      <c r="H417" s="774" t="s">
        <v>1514</v>
      </c>
      <c r="I417" s="774"/>
      <c r="J417" s="774">
        <v>303.95999999999998</v>
      </c>
    </row>
    <row r="418" spans="1:10" ht="12.75" hidden="1" customHeight="1" outlineLevel="2">
      <c r="A418" s="1830"/>
      <c r="B418" s="1831"/>
      <c r="C418" s="1808" t="s">
        <v>1488</v>
      </c>
      <c r="D418" s="1808"/>
      <c r="E418" s="784" t="s">
        <v>55</v>
      </c>
      <c r="F418" s="583">
        <f>'7. Revoque'!B50</f>
        <v>4742.8357020000003</v>
      </c>
      <c r="G418" s="784"/>
      <c r="H418" s="784"/>
      <c r="I418" s="784">
        <v>0</v>
      </c>
      <c r="J418" s="774">
        <f>SUM(J413:J417)</f>
        <v>13366.693799999997</v>
      </c>
    </row>
    <row r="419" spans="1:10" ht="12.75" hidden="1" customHeight="1" outlineLevel="1" collapsed="1">
      <c r="A419" s="1830"/>
      <c r="B419" s="1831"/>
      <c r="C419" s="1827" t="s">
        <v>47</v>
      </c>
      <c r="D419" s="1827"/>
      <c r="E419" s="1827"/>
      <c r="F419" s="1827"/>
      <c r="G419" s="1827"/>
      <c r="H419" s="1827"/>
      <c r="I419" s="1827"/>
      <c r="J419" s="773">
        <f>J418*F418</f>
        <v>63396032.572342038</v>
      </c>
    </row>
    <row r="420" spans="1:10" collapsed="1">
      <c r="A420" s="1844">
        <v>8</v>
      </c>
      <c r="B420" s="1844"/>
      <c r="C420" s="1844" t="s">
        <v>1688</v>
      </c>
      <c r="D420" s="1844"/>
      <c r="E420" s="1844"/>
      <c r="F420" s="1844"/>
      <c r="G420" s="1844"/>
      <c r="H420" s="1844"/>
      <c r="I420" s="1844"/>
      <c r="J420" s="1844"/>
    </row>
    <row r="421" spans="1:10" ht="12.75" hidden="1" customHeight="1" outlineLevel="1">
      <c r="A421" s="1830" t="s">
        <v>1689</v>
      </c>
      <c r="B421" s="1831" t="s">
        <v>1109</v>
      </c>
      <c r="C421" s="1900" t="s">
        <v>1265</v>
      </c>
      <c r="D421" s="1862"/>
      <c r="E421" s="1862"/>
      <c r="F421" s="1862"/>
      <c r="G421" s="1862"/>
      <c r="H421" s="1862"/>
      <c r="I421" s="1862"/>
      <c r="J421" s="1862"/>
    </row>
    <row r="422" spans="1:10" ht="12.75" hidden="1" customHeight="1" outlineLevel="2">
      <c r="A422" s="1830"/>
      <c r="B422" s="1831"/>
      <c r="C422" s="774" t="s">
        <v>1690</v>
      </c>
      <c r="D422" s="1165" t="s">
        <v>1691</v>
      </c>
      <c r="E422" s="1165" t="s">
        <v>39</v>
      </c>
      <c r="F422" s="1165">
        <v>0.8</v>
      </c>
      <c r="G422" s="1165">
        <v>10</v>
      </c>
      <c r="H422" s="1165">
        <f>59900/30</f>
        <v>1996.6666666666667</v>
      </c>
      <c r="I422" s="1165">
        <v>0</v>
      </c>
      <c r="J422" s="1165">
        <f>(F422*(1+G422/100)) * (H422*(1+I422/100))</f>
        <v>1757.0666666666671</v>
      </c>
    </row>
    <row r="423" spans="1:10" ht="12.75" hidden="1" customHeight="1" outlineLevel="2">
      <c r="A423" s="1830"/>
      <c r="B423" s="1831"/>
      <c r="C423" s="774" t="s">
        <v>1681</v>
      </c>
      <c r="D423" s="776" t="s">
        <v>1682</v>
      </c>
      <c r="E423" s="774" t="s">
        <v>1482</v>
      </c>
      <c r="F423" s="774">
        <v>0.3</v>
      </c>
      <c r="G423" s="774">
        <v>0</v>
      </c>
      <c r="H423" s="774">
        <v>8093.0300000000007</v>
      </c>
      <c r="I423" s="774">
        <v>0</v>
      </c>
      <c r="J423" s="774">
        <f>(F423*(1+G423/100)) * (H423*(1+I423/100))</f>
        <v>2427.9090000000001</v>
      </c>
    </row>
    <row r="424" spans="1:10" ht="12.75" hidden="1" customHeight="1" outlineLevel="2">
      <c r="A424" s="1830"/>
      <c r="B424" s="1831"/>
      <c r="C424" s="774" t="s">
        <v>1510</v>
      </c>
      <c r="D424" s="776" t="s">
        <v>1511</v>
      </c>
      <c r="E424" s="774" t="s">
        <v>1482</v>
      </c>
      <c r="F424" s="774">
        <v>0.3</v>
      </c>
      <c r="G424" s="774">
        <v>0</v>
      </c>
      <c r="H424" s="774">
        <v>5527.21</v>
      </c>
      <c r="I424" s="774">
        <v>0</v>
      </c>
      <c r="J424" s="774">
        <f>(F424*(1+G424/100)) * (H424*(1+I424/100))</f>
        <v>1658.163</v>
      </c>
    </row>
    <row r="425" spans="1:10" ht="12.75" hidden="1" customHeight="1" outlineLevel="2">
      <c r="A425" s="1830"/>
      <c r="B425" s="1831"/>
      <c r="C425" s="774" t="s">
        <v>1683</v>
      </c>
      <c r="D425" s="776" t="s">
        <v>1684</v>
      </c>
      <c r="E425" s="774" t="s">
        <v>1212</v>
      </c>
      <c r="F425" s="774">
        <v>3.7999999999999999E-2</v>
      </c>
      <c r="G425" s="774">
        <v>0</v>
      </c>
      <c r="H425" s="774">
        <v>800.4</v>
      </c>
      <c r="I425" s="774">
        <v>0</v>
      </c>
      <c r="J425" s="774">
        <f>(F425*(1+G425/100)) * (H425*(1+I425/100))</f>
        <v>30.415199999999999</v>
      </c>
    </row>
    <row r="426" spans="1:10" ht="12.75" hidden="1" customHeight="1" outlineLevel="2">
      <c r="A426" s="1830"/>
      <c r="B426" s="1831"/>
      <c r="C426" s="774"/>
      <c r="D426" s="774"/>
      <c r="E426" s="774"/>
      <c r="F426" s="774"/>
      <c r="G426" s="774">
        <v>5</v>
      </c>
      <c r="H426" s="774" t="s">
        <v>1514</v>
      </c>
      <c r="I426" s="774"/>
      <c r="J426" s="774">
        <v>204.3</v>
      </c>
    </row>
    <row r="427" spans="1:10" ht="12.75" hidden="1" customHeight="1" outlineLevel="2">
      <c r="A427" s="1830"/>
      <c r="B427" s="1831"/>
      <c r="C427" s="1808" t="s">
        <v>1488</v>
      </c>
      <c r="D427" s="1808"/>
      <c r="E427" s="784" t="s">
        <v>55</v>
      </c>
      <c r="F427" s="583">
        <f>'Estructura de Presupuesto'!G63</f>
        <v>4737.0312020000001</v>
      </c>
      <c r="G427" s="784"/>
      <c r="H427" s="784"/>
      <c r="I427" s="784">
        <v>0</v>
      </c>
      <c r="J427" s="774">
        <f>SUM(J422:J426)</f>
        <v>6077.8538666666682</v>
      </c>
    </row>
    <row r="428" spans="1:10" ht="12.75" hidden="1" customHeight="1" outlineLevel="1">
      <c r="A428" s="1830"/>
      <c r="B428" s="1831"/>
      <c r="C428" s="1827" t="s">
        <v>47</v>
      </c>
      <c r="D428" s="1827"/>
      <c r="E428" s="1827"/>
      <c r="F428" s="1827"/>
      <c r="G428" s="1827"/>
      <c r="H428" s="1827"/>
      <c r="I428" s="1827"/>
      <c r="J428" s="773">
        <f>J427*F427</f>
        <v>28790983.407596357</v>
      </c>
    </row>
    <row r="429" spans="1:10" ht="12.75" hidden="1" customHeight="1" outlineLevel="1">
      <c r="A429" s="1868" t="s">
        <v>1692</v>
      </c>
      <c r="B429" s="1831" t="s">
        <v>1669</v>
      </c>
      <c r="C429" s="1898" t="s">
        <v>1266</v>
      </c>
      <c r="D429" s="1899"/>
      <c r="E429" s="1899"/>
      <c r="F429" s="1899"/>
      <c r="G429" s="1899"/>
      <c r="H429" s="1899"/>
      <c r="I429" s="1899"/>
      <c r="J429" s="1899"/>
    </row>
    <row r="430" spans="1:10" ht="12.75" hidden="1" customHeight="1" outlineLevel="2">
      <c r="A430" s="1868"/>
      <c r="B430" s="1831"/>
      <c r="C430" s="774" t="s">
        <v>1693</v>
      </c>
      <c r="D430" s="776" t="s">
        <v>1694</v>
      </c>
      <c r="E430" s="774" t="s">
        <v>1619</v>
      </c>
      <c r="F430" s="774">
        <v>3.2999999999999995E-2</v>
      </c>
      <c r="G430" s="774">
        <v>10</v>
      </c>
      <c r="H430" s="774">
        <v>58900</v>
      </c>
      <c r="I430" s="774">
        <v>0</v>
      </c>
      <c r="J430" s="774">
        <f>(F430*(1+G430/100)) * (H430*(1+I430/100))</f>
        <v>2138.0700000000002</v>
      </c>
    </row>
    <row r="431" spans="1:10" ht="12.75" hidden="1" customHeight="1" outlineLevel="2">
      <c r="A431" s="1868"/>
      <c r="B431" s="1831"/>
      <c r="C431" s="774" t="s">
        <v>1681</v>
      </c>
      <c r="D431" s="776" t="s">
        <v>1682</v>
      </c>
      <c r="E431" s="774" t="s">
        <v>1482</v>
      </c>
      <c r="F431" s="774">
        <v>0.3</v>
      </c>
      <c r="G431" s="774">
        <v>0</v>
      </c>
      <c r="H431" s="774">
        <v>8093.0300000000007</v>
      </c>
      <c r="I431" s="774">
        <v>0</v>
      </c>
      <c r="J431" s="774">
        <f>(F431*(1+G431/100)) * (H431*(1+I431/100))</f>
        <v>2427.9090000000001</v>
      </c>
    </row>
    <row r="432" spans="1:10" ht="12.75" hidden="1" customHeight="1" outlineLevel="2">
      <c r="A432" s="1868"/>
      <c r="B432" s="1831"/>
      <c r="C432" s="774" t="s">
        <v>1510</v>
      </c>
      <c r="D432" s="776" t="s">
        <v>1511</v>
      </c>
      <c r="E432" s="774" t="s">
        <v>1482</v>
      </c>
      <c r="F432" s="774">
        <v>0.35</v>
      </c>
      <c r="G432" s="774">
        <v>0</v>
      </c>
      <c r="H432" s="774">
        <v>5527.21</v>
      </c>
      <c r="I432" s="774">
        <v>0</v>
      </c>
      <c r="J432" s="774">
        <f>(F432*(1+G432/100)) * (H432*(1+I432/100))</f>
        <v>1934.5234999999998</v>
      </c>
    </row>
    <row r="433" spans="1:10" ht="12.75" hidden="1" customHeight="1" outlineLevel="2">
      <c r="A433" s="1868"/>
      <c r="B433" s="1831"/>
      <c r="C433" s="774" t="s">
        <v>1683</v>
      </c>
      <c r="D433" s="776" t="s">
        <v>1684</v>
      </c>
      <c r="E433" s="774" t="s">
        <v>1212</v>
      </c>
      <c r="F433" s="774">
        <v>0.125</v>
      </c>
      <c r="G433" s="774">
        <v>0</v>
      </c>
      <c r="H433" s="774">
        <v>800.4</v>
      </c>
      <c r="I433" s="774">
        <v>0</v>
      </c>
      <c r="J433" s="774">
        <f>(F433*(1+G433/100)) * (H433*(1+I433/100))</f>
        <v>100.05</v>
      </c>
    </row>
    <row r="434" spans="1:10" ht="12.75" hidden="1" customHeight="1" outlineLevel="2">
      <c r="A434" s="1868"/>
      <c r="B434" s="1831"/>
      <c r="C434" s="774" t="s">
        <v>1610</v>
      </c>
      <c r="D434" s="776" t="s">
        <v>1611</v>
      </c>
      <c r="E434" s="774" t="s">
        <v>1212</v>
      </c>
      <c r="F434" s="774">
        <v>0.12</v>
      </c>
      <c r="G434" s="774">
        <v>0</v>
      </c>
      <c r="H434" s="774">
        <v>279</v>
      </c>
      <c r="I434" s="774">
        <v>0</v>
      </c>
      <c r="J434" s="774">
        <f>(F434*(1+G434/100)) * (H434*(1+I434/100))</f>
        <v>33.479999999999997</v>
      </c>
    </row>
    <row r="435" spans="1:10" ht="12.75" hidden="1" customHeight="1" outlineLevel="2">
      <c r="A435" s="1868"/>
      <c r="B435" s="1831"/>
      <c r="C435" s="774"/>
      <c r="D435" s="774"/>
      <c r="E435" s="774"/>
      <c r="F435" s="774"/>
      <c r="G435" s="774">
        <v>5</v>
      </c>
      <c r="H435" s="774" t="s">
        <v>1514</v>
      </c>
      <c r="I435" s="774"/>
      <c r="J435" s="774">
        <v>218.11999999999998</v>
      </c>
    </row>
    <row r="436" spans="1:10" ht="12.75" hidden="1" customHeight="1" outlineLevel="2">
      <c r="A436" s="1868"/>
      <c r="B436" s="1831"/>
      <c r="C436" s="1808" t="s">
        <v>1488</v>
      </c>
      <c r="D436" s="1808"/>
      <c r="E436" s="784" t="s">
        <v>55</v>
      </c>
      <c r="F436" s="583">
        <f>'8. Estuco y pintura'!B46</f>
        <v>9311.0984219999991</v>
      </c>
      <c r="G436" s="784"/>
      <c r="H436" s="784"/>
      <c r="I436" s="784">
        <v>0</v>
      </c>
      <c r="J436" s="774">
        <f>SUM(J430:J435)</f>
        <v>6852.1525000000001</v>
      </c>
    </row>
    <row r="437" spans="1:10" ht="12.75" hidden="1" customHeight="1" outlineLevel="1">
      <c r="A437" s="1868"/>
      <c r="B437" s="1831"/>
      <c r="C437" s="1827" t="s">
        <v>47</v>
      </c>
      <c r="D437" s="1827"/>
      <c r="E437" s="1827"/>
      <c r="F437" s="1827"/>
      <c r="G437" s="1827"/>
      <c r="H437" s="1827"/>
      <c r="I437" s="1827"/>
      <c r="J437" s="773">
        <f>J436*F436</f>
        <v>63801066.330053352</v>
      </c>
    </row>
    <row r="438" spans="1:10" collapsed="1">
      <c r="A438" s="1844">
        <v>9</v>
      </c>
      <c r="B438" s="1844"/>
      <c r="C438" s="1844" t="s">
        <v>2144</v>
      </c>
      <c r="D438" s="1844"/>
      <c r="E438" s="1844"/>
      <c r="F438" s="1844"/>
      <c r="G438" s="1844"/>
      <c r="H438" s="1844"/>
      <c r="I438" s="1844"/>
      <c r="J438" s="1844"/>
    </row>
    <row r="439" spans="1:10" ht="12.75" hidden="1" customHeight="1" outlineLevel="1">
      <c r="A439" s="1883" t="s">
        <v>2145</v>
      </c>
      <c r="B439" s="1855" t="s">
        <v>1110</v>
      </c>
      <c r="C439" s="1826" t="s">
        <v>2146</v>
      </c>
      <c r="D439" s="1826"/>
      <c r="E439" s="1826"/>
      <c r="F439" s="1826"/>
      <c r="G439" s="1826"/>
      <c r="H439" s="1826"/>
      <c r="I439" s="1826"/>
      <c r="J439" s="1826"/>
    </row>
    <row r="440" spans="1:10" ht="12.75" hidden="1" customHeight="1" outlineLevel="2">
      <c r="A440" s="1884"/>
      <c r="B440" s="1856"/>
      <c r="C440" s="1039" t="s">
        <v>2147</v>
      </c>
      <c r="D440" s="776" t="s">
        <v>2148</v>
      </c>
      <c r="E440" s="1039" t="s">
        <v>1619</v>
      </c>
      <c r="F440" s="1039">
        <v>0.1</v>
      </c>
      <c r="G440" s="1039">
        <v>3</v>
      </c>
      <c r="H440" s="1039">
        <v>34854</v>
      </c>
      <c r="I440" s="1039">
        <v>0</v>
      </c>
      <c r="J440" s="1039">
        <f>(F440*(1+G440/100)) * (H440*(1+I440/100))</f>
        <v>3589.9620000000004</v>
      </c>
    </row>
    <row r="441" spans="1:10" ht="12.75" hidden="1" customHeight="1" outlineLevel="2">
      <c r="A441" s="1884"/>
      <c r="B441" s="1856"/>
      <c r="C441" s="1039" t="s">
        <v>2149</v>
      </c>
      <c r="D441" s="776" t="s">
        <v>2150</v>
      </c>
      <c r="E441" s="1039" t="s">
        <v>55</v>
      </c>
      <c r="F441" s="1039">
        <v>1</v>
      </c>
      <c r="G441" s="1039">
        <v>3</v>
      </c>
      <c r="H441" s="1039">
        <v>26800</v>
      </c>
      <c r="I441" s="1039">
        <v>0</v>
      </c>
      <c r="J441" s="1039">
        <f>(F441*(1+G441/100)) * (H441*(1+I441/100))</f>
        <v>27604</v>
      </c>
    </row>
    <row r="442" spans="1:10" ht="12.75" hidden="1" customHeight="1" outlineLevel="2">
      <c r="A442" s="1884"/>
      <c r="B442" s="1856"/>
      <c r="C442" s="1039" t="s">
        <v>2151</v>
      </c>
      <c r="D442" s="776" t="s">
        <v>2152</v>
      </c>
      <c r="E442" s="1039" t="s">
        <v>55</v>
      </c>
      <c r="F442" s="1039">
        <v>1</v>
      </c>
      <c r="G442" s="1039">
        <v>0</v>
      </c>
      <c r="H442" s="1039">
        <v>3602.66</v>
      </c>
      <c r="I442" s="1039">
        <v>0</v>
      </c>
      <c r="J442" s="1039">
        <f>(F442*(1+G442/100)) * (H442*(1+I442/100))</f>
        <v>3602.66</v>
      </c>
    </row>
    <row r="443" spans="1:10" ht="12.75" hidden="1" customHeight="1" outlineLevel="2">
      <c r="A443" s="1884"/>
      <c r="B443" s="1856"/>
      <c r="C443" s="1039"/>
      <c r="D443" s="776"/>
      <c r="E443" s="1039"/>
      <c r="F443" s="1039"/>
      <c r="G443" s="1039">
        <v>5</v>
      </c>
      <c r="H443" s="1039" t="s">
        <v>1514</v>
      </c>
      <c r="I443" s="1039"/>
      <c r="J443" s="1039">
        <v>180.13</v>
      </c>
    </row>
    <row r="444" spans="1:10" ht="12.75" hidden="1" customHeight="1" outlineLevel="2">
      <c r="A444" s="1884"/>
      <c r="B444" s="1856"/>
      <c r="C444" s="1063" t="s">
        <v>1681</v>
      </c>
      <c r="D444" s="1064" t="s">
        <v>1682</v>
      </c>
      <c r="E444" s="1063" t="s">
        <v>1482</v>
      </c>
      <c r="F444" s="1063">
        <v>0.3</v>
      </c>
      <c r="G444" s="1063">
        <v>0</v>
      </c>
      <c r="H444" s="1063">
        <v>8093.0300000000007</v>
      </c>
      <c r="I444" s="1063">
        <v>0</v>
      </c>
      <c r="J444" s="1063">
        <f>(F444*(1+G444/100)) * (H444*(1+I444/100))</f>
        <v>2427.9090000000001</v>
      </c>
    </row>
    <row r="445" spans="1:10" ht="12.75" hidden="1" customHeight="1" outlineLevel="2">
      <c r="A445" s="1884"/>
      <c r="B445" s="1856"/>
      <c r="C445" s="1063" t="s">
        <v>1510</v>
      </c>
      <c r="D445" s="1064" t="s">
        <v>1511</v>
      </c>
      <c r="E445" s="1063" t="s">
        <v>1482</v>
      </c>
      <c r="F445" s="1063">
        <v>0.35</v>
      </c>
      <c r="G445" s="1063">
        <v>0</v>
      </c>
      <c r="H445" s="1063">
        <v>5527.21</v>
      </c>
      <c r="I445" s="1063">
        <v>0</v>
      </c>
      <c r="J445" s="1063">
        <f>(F445*(1+G445/100)) * (H445*(1+I445/100))</f>
        <v>1934.5234999999998</v>
      </c>
    </row>
    <row r="446" spans="1:10" ht="12.75" hidden="1" customHeight="1" outlineLevel="2">
      <c r="A446" s="1884"/>
      <c r="B446" s="1856"/>
      <c r="C446" s="1808" t="s">
        <v>1488</v>
      </c>
      <c r="D446" s="1808"/>
      <c r="E446" s="851" t="s">
        <v>55</v>
      </c>
      <c r="F446" s="583">
        <f>'9. Pisos y zócalos'!D55</f>
        <v>4044.3097000000002</v>
      </c>
      <c r="G446" s="851"/>
      <c r="H446" s="851"/>
      <c r="I446" s="851">
        <v>0</v>
      </c>
      <c r="J446" s="850">
        <f>SUM(J440:J443)</f>
        <v>34976.752</v>
      </c>
    </row>
    <row r="447" spans="1:10" ht="12.75" hidden="1" customHeight="1" outlineLevel="1" collapsed="1">
      <c r="A447" s="1885"/>
      <c r="B447" s="1857"/>
      <c r="C447" s="1836" t="s">
        <v>47</v>
      </c>
      <c r="D447" s="1827"/>
      <c r="E447" s="1827"/>
      <c r="F447" s="1827"/>
      <c r="G447" s="1827"/>
      <c r="H447" s="1827"/>
      <c r="I447" s="1827"/>
      <c r="J447" s="773">
        <f>J446*F446</f>
        <v>141456817.38809443</v>
      </c>
    </row>
    <row r="448" spans="1:10" ht="12.75" hidden="1" customHeight="1" outlineLevel="1">
      <c r="A448" s="1883" t="s">
        <v>2153</v>
      </c>
      <c r="B448" s="1855" t="s">
        <v>1111</v>
      </c>
      <c r="C448" s="1826" t="s">
        <v>2154</v>
      </c>
      <c r="D448" s="1826"/>
      <c r="E448" s="1826"/>
      <c r="F448" s="1826"/>
      <c r="G448" s="1826"/>
      <c r="H448" s="1826"/>
      <c r="I448" s="1826"/>
      <c r="J448" s="1826"/>
    </row>
    <row r="449" spans="1:10" ht="12.75" hidden="1" customHeight="1" outlineLevel="2">
      <c r="A449" s="1884"/>
      <c r="B449" s="1856"/>
      <c r="C449" s="856" t="s">
        <v>2147</v>
      </c>
      <c r="D449" s="856" t="s">
        <v>2148</v>
      </c>
      <c r="E449" s="857" t="s">
        <v>1619</v>
      </c>
      <c r="F449" s="858">
        <v>0.1</v>
      </c>
      <c r="G449" s="859">
        <v>3</v>
      </c>
      <c r="H449" s="860">
        <v>34854</v>
      </c>
      <c r="I449" s="856">
        <v>0</v>
      </c>
      <c r="J449" s="860">
        <f>(F449*(1+G449/100)) * (H449*(1+I449/100))</f>
        <v>3589.9620000000004</v>
      </c>
    </row>
    <row r="450" spans="1:10" ht="12.75" hidden="1" customHeight="1" outlineLevel="2">
      <c r="A450" s="1884"/>
      <c r="B450" s="1856"/>
      <c r="C450" s="856" t="s">
        <v>2155</v>
      </c>
      <c r="D450" s="856" t="s">
        <v>2156</v>
      </c>
      <c r="E450" s="857" t="s">
        <v>55</v>
      </c>
      <c r="F450" s="858">
        <v>1</v>
      </c>
      <c r="G450" s="859">
        <v>3</v>
      </c>
      <c r="H450" s="860">
        <v>24900</v>
      </c>
      <c r="I450" s="856">
        <v>0</v>
      </c>
      <c r="J450" s="860">
        <f>(F450*(1+G450/100)) * (H450*(1+I450/100))</f>
        <v>25647</v>
      </c>
    </row>
    <row r="451" spans="1:10" ht="12.75" hidden="1" customHeight="1" outlineLevel="2">
      <c r="A451" s="1884"/>
      <c r="B451" s="1856"/>
      <c r="C451" s="856" t="s">
        <v>2151</v>
      </c>
      <c r="D451" s="856" t="s">
        <v>2152</v>
      </c>
      <c r="E451" s="857" t="s">
        <v>55</v>
      </c>
      <c r="F451" s="858">
        <v>1</v>
      </c>
      <c r="G451" s="859">
        <v>0</v>
      </c>
      <c r="H451" s="860">
        <v>3602.66</v>
      </c>
      <c r="I451" s="856">
        <v>0</v>
      </c>
      <c r="J451" s="860">
        <f>(F451*(1+G451/100)) * (H451*(1+I451/100))</f>
        <v>3602.66</v>
      </c>
    </row>
    <row r="452" spans="1:10" ht="12.75" hidden="1" customHeight="1" outlineLevel="2">
      <c r="A452" s="1884"/>
      <c r="B452" s="1856"/>
      <c r="C452" s="856"/>
      <c r="D452" s="856"/>
      <c r="E452" s="857"/>
      <c r="F452" s="858"/>
      <c r="G452" s="859">
        <v>5</v>
      </c>
      <c r="H452" s="860" t="s">
        <v>1514</v>
      </c>
      <c r="I452" s="856"/>
      <c r="J452" s="860">
        <v>180.13</v>
      </c>
    </row>
    <row r="453" spans="1:10" ht="12.75" hidden="1" customHeight="1" outlineLevel="2">
      <c r="A453" s="1884"/>
      <c r="B453" s="1856"/>
      <c r="C453" s="1063" t="s">
        <v>1681</v>
      </c>
      <c r="D453" s="1064" t="s">
        <v>1682</v>
      </c>
      <c r="E453" s="1063" t="s">
        <v>1482</v>
      </c>
      <c r="F453" s="1063">
        <v>0.3</v>
      </c>
      <c r="G453" s="1063">
        <v>0</v>
      </c>
      <c r="H453" s="1063">
        <v>8093.0300000000007</v>
      </c>
      <c r="I453" s="1063">
        <v>0</v>
      </c>
      <c r="J453" s="1063">
        <f>(F453*(1+G453/100)) * (H453*(1+I453/100))</f>
        <v>2427.9090000000001</v>
      </c>
    </row>
    <row r="454" spans="1:10" ht="12.75" hidden="1" customHeight="1" outlineLevel="2">
      <c r="A454" s="1884"/>
      <c r="B454" s="1856"/>
      <c r="C454" s="1063" t="s">
        <v>1510</v>
      </c>
      <c r="D454" s="1064" t="s">
        <v>1511</v>
      </c>
      <c r="E454" s="1063" t="s">
        <v>1482</v>
      </c>
      <c r="F454" s="1063">
        <v>0.35</v>
      </c>
      <c r="G454" s="1063">
        <v>0</v>
      </c>
      <c r="H454" s="1063">
        <v>5527.21</v>
      </c>
      <c r="I454" s="1063">
        <v>0</v>
      </c>
      <c r="J454" s="1063">
        <f>(F454*(1+G454/100)) * (H454*(1+I454/100))</f>
        <v>1934.5234999999998</v>
      </c>
    </row>
    <row r="455" spans="1:10" ht="12.75" hidden="1" customHeight="1" outlineLevel="2">
      <c r="A455" s="1884"/>
      <c r="B455" s="1856"/>
      <c r="C455" s="1808" t="s">
        <v>1488</v>
      </c>
      <c r="D455" s="1808"/>
      <c r="E455" s="851" t="s">
        <v>55</v>
      </c>
      <c r="F455" s="583">
        <f>'9. Pisos y zócalos'!D56</f>
        <v>273.48040000000003</v>
      </c>
      <c r="G455" s="851"/>
      <c r="H455" s="851"/>
      <c r="I455" s="851">
        <v>0</v>
      </c>
      <c r="J455" s="850">
        <f>SUM(J449:J452)</f>
        <v>33019.752</v>
      </c>
    </row>
    <row r="456" spans="1:10" ht="12.75" hidden="1" customHeight="1" outlineLevel="1" collapsed="1">
      <c r="A456" s="1885"/>
      <c r="B456" s="1857"/>
      <c r="C456" s="1836" t="s">
        <v>47</v>
      </c>
      <c r="D456" s="1827"/>
      <c r="E456" s="1827"/>
      <c r="F456" s="1827"/>
      <c r="G456" s="1827"/>
      <c r="H456" s="1827"/>
      <c r="I456" s="1827"/>
      <c r="J456" s="773">
        <f>J455*F455</f>
        <v>9030254.9848608021</v>
      </c>
    </row>
    <row r="457" spans="1:10" ht="12.75" hidden="1" customHeight="1" outlineLevel="1">
      <c r="A457" s="1872" t="s">
        <v>2157</v>
      </c>
      <c r="B457" s="1831" t="s">
        <v>1112</v>
      </c>
      <c r="C457" s="1826" t="s">
        <v>2158</v>
      </c>
      <c r="D457" s="1826"/>
      <c r="E457" s="1826"/>
      <c r="F457" s="1826"/>
      <c r="G457" s="1826"/>
      <c r="H457" s="1826"/>
      <c r="I457" s="1826"/>
      <c r="J457" s="1826"/>
    </row>
    <row r="458" spans="1:10" ht="12.75" hidden="1" customHeight="1" outlineLevel="2">
      <c r="A458" s="1872"/>
      <c r="B458" s="1831"/>
      <c r="C458" s="856" t="s">
        <v>2159</v>
      </c>
      <c r="D458" s="856" t="s">
        <v>2160</v>
      </c>
      <c r="E458" s="857" t="s">
        <v>49</v>
      </c>
      <c r="F458" s="858">
        <v>0.05</v>
      </c>
      <c r="G458" s="859">
        <v>5</v>
      </c>
      <c r="H458" s="860">
        <v>39440</v>
      </c>
      <c r="I458" s="856">
        <v>0</v>
      </c>
      <c r="J458" s="860">
        <f t="shared" ref="J458:J464" si="20">(F458*(1+G458/100)) * (H458*(1+I458/100))</f>
        <v>2070.6000000000004</v>
      </c>
    </row>
    <row r="459" spans="1:10" ht="12.75" hidden="1" customHeight="1" outlineLevel="2">
      <c r="A459" s="1872"/>
      <c r="B459" s="1831"/>
      <c r="C459" s="856" t="s">
        <v>2161</v>
      </c>
      <c r="D459" s="856" t="s">
        <v>2162</v>
      </c>
      <c r="E459" s="857" t="s">
        <v>49</v>
      </c>
      <c r="F459" s="858">
        <v>0.02</v>
      </c>
      <c r="G459" s="859">
        <v>5</v>
      </c>
      <c r="H459" s="860">
        <v>7410</v>
      </c>
      <c r="I459" s="856">
        <v>0</v>
      </c>
      <c r="J459" s="860">
        <f t="shared" si="20"/>
        <v>155.61000000000001</v>
      </c>
    </row>
    <row r="460" spans="1:10" ht="12.75" hidden="1" customHeight="1" outlineLevel="2">
      <c r="A460" s="1872"/>
      <c r="B460" s="1831"/>
      <c r="C460" s="856" t="s">
        <v>2163</v>
      </c>
      <c r="D460" s="856" t="s">
        <v>2164</v>
      </c>
      <c r="E460" s="857" t="s">
        <v>1492</v>
      </c>
      <c r="F460" s="858">
        <v>50</v>
      </c>
      <c r="G460" s="859">
        <v>5</v>
      </c>
      <c r="H460" s="860">
        <v>728</v>
      </c>
      <c r="I460" s="856">
        <v>0</v>
      </c>
      <c r="J460" s="860">
        <f t="shared" si="20"/>
        <v>38220</v>
      </c>
    </row>
    <row r="461" spans="1:10" ht="12.75" hidden="1" customHeight="1" outlineLevel="2">
      <c r="A461" s="1872"/>
      <c r="B461" s="1831"/>
      <c r="C461" s="856" t="s">
        <v>1510</v>
      </c>
      <c r="D461" s="856" t="s">
        <v>1511</v>
      </c>
      <c r="E461" s="857" t="s">
        <v>1482</v>
      </c>
      <c r="F461" s="858">
        <v>0.5</v>
      </c>
      <c r="G461" s="859">
        <v>0</v>
      </c>
      <c r="H461" s="860">
        <v>5527.21</v>
      </c>
      <c r="I461" s="856">
        <v>0</v>
      </c>
      <c r="J461" s="860">
        <f t="shared" si="20"/>
        <v>2763.605</v>
      </c>
    </row>
    <row r="462" spans="1:10" ht="12.75" hidden="1" customHeight="1" outlineLevel="2">
      <c r="A462" s="1872"/>
      <c r="B462" s="1831"/>
      <c r="C462" s="856" t="s">
        <v>1545</v>
      </c>
      <c r="D462" s="856" t="s">
        <v>1546</v>
      </c>
      <c r="E462" s="857" t="s">
        <v>1482</v>
      </c>
      <c r="F462" s="858">
        <v>1</v>
      </c>
      <c r="G462" s="859">
        <v>0</v>
      </c>
      <c r="H462" s="860">
        <v>4671.93</v>
      </c>
      <c r="I462" s="856">
        <v>0</v>
      </c>
      <c r="J462" s="860">
        <f t="shared" si="20"/>
        <v>4671.93</v>
      </c>
    </row>
    <row r="463" spans="1:10" ht="12.75" hidden="1" customHeight="1" outlineLevel="2">
      <c r="A463" s="1872"/>
      <c r="B463" s="1831"/>
      <c r="C463" s="856" t="s">
        <v>2165</v>
      </c>
      <c r="D463" s="856" t="s">
        <v>2166</v>
      </c>
      <c r="E463" s="857" t="s">
        <v>1212</v>
      </c>
      <c r="F463" s="858">
        <v>3.0000000000000001E-3</v>
      </c>
      <c r="G463" s="859">
        <v>0</v>
      </c>
      <c r="H463" s="860">
        <v>35728</v>
      </c>
      <c r="I463" s="856">
        <v>0</v>
      </c>
      <c r="J463" s="860">
        <f t="shared" si="20"/>
        <v>107.184</v>
      </c>
    </row>
    <row r="464" spans="1:10" ht="12.75" hidden="1" customHeight="1" outlineLevel="2">
      <c r="A464" s="1872"/>
      <c r="B464" s="1831"/>
      <c r="C464" s="856" t="s">
        <v>1512</v>
      </c>
      <c r="D464" s="856" t="s">
        <v>1513</v>
      </c>
      <c r="E464" s="857" t="s">
        <v>49</v>
      </c>
      <c r="F464" s="858">
        <v>7.3999999999999996E-2</v>
      </c>
      <c r="G464" s="859">
        <v>0</v>
      </c>
      <c r="H464" s="860">
        <v>1500</v>
      </c>
      <c r="I464" s="856">
        <v>0</v>
      </c>
      <c r="J464" s="860">
        <f t="shared" si="20"/>
        <v>111</v>
      </c>
    </row>
    <row r="465" spans="1:10" ht="12.75" hidden="1" customHeight="1" outlineLevel="2">
      <c r="A465" s="1872"/>
      <c r="B465" s="1831"/>
      <c r="C465" s="856"/>
      <c r="D465" s="856"/>
      <c r="E465" s="857"/>
      <c r="F465" s="858"/>
      <c r="G465" s="859">
        <v>5</v>
      </c>
      <c r="H465" s="860" t="s">
        <v>1514</v>
      </c>
      <c r="I465" s="856"/>
      <c r="J465" s="860">
        <v>371.78000000000003</v>
      </c>
    </row>
    <row r="466" spans="1:10" ht="12.75" hidden="1" customHeight="1" outlineLevel="2">
      <c r="A466" s="1872"/>
      <c r="B466" s="1831"/>
      <c r="C466" s="1808" t="s">
        <v>1488</v>
      </c>
      <c r="D466" s="1808"/>
      <c r="E466" s="851" t="s">
        <v>55</v>
      </c>
      <c r="F466" s="583">
        <f>'9. Pisos y zócalos'!D58</f>
        <v>1402.3923</v>
      </c>
      <c r="G466" s="851"/>
      <c r="H466" s="851"/>
      <c r="I466" s="851">
        <v>0</v>
      </c>
      <c r="J466" s="850">
        <f>SUM(J458:J465)</f>
        <v>48471.709000000003</v>
      </c>
    </row>
    <row r="467" spans="1:10" ht="12.75" hidden="1" customHeight="1" outlineLevel="1" collapsed="1">
      <c r="A467" s="1872"/>
      <c r="B467" s="1831"/>
      <c r="C467" s="1827" t="s">
        <v>47</v>
      </c>
      <c r="D467" s="1827"/>
      <c r="E467" s="1827"/>
      <c r="F467" s="1827"/>
      <c r="G467" s="1827"/>
      <c r="H467" s="1827"/>
      <c r="I467" s="1827"/>
      <c r="J467" s="773">
        <f>J466*F466</f>
        <v>67976351.469440699</v>
      </c>
    </row>
    <row r="468" spans="1:10" ht="12.75" hidden="1" customHeight="1" outlineLevel="1">
      <c r="A468" s="1883" t="s">
        <v>2167</v>
      </c>
      <c r="B468" s="1855" t="s">
        <v>1113</v>
      </c>
      <c r="C468" s="1826" t="s">
        <v>2168</v>
      </c>
      <c r="D468" s="1826"/>
      <c r="E468" s="1826"/>
      <c r="F468" s="1826"/>
      <c r="G468" s="1826"/>
      <c r="H468" s="1826"/>
      <c r="I468" s="1826"/>
      <c r="J468" s="1826"/>
    </row>
    <row r="469" spans="1:10" ht="12.75" hidden="1" customHeight="1" outlineLevel="2">
      <c r="A469" s="1884"/>
      <c r="B469" s="1856"/>
      <c r="C469" s="856" t="s">
        <v>2040</v>
      </c>
      <c r="D469" s="856" t="s">
        <v>2041</v>
      </c>
      <c r="E469" s="857" t="s">
        <v>49</v>
      </c>
      <c r="F469" s="858">
        <v>0.03</v>
      </c>
      <c r="G469" s="859">
        <v>10</v>
      </c>
      <c r="H469" s="860">
        <v>246795.37999999998</v>
      </c>
      <c r="I469" s="856">
        <v>0</v>
      </c>
      <c r="J469" s="860">
        <f>(F469*(1+G469/100)) * (H469*(1+I469/100))</f>
        <v>8144.2475399999994</v>
      </c>
    </row>
    <row r="470" spans="1:10" ht="12.75" hidden="1" customHeight="1" outlineLevel="2">
      <c r="A470" s="1884"/>
      <c r="B470" s="1856"/>
      <c r="C470" s="856" t="s">
        <v>2169</v>
      </c>
      <c r="D470" s="856" t="s">
        <v>2170</v>
      </c>
      <c r="E470" s="857" t="s">
        <v>48</v>
      </c>
      <c r="F470" s="858">
        <v>0.7</v>
      </c>
      <c r="G470" s="859">
        <v>0</v>
      </c>
      <c r="H470" s="860">
        <v>5600</v>
      </c>
      <c r="I470" s="856">
        <v>0</v>
      </c>
      <c r="J470" s="860">
        <f>(F470*(1+G470/100)) * (H470*(1+I470/100))</f>
        <v>3919.9999999999995</v>
      </c>
    </row>
    <row r="471" spans="1:10" ht="12.75" hidden="1" customHeight="1" outlineLevel="2">
      <c r="A471" s="1884"/>
      <c r="B471" s="1856"/>
      <c r="C471" s="856" t="s">
        <v>1579</v>
      </c>
      <c r="D471" s="856" t="s">
        <v>1580</v>
      </c>
      <c r="E471" s="857" t="s">
        <v>1482</v>
      </c>
      <c r="F471" s="858">
        <v>0.6</v>
      </c>
      <c r="G471" s="859">
        <v>0</v>
      </c>
      <c r="H471" s="860">
        <v>6810.12</v>
      </c>
      <c r="I471" s="856">
        <v>0</v>
      </c>
      <c r="J471" s="860">
        <f>(F471*(1+G471/100)) * (H471*(1+I471/100))</f>
        <v>4086.0719999999997</v>
      </c>
    </row>
    <row r="472" spans="1:10" ht="12.75" hidden="1" customHeight="1" outlineLevel="2">
      <c r="A472" s="1884"/>
      <c r="B472" s="1856"/>
      <c r="C472" s="856"/>
      <c r="D472" s="856"/>
      <c r="E472" s="857"/>
      <c r="F472" s="858"/>
      <c r="G472" s="859">
        <v>5</v>
      </c>
      <c r="H472" s="860" t="s">
        <v>1514</v>
      </c>
      <c r="I472" s="856"/>
      <c r="J472" s="860">
        <v>204.3</v>
      </c>
    </row>
    <row r="473" spans="1:10" ht="12.75" hidden="1" customHeight="1" outlineLevel="2">
      <c r="A473" s="1884"/>
      <c r="B473" s="1856"/>
      <c r="C473" s="1808" t="s">
        <v>1488</v>
      </c>
      <c r="D473" s="1808"/>
      <c r="E473" s="851" t="s">
        <v>55</v>
      </c>
      <c r="F473" s="583">
        <f>'9. Pisos y zócalos'!D57</f>
        <v>371.46260000000001</v>
      </c>
      <c r="G473" s="851"/>
      <c r="H473" s="851"/>
      <c r="I473" s="851">
        <v>0</v>
      </c>
      <c r="J473" s="850">
        <f>SUM(J469:J472)</f>
        <v>16354.619539999998</v>
      </c>
    </row>
    <row r="474" spans="1:10" ht="12.75" hidden="1" customHeight="1" outlineLevel="1" collapsed="1">
      <c r="A474" s="1885"/>
      <c r="B474" s="1857"/>
      <c r="C474" s="1827" t="s">
        <v>47</v>
      </c>
      <c r="D474" s="1827"/>
      <c r="E474" s="1827"/>
      <c r="F474" s="1827"/>
      <c r="G474" s="1827"/>
      <c r="H474" s="1827"/>
      <c r="I474" s="1827"/>
      <c r="J474" s="773">
        <f>J473*F473</f>
        <v>6075129.4963392038</v>
      </c>
    </row>
    <row r="475" spans="1:10" ht="12.75" hidden="1" customHeight="1" outlineLevel="1">
      <c r="A475" s="1872" t="s">
        <v>2171</v>
      </c>
      <c r="B475" s="1831" t="s">
        <v>1114</v>
      </c>
      <c r="C475" s="1826" t="s">
        <v>2172</v>
      </c>
      <c r="D475" s="1826"/>
      <c r="E475" s="1826"/>
      <c r="F475" s="1826"/>
      <c r="G475" s="1826"/>
      <c r="H475" s="1826"/>
      <c r="I475" s="1826"/>
      <c r="J475" s="1826"/>
    </row>
    <row r="476" spans="1:10" ht="12.75" hidden="1" customHeight="1" outlineLevel="2">
      <c r="A476" s="1872"/>
      <c r="B476" s="1831"/>
      <c r="C476" s="856" t="s">
        <v>1677</v>
      </c>
      <c r="D476" s="856" t="s">
        <v>1678</v>
      </c>
      <c r="E476" s="857" t="s">
        <v>49</v>
      </c>
      <c r="F476" s="858">
        <v>5.3000000000000005E-2</v>
      </c>
      <c r="G476" s="859">
        <v>5</v>
      </c>
      <c r="H476" s="860">
        <v>279580.59999999998</v>
      </c>
      <c r="I476" s="856">
        <v>0</v>
      </c>
      <c r="J476" s="860">
        <f>(F476*(1+G476/100)) * (H476*(1+I476/100))</f>
        <v>15558.660390000001</v>
      </c>
    </row>
    <row r="477" spans="1:10" ht="12.75" hidden="1" customHeight="1" outlineLevel="2">
      <c r="A477" s="1872"/>
      <c r="B477" s="1831"/>
      <c r="C477" s="856" t="s">
        <v>2173</v>
      </c>
      <c r="D477" s="856" t="s">
        <v>2174</v>
      </c>
      <c r="E477" s="857" t="s">
        <v>55</v>
      </c>
      <c r="F477" s="858">
        <v>1</v>
      </c>
      <c r="G477" s="859">
        <v>2</v>
      </c>
      <c r="H477" s="860">
        <v>20405</v>
      </c>
      <c r="I477" s="856">
        <v>0</v>
      </c>
      <c r="J477" s="860">
        <f>(F477*(1+G477/100)) * (H477*(1+I477/100))</f>
        <v>20813.099999999999</v>
      </c>
    </row>
    <row r="478" spans="1:10" ht="12.75" hidden="1" customHeight="1" outlineLevel="2">
      <c r="A478" s="1872"/>
      <c r="B478" s="1831"/>
      <c r="C478" s="856" t="s">
        <v>1579</v>
      </c>
      <c r="D478" s="856" t="s">
        <v>1580</v>
      </c>
      <c r="E478" s="857" t="s">
        <v>1482</v>
      </c>
      <c r="F478" s="858">
        <v>0.65</v>
      </c>
      <c r="G478" s="859">
        <v>0</v>
      </c>
      <c r="H478" s="860">
        <v>6810.12</v>
      </c>
      <c r="I478" s="856">
        <v>0</v>
      </c>
      <c r="J478" s="860">
        <f>(F478*(1+G478/100)) * (H478*(1+I478/100))</f>
        <v>4426.5780000000004</v>
      </c>
    </row>
    <row r="479" spans="1:10" ht="12.75" hidden="1" customHeight="1" outlineLevel="2">
      <c r="A479" s="1872"/>
      <c r="B479" s="1831"/>
      <c r="C479" s="856" t="s">
        <v>1681</v>
      </c>
      <c r="D479" s="856" t="s">
        <v>1682</v>
      </c>
      <c r="E479" s="857" t="s">
        <v>1482</v>
      </c>
      <c r="F479" s="858">
        <v>0.4</v>
      </c>
      <c r="G479" s="859">
        <v>0</v>
      </c>
      <c r="H479" s="860">
        <v>8093.0300000000007</v>
      </c>
      <c r="I479" s="856">
        <v>0</v>
      </c>
      <c r="J479" s="860">
        <f>(F479*(1+G479/100)) * (H479*(1+I479/100))</f>
        <v>3237.2120000000004</v>
      </c>
    </row>
    <row r="480" spans="1:10" ht="12.75" hidden="1" customHeight="1" outlineLevel="2">
      <c r="A480" s="1872"/>
      <c r="B480" s="1831"/>
      <c r="C480" s="856" t="s">
        <v>1510</v>
      </c>
      <c r="D480" s="856" t="s">
        <v>1511</v>
      </c>
      <c r="E480" s="857" t="s">
        <v>1482</v>
      </c>
      <c r="F480" s="858">
        <v>0.5</v>
      </c>
      <c r="G480" s="859">
        <v>0</v>
      </c>
      <c r="H480" s="860">
        <v>5527.21</v>
      </c>
      <c r="I480" s="856">
        <v>0</v>
      </c>
      <c r="J480" s="860">
        <f>(F480*(1+G480/100)) * (H480*(1+I480/100))</f>
        <v>2763.605</v>
      </c>
    </row>
    <row r="481" spans="1:10" ht="12.75" hidden="1" customHeight="1" outlineLevel="2">
      <c r="A481" s="1872"/>
      <c r="B481" s="1831"/>
      <c r="C481" s="856"/>
      <c r="D481" s="856"/>
      <c r="E481" s="857"/>
      <c r="F481" s="858"/>
      <c r="G481" s="859">
        <v>5</v>
      </c>
      <c r="H481" s="860" t="s">
        <v>1514</v>
      </c>
      <c r="I481" s="856"/>
      <c r="J481" s="860">
        <v>521.37</v>
      </c>
    </row>
    <row r="482" spans="1:10" ht="12.75" hidden="1" customHeight="1" outlineLevel="2">
      <c r="A482" s="1872"/>
      <c r="B482" s="1831"/>
      <c r="C482" s="1808" t="s">
        <v>1488</v>
      </c>
      <c r="D482" s="1808"/>
      <c r="E482" s="851" t="s">
        <v>55</v>
      </c>
      <c r="F482" s="583">
        <f>'9. Pisos y zócalos'!D59</f>
        <v>481.57929999999993</v>
      </c>
      <c r="G482" s="851"/>
      <c r="H482" s="851"/>
      <c r="I482" s="851">
        <v>0</v>
      </c>
      <c r="J482" s="850">
        <f>SUM(J476:J481)</f>
        <v>47320.525390000003</v>
      </c>
    </row>
    <row r="483" spans="1:10" ht="12.75" hidden="1" customHeight="1" outlineLevel="1" collapsed="1">
      <c r="A483" s="1872"/>
      <c r="B483" s="1831"/>
      <c r="C483" s="1827" t="s">
        <v>47</v>
      </c>
      <c r="D483" s="1827"/>
      <c r="E483" s="1827"/>
      <c r="F483" s="1827"/>
      <c r="G483" s="1827"/>
      <c r="H483" s="1827"/>
      <c r="I483" s="1827"/>
      <c r="J483" s="773">
        <f>J482*F482</f>
        <v>22788585.492948424</v>
      </c>
    </row>
    <row r="484" spans="1:10" ht="12.75" hidden="1" customHeight="1" outlineLevel="1">
      <c r="A484" s="1872" t="s">
        <v>2171</v>
      </c>
      <c r="B484" s="1831" t="s">
        <v>1115</v>
      </c>
      <c r="C484" s="1826" t="s">
        <v>2175</v>
      </c>
      <c r="D484" s="1826"/>
      <c r="E484" s="1826"/>
      <c r="F484" s="1826"/>
      <c r="G484" s="1826"/>
      <c r="H484" s="1826"/>
      <c r="I484" s="1826"/>
      <c r="J484" s="1826"/>
    </row>
    <row r="485" spans="1:10" ht="12.75" hidden="1" customHeight="1" outlineLevel="2">
      <c r="A485" s="1872"/>
      <c r="B485" s="1831"/>
      <c r="C485" s="856" t="s">
        <v>2147</v>
      </c>
      <c r="D485" s="856" t="s">
        <v>2148</v>
      </c>
      <c r="E485" s="857" t="s">
        <v>1619</v>
      </c>
      <c r="F485" s="858">
        <v>0.1</v>
      </c>
      <c r="G485" s="859">
        <v>3</v>
      </c>
      <c r="H485" s="860">
        <v>34854</v>
      </c>
      <c r="I485" s="856">
        <v>0</v>
      </c>
      <c r="J485" s="860">
        <f>(F485*(1+G485/100)) * (H485*(1+I485/100))</f>
        <v>3589.9620000000004</v>
      </c>
    </row>
    <row r="486" spans="1:10" ht="12.75" hidden="1" customHeight="1" outlineLevel="2">
      <c r="A486" s="1872"/>
      <c r="B486" s="1831"/>
      <c r="C486" s="856" t="s">
        <v>2149</v>
      </c>
      <c r="D486" s="856" t="s">
        <v>2150</v>
      </c>
      <c r="E486" s="857" t="s">
        <v>55</v>
      </c>
      <c r="F486" s="858">
        <v>1</v>
      </c>
      <c r="G486" s="859">
        <v>3</v>
      </c>
      <c r="H486" s="860">
        <v>26800</v>
      </c>
      <c r="I486" s="856">
        <v>0</v>
      </c>
      <c r="J486" s="860">
        <f>(F486*(1+G486/100)) * (H486*(1+I486/100))</f>
        <v>27604</v>
      </c>
    </row>
    <row r="487" spans="1:10" ht="12.75" hidden="1" customHeight="1" outlineLevel="2">
      <c r="A487" s="1872"/>
      <c r="B487" s="1831"/>
      <c r="C487" s="856" t="s">
        <v>2151</v>
      </c>
      <c r="D487" s="856" t="s">
        <v>2152</v>
      </c>
      <c r="E487" s="857" t="s">
        <v>55</v>
      </c>
      <c r="F487" s="858">
        <v>1</v>
      </c>
      <c r="G487" s="859">
        <v>0</v>
      </c>
      <c r="H487" s="860">
        <v>3602.66</v>
      </c>
      <c r="I487" s="856">
        <v>0</v>
      </c>
      <c r="J487" s="860">
        <f>(F487*(1+G487/100)) * (H487*(1+I487/100))</f>
        <v>3602.66</v>
      </c>
    </row>
    <row r="488" spans="1:10" ht="12.75" hidden="1" customHeight="1" outlineLevel="2">
      <c r="A488" s="1872"/>
      <c r="B488" s="1831"/>
      <c r="C488" s="856"/>
      <c r="D488" s="856"/>
      <c r="E488" s="857"/>
      <c r="F488" s="858"/>
      <c r="G488" s="859">
        <v>5</v>
      </c>
      <c r="H488" s="860" t="s">
        <v>1514</v>
      </c>
      <c r="I488" s="856"/>
      <c r="J488" s="860">
        <v>180.13</v>
      </c>
    </row>
    <row r="489" spans="1:10" ht="12.75" hidden="1" customHeight="1" outlineLevel="2">
      <c r="A489" s="1872"/>
      <c r="B489" s="1831"/>
      <c r="C489" s="1808" t="s">
        <v>1488</v>
      </c>
      <c r="D489" s="1808"/>
      <c r="E489" s="851" t="s">
        <v>55</v>
      </c>
      <c r="F489" s="583">
        <f>'9. Pisos y zócalos'!D60</f>
        <v>11.9565</v>
      </c>
      <c r="G489" s="851"/>
      <c r="H489" s="851"/>
      <c r="I489" s="851">
        <v>0</v>
      </c>
      <c r="J489" s="850">
        <f>SUM(J485:J488)</f>
        <v>34976.752</v>
      </c>
    </row>
    <row r="490" spans="1:10" ht="12.75" hidden="1" customHeight="1" outlineLevel="1" collapsed="1">
      <c r="A490" s="1872"/>
      <c r="B490" s="1831"/>
      <c r="C490" s="1827" t="s">
        <v>47</v>
      </c>
      <c r="D490" s="1827"/>
      <c r="E490" s="1827"/>
      <c r="F490" s="1827"/>
      <c r="G490" s="1827"/>
      <c r="H490" s="1827"/>
      <c r="I490" s="1827"/>
      <c r="J490" s="773">
        <f>J489*F489</f>
        <v>418199.53528800001</v>
      </c>
    </row>
    <row r="491" spans="1:10" ht="12.75" hidden="1" customHeight="1" outlineLevel="1">
      <c r="A491" s="1872" t="s">
        <v>2181</v>
      </c>
      <c r="B491" s="1831" t="s">
        <v>1116</v>
      </c>
      <c r="C491" s="1826" t="s">
        <v>2176</v>
      </c>
      <c r="D491" s="1826"/>
      <c r="E491" s="1826"/>
      <c r="F491" s="1826"/>
      <c r="G491" s="1826"/>
      <c r="H491" s="1826"/>
      <c r="I491" s="1826"/>
      <c r="J491" s="1826"/>
    </row>
    <row r="492" spans="1:10" ht="12.75" hidden="1" customHeight="1" outlineLevel="2">
      <c r="A492" s="1872"/>
      <c r="B492" s="1831"/>
      <c r="C492" s="856" t="s">
        <v>2183</v>
      </c>
      <c r="D492" s="856" t="s">
        <v>2499</v>
      </c>
      <c r="E492" s="857" t="s">
        <v>48</v>
      </c>
      <c r="F492" s="858">
        <v>1</v>
      </c>
      <c r="G492" s="859">
        <v>5</v>
      </c>
      <c r="H492" s="860">
        <v>35800</v>
      </c>
      <c r="I492" s="856">
        <v>0</v>
      </c>
      <c r="J492" s="860">
        <f>(F492*(1+G492/100)) * (H492*(1+I492/100))</f>
        <v>37590</v>
      </c>
    </row>
    <row r="493" spans="1:10" ht="12.75" hidden="1" customHeight="1" outlineLevel="2">
      <c r="A493" s="1872"/>
      <c r="B493" s="1831"/>
      <c r="C493" s="856" t="s">
        <v>2147</v>
      </c>
      <c r="D493" s="856" t="s">
        <v>2148</v>
      </c>
      <c r="E493" s="857" t="s">
        <v>1619</v>
      </c>
      <c r="F493" s="858">
        <v>0.01</v>
      </c>
      <c r="G493" s="859">
        <v>5</v>
      </c>
      <c r="H493" s="860">
        <v>34854</v>
      </c>
      <c r="I493" s="856">
        <v>0</v>
      </c>
      <c r="J493" s="860">
        <f>(F493*(1+G493/100)) * (H493*(1+I493/100))</f>
        <v>365.96700000000004</v>
      </c>
    </row>
    <row r="494" spans="1:10" ht="12.75" hidden="1" customHeight="1" outlineLevel="2">
      <c r="A494" s="1872"/>
      <c r="B494" s="1831"/>
      <c r="C494" s="856" t="s">
        <v>1681</v>
      </c>
      <c r="D494" s="856" t="s">
        <v>1682</v>
      </c>
      <c r="E494" s="857" t="s">
        <v>1482</v>
      </c>
      <c r="F494" s="858">
        <v>0.4</v>
      </c>
      <c r="G494" s="859">
        <v>0</v>
      </c>
      <c r="H494" s="860">
        <v>8093.0300000000007</v>
      </c>
      <c r="I494" s="856">
        <v>0</v>
      </c>
      <c r="J494" s="860">
        <f>(F494*(1+G494/100)) * (H494*(1+I494/100))</f>
        <v>3237.2120000000004</v>
      </c>
    </row>
    <row r="495" spans="1:10" ht="12.75" hidden="1" customHeight="1" outlineLevel="2">
      <c r="A495" s="1872"/>
      <c r="B495" s="1831"/>
      <c r="C495" s="856"/>
      <c r="D495" s="856"/>
      <c r="E495" s="857"/>
      <c r="F495" s="858"/>
      <c r="G495" s="859">
        <v>5</v>
      </c>
      <c r="H495" s="860" t="s">
        <v>1514</v>
      </c>
      <c r="I495" s="856"/>
      <c r="J495" s="860">
        <v>161.85999999999999</v>
      </c>
    </row>
    <row r="496" spans="1:10" ht="12.75" hidden="1" customHeight="1" outlineLevel="2">
      <c r="A496" s="1872"/>
      <c r="B496" s="1831"/>
      <c r="C496" s="1808" t="s">
        <v>1488</v>
      </c>
      <c r="D496" s="1808"/>
      <c r="E496" s="851" t="s">
        <v>49</v>
      </c>
      <c r="F496" s="583">
        <f>'9. Pisos y zócalos'!I81</f>
        <v>2953.6765</v>
      </c>
      <c r="G496" s="851"/>
      <c r="H496" s="851"/>
      <c r="I496" s="851">
        <v>0</v>
      </c>
      <c r="J496" s="850">
        <f>SUM(J493:J495)</f>
        <v>3765.0390000000007</v>
      </c>
    </row>
    <row r="497" spans="1:10" ht="12.75" hidden="1" customHeight="1" outlineLevel="1" collapsed="1">
      <c r="A497" s="1872"/>
      <c r="B497" s="1831"/>
      <c r="C497" s="1827" t="s">
        <v>47</v>
      </c>
      <c r="D497" s="1827"/>
      <c r="E497" s="1827"/>
      <c r="F497" s="1827"/>
      <c r="G497" s="1827"/>
      <c r="H497" s="1827"/>
      <c r="I497" s="1827"/>
      <c r="J497" s="773">
        <f>J496*F496</f>
        <v>11120707.215883503</v>
      </c>
    </row>
    <row r="498" spans="1:10" ht="12.75" hidden="1" customHeight="1" outlineLevel="1">
      <c r="A498" s="1872" t="s">
        <v>2177</v>
      </c>
      <c r="B498" s="1831" t="s">
        <v>1117</v>
      </c>
      <c r="C498" s="1826" t="s">
        <v>2178</v>
      </c>
      <c r="D498" s="1826"/>
      <c r="E498" s="1826"/>
      <c r="F498" s="1826"/>
      <c r="G498" s="1826"/>
      <c r="H498" s="1826"/>
      <c r="I498" s="1826"/>
      <c r="J498" s="1826"/>
    </row>
    <row r="499" spans="1:10" ht="12.75" hidden="1" customHeight="1" outlineLevel="2">
      <c r="A499" s="1872"/>
      <c r="B499" s="1831"/>
      <c r="C499" s="856" t="s">
        <v>1677</v>
      </c>
      <c r="D499" s="856" t="s">
        <v>1678</v>
      </c>
      <c r="E499" s="857" t="s">
        <v>49</v>
      </c>
      <c r="F499" s="858">
        <v>2E-3</v>
      </c>
      <c r="G499" s="859">
        <v>10</v>
      </c>
      <c r="H499" s="860">
        <v>279580.59999999998</v>
      </c>
      <c r="I499" s="856">
        <v>0</v>
      </c>
      <c r="J499" s="860">
        <f>(F499*(1+G499/100)) * (H499*(1+I499/100))</f>
        <v>615.07731999999999</v>
      </c>
    </row>
    <row r="500" spans="1:10" ht="12.75" hidden="1" customHeight="1" outlineLevel="2">
      <c r="A500" s="1872"/>
      <c r="B500" s="1831"/>
      <c r="C500" s="856" t="s">
        <v>2179</v>
      </c>
      <c r="D500" s="856" t="s">
        <v>2180</v>
      </c>
      <c r="E500" s="857" t="s">
        <v>1492</v>
      </c>
      <c r="F500" s="858">
        <v>0.5</v>
      </c>
      <c r="G500" s="859">
        <v>2</v>
      </c>
      <c r="H500" s="860">
        <v>3600</v>
      </c>
      <c r="I500" s="856">
        <v>0</v>
      </c>
      <c r="J500" s="860">
        <f>(F500*(1+G500/100)) * (H500*(1+I500/100))</f>
        <v>1836</v>
      </c>
    </row>
    <row r="501" spans="1:10" ht="12.75" hidden="1" customHeight="1" outlineLevel="2">
      <c r="A501" s="1872"/>
      <c r="B501" s="1831"/>
      <c r="C501" s="856" t="s">
        <v>1916</v>
      </c>
      <c r="D501" s="856" t="s">
        <v>1917</v>
      </c>
      <c r="E501" s="857" t="s">
        <v>1482</v>
      </c>
      <c r="F501" s="858">
        <v>0.3</v>
      </c>
      <c r="G501" s="859">
        <v>0</v>
      </c>
      <c r="H501" s="860">
        <v>5954.85</v>
      </c>
      <c r="I501" s="856">
        <v>0</v>
      </c>
      <c r="J501" s="860">
        <f>(F501*(1+G501/100)) * (H501*(1+I501/100))</f>
        <v>1786.4550000000002</v>
      </c>
    </row>
    <row r="502" spans="1:10" ht="12.75" hidden="1" customHeight="1" outlineLevel="2">
      <c r="A502" s="1872"/>
      <c r="B502" s="1831"/>
      <c r="C502" s="856" t="s">
        <v>1510</v>
      </c>
      <c r="D502" s="856" t="s">
        <v>1511</v>
      </c>
      <c r="E502" s="857" t="s">
        <v>1482</v>
      </c>
      <c r="F502" s="858">
        <v>0.3</v>
      </c>
      <c r="G502" s="859">
        <v>0</v>
      </c>
      <c r="H502" s="860">
        <v>5527.21</v>
      </c>
      <c r="I502" s="856">
        <v>0</v>
      </c>
      <c r="J502" s="860">
        <f>(F502*(1+G502/100)) * (H502*(1+I502/100))</f>
        <v>1658.163</v>
      </c>
    </row>
    <row r="503" spans="1:10" ht="12.75" hidden="1" customHeight="1" outlineLevel="2">
      <c r="A503" s="1872"/>
      <c r="B503" s="1831"/>
      <c r="C503" s="856"/>
      <c r="D503" s="856"/>
      <c r="E503" s="857"/>
      <c r="F503" s="858"/>
      <c r="G503" s="859">
        <v>5</v>
      </c>
      <c r="H503" s="860" t="s">
        <v>1514</v>
      </c>
      <c r="I503" s="856"/>
      <c r="J503" s="860">
        <v>172.23</v>
      </c>
    </row>
    <row r="504" spans="1:10" ht="12.75" hidden="1" customHeight="1" outlineLevel="2">
      <c r="A504" s="1872"/>
      <c r="B504" s="1831"/>
      <c r="C504" s="1808" t="s">
        <v>1488</v>
      </c>
      <c r="D504" s="1808"/>
      <c r="E504" s="851" t="s">
        <v>345</v>
      </c>
      <c r="F504" s="583">
        <f>'9. Pisos y zócalos'!I82</f>
        <v>376.6096</v>
      </c>
      <c r="G504" s="851"/>
      <c r="H504" s="851"/>
      <c r="I504" s="851">
        <v>0</v>
      </c>
      <c r="J504" s="850">
        <f>SUM(J499:J503)</f>
        <v>6067.9253200000003</v>
      </c>
    </row>
    <row r="505" spans="1:10" ht="12.75" hidden="1" customHeight="1" outlineLevel="1" collapsed="1">
      <c r="A505" s="1872"/>
      <c r="B505" s="1831"/>
      <c r="C505" s="1827" t="s">
        <v>47</v>
      </c>
      <c r="D505" s="1827"/>
      <c r="E505" s="1827"/>
      <c r="F505" s="1827"/>
      <c r="G505" s="1827"/>
      <c r="H505" s="1827"/>
      <c r="I505" s="1827"/>
      <c r="J505" s="773">
        <f>J504*F504</f>
        <v>2285238.927595072</v>
      </c>
    </row>
    <row r="506" spans="1:10" ht="12.75" hidden="1" customHeight="1" outlineLevel="1">
      <c r="A506" s="1872" t="s">
        <v>2181</v>
      </c>
      <c r="B506" s="1831" t="s">
        <v>1118</v>
      </c>
      <c r="C506" s="1826" t="s">
        <v>2182</v>
      </c>
      <c r="D506" s="1826"/>
      <c r="E506" s="1826"/>
      <c r="F506" s="1826"/>
      <c r="G506" s="1826"/>
      <c r="H506" s="1826"/>
      <c r="I506" s="1826"/>
      <c r="J506" s="1826"/>
    </row>
    <row r="507" spans="1:10" ht="12.75" hidden="1" customHeight="1" outlineLevel="2">
      <c r="A507" s="1872"/>
      <c r="B507" s="1831"/>
      <c r="C507" s="856" t="s">
        <v>2183</v>
      </c>
      <c r="D507" s="856" t="s">
        <v>2184</v>
      </c>
      <c r="E507" s="857" t="s">
        <v>48</v>
      </c>
      <c r="F507" s="858">
        <v>1</v>
      </c>
      <c r="G507" s="859">
        <v>5</v>
      </c>
      <c r="H507" s="860">
        <v>35800</v>
      </c>
      <c r="I507" s="856">
        <v>0</v>
      </c>
      <c r="J507" s="860">
        <f>(F507*(1+G507/100)) * (H507*(1+I507/100))</f>
        <v>37590</v>
      </c>
    </row>
    <row r="508" spans="1:10" ht="12.75" hidden="1" customHeight="1" outlineLevel="2">
      <c r="A508" s="1872"/>
      <c r="B508" s="1831"/>
      <c r="C508" s="856" t="s">
        <v>2147</v>
      </c>
      <c r="D508" s="856" t="s">
        <v>2148</v>
      </c>
      <c r="E508" s="857" t="s">
        <v>1619</v>
      </c>
      <c r="F508" s="858">
        <v>0.01</v>
      </c>
      <c r="G508" s="859">
        <v>5</v>
      </c>
      <c r="H508" s="860">
        <v>34854</v>
      </c>
      <c r="I508" s="856">
        <v>0</v>
      </c>
      <c r="J508" s="860">
        <f>(F508*(1+G508/100)) * (H508*(1+I508/100))</f>
        <v>365.96700000000004</v>
      </c>
    </row>
    <row r="509" spans="1:10" ht="12.75" hidden="1" customHeight="1" outlineLevel="2">
      <c r="A509" s="1872"/>
      <c r="B509" s="1831"/>
      <c r="C509" s="856" t="s">
        <v>1681</v>
      </c>
      <c r="D509" s="856" t="s">
        <v>1682</v>
      </c>
      <c r="E509" s="857" t="s">
        <v>1482</v>
      </c>
      <c r="F509" s="858">
        <v>0.4</v>
      </c>
      <c r="G509" s="859">
        <v>0</v>
      </c>
      <c r="H509" s="860">
        <v>8093.0300000000007</v>
      </c>
      <c r="I509" s="856">
        <v>0</v>
      </c>
      <c r="J509" s="860">
        <f>(F509*(1+G509/100)) * (H509*(1+I509/100))</f>
        <v>3237.2120000000004</v>
      </c>
    </row>
    <row r="510" spans="1:10" ht="12.75" hidden="1" customHeight="1" outlineLevel="2">
      <c r="A510" s="1872"/>
      <c r="B510" s="1831"/>
      <c r="C510" s="856"/>
      <c r="D510" s="856"/>
      <c r="E510" s="857"/>
      <c r="F510" s="858"/>
      <c r="G510" s="859">
        <v>5</v>
      </c>
      <c r="H510" s="860" t="s">
        <v>1514</v>
      </c>
      <c r="I510" s="856"/>
      <c r="J510" s="860">
        <v>161.85999999999999</v>
      </c>
    </row>
    <row r="511" spans="1:10" ht="12.75" hidden="1" customHeight="1" outlineLevel="2">
      <c r="A511" s="1872"/>
      <c r="B511" s="1831"/>
      <c r="C511" s="1808" t="s">
        <v>1488</v>
      </c>
      <c r="D511" s="1808"/>
      <c r="E511" s="851" t="s">
        <v>49</v>
      </c>
      <c r="F511" s="583">
        <f>'9. Pisos y zócalos'!I83</f>
        <v>376.75149999999996</v>
      </c>
      <c r="G511" s="851"/>
      <c r="H511" s="851"/>
      <c r="I511" s="851">
        <v>0</v>
      </c>
      <c r="J511" s="850">
        <f>SUM(J507:J510)</f>
        <v>41355.038999999997</v>
      </c>
    </row>
    <row r="512" spans="1:10" ht="12.75" hidden="1" customHeight="1" outlineLevel="1" collapsed="1">
      <c r="A512" s="1872"/>
      <c r="B512" s="1831"/>
      <c r="C512" s="1827" t="s">
        <v>47</v>
      </c>
      <c r="D512" s="1827"/>
      <c r="E512" s="1827"/>
      <c r="F512" s="1827"/>
      <c r="G512" s="1827"/>
      <c r="H512" s="1827"/>
      <c r="I512" s="1827"/>
      <c r="J512" s="773">
        <f>J511*F511</f>
        <v>15580572.975808498</v>
      </c>
    </row>
    <row r="513" spans="1:10" ht="12.75" hidden="1" customHeight="1" outlineLevel="1">
      <c r="A513" s="1872" t="s">
        <v>2177</v>
      </c>
      <c r="B513" s="1831" t="s">
        <v>1119</v>
      </c>
      <c r="C513" s="1826" t="s">
        <v>2185</v>
      </c>
      <c r="D513" s="1826"/>
      <c r="E513" s="1826"/>
      <c r="F513" s="1826"/>
      <c r="G513" s="1826"/>
      <c r="H513" s="1826"/>
      <c r="I513" s="1826"/>
      <c r="J513" s="1826"/>
    </row>
    <row r="514" spans="1:10" ht="12.75" hidden="1" customHeight="1" outlineLevel="2">
      <c r="A514" s="1872"/>
      <c r="B514" s="1831"/>
      <c r="C514" s="1039" t="s">
        <v>2186</v>
      </c>
      <c r="D514" s="776" t="s">
        <v>2187</v>
      </c>
      <c r="E514" s="1039" t="s">
        <v>55</v>
      </c>
      <c r="F514" s="1039">
        <v>1</v>
      </c>
      <c r="G514" s="1039">
        <v>5</v>
      </c>
      <c r="H514" s="1039">
        <v>21087</v>
      </c>
      <c r="I514" s="1039">
        <v>0</v>
      </c>
      <c r="J514" s="1039">
        <f>(F514*(1+G514/100)) * (H514*(1+I514/100))</f>
        <v>22141.350000000002</v>
      </c>
    </row>
    <row r="515" spans="1:10" ht="12.75" hidden="1" customHeight="1" outlineLevel="2">
      <c r="A515" s="1872"/>
      <c r="B515" s="1831"/>
      <c r="C515" s="1039" t="s">
        <v>2188</v>
      </c>
      <c r="D515" s="776" t="s">
        <v>2189</v>
      </c>
      <c r="E515" s="1039" t="s">
        <v>39</v>
      </c>
      <c r="F515" s="1039">
        <v>2.5</v>
      </c>
      <c r="G515" s="1039">
        <v>5</v>
      </c>
      <c r="H515" s="1039">
        <v>1276</v>
      </c>
      <c r="I515" s="1039">
        <v>0</v>
      </c>
      <c r="J515" s="1039">
        <f>(F515*(1+G515/100)) * (H515*(1+I515/100))</f>
        <v>3349.5</v>
      </c>
    </row>
    <row r="516" spans="1:10" ht="12.75" hidden="1" customHeight="1" outlineLevel="2">
      <c r="A516" s="1872"/>
      <c r="B516" s="1831"/>
      <c r="C516" s="1039" t="s">
        <v>2190</v>
      </c>
      <c r="D516" s="776" t="s">
        <v>2191</v>
      </c>
      <c r="E516" s="1039" t="s">
        <v>55</v>
      </c>
      <c r="F516" s="1039">
        <v>1</v>
      </c>
      <c r="G516" s="1039">
        <v>0</v>
      </c>
      <c r="H516" s="1039">
        <v>1826.2</v>
      </c>
      <c r="I516" s="1039">
        <v>0</v>
      </c>
      <c r="J516" s="1039">
        <f>(F516*(1+G516/100)) * (H516*(1+I516/100))</f>
        <v>1826.2</v>
      </c>
    </row>
    <row r="517" spans="1:10" ht="12.75" hidden="1" customHeight="1" outlineLevel="2">
      <c r="A517" s="1872"/>
      <c r="B517" s="1831"/>
      <c r="C517" s="1039" t="s">
        <v>2192</v>
      </c>
      <c r="D517" s="776" t="s">
        <v>2193</v>
      </c>
      <c r="E517" s="1039" t="s">
        <v>55</v>
      </c>
      <c r="F517" s="1039">
        <v>1</v>
      </c>
      <c r="G517" s="1039">
        <v>0</v>
      </c>
      <c r="H517" s="1039">
        <v>15385.1</v>
      </c>
      <c r="I517" s="1039">
        <v>0</v>
      </c>
      <c r="J517" s="1039">
        <f>(F517*(1+G517/100)) * (H517*(1+I517/100))</f>
        <v>15385.1</v>
      </c>
    </row>
    <row r="518" spans="1:10" ht="12.75" hidden="1" customHeight="1" outlineLevel="2">
      <c r="A518" s="1872"/>
      <c r="B518" s="1831"/>
      <c r="C518" s="1039"/>
      <c r="D518" s="776"/>
      <c r="E518" s="1039"/>
      <c r="F518" s="1039"/>
      <c r="G518" s="1039">
        <v>5</v>
      </c>
      <c r="H518" s="1039" t="s">
        <v>1514</v>
      </c>
      <c r="I518" s="1039"/>
      <c r="J518" s="1039">
        <v>769.26</v>
      </c>
    </row>
    <row r="519" spans="1:10" ht="12.75" hidden="1" customHeight="1" outlineLevel="2">
      <c r="A519" s="1872"/>
      <c r="B519" s="1831"/>
      <c r="C519" s="1063" t="s">
        <v>1681</v>
      </c>
      <c r="D519" s="1064" t="s">
        <v>1682</v>
      </c>
      <c r="E519" s="1063" t="s">
        <v>1482</v>
      </c>
      <c r="F519" s="1063">
        <v>0.3</v>
      </c>
      <c r="G519" s="1063">
        <v>0</v>
      </c>
      <c r="H519" s="1063">
        <v>8093.0300000000007</v>
      </c>
      <c r="I519" s="1063">
        <v>0</v>
      </c>
      <c r="J519" s="1063">
        <f>(F519*(1+G519/100)) * (H519*(1+I519/100))</f>
        <v>2427.9090000000001</v>
      </c>
    </row>
    <row r="520" spans="1:10" ht="12.75" hidden="1" customHeight="1" outlineLevel="2">
      <c r="A520" s="1872"/>
      <c r="B520" s="1831"/>
      <c r="C520" s="1063" t="s">
        <v>1510</v>
      </c>
      <c r="D520" s="1064" t="s">
        <v>1511</v>
      </c>
      <c r="E520" s="1063" t="s">
        <v>1482</v>
      </c>
      <c r="F520" s="1063">
        <v>0.35</v>
      </c>
      <c r="G520" s="1063">
        <v>0</v>
      </c>
      <c r="H520" s="1063">
        <v>5527.21</v>
      </c>
      <c r="I520" s="1063">
        <v>0</v>
      </c>
      <c r="J520" s="1063">
        <f>(F520*(1+G520/100)) * (H520*(1+I520/100))</f>
        <v>1934.5234999999998</v>
      </c>
    </row>
    <row r="521" spans="1:10" ht="12.75" hidden="1" customHeight="1" outlineLevel="2">
      <c r="A521" s="1872"/>
      <c r="B521" s="1831"/>
      <c r="C521" s="1808" t="s">
        <v>1488</v>
      </c>
      <c r="D521" s="1808"/>
      <c r="E521" s="851" t="s">
        <v>345</v>
      </c>
      <c r="F521" s="583">
        <f>'9. Pisos y zócalos'!N13</f>
        <v>84.182399999999987</v>
      </c>
      <c r="G521" s="851"/>
      <c r="H521" s="851"/>
      <c r="I521" s="851">
        <v>0</v>
      </c>
      <c r="J521" s="850">
        <f>SUM(J514:J518)</f>
        <v>43471.41</v>
      </c>
    </row>
    <row r="522" spans="1:10" ht="12.75" hidden="1" customHeight="1" outlineLevel="1" collapsed="1">
      <c r="A522" s="1872"/>
      <c r="B522" s="1831"/>
      <c r="C522" s="1827" t="s">
        <v>47</v>
      </c>
      <c r="D522" s="1827"/>
      <c r="E522" s="1827"/>
      <c r="F522" s="1827"/>
      <c r="G522" s="1827"/>
      <c r="H522" s="1827"/>
      <c r="I522" s="1827"/>
      <c r="J522" s="773">
        <f>J521*F521</f>
        <v>3659527.6251839995</v>
      </c>
    </row>
    <row r="523" spans="1:10" ht="12.75" hidden="1" customHeight="1" outlineLevel="1">
      <c r="A523" s="1872"/>
      <c r="B523" s="1831" t="s">
        <v>1177</v>
      </c>
      <c r="C523" s="1826" t="s">
        <v>2207</v>
      </c>
      <c r="D523" s="1826"/>
      <c r="E523" s="1826"/>
      <c r="F523" s="1826"/>
      <c r="G523" s="1826"/>
      <c r="H523" s="1826"/>
      <c r="I523" s="1826"/>
      <c r="J523" s="1826"/>
    </row>
    <row r="524" spans="1:10" ht="12.75" hidden="1" customHeight="1" outlineLevel="2">
      <c r="A524" s="1872"/>
      <c r="B524" s="1831"/>
      <c r="C524" s="856" t="s">
        <v>2208</v>
      </c>
      <c r="D524" s="856" t="s">
        <v>2209</v>
      </c>
      <c r="E524" s="857" t="s">
        <v>2210</v>
      </c>
      <c r="F524" s="858">
        <v>0.12</v>
      </c>
      <c r="G524" s="859">
        <v>10</v>
      </c>
      <c r="H524" s="860">
        <v>62900</v>
      </c>
      <c r="I524" s="856">
        <v>0</v>
      </c>
      <c r="J524" s="860">
        <f>(F524*(1+G524/100)) * (H524*(1+I524/100))</f>
        <v>8302.8000000000011</v>
      </c>
    </row>
    <row r="525" spans="1:10" ht="12.75" hidden="1" customHeight="1" outlineLevel="2">
      <c r="A525" s="1872"/>
      <c r="B525" s="1831"/>
      <c r="C525" s="856"/>
      <c r="D525" s="856" t="s">
        <v>2211</v>
      </c>
      <c r="E525" s="857" t="s">
        <v>55</v>
      </c>
      <c r="F525" s="858">
        <v>0.08</v>
      </c>
      <c r="G525" s="859">
        <v>10</v>
      </c>
      <c r="H525" s="860"/>
      <c r="I525" s="856">
        <v>0</v>
      </c>
      <c r="J525" s="860">
        <f>(928000/25)/90</f>
        <v>412.44444444444446</v>
      </c>
    </row>
    <row r="526" spans="1:10" ht="12.75" hidden="1" customHeight="1" outlineLevel="2">
      <c r="A526" s="1872"/>
      <c r="B526" s="1831"/>
      <c r="C526" s="856" t="s">
        <v>1681</v>
      </c>
      <c r="D526" s="856" t="s">
        <v>1682</v>
      </c>
      <c r="E526" s="857" t="s">
        <v>1482</v>
      </c>
      <c r="F526" s="858">
        <v>0.5</v>
      </c>
      <c r="G526" s="859">
        <v>0</v>
      </c>
      <c r="H526" s="860">
        <v>8093.0300000000007</v>
      </c>
      <c r="I526" s="856">
        <v>0</v>
      </c>
      <c r="J526" s="860">
        <f>(F526*(1+G526/100)) * (H526*(1+I526/100))</f>
        <v>4046.5150000000003</v>
      </c>
    </row>
    <row r="527" spans="1:10" ht="12.75" hidden="1" customHeight="1" outlineLevel="2">
      <c r="A527" s="1872"/>
      <c r="B527" s="1831"/>
      <c r="C527" s="856" t="s">
        <v>1510</v>
      </c>
      <c r="D527" s="856" t="s">
        <v>1511</v>
      </c>
      <c r="E527" s="857" t="s">
        <v>1482</v>
      </c>
      <c r="F527" s="858">
        <v>0.5</v>
      </c>
      <c r="G527" s="859">
        <v>0</v>
      </c>
      <c r="H527" s="860">
        <v>5527.21</v>
      </c>
      <c r="I527" s="856">
        <v>0</v>
      </c>
      <c r="J527" s="860">
        <f>(F527*(1+G527/100)) * (H527*(1+I527/100))</f>
        <v>2763.605</v>
      </c>
    </row>
    <row r="528" spans="1:10" ht="12.75" hidden="1" customHeight="1" outlineLevel="2">
      <c r="A528" s="1872"/>
      <c r="B528" s="1831"/>
      <c r="C528" s="856" t="s">
        <v>1683</v>
      </c>
      <c r="D528" s="856" t="s">
        <v>1684</v>
      </c>
      <c r="E528" s="857" t="s">
        <v>1212</v>
      </c>
      <c r="F528" s="858">
        <v>0.125</v>
      </c>
      <c r="G528" s="859">
        <v>0</v>
      </c>
      <c r="H528" s="860">
        <v>800.4</v>
      </c>
      <c r="I528" s="856">
        <v>0</v>
      </c>
      <c r="J528" s="860">
        <f>(F528*(1+G528/100)) * (H528*(1+I528/100))</f>
        <v>100.05</v>
      </c>
    </row>
    <row r="529" spans="1:10" ht="12.75" hidden="1" customHeight="1" outlineLevel="2">
      <c r="A529" s="1872"/>
      <c r="B529" s="1831"/>
      <c r="C529" s="856"/>
      <c r="D529" s="856"/>
      <c r="E529" s="857" t="s">
        <v>55</v>
      </c>
      <c r="F529" s="858">
        <f>'12. Acabados y accesorios'!M68</f>
        <v>918.99414999999999</v>
      </c>
      <c r="G529" s="859">
        <v>5</v>
      </c>
      <c r="H529" s="860" t="s">
        <v>1514</v>
      </c>
      <c r="I529" s="856"/>
      <c r="J529" s="860">
        <f>SUM(J524:J528)</f>
        <v>15625.414444444446</v>
      </c>
    </row>
    <row r="530" spans="1:10" ht="12.75" hidden="1" customHeight="1" outlineLevel="1" collapsed="1">
      <c r="A530" s="1872"/>
      <c r="B530" s="1831"/>
      <c r="C530" s="1827" t="s">
        <v>47</v>
      </c>
      <c r="D530" s="1827"/>
      <c r="E530" s="1827"/>
      <c r="F530" s="1827"/>
      <c r="G530" s="1827"/>
      <c r="H530" s="1827"/>
      <c r="I530" s="1827"/>
      <c r="J530" s="773">
        <f>J529*F529</f>
        <v>14359664.465769947</v>
      </c>
    </row>
    <row r="531" spans="1:10" ht="12.75" hidden="1" customHeight="1" outlineLevel="1">
      <c r="A531" s="1872"/>
      <c r="B531" s="1831" t="s">
        <v>1178</v>
      </c>
      <c r="C531" s="1826" t="s">
        <v>2212</v>
      </c>
      <c r="D531" s="1826"/>
      <c r="E531" s="1826"/>
      <c r="F531" s="1826"/>
      <c r="G531" s="1826"/>
      <c r="H531" s="1826"/>
      <c r="I531" s="1826"/>
      <c r="J531" s="1826"/>
    </row>
    <row r="532" spans="1:10" ht="12.75" hidden="1" customHeight="1" outlineLevel="2">
      <c r="A532" s="1872"/>
      <c r="B532" s="1831"/>
      <c r="C532" s="856" t="s">
        <v>2208</v>
      </c>
      <c r="D532" s="856" t="s">
        <v>2209</v>
      </c>
      <c r="E532" s="857" t="s">
        <v>2210</v>
      </c>
      <c r="F532" s="858">
        <v>0.12</v>
      </c>
      <c r="G532" s="859">
        <v>10</v>
      </c>
      <c r="H532" s="860">
        <v>62900</v>
      </c>
      <c r="I532" s="856">
        <v>0</v>
      </c>
      <c r="J532" s="860">
        <f>(F532*(1+G532/100)) * (H532*(1+I532/100))</f>
        <v>8302.8000000000011</v>
      </c>
    </row>
    <row r="533" spans="1:10" ht="12.75" hidden="1" customHeight="1" outlineLevel="2">
      <c r="A533" s="1872"/>
      <c r="B533" s="1831"/>
      <c r="C533" s="856"/>
      <c r="D533" s="856" t="s">
        <v>2213</v>
      </c>
      <c r="E533" s="857" t="s">
        <v>55</v>
      </c>
      <c r="F533" s="858"/>
      <c r="G533" s="859"/>
      <c r="H533" s="860"/>
      <c r="I533" s="856"/>
      <c r="J533" s="860">
        <v>10903</v>
      </c>
    </row>
    <row r="534" spans="1:10" ht="12.75" hidden="1" customHeight="1" outlineLevel="2">
      <c r="A534" s="1872"/>
      <c r="B534" s="1831"/>
      <c r="C534" s="856" t="s">
        <v>1681</v>
      </c>
      <c r="D534" s="856" t="s">
        <v>1682</v>
      </c>
      <c r="E534" s="857" t="s">
        <v>1482</v>
      </c>
      <c r="F534" s="858">
        <v>0.5</v>
      </c>
      <c r="G534" s="859">
        <v>0</v>
      </c>
      <c r="H534" s="860">
        <v>8093.0300000000007</v>
      </c>
      <c r="I534" s="856">
        <v>0</v>
      </c>
      <c r="J534" s="860">
        <f>(F534*(1+G534/100)) * (H534*(1+I534/100))</f>
        <v>4046.5150000000003</v>
      </c>
    </row>
    <row r="535" spans="1:10" ht="12.75" hidden="1" customHeight="1" outlineLevel="2">
      <c r="A535" s="1872"/>
      <c r="B535" s="1831"/>
      <c r="C535" s="856" t="s">
        <v>1510</v>
      </c>
      <c r="D535" s="856" t="s">
        <v>1511</v>
      </c>
      <c r="E535" s="857" t="s">
        <v>1482</v>
      </c>
      <c r="F535" s="858">
        <v>0.5</v>
      </c>
      <c r="G535" s="859">
        <v>0</v>
      </c>
      <c r="H535" s="860">
        <v>5527.21</v>
      </c>
      <c r="I535" s="856">
        <v>0</v>
      </c>
      <c r="J535" s="860">
        <f>(F535*(1+G535/100)) * (H535*(1+I535/100))</f>
        <v>2763.605</v>
      </c>
    </row>
    <row r="536" spans="1:10" ht="12.75" hidden="1" customHeight="1" outlineLevel="2">
      <c r="A536" s="1872"/>
      <c r="B536" s="1831"/>
      <c r="C536" s="856" t="s">
        <v>1683</v>
      </c>
      <c r="D536" s="856" t="s">
        <v>1684</v>
      </c>
      <c r="E536" s="857" t="s">
        <v>1212</v>
      </c>
      <c r="F536" s="858">
        <v>0.125</v>
      </c>
      <c r="G536" s="859">
        <v>0</v>
      </c>
      <c r="H536" s="860">
        <v>800.4</v>
      </c>
      <c r="I536" s="856">
        <v>0</v>
      </c>
      <c r="J536" s="860">
        <f>(F536*(1+G536/100)) * (H536*(1+I536/100))</f>
        <v>100.05</v>
      </c>
    </row>
    <row r="537" spans="1:10" ht="12.75" hidden="1" customHeight="1" outlineLevel="2">
      <c r="A537" s="1872"/>
      <c r="B537" s="1831"/>
      <c r="C537" s="856"/>
      <c r="D537" s="856"/>
      <c r="E537" s="857" t="s">
        <v>55</v>
      </c>
      <c r="F537" s="858">
        <f>'12. Acabados y accesorios'!E60</f>
        <v>1488.103392</v>
      </c>
      <c r="G537" s="859">
        <v>5</v>
      </c>
      <c r="H537" s="860" t="s">
        <v>1514</v>
      </c>
      <c r="I537" s="856"/>
      <c r="J537" s="860">
        <f>SUM(J532:J536)</f>
        <v>26115.97</v>
      </c>
    </row>
    <row r="538" spans="1:10" ht="12.75" hidden="1" customHeight="1" outlineLevel="1" collapsed="1">
      <c r="A538" s="1872"/>
      <c r="B538" s="1831"/>
      <c r="C538" s="1827" t="s">
        <v>47</v>
      </c>
      <c r="D538" s="1827"/>
      <c r="E538" s="1827"/>
      <c r="F538" s="1827"/>
      <c r="G538" s="1827"/>
      <c r="H538" s="1827"/>
      <c r="I538" s="1827"/>
      <c r="J538" s="773">
        <f>J537*F537</f>
        <v>38863263.542370245</v>
      </c>
    </row>
    <row r="539" spans="1:10" collapsed="1">
      <c r="A539" s="1869">
        <v>10</v>
      </c>
      <c r="B539" s="1870"/>
      <c r="C539" s="1869" t="s">
        <v>1004</v>
      </c>
      <c r="D539" s="1871"/>
      <c r="E539" s="1871"/>
      <c r="F539" s="1871"/>
      <c r="G539" s="1871"/>
      <c r="H539" s="1871"/>
      <c r="I539" s="1871"/>
      <c r="J539" s="1870"/>
    </row>
    <row r="540" spans="1:10" hidden="1" outlineLevel="1">
      <c r="A540" s="1838" t="s">
        <v>2074</v>
      </c>
      <c r="B540" s="1876">
        <v>10.1</v>
      </c>
      <c r="C540" s="1879" t="s">
        <v>1180</v>
      </c>
      <c r="D540" s="1880" t="s">
        <v>676</v>
      </c>
      <c r="E540" s="1880" t="s">
        <v>676</v>
      </c>
      <c r="F540" s="1880" t="s">
        <v>676</v>
      </c>
      <c r="G540" s="1880" t="s">
        <v>1180</v>
      </c>
      <c r="H540" s="1880" t="s">
        <v>676</v>
      </c>
      <c r="I540" s="1880" t="s">
        <v>676</v>
      </c>
      <c r="J540" s="1881" t="s">
        <v>676</v>
      </c>
    </row>
    <row r="541" spans="1:10" hidden="1" outlineLevel="2">
      <c r="A541" s="1839"/>
      <c r="B541" s="1877"/>
      <c r="C541" s="5" t="s">
        <v>2057</v>
      </c>
      <c r="D541" s="5" t="s">
        <v>2058</v>
      </c>
      <c r="E541" s="5" t="s">
        <v>1492</v>
      </c>
      <c r="F541" s="5">
        <v>6</v>
      </c>
      <c r="G541" s="5">
        <v>0</v>
      </c>
      <c r="H541" s="5">
        <v>30</v>
      </c>
      <c r="I541" s="5">
        <v>0</v>
      </c>
      <c r="J541" s="5">
        <f t="shared" ref="J541:J549" si="21">(F541*(1+G541/100)) * (H541*(1+I541/100))</f>
        <v>180</v>
      </c>
    </row>
    <row r="542" spans="1:10" hidden="1" outlineLevel="2">
      <c r="A542" s="1839"/>
      <c r="B542" s="1877"/>
      <c r="C542" s="5" t="s">
        <v>2059</v>
      </c>
      <c r="D542" s="5" t="s">
        <v>2060</v>
      </c>
      <c r="E542" s="5" t="s">
        <v>1492</v>
      </c>
      <c r="F542" s="5">
        <v>11</v>
      </c>
      <c r="G542" s="5">
        <v>0</v>
      </c>
      <c r="H542" s="5">
        <v>19</v>
      </c>
      <c r="I542" s="5">
        <v>0</v>
      </c>
      <c r="J542" s="5">
        <f t="shared" si="21"/>
        <v>209</v>
      </c>
    </row>
    <row r="543" spans="1:10" hidden="1" outlineLevel="2">
      <c r="A543" s="1839"/>
      <c r="B543" s="1877"/>
      <c r="C543" s="5" t="s">
        <v>2064</v>
      </c>
      <c r="D543" s="5" t="s">
        <v>2065</v>
      </c>
      <c r="E543" s="5" t="s">
        <v>1492</v>
      </c>
      <c r="F543" s="5">
        <v>0.05</v>
      </c>
      <c r="G543" s="5">
        <v>0</v>
      </c>
      <c r="H543" s="5">
        <v>32000</v>
      </c>
      <c r="I543" s="5">
        <v>0</v>
      </c>
      <c r="J543" s="5">
        <f t="shared" si="21"/>
        <v>1600</v>
      </c>
    </row>
    <row r="544" spans="1:10" hidden="1" outlineLevel="2">
      <c r="A544" s="1839"/>
      <c r="B544" s="1877"/>
      <c r="C544" s="5" t="s">
        <v>2075</v>
      </c>
      <c r="D544" s="5" t="s">
        <v>2076</v>
      </c>
      <c r="E544" s="5" t="s">
        <v>1492</v>
      </c>
      <c r="F544" s="5">
        <v>0.7</v>
      </c>
      <c r="G544" s="5">
        <v>0</v>
      </c>
      <c r="H544" s="5">
        <v>4100</v>
      </c>
      <c r="I544" s="5">
        <v>0</v>
      </c>
      <c r="J544" s="5">
        <f t="shared" si="21"/>
        <v>2870</v>
      </c>
    </row>
    <row r="545" spans="1:10" hidden="1" outlineLevel="2">
      <c r="A545" s="1839"/>
      <c r="B545" s="1877"/>
      <c r="C545" s="5" t="s">
        <v>2066</v>
      </c>
      <c r="D545" s="5" t="s">
        <v>2067</v>
      </c>
      <c r="E545" s="5" t="s">
        <v>2063</v>
      </c>
      <c r="F545" s="5">
        <v>6.0000000000000001E-3</v>
      </c>
      <c r="G545" s="5">
        <v>0</v>
      </c>
      <c r="H545" s="5">
        <v>9564</v>
      </c>
      <c r="I545" s="5">
        <v>0</v>
      </c>
      <c r="J545" s="5">
        <f t="shared" si="21"/>
        <v>57.384</v>
      </c>
    </row>
    <row r="546" spans="1:10" hidden="1" outlineLevel="2">
      <c r="A546" s="1839"/>
      <c r="B546" s="1877"/>
      <c r="C546" s="5" t="s">
        <v>2068</v>
      </c>
      <c r="D546" s="5" t="s">
        <v>2069</v>
      </c>
      <c r="E546" s="5" t="s">
        <v>1492</v>
      </c>
      <c r="F546" s="5">
        <v>0.33999999999999997</v>
      </c>
      <c r="G546" s="5">
        <v>0</v>
      </c>
      <c r="H546" s="5">
        <v>16500</v>
      </c>
      <c r="I546" s="5">
        <v>0</v>
      </c>
      <c r="J546" s="5">
        <f t="shared" si="21"/>
        <v>5609.9999999999991</v>
      </c>
    </row>
    <row r="547" spans="1:10" hidden="1" outlineLevel="2">
      <c r="A547" s="1839"/>
      <c r="B547" s="1877"/>
      <c r="C547" s="5" t="s">
        <v>2077</v>
      </c>
      <c r="D547" s="5" t="s">
        <v>2078</v>
      </c>
      <c r="E547" s="5" t="s">
        <v>1492</v>
      </c>
      <c r="F547" s="5">
        <v>0.55000000000000004</v>
      </c>
      <c r="G547" s="5">
        <v>0</v>
      </c>
      <c r="H547" s="5">
        <v>3000</v>
      </c>
      <c r="I547" s="5">
        <v>0</v>
      </c>
      <c r="J547" s="5">
        <f t="shared" si="21"/>
        <v>1650.0000000000002</v>
      </c>
    </row>
    <row r="548" spans="1:10" hidden="1" outlineLevel="2">
      <c r="A548" s="1839"/>
      <c r="B548" s="1877"/>
      <c r="C548" s="5" t="s">
        <v>2079</v>
      </c>
      <c r="D548" s="5" t="s">
        <v>2080</v>
      </c>
      <c r="E548" s="5" t="s">
        <v>1492</v>
      </c>
      <c r="F548" s="5">
        <v>0.53</v>
      </c>
      <c r="G548" s="5">
        <v>0</v>
      </c>
      <c r="H548" s="5">
        <v>2900</v>
      </c>
      <c r="I548" s="5">
        <v>0</v>
      </c>
      <c r="J548" s="5">
        <f t="shared" si="21"/>
        <v>1537</v>
      </c>
    </row>
    <row r="549" spans="1:10" hidden="1" outlineLevel="2">
      <c r="A549" s="1839"/>
      <c r="B549" s="1877"/>
      <c r="C549" s="5" t="s">
        <v>2081</v>
      </c>
      <c r="D549" s="5" t="s">
        <v>2082</v>
      </c>
      <c r="E549" s="5" t="s">
        <v>55</v>
      </c>
      <c r="F549" s="5">
        <v>1</v>
      </c>
      <c r="G549" s="5">
        <v>0</v>
      </c>
      <c r="H549" s="5">
        <v>16704.78</v>
      </c>
      <c r="I549" s="5">
        <v>0</v>
      </c>
      <c r="J549" s="5">
        <f t="shared" si="21"/>
        <v>16704.78</v>
      </c>
    </row>
    <row r="550" spans="1:10" hidden="1" outlineLevel="2">
      <c r="A550" s="1839"/>
      <c r="B550" s="1877"/>
      <c r="C550" s="5"/>
      <c r="D550" s="5"/>
      <c r="E550" s="5"/>
      <c r="F550" s="5"/>
      <c r="G550" s="5">
        <v>5</v>
      </c>
      <c r="H550" s="5" t="s">
        <v>1514</v>
      </c>
      <c r="I550" s="5"/>
      <c r="J550" s="5">
        <v>835.24</v>
      </c>
    </row>
    <row r="551" spans="1:10" hidden="1" outlineLevel="2">
      <c r="A551" s="1839"/>
      <c r="B551" s="1877"/>
      <c r="C551" s="1842" t="s">
        <v>1488</v>
      </c>
      <c r="D551" s="1835"/>
      <c r="E551" s="851" t="s">
        <v>55</v>
      </c>
      <c r="F551" s="583">
        <f>'12. Acabados y accesorios'!L51</f>
        <v>2265.1909999999993</v>
      </c>
      <c r="G551" s="851"/>
      <c r="H551" s="851"/>
      <c r="I551" s="851"/>
      <c r="J551" s="850">
        <f>SUM(J541:J550)</f>
        <v>31253.403999999999</v>
      </c>
    </row>
    <row r="552" spans="1:10" hidden="1" outlineLevel="2">
      <c r="A552" s="1892"/>
      <c r="B552" s="1878"/>
      <c r="C552" s="1852" t="s">
        <v>47</v>
      </c>
      <c r="D552" s="1853"/>
      <c r="E552" s="1853"/>
      <c r="F552" s="1853"/>
      <c r="G552" s="1853"/>
      <c r="H552" s="1853"/>
      <c r="I552" s="1836"/>
      <c r="J552" s="773">
        <f>J551*F551</f>
        <v>70794929.460163981</v>
      </c>
    </row>
    <row r="553" spans="1:10" hidden="1" outlineLevel="1" collapsed="1">
      <c r="A553" s="1896"/>
      <c r="B553" s="1894">
        <v>10.199999999999999</v>
      </c>
      <c r="C553" s="1879" t="s">
        <v>2726</v>
      </c>
      <c r="D553" s="1880" t="s">
        <v>676</v>
      </c>
      <c r="E553" s="1880" t="s">
        <v>676</v>
      </c>
      <c r="F553" s="1880" t="s">
        <v>676</v>
      </c>
      <c r="G553" s="1880" t="s">
        <v>1180</v>
      </c>
      <c r="H553" s="1880" t="s">
        <v>676</v>
      </c>
      <c r="I553" s="1880" t="s">
        <v>676</v>
      </c>
      <c r="J553" s="1881" t="s">
        <v>676</v>
      </c>
    </row>
    <row r="554" spans="1:10" hidden="1" outlineLevel="2">
      <c r="A554" s="1897"/>
      <c r="B554" s="1895"/>
      <c r="C554" s="1105" t="s">
        <v>2728</v>
      </c>
      <c r="D554" s="4" t="s">
        <v>2730</v>
      </c>
      <c r="E554" s="5" t="s">
        <v>55</v>
      </c>
      <c r="F554" s="5" t="s">
        <v>2727</v>
      </c>
      <c r="G554" s="5" t="s">
        <v>2728</v>
      </c>
      <c r="H554" s="5">
        <v>111043.34299999999</v>
      </c>
      <c r="I554" s="4" t="s">
        <v>2728</v>
      </c>
      <c r="J554" s="5">
        <f>+H554</f>
        <v>111043.34299999999</v>
      </c>
    </row>
    <row r="555" spans="1:10" hidden="1" outlineLevel="2">
      <c r="A555" s="1897"/>
      <c r="B555" s="1895"/>
      <c r="C555" s="1142"/>
      <c r="D555" s="5" t="s">
        <v>2739</v>
      </c>
      <c r="E555" s="5" t="s">
        <v>55</v>
      </c>
      <c r="F555" s="5">
        <v>1</v>
      </c>
      <c r="G555" s="5">
        <v>0</v>
      </c>
      <c r="H555" s="5">
        <v>16704.78</v>
      </c>
      <c r="I555" s="1144"/>
      <c r="J555" s="5">
        <f>(F555*(1+G555/100)) * (H555*(1+I555/100))</f>
        <v>16704.78</v>
      </c>
    </row>
    <row r="556" spans="1:10" hidden="1" outlineLevel="2">
      <c r="A556" s="1897"/>
      <c r="B556" s="1895"/>
      <c r="C556" s="5"/>
      <c r="D556" s="5"/>
      <c r="E556" s="5"/>
      <c r="F556" s="5"/>
      <c r="G556" s="5">
        <v>5</v>
      </c>
      <c r="H556" s="5" t="s">
        <v>1514</v>
      </c>
      <c r="I556" s="5"/>
      <c r="J556" s="5">
        <v>835.24</v>
      </c>
    </row>
    <row r="557" spans="1:10" hidden="1" outlineLevel="2">
      <c r="A557" s="1897"/>
      <c r="B557" s="1895"/>
      <c r="C557" s="1808" t="s">
        <v>1488</v>
      </c>
      <c r="D557" s="1808"/>
      <c r="E557" s="1106" t="s">
        <v>55</v>
      </c>
      <c r="F557" s="583">
        <f>+'12. Acabados y accesorios'!L45</f>
        <v>93.64</v>
      </c>
      <c r="G557" s="1106"/>
      <c r="H557" s="1106"/>
      <c r="I557" s="1106"/>
      <c r="J557" s="1107">
        <f>SUM(J554:J556)</f>
        <v>128583.363</v>
      </c>
    </row>
    <row r="558" spans="1:10" hidden="1" outlineLevel="2">
      <c r="A558" s="1897"/>
      <c r="B558" s="1895"/>
      <c r="C558" s="1827" t="s">
        <v>47</v>
      </c>
      <c r="D558" s="1827"/>
      <c r="E558" s="1827"/>
      <c r="F558" s="1827"/>
      <c r="G558" s="1827"/>
      <c r="H558" s="1827"/>
      <c r="I558" s="1827"/>
      <c r="J558" s="773">
        <f>J557*F557</f>
        <v>12040546.11132</v>
      </c>
    </row>
    <row r="559" spans="1:10" hidden="1" outlineLevel="1" collapsed="1">
      <c r="A559" s="1896"/>
      <c r="B559" s="1894">
        <v>10.3</v>
      </c>
      <c r="C559" s="1879" t="s">
        <v>1182</v>
      </c>
      <c r="D559" s="1880" t="s">
        <v>676</v>
      </c>
      <c r="E559" s="1880" t="s">
        <v>676</v>
      </c>
      <c r="F559" s="1880" t="s">
        <v>676</v>
      </c>
      <c r="G559" s="1880" t="s">
        <v>1180</v>
      </c>
      <c r="H559" s="1880" t="s">
        <v>676</v>
      </c>
      <c r="I559" s="1880" t="s">
        <v>676</v>
      </c>
      <c r="J559" s="1881" t="s">
        <v>676</v>
      </c>
    </row>
    <row r="560" spans="1:10" hidden="1" outlineLevel="2">
      <c r="A560" s="1897"/>
      <c r="B560" s="1895"/>
      <c r="C560" s="1104">
        <v>90096</v>
      </c>
      <c r="D560" s="4" t="s">
        <v>2729</v>
      </c>
      <c r="E560" s="5" t="s">
        <v>55</v>
      </c>
      <c r="F560" s="5" t="s">
        <v>2727</v>
      </c>
      <c r="G560" s="5" t="s">
        <v>2728</v>
      </c>
      <c r="H560" s="5">
        <v>111043.34299999999</v>
      </c>
      <c r="I560" s="4" t="s">
        <v>2728</v>
      </c>
      <c r="J560" s="5">
        <f>+H560</f>
        <v>111043.34299999999</v>
      </c>
    </row>
    <row r="561" spans="1:12" hidden="1" outlineLevel="2">
      <c r="A561" s="1897"/>
      <c r="B561" s="1895"/>
      <c r="C561" s="1143"/>
      <c r="D561" s="5" t="s">
        <v>2739</v>
      </c>
      <c r="E561" s="5" t="s">
        <v>55</v>
      </c>
      <c r="F561" s="5">
        <v>1</v>
      </c>
      <c r="G561" s="5">
        <v>0</v>
      </c>
      <c r="H561" s="5">
        <v>16704.78</v>
      </c>
      <c r="I561" s="5"/>
      <c r="J561" s="5">
        <f>(F561*(1+G561/100)) * (H561*(1+I561/100))</f>
        <v>16704.78</v>
      </c>
    </row>
    <row r="562" spans="1:12" hidden="1" outlineLevel="2">
      <c r="A562" s="1897"/>
      <c r="B562" s="1895"/>
      <c r="C562" s="5"/>
      <c r="D562" s="5"/>
      <c r="E562" s="5"/>
      <c r="F562" s="5"/>
      <c r="G562" s="5">
        <v>5</v>
      </c>
      <c r="H562" s="5" t="s">
        <v>1514</v>
      </c>
      <c r="I562" s="5"/>
      <c r="J562" s="5">
        <v>835.24</v>
      </c>
    </row>
    <row r="563" spans="1:12" hidden="1" outlineLevel="2">
      <c r="A563" s="1897"/>
      <c r="B563" s="1895"/>
      <c r="C563" s="1808" t="s">
        <v>1488</v>
      </c>
      <c r="D563" s="1808"/>
      <c r="E563" s="1106" t="s">
        <v>55</v>
      </c>
      <c r="F563" s="583">
        <f>+'12. Acabados y accesorios'!L57</f>
        <v>138.0146</v>
      </c>
      <c r="G563" s="1106"/>
      <c r="H563" s="1106"/>
      <c r="I563" s="1106"/>
      <c r="J563" s="1107">
        <f>SUM(J560:J562)</f>
        <v>128583.363</v>
      </c>
    </row>
    <row r="564" spans="1:12" hidden="1" outlineLevel="2">
      <c r="A564" s="1897"/>
      <c r="B564" s="1895"/>
      <c r="C564" s="1827" t="s">
        <v>47</v>
      </c>
      <c r="D564" s="1827"/>
      <c r="E564" s="1827"/>
      <c r="F564" s="1827"/>
      <c r="G564" s="1827"/>
      <c r="H564" s="1827"/>
      <c r="I564" s="1827"/>
      <c r="J564" s="773">
        <f>J563*F563</f>
        <v>17746381.411099799</v>
      </c>
      <c r="L564" s="809"/>
    </row>
    <row r="565" spans="1:12" collapsed="1">
      <c r="A565" s="1869">
        <v>12</v>
      </c>
      <c r="B565" s="1870"/>
      <c r="C565" s="1869" t="s">
        <v>1696</v>
      </c>
      <c r="D565" s="1871"/>
      <c r="E565" s="1871"/>
      <c r="F565" s="1871"/>
      <c r="G565" s="1871"/>
      <c r="H565" s="1871"/>
      <c r="I565" s="1871"/>
      <c r="J565" s="1870"/>
    </row>
    <row r="566" spans="1:12" hidden="1" outlineLevel="1">
      <c r="A566" s="1868" t="s">
        <v>1854</v>
      </c>
      <c r="B566" s="1831" t="s">
        <v>1123</v>
      </c>
      <c r="C566" s="1875" t="s">
        <v>1280</v>
      </c>
      <c r="D566" s="1832"/>
      <c r="E566" s="1832"/>
      <c r="F566" s="1832"/>
      <c r="G566" s="1832"/>
      <c r="H566" s="1832"/>
      <c r="I566" s="1832"/>
      <c r="J566" s="1893"/>
    </row>
    <row r="567" spans="1:12" ht="12.75" hidden="1" customHeight="1" outlineLevel="2">
      <c r="A567" s="1868"/>
      <c r="B567" s="1831"/>
      <c r="C567" s="798" t="s">
        <v>1855</v>
      </c>
      <c r="D567" s="794" t="s">
        <v>2860</v>
      </c>
      <c r="E567" s="797" t="s">
        <v>1492</v>
      </c>
      <c r="F567" s="797">
        <v>1</v>
      </c>
      <c r="G567" s="797">
        <v>0</v>
      </c>
      <c r="H567" s="797"/>
      <c r="I567" s="797">
        <v>0</v>
      </c>
      <c r="J567" s="797">
        <v>706930</v>
      </c>
    </row>
    <row r="568" spans="1:12" ht="12.75" hidden="1" customHeight="1" outlineLevel="2">
      <c r="A568" s="1868"/>
      <c r="B568" s="1831"/>
      <c r="C568" s="798" t="s">
        <v>1856</v>
      </c>
      <c r="D568" s="794" t="s">
        <v>1857</v>
      </c>
      <c r="E568" s="797" t="s">
        <v>49</v>
      </c>
      <c r="F568" s="797">
        <v>4.4999999999999998E-2</v>
      </c>
      <c r="G568" s="797">
        <v>5</v>
      </c>
      <c r="H568" s="797">
        <v>222613.77999999997</v>
      </c>
      <c r="I568" s="797">
        <v>0</v>
      </c>
      <c r="J568" s="797">
        <f>(F568*(1+G568/100)) * (H568*(1+I568/100))</f>
        <v>10518.501104999999</v>
      </c>
    </row>
    <row r="569" spans="1:12" ht="12.75" hidden="1" customHeight="1" outlineLevel="2">
      <c r="A569" s="1868"/>
      <c r="B569" s="1831"/>
      <c r="C569" s="798" t="s">
        <v>1858</v>
      </c>
      <c r="D569" s="794" t="s">
        <v>1859</v>
      </c>
      <c r="E569" s="797" t="s">
        <v>1492</v>
      </c>
      <c r="F569" s="797">
        <v>1</v>
      </c>
      <c r="G569" s="797">
        <v>0</v>
      </c>
      <c r="H569" s="797">
        <v>16426.36</v>
      </c>
      <c r="I569" s="797">
        <v>0</v>
      </c>
      <c r="J569" s="797">
        <f>(F569*(1+G569/100)) * (H569*(1+I569/100))</f>
        <v>16426.36</v>
      </c>
    </row>
    <row r="570" spans="1:12" ht="12.75" hidden="1" customHeight="1" outlineLevel="2">
      <c r="A570" s="1868"/>
      <c r="B570" s="1831"/>
      <c r="C570" s="798"/>
      <c r="D570" s="797"/>
      <c r="E570" s="797"/>
      <c r="F570" s="797"/>
      <c r="G570" s="797">
        <v>5</v>
      </c>
      <c r="H570" s="797" t="s">
        <v>1514</v>
      </c>
      <c r="I570" s="797"/>
      <c r="J570" s="797">
        <v>821.32</v>
      </c>
    </row>
    <row r="571" spans="1:12" ht="12.75" hidden="1" customHeight="1" outlineLevel="2">
      <c r="A571" s="1868"/>
      <c r="B571" s="1831"/>
      <c r="C571" s="1842" t="s">
        <v>1488</v>
      </c>
      <c r="D571" s="1835"/>
      <c r="E571" s="1166" t="s">
        <v>285</v>
      </c>
      <c r="F571" s="583">
        <f>'9. Carpintería metálica'!G6</f>
        <v>6</v>
      </c>
      <c r="G571" s="1166"/>
      <c r="H571" s="1166"/>
      <c r="I571" s="1166">
        <v>0</v>
      </c>
      <c r="J571" s="1165">
        <f>SUM(J567:J570)</f>
        <v>734696.18110499997</v>
      </c>
    </row>
    <row r="572" spans="1:12" hidden="1" outlineLevel="1" collapsed="1">
      <c r="A572" s="1868"/>
      <c r="B572" s="1831"/>
      <c r="C572" s="1836" t="s">
        <v>47</v>
      </c>
      <c r="D572" s="1827"/>
      <c r="E572" s="1827"/>
      <c r="F572" s="1827"/>
      <c r="G572" s="1827"/>
      <c r="H572" s="1827"/>
      <c r="I572" s="1827"/>
      <c r="J572" s="773">
        <f>J571*F571</f>
        <v>4408177.0866299998</v>
      </c>
    </row>
    <row r="573" spans="1:12" ht="12.75" hidden="1" customHeight="1" outlineLevel="1">
      <c r="A573" s="1868" t="s">
        <v>1854</v>
      </c>
      <c r="B573" s="1831" t="s">
        <v>1124</v>
      </c>
      <c r="C573" s="1867" t="s">
        <v>1281</v>
      </c>
      <c r="D573" s="1867"/>
      <c r="E573" s="1867"/>
      <c r="F573" s="1867"/>
      <c r="G573" s="1867"/>
      <c r="H573" s="1867"/>
      <c r="I573" s="1867"/>
      <c r="J573" s="1867"/>
    </row>
    <row r="574" spans="1:12" hidden="1" outlineLevel="2">
      <c r="A574" s="1868"/>
      <c r="B574" s="1831"/>
      <c r="C574" s="798" t="s">
        <v>1855</v>
      </c>
      <c r="D574" s="794" t="s">
        <v>2860</v>
      </c>
      <c r="E574" s="797" t="s">
        <v>1492</v>
      </c>
      <c r="F574" s="797">
        <v>1</v>
      </c>
      <c r="G574" s="797">
        <v>0</v>
      </c>
      <c r="H574" s="797"/>
      <c r="I574" s="797">
        <v>0</v>
      </c>
      <c r="J574" s="797">
        <v>706930</v>
      </c>
    </row>
    <row r="575" spans="1:12" hidden="1" outlineLevel="2">
      <c r="A575" s="1868"/>
      <c r="B575" s="1831"/>
      <c r="C575" s="798" t="s">
        <v>1856</v>
      </c>
      <c r="D575" s="794" t="s">
        <v>1857</v>
      </c>
      <c r="E575" s="797" t="s">
        <v>49</v>
      </c>
      <c r="F575" s="797">
        <v>4.4999999999999998E-2</v>
      </c>
      <c r="G575" s="797">
        <v>5</v>
      </c>
      <c r="H575" s="797">
        <v>222613.77999999997</v>
      </c>
      <c r="I575" s="797">
        <v>0</v>
      </c>
      <c r="J575" s="797">
        <f>(F575*(1+G575/100)) * (H575*(1+I575/100))</f>
        <v>10518.501104999999</v>
      </c>
    </row>
    <row r="576" spans="1:12" hidden="1" outlineLevel="2">
      <c r="A576" s="1868"/>
      <c r="B576" s="1831"/>
      <c r="C576" s="798" t="s">
        <v>1858</v>
      </c>
      <c r="D576" s="794" t="s">
        <v>1859</v>
      </c>
      <c r="E576" s="797" t="s">
        <v>1492</v>
      </c>
      <c r="F576" s="797">
        <v>1</v>
      </c>
      <c r="G576" s="797">
        <v>0</v>
      </c>
      <c r="H576" s="797">
        <v>16426.36</v>
      </c>
      <c r="I576" s="797">
        <v>0</v>
      </c>
      <c r="J576" s="797">
        <f>(F576*(1+G576/100)) * (H576*(1+I576/100))</f>
        <v>16426.36</v>
      </c>
    </row>
    <row r="577" spans="1:10" hidden="1" outlineLevel="2">
      <c r="A577" s="1868"/>
      <c r="B577" s="1831"/>
      <c r="C577" s="798"/>
      <c r="D577" s="797"/>
      <c r="E577" s="797"/>
      <c r="F577" s="797"/>
      <c r="G577" s="797">
        <v>5</v>
      </c>
      <c r="H577" s="797" t="s">
        <v>1514</v>
      </c>
      <c r="I577" s="797"/>
      <c r="J577" s="797">
        <v>821.32</v>
      </c>
    </row>
    <row r="578" spans="1:10" hidden="1" outlineLevel="2">
      <c r="A578" s="1868"/>
      <c r="B578" s="1831"/>
      <c r="C578" s="1835" t="s">
        <v>1488</v>
      </c>
      <c r="D578" s="1808"/>
      <c r="E578" s="784" t="s">
        <v>285</v>
      </c>
      <c r="F578" s="583">
        <f>'9. Carpintería metálica'!G7+'9. Carpintería metálica'!G8</f>
        <v>15</v>
      </c>
      <c r="G578" s="784"/>
      <c r="H578" s="784"/>
      <c r="I578" s="784">
        <v>0</v>
      </c>
      <c r="J578" s="774">
        <f>SUM(J574:J577)</f>
        <v>734696.18110499997</v>
      </c>
    </row>
    <row r="579" spans="1:10" hidden="1" outlineLevel="2">
      <c r="A579" s="1868"/>
      <c r="B579" s="1831"/>
      <c r="C579" s="1836" t="s">
        <v>47</v>
      </c>
      <c r="D579" s="1827"/>
      <c r="E579" s="1827"/>
      <c r="F579" s="1827"/>
      <c r="G579" s="1827"/>
      <c r="H579" s="1827"/>
      <c r="I579" s="1827"/>
      <c r="J579" s="773">
        <f>J578*F578</f>
        <v>11020442.716575</v>
      </c>
    </row>
    <row r="580" spans="1:10" ht="12.75" hidden="1" customHeight="1" outlineLevel="1" collapsed="1">
      <c r="A580" s="1868" t="s">
        <v>1854</v>
      </c>
      <c r="B580" s="1831" t="s">
        <v>1125</v>
      </c>
      <c r="C580" s="1866" t="s">
        <v>1282</v>
      </c>
      <c r="D580" s="1867"/>
      <c r="E580" s="1867"/>
      <c r="F580" s="1867"/>
      <c r="G580" s="1867"/>
      <c r="H580" s="1867"/>
      <c r="I580" s="1867"/>
      <c r="J580" s="1867"/>
    </row>
    <row r="581" spans="1:10" hidden="1" outlineLevel="2">
      <c r="A581" s="1868"/>
      <c r="B581" s="1831"/>
      <c r="C581" s="798" t="s">
        <v>1855</v>
      </c>
      <c r="D581" s="794" t="s">
        <v>2860</v>
      </c>
      <c r="E581" s="797" t="s">
        <v>1492</v>
      </c>
      <c r="F581" s="797">
        <v>1</v>
      </c>
      <c r="G581" s="797">
        <v>0</v>
      </c>
      <c r="H581" s="797"/>
      <c r="I581" s="797">
        <v>0</v>
      </c>
      <c r="J581" s="797">
        <v>706930</v>
      </c>
    </row>
    <row r="582" spans="1:10" hidden="1" outlineLevel="2">
      <c r="A582" s="1868"/>
      <c r="B582" s="1831"/>
      <c r="C582" s="798" t="s">
        <v>1856</v>
      </c>
      <c r="D582" s="794" t="s">
        <v>1857</v>
      </c>
      <c r="E582" s="797" t="s">
        <v>49</v>
      </c>
      <c r="F582" s="797">
        <v>4.4999999999999998E-2</v>
      </c>
      <c r="G582" s="797">
        <v>5</v>
      </c>
      <c r="H582" s="797">
        <v>222613.77999999997</v>
      </c>
      <c r="I582" s="797">
        <v>0</v>
      </c>
      <c r="J582" s="797">
        <f>(F582*(1+G582/100)) * (H582*(1+I582/100))</f>
        <v>10518.501104999999</v>
      </c>
    </row>
    <row r="583" spans="1:10" hidden="1" outlineLevel="2">
      <c r="A583" s="1868"/>
      <c r="B583" s="1831"/>
      <c r="C583" s="798" t="s">
        <v>1858</v>
      </c>
      <c r="D583" s="794" t="s">
        <v>1859</v>
      </c>
      <c r="E583" s="797" t="s">
        <v>1492</v>
      </c>
      <c r="F583" s="797">
        <v>1</v>
      </c>
      <c r="G583" s="797">
        <v>0</v>
      </c>
      <c r="H583" s="797">
        <v>16426.36</v>
      </c>
      <c r="I583" s="797">
        <v>0</v>
      </c>
      <c r="J583" s="797">
        <f>(F583*(1+G583/100)) * (H583*(1+I583/100))</f>
        <v>16426.36</v>
      </c>
    </row>
    <row r="584" spans="1:10" hidden="1" outlineLevel="2">
      <c r="A584" s="1868"/>
      <c r="B584" s="1831"/>
      <c r="C584" s="798"/>
      <c r="D584" s="797"/>
      <c r="E584" s="797"/>
      <c r="F584" s="797"/>
      <c r="G584" s="797">
        <v>5</v>
      </c>
      <c r="H584" s="797" t="s">
        <v>1514</v>
      </c>
      <c r="I584" s="797"/>
      <c r="J584" s="797">
        <v>821.32</v>
      </c>
    </row>
    <row r="585" spans="1:10" hidden="1" outlineLevel="2">
      <c r="A585" s="1868"/>
      <c r="B585" s="1831"/>
      <c r="C585" s="1835" t="s">
        <v>1488</v>
      </c>
      <c r="D585" s="1808"/>
      <c r="E585" s="784" t="s">
        <v>285</v>
      </c>
      <c r="F585" s="583">
        <f>'9. Carpintería metálica'!G9</f>
        <v>2</v>
      </c>
      <c r="G585" s="784"/>
      <c r="H585" s="784"/>
      <c r="I585" s="784">
        <v>0</v>
      </c>
      <c r="J585" s="774">
        <f>SUM(J581:J584)</f>
        <v>734696.18110499997</v>
      </c>
    </row>
    <row r="586" spans="1:10" hidden="1" outlineLevel="2">
      <c r="A586" s="1868"/>
      <c r="B586" s="1831"/>
      <c r="C586" s="1836" t="s">
        <v>47</v>
      </c>
      <c r="D586" s="1827"/>
      <c r="E586" s="1827"/>
      <c r="F586" s="1827"/>
      <c r="G586" s="1827"/>
      <c r="H586" s="1827"/>
      <c r="I586" s="1827"/>
      <c r="J586" s="773">
        <f>J585*F585</f>
        <v>1469392.3622099999</v>
      </c>
    </row>
    <row r="587" spans="1:10" ht="12.75" hidden="1" customHeight="1" outlineLevel="1" collapsed="1">
      <c r="A587" s="1868" t="s">
        <v>1854</v>
      </c>
      <c r="B587" s="1831" t="s">
        <v>1141</v>
      </c>
      <c r="C587" s="1866" t="s">
        <v>1283</v>
      </c>
      <c r="D587" s="1867"/>
      <c r="E587" s="1867"/>
      <c r="F587" s="1867"/>
      <c r="G587" s="1867"/>
      <c r="H587" s="1867"/>
      <c r="I587" s="1867"/>
      <c r="J587" s="1867"/>
    </row>
    <row r="588" spans="1:10" hidden="1" outlineLevel="2">
      <c r="A588" s="1868"/>
      <c r="B588" s="1831"/>
      <c r="C588" s="798" t="s">
        <v>1855</v>
      </c>
      <c r="D588" s="794" t="s">
        <v>2860</v>
      </c>
      <c r="E588" s="797" t="s">
        <v>1492</v>
      </c>
      <c r="F588" s="797">
        <v>1</v>
      </c>
      <c r="G588" s="797">
        <v>0</v>
      </c>
      <c r="H588" s="797"/>
      <c r="I588" s="797">
        <v>0</v>
      </c>
      <c r="J588" s="797">
        <v>706930</v>
      </c>
    </row>
    <row r="589" spans="1:10" hidden="1" outlineLevel="2">
      <c r="A589" s="1868"/>
      <c r="B589" s="1831"/>
      <c r="C589" s="798" t="s">
        <v>1856</v>
      </c>
      <c r="D589" s="794" t="s">
        <v>1857</v>
      </c>
      <c r="E589" s="797" t="s">
        <v>49</v>
      </c>
      <c r="F589" s="797">
        <v>4.4999999999999998E-2</v>
      </c>
      <c r="G589" s="797">
        <v>5</v>
      </c>
      <c r="H589" s="797">
        <v>222613.77999999997</v>
      </c>
      <c r="I589" s="797">
        <v>0</v>
      </c>
      <c r="J589" s="797">
        <f>(F589*(1+G589/100)) * (H589*(1+I589/100))</f>
        <v>10518.501104999999</v>
      </c>
    </row>
    <row r="590" spans="1:10" hidden="1" outlineLevel="2">
      <c r="A590" s="1868"/>
      <c r="B590" s="1831"/>
      <c r="C590" s="798" t="s">
        <v>1858</v>
      </c>
      <c r="D590" s="794" t="s">
        <v>1859</v>
      </c>
      <c r="E590" s="797" t="s">
        <v>1492</v>
      </c>
      <c r="F590" s="797">
        <v>1</v>
      </c>
      <c r="G590" s="797">
        <v>0</v>
      </c>
      <c r="H590" s="797">
        <v>16426.36</v>
      </c>
      <c r="I590" s="797">
        <v>0</v>
      </c>
      <c r="J590" s="797">
        <f>(F590*(1+G590/100)) * (H590*(1+I590/100))</f>
        <v>16426.36</v>
      </c>
    </row>
    <row r="591" spans="1:10" hidden="1" outlineLevel="2">
      <c r="A591" s="1868"/>
      <c r="B591" s="1831"/>
      <c r="C591" s="798"/>
      <c r="D591" s="797"/>
      <c r="E591" s="797"/>
      <c r="F591" s="797"/>
      <c r="G591" s="797">
        <v>5</v>
      </c>
      <c r="H591" s="797" t="s">
        <v>1514</v>
      </c>
      <c r="I591" s="797"/>
      <c r="J591" s="797">
        <v>821.32</v>
      </c>
    </row>
    <row r="592" spans="1:10" hidden="1" outlineLevel="2">
      <c r="A592" s="1868"/>
      <c r="B592" s="1831"/>
      <c r="C592" s="1835" t="s">
        <v>1488</v>
      </c>
      <c r="D592" s="1808"/>
      <c r="E592" s="784" t="s">
        <v>285</v>
      </c>
      <c r="F592" s="583">
        <f>'9. Carpintería metálica'!G10</f>
        <v>2</v>
      </c>
      <c r="G592" s="784"/>
      <c r="H592" s="784"/>
      <c r="I592" s="784">
        <v>0</v>
      </c>
      <c r="J592" s="774">
        <f>SUM(J588:J591)</f>
        <v>734696.18110499997</v>
      </c>
    </row>
    <row r="593" spans="1:10" hidden="1" outlineLevel="2">
      <c r="A593" s="1868"/>
      <c r="B593" s="1831"/>
      <c r="C593" s="1836" t="s">
        <v>47</v>
      </c>
      <c r="D593" s="1827"/>
      <c r="E593" s="1827"/>
      <c r="F593" s="1827"/>
      <c r="G593" s="1827"/>
      <c r="H593" s="1827"/>
      <c r="I593" s="1827"/>
      <c r="J593" s="773">
        <f>J592*F592</f>
        <v>1469392.3622099999</v>
      </c>
    </row>
    <row r="594" spans="1:10" ht="12.75" hidden="1" customHeight="1" outlineLevel="1" collapsed="1">
      <c r="A594" s="1868" t="s">
        <v>1854</v>
      </c>
      <c r="B594" s="1831" t="s">
        <v>1142</v>
      </c>
      <c r="C594" s="1866" t="s">
        <v>1284</v>
      </c>
      <c r="D594" s="1867"/>
      <c r="E594" s="1867"/>
      <c r="F594" s="1867"/>
      <c r="G594" s="1867"/>
      <c r="H594" s="1867"/>
      <c r="I594" s="1867"/>
      <c r="J594" s="1867"/>
    </row>
    <row r="595" spans="1:10" hidden="1" outlineLevel="2">
      <c r="A595" s="1868"/>
      <c r="B595" s="1831"/>
      <c r="C595" s="798" t="s">
        <v>1855</v>
      </c>
      <c r="D595" s="794" t="s">
        <v>2860</v>
      </c>
      <c r="E595" s="797" t="s">
        <v>1492</v>
      </c>
      <c r="F595" s="797">
        <v>1</v>
      </c>
      <c r="G595" s="797">
        <v>0</v>
      </c>
      <c r="H595" s="797"/>
      <c r="I595" s="797">
        <v>0</v>
      </c>
      <c r="J595" s="797">
        <v>706930</v>
      </c>
    </row>
    <row r="596" spans="1:10" hidden="1" outlineLevel="2">
      <c r="A596" s="1868"/>
      <c r="B596" s="1831"/>
      <c r="C596" s="798" t="s">
        <v>1856</v>
      </c>
      <c r="D596" s="794" t="s">
        <v>1857</v>
      </c>
      <c r="E596" s="797" t="s">
        <v>49</v>
      </c>
      <c r="F596" s="797">
        <v>4.4999999999999998E-2</v>
      </c>
      <c r="G596" s="797">
        <v>5</v>
      </c>
      <c r="H596" s="797">
        <v>222613.77999999997</v>
      </c>
      <c r="I596" s="797">
        <v>0</v>
      </c>
      <c r="J596" s="797">
        <f>(F596*(1+G596/100)) * (H596*(1+I596/100))</f>
        <v>10518.501104999999</v>
      </c>
    </row>
    <row r="597" spans="1:10" hidden="1" outlineLevel="2">
      <c r="A597" s="1868"/>
      <c r="B597" s="1831"/>
      <c r="C597" s="798" t="s">
        <v>1858</v>
      </c>
      <c r="D597" s="794" t="s">
        <v>1859</v>
      </c>
      <c r="E597" s="797" t="s">
        <v>1492</v>
      </c>
      <c r="F597" s="797">
        <v>1</v>
      </c>
      <c r="G597" s="797">
        <v>0</v>
      </c>
      <c r="H597" s="797">
        <v>16426.36</v>
      </c>
      <c r="I597" s="797">
        <v>0</v>
      </c>
      <c r="J597" s="797">
        <f>(F597*(1+G597/100)) * (H597*(1+I597/100))</f>
        <v>16426.36</v>
      </c>
    </row>
    <row r="598" spans="1:10" hidden="1" outlineLevel="2">
      <c r="A598" s="1868"/>
      <c r="B598" s="1831"/>
      <c r="C598" s="798"/>
      <c r="D598" s="797"/>
      <c r="E598" s="797"/>
      <c r="F598" s="797"/>
      <c r="G598" s="797">
        <v>5</v>
      </c>
      <c r="H598" s="797" t="s">
        <v>1514</v>
      </c>
      <c r="I598" s="797"/>
      <c r="J598" s="797">
        <v>821.32</v>
      </c>
    </row>
    <row r="599" spans="1:10" hidden="1" outlineLevel="2">
      <c r="A599" s="1868"/>
      <c r="B599" s="1831"/>
      <c r="C599" s="1835" t="s">
        <v>1488</v>
      </c>
      <c r="D599" s="1808"/>
      <c r="E599" s="784" t="s">
        <v>285</v>
      </c>
      <c r="F599" s="583">
        <f>'9. Carpintería metálica'!G11</f>
        <v>6</v>
      </c>
      <c r="G599" s="784"/>
      <c r="H599" s="784"/>
      <c r="I599" s="784">
        <v>0</v>
      </c>
      <c r="J599" s="774">
        <f>SUM(J595:J598)</f>
        <v>734696.18110499997</v>
      </c>
    </row>
    <row r="600" spans="1:10" hidden="1" outlineLevel="2">
      <c r="A600" s="1868"/>
      <c r="B600" s="1831"/>
      <c r="C600" s="1836" t="s">
        <v>47</v>
      </c>
      <c r="D600" s="1827"/>
      <c r="E600" s="1827"/>
      <c r="F600" s="1827"/>
      <c r="G600" s="1827"/>
      <c r="H600" s="1827"/>
      <c r="I600" s="1827"/>
      <c r="J600" s="773">
        <f>J599*F599</f>
        <v>4408177.0866299998</v>
      </c>
    </row>
    <row r="601" spans="1:10" ht="12.75" hidden="1" customHeight="1" outlineLevel="1" collapsed="1">
      <c r="A601" s="1868" t="s">
        <v>1854</v>
      </c>
      <c r="B601" s="1831" t="s">
        <v>1143</v>
      </c>
      <c r="C601" s="1866" t="s">
        <v>1285</v>
      </c>
      <c r="D601" s="1867"/>
      <c r="E601" s="1867"/>
      <c r="F601" s="1867"/>
      <c r="G601" s="1867"/>
      <c r="H601" s="1867"/>
      <c r="I601" s="1867"/>
      <c r="J601" s="1867"/>
    </row>
    <row r="602" spans="1:10" hidden="1" outlineLevel="2">
      <c r="A602" s="1868"/>
      <c r="B602" s="1831"/>
      <c r="C602" s="798" t="s">
        <v>1855</v>
      </c>
      <c r="D602" s="794" t="s">
        <v>2860</v>
      </c>
      <c r="E602" s="797" t="s">
        <v>1492</v>
      </c>
      <c r="F602" s="797">
        <v>1</v>
      </c>
      <c r="G602" s="797">
        <v>0</v>
      </c>
      <c r="H602" s="797"/>
      <c r="I602" s="797">
        <v>0</v>
      </c>
      <c r="J602" s="797">
        <v>706930</v>
      </c>
    </row>
    <row r="603" spans="1:10" hidden="1" outlineLevel="2">
      <c r="A603" s="1868"/>
      <c r="B603" s="1831"/>
      <c r="C603" s="798" t="s">
        <v>1856</v>
      </c>
      <c r="D603" s="794" t="s">
        <v>1857</v>
      </c>
      <c r="E603" s="797" t="s">
        <v>49</v>
      </c>
      <c r="F603" s="797">
        <v>4.4999999999999998E-2</v>
      </c>
      <c r="G603" s="797">
        <v>5</v>
      </c>
      <c r="H603" s="797">
        <v>222613.77999999997</v>
      </c>
      <c r="I603" s="797">
        <v>0</v>
      </c>
      <c r="J603" s="797">
        <f>(F603*(1+G603/100)) * (H603*(1+I603/100))</f>
        <v>10518.501104999999</v>
      </c>
    </row>
    <row r="604" spans="1:10" hidden="1" outlineLevel="2">
      <c r="A604" s="1868"/>
      <c r="B604" s="1831"/>
      <c r="C604" s="798" t="s">
        <v>1858</v>
      </c>
      <c r="D604" s="794" t="s">
        <v>1859</v>
      </c>
      <c r="E604" s="797" t="s">
        <v>1492</v>
      </c>
      <c r="F604" s="797">
        <v>1</v>
      </c>
      <c r="G604" s="797">
        <v>0</v>
      </c>
      <c r="H604" s="797">
        <v>16426.36</v>
      </c>
      <c r="I604" s="797">
        <v>0</v>
      </c>
      <c r="J604" s="797">
        <f>(F604*(1+G604/100)) * (H604*(1+I604/100))</f>
        <v>16426.36</v>
      </c>
    </row>
    <row r="605" spans="1:10" hidden="1" outlineLevel="2">
      <c r="A605" s="1868"/>
      <c r="B605" s="1831"/>
      <c r="C605" s="798"/>
      <c r="D605" s="797"/>
      <c r="E605" s="797"/>
      <c r="F605" s="797"/>
      <c r="G605" s="797">
        <v>5</v>
      </c>
      <c r="H605" s="797" t="s">
        <v>1514</v>
      </c>
      <c r="I605" s="797"/>
      <c r="J605" s="797">
        <v>821.32</v>
      </c>
    </row>
    <row r="606" spans="1:10" hidden="1" outlineLevel="2">
      <c r="A606" s="1868"/>
      <c r="B606" s="1831"/>
      <c r="C606" s="1835" t="s">
        <v>1488</v>
      </c>
      <c r="D606" s="1808"/>
      <c r="E606" s="784" t="s">
        <v>285</v>
      </c>
      <c r="F606" s="583">
        <f>'9. Carpintería metálica'!G12</f>
        <v>1</v>
      </c>
      <c r="G606" s="784"/>
      <c r="H606" s="784"/>
      <c r="I606" s="784">
        <v>0</v>
      </c>
      <c r="J606" s="774">
        <f>SUM(J602:J605)</f>
        <v>734696.18110499997</v>
      </c>
    </row>
    <row r="607" spans="1:10" hidden="1" outlineLevel="2">
      <c r="A607" s="1868"/>
      <c r="B607" s="1831"/>
      <c r="C607" s="1836" t="s">
        <v>47</v>
      </c>
      <c r="D607" s="1827"/>
      <c r="E607" s="1827"/>
      <c r="F607" s="1827"/>
      <c r="G607" s="1827"/>
      <c r="H607" s="1827"/>
      <c r="I607" s="1827"/>
      <c r="J607" s="773">
        <f>J606*F606</f>
        <v>734696.18110499997</v>
      </c>
    </row>
    <row r="608" spans="1:10" ht="12.75" hidden="1" customHeight="1" outlineLevel="1" collapsed="1">
      <c r="A608" s="1868" t="s">
        <v>1854</v>
      </c>
      <c r="B608" s="1831" t="s">
        <v>1144</v>
      </c>
      <c r="C608" s="1866" t="s">
        <v>1286</v>
      </c>
      <c r="D608" s="1867"/>
      <c r="E608" s="1867"/>
      <c r="F608" s="1867"/>
      <c r="G608" s="1867"/>
      <c r="H608" s="1867"/>
      <c r="I608" s="1867"/>
      <c r="J608" s="1867"/>
    </row>
    <row r="609" spans="1:20" hidden="1" outlineLevel="2">
      <c r="A609" s="1868"/>
      <c r="B609" s="1831"/>
      <c r="C609" s="798" t="s">
        <v>1855</v>
      </c>
      <c r="D609" s="794" t="s">
        <v>2860</v>
      </c>
      <c r="E609" s="797" t="s">
        <v>1492</v>
      </c>
      <c r="F609" s="797">
        <v>1</v>
      </c>
      <c r="G609" s="797">
        <v>0</v>
      </c>
      <c r="H609" s="797"/>
      <c r="I609" s="797">
        <v>0</v>
      </c>
      <c r="J609" s="797">
        <v>706930</v>
      </c>
    </row>
    <row r="610" spans="1:20" hidden="1" outlineLevel="2">
      <c r="A610" s="1868"/>
      <c r="B610" s="1831"/>
      <c r="C610" s="798" t="s">
        <v>1856</v>
      </c>
      <c r="D610" s="794" t="s">
        <v>1857</v>
      </c>
      <c r="E610" s="797" t="s">
        <v>49</v>
      </c>
      <c r="F610" s="797">
        <v>4.4999999999999998E-2</v>
      </c>
      <c r="G610" s="797">
        <v>5</v>
      </c>
      <c r="H610" s="797">
        <v>222613.77999999997</v>
      </c>
      <c r="I610" s="797">
        <v>0</v>
      </c>
      <c r="J610" s="797">
        <f>(F610*(1+G610/100)) * (H610*(1+I610/100))</f>
        <v>10518.501104999999</v>
      </c>
    </row>
    <row r="611" spans="1:20" hidden="1" outlineLevel="2">
      <c r="A611" s="1868"/>
      <c r="B611" s="1831"/>
      <c r="C611" s="798" t="s">
        <v>1858</v>
      </c>
      <c r="D611" s="794" t="s">
        <v>1859</v>
      </c>
      <c r="E611" s="797" t="s">
        <v>1492</v>
      </c>
      <c r="F611" s="797">
        <v>1</v>
      </c>
      <c r="G611" s="797">
        <v>0</v>
      </c>
      <c r="H611" s="797">
        <v>16426.36</v>
      </c>
      <c r="I611" s="797">
        <v>0</v>
      </c>
      <c r="J611" s="797">
        <f>(F611*(1+G611/100)) * (H611*(1+I611/100))</f>
        <v>16426.36</v>
      </c>
    </row>
    <row r="612" spans="1:20" hidden="1" outlineLevel="2">
      <c r="A612" s="1868"/>
      <c r="B612" s="1831"/>
      <c r="C612" s="798"/>
      <c r="D612" s="797"/>
      <c r="E612" s="797"/>
      <c r="F612" s="797"/>
      <c r="G612" s="797">
        <v>5</v>
      </c>
      <c r="H612" s="797" t="s">
        <v>1514</v>
      </c>
      <c r="I612" s="797"/>
      <c r="J612" s="797">
        <v>821.32</v>
      </c>
    </row>
    <row r="613" spans="1:20" hidden="1" outlineLevel="2">
      <c r="A613" s="1868"/>
      <c r="B613" s="1831"/>
      <c r="C613" s="1835" t="s">
        <v>1488</v>
      </c>
      <c r="D613" s="1808"/>
      <c r="E613" s="784" t="s">
        <v>285</v>
      </c>
      <c r="F613" s="583">
        <f>'9. Carpintería metálica'!G13+'9. Carpintería metálica'!G14</f>
        <v>5</v>
      </c>
      <c r="G613" s="784"/>
      <c r="H613" s="784"/>
      <c r="I613" s="784">
        <v>0</v>
      </c>
      <c r="J613" s="774">
        <f>SUM(J609:J612)</f>
        <v>734696.18110499997</v>
      </c>
    </row>
    <row r="614" spans="1:20" hidden="1" outlineLevel="2">
      <c r="A614" s="1868"/>
      <c r="B614" s="1831"/>
      <c r="C614" s="1836" t="s">
        <v>47</v>
      </c>
      <c r="D614" s="1827"/>
      <c r="E614" s="1827"/>
      <c r="F614" s="1827"/>
      <c r="G614" s="1827"/>
      <c r="H614" s="1827"/>
      <c r="I614" s="1827"/>
      <c r="J614" s="773">
        <f>J613*F613</f>
        <v>3673480.9055249998</v>
      </c>
    </row>
    <row r="615" spans="1:20" ht="12.75" hidden="1" customHeight="1" outlineLevel="1" collapsed="1">
      <c r="A615" s="1868" t="s">
        <v>1854</v>
      </c>
      <c r="B615" s="1831" t="s">
        <v>1145</v>
      </c>
      <c r="C615" s="1866" t="s">
        <v>1287</v>
      </c>
      <c r="D615" s="1867"/>
      <c r="E615" s="1867"/>
      <c r="F615" s="1867"/>
      <c r="G615" s="1867"/>
      <c r="H615" s="1867"/>
      <c r="I615" s="1867"/>
      <c r="J615" s="1867"/>
    </row>
    <row r="616" spans="1:20" ht="15" hidden="1" outlineLevel="2">
      <c r="A616" s="1868"/>
      <c r="B616" s="1831"/>
      <c r="C616" s="798" t="s">
        <v>1855</v>
      </c>
      <c r="D616" s="794" t="s">
        <v>2860</v>
      </c>
      <c r="E616" s="797" t="s">
        <v>1492</v>
      </c>
      <c r="F616" s="797">
        <v>1</v>
      </c>
      <c r="G616" s="797">
        <v>0</v>
      </c>
      <c r="H616" s="797"/>
      <c r="I616" s="797">
        <v>0</v>
      </c>
      <c r="J616" s="797">
        <v>706930</v>
      </c>
      <c r="M616" s="839"/>
    </row>
    <row r="617" spans="1:20" hidden="1" outlineLevel="2">
      <c r="A617" s="1868"/>
      <c r="B617" s="1831"/>
      <c r="C617" s="798" t="s">
        <v>1856</v>
      </c>
      <c r="D617" s="794" t="s">
        <v>1857</v>
      </c>
      <c r="E617" s="797" t="s">
        <v>49</v>
      </c>
      <c r="F617" s="797">
        <v>4.4999999999999998E-2</v>
      </c>
      <c r="G617" s="797">
        <v>5</v>
      </c>
      <c r="H617" s="797">
        <v>222613.77999999997</v>
      </c>
      <c r="I617" s="797">
        <v>0</v>
      </c>
      <c r="J617" s="797">
        <f>(F617*(1+G617/100)) * (H617*(1+I617/100))</f>
        <v>10518.501104999999</v>
      </c>
      <c r="M617" s="764"/>
      <c r="N617" s="764"/>
      <c r="O617" s="806"/>
      <c r="P617" s="807"/>
      <c r="Q617" s="765"/>
      <c r="R617" s="766"/>
      <c r="S617" s="764"/>
      <c r="T617" s="766"/>
    </row>
    <row r="618" spans="1:20" hidden="1" outlineLevel="2">
      <c r="A618" s="1868"/>
      <c r="B618" s="1831"/>
      <c r="C618" s="798" t="s">
        <v>1858</v>
      </c>
      <c r="D618" s="794" t="s">
        <v>1859</v>
      </c>
      <c r="E618" s="797" t="s">
        <v>1492</v>
      </c>
      <c r="F618" s="797">
        <v>1</v>
      </c>
      <c r="G618" s="797">
        <v>0</v>
      </c>
      <c r="H618" s="797">
        <v>16426.36</v>
      </c>
      <c r="I618" s="797">
        <v>0</v>
      </c>
      <c r="J618" s="797">
        <f>(F618*(1+G618/100)) * (H618*(1+I618/100))</f>
        <v>16426.36</v>
      </c>
      <c r="M618" s="764"/>
      <c r="N618" s="764"/>
      <c r="O618" s="806"/>
      <c r="P618" s="807"/>
      <c r="Q618" s="765"/>
      <c r="R618" s="766"/>
      <c r="S618" s="764"/>
      <c r="T618" s="766"/>
    </row>
    <row r="619" spans="1:20" hidden="1" outlineLevel="2">
      <c r="A619" s="1868"/>
      <c r="B619" s="1831"/>
      <c r="C619" s="798"/>
      <c r="D619" s="797"/>
      <c r="E619" s="797"/>
      <c r="F619" s="797"/>
      <c r="G619" s="797">
        <v>5</v>
      </c>
      <c r="H619" s="797" t="s">
        <v>1514</v>
      </c>
      <c r="I619" s="797"/>
      <c r="J619" s="797">
        <v>821.32</v>
      </c>
      <c r="M619" s="764"/>
      <c r="N619" s="764"/>
      <c r="O619" s="806"/>
      <c r="P619" s="807"/>
      <c r="Q619" s="765"/>
      <c r="R619" s="766"/>
      <c r="S619" s="764"/>
      <c r="T619" s="766"/>
    </row>
    <row r="620" spans="1:20" hidden="1" outlineLevel="2">
      <c r="A620" s="1868"/>
      <c r="B620" s="1831"/>
      <c r="C620" s="1835" t="s">
        <v>1488</v>
      </c>
      <c r="D620" s="1808"/>
      <c r="E620" s="784" t="s">
        <v>285</v>
      </c>
      <c r="F620" s="583">
        <f>'9. Carpintería metálica'!G15</f>
        <v>1</v>
      </c>
      <c r="G620" s="784"/>
      <c r="H620" s="784"/>
      <c r="I620" s="784">
        <v>0</v>
      </c>
      <c r="J620" s="774">
        <f>SUM(J616:J619)</f>
        <v>734696.18110499997</v>
      </c>
    </row>
    <row r="621" spans="1:20" hidden="1" outlineLevel="2">
      <c r="A621" s="1868"/>
      <c r="B621" s="1831"/>
      <c r="C621" s="1836" t="s">
        <v>47</v>
      </c>
      <c r="D621" s="1827"/>
      <c r="E621" s="1827"/>
      <c r="F621" s="1827"/>
      <c r="G621" s="1827"/>
      <c r="H621" s="1827"/>
      <c r="I621" s="1827"/>
      <c r="J621" s="773">
        <f>J620*F620</f>
        <v>734696.18110499997</v>
      </c>
    </row>
    <row r="622" spans="1:20" ht="12.75" hidden="1" customHeight="1" outlineLevel="1" collapsed="1">
      <c r="A622" s="1868" t="s">
        <v>1854</v>
      </c>
      <c r="B622" s="1831" t="s">
        <v>1702</v>
      </c>
      <c r="C622" s="1866" t="s">
        <v>1288</v>
      </c>
      <c r="D622" s="1867"/>
      <c r="E622" s="1867"/>
      <c r="F622" s="1867"/>
      <c r="G622" s="1867"/>
      <c r="H622" s="1867"/>
      <c r="I622" s="1867"/>
      <c r="J622" s="1867"/>
    </row>
    <row r="623" spans="1:20" hidden="1" outlineLevel="2">
      <c r="A623" s="1868"/>
      <c r="B623" s="1831"/>
      <c r="C623" s="798" t="s">
        <v>1855</v>
      </c>
      <c r="D623" s="794" t="s">
        <v>2860</v>
      </c>
      <c r="E623" s="797" t="s">
        <v>1492</v>
      </c>
      <c r="F623" s="797">
        <v>1</v>
      </c>
      <c r="G623" s="797">
        <v>0</v>
      </c>
      <c r="H623" s="797"/>
      <c r="I623" s="797">
        <v>0</v>
      </c>
      <c r="J623" s="797">
        <v>706930</v>
      </c>
    </row>
    <row r="624" spans="1:20" hidden="1" outlineLevel="2">
      <c r="A624" s="1868"/>
      <c r="B624" s="1831"/>
      <c r="C624" s="798" t="s">
        <v>1856</v>
      </c>
      <c r="D624" s="794" t="s">
        <v>1857</v>
      </c>
      <c r="E624" s="797" t="s">
        <v>49</v>
      </c>
      <c r="F624" s="797">
        <v>4.4999999999999998E-2</v>
      </c>
      <c r="G624" s="797">
        <v>5</v>
      </c>
      <c r="H624" s="797">
        <v>222613.77999999997</v>
      </c>
      <c r="I624" s="797">
        <v>0</v>
      </c>
      <c r="J624" s="797">
        <f>(F624*(1+G624/100)) * (H624*(1+I624/100))</f>
        <v>10518.501104999999</v>
      </c>
    </row>
    <row r="625" spans="1:10" hidden="1" outlineLevel="2">
      <c r="A625" s="1868"/>
      <c r="B625" s="1831"/>
      <c r="C625" s="798" t="s">
        <v>1858</v>
      </c>
      <c r="D625" s="794" t="s">
        <v>1859</v>
      </c>
      <c r="E625" s="797" t="s">
        <v>1492</v>
      </c>
      <c r="F625" s="797">
        <v>1</v>
      </c>
      <c r="G625" s="797">
        <v>0</v>
      </c>
      <c r="H625" s="797">
        <v>16426.36</v>
      </c>
      <c r="I625" s="797">
        <v>0</v>
      </c>
      <c r="J625" s="797">
        <f>(F625*(1+G625/100)) * (H625*(1+I625/100))</f>
        <v>16426.36</v>
      </c>
    </row>
    <row r="626" spans="1:10" hidden="1" outlineLevel="2">
      <c r="A626" s="1868"/>
      <c r="B626" s="1831"/>
      <c r="C626" s="798"/>
      <c r="D626" s="797"/>
      <c r="E626" s="797"/>
      <c r="F626" s="797"/>
      <c r="G626" s="797">
        <v>5</v>
      </c>
      <c r="H626" s="797" t="s">
        <v>1514</v>
      </c>
      <c r="I626" s="797"/>
      <c r="J626" s="797">
        <v>821.32</v>
      </c>
    </row>
    <row r="627" spans="1:10" hidden="1" outlineLevel="2">
      <c r="A627" s="1868"/>
      <c r="B627" s="1831"/>
      <c r="C627" s="1835" t="s">
        <v>1488</v>
      </c>
      <c r="D627" s="1808"/>
      <c r="E627" s="784" t="s">
        <v>285</v>
      </c>
      <c r="F627" s="583">
        <f>'9. Carpintería metálica'!G16</f>
        <v>1</v>
      </c>
      <c r="G627" s="784"/>
      <c r="H627" s="784"/>
      <c r="I627" s="784">
        <v>0</v>
      </c>
      <c r="J627" s="774">
        <f>SUM(J623:J626)</f>
        <v>734696.18110499997</v>
      </c>
    </row>
    <row r="628" spans="1:10" ht="13.5" hidden="1" customHeight="1" outlineLevel="2">
      <c r="A628" s="1868"/>
      <c r="B628" s="1831"/>
      <c r="C628" s="1836" t="s">
        <v>47</v>
      </c>
      <c r="D628" s="1827"/>
      <c r="E628" s="1827"/>
      <c r="F628" s="1827"/>
      <c r="G628" s="1827"/>
      <c r="H628" s="1827"/>
      <c r="I628" s="1827"/>
      <c r="J628" s="773">
        <f>J627*F627</f>
        <v>734696.18110499997</v>
      </c>
    </row>
    <row r="629" spans="1:10" s="516" customFormat="1" ht="15" hidden="1" customHeight="1" outlineLevel="1" collapsed="1">
      <c r="A629" s="1868" t="s">
        <v>1854</v>
      </c>
      <c r="B629" s="1831" t="s">
        <v>1703</v>
      </c>
      <c r="C629" s="1849" t="s">
        <v>1289</v>
      </c>
      <c r="D629" s="1850"/>
      <c r="E629" s="1850"/>
      <c r="F629" s="1850"/>
      <c r="G629" s="1850"/>
      <c r="H629" s="1850"/>
      <c r="I629" s="1850"/>
      <c r="J629" s="1851"/>
    </row>
    <row r="630" spans="1:10" s="516" customFormat="1" hidden="1" outlineLevel="2">
      <c r="A630" s="1868"/>
      <c r="B630" s="1831"/>
      <c r="C630" s="798" t="s">
        <v>1855</v>
      </c>
      <c r="D630" s="794" t="s">
        <v>2860</v>
      </c>
      <c r="E630" s="797" t="s">
        <v>1492</v>
      </c>
      <c r="F630" s="797">
        <v>1</v>
      </c>
      <c r="G630" s="797">
        <v>0</v>
      </c>
      <c r="H630" s="797"/>
      <c r="I630" s="797">
        <v>0</v>
      </c>
      <c r="J630" s="797">
        <v>706930</v>
      </c>
    </row>
    <row r="631" spans="1:10" s="516" customFormat="1" hidden="1" outlineLevel="2">
      <c r="A631" s="1868"/>
      <c r="B631" s="1831"/>
      <c r="C631" s="798" t="s">
        <v>1856</v>
      </c>
      <c r="D631" s="794" t="s">
        <v>1857</v>
      </c>
      <c r="E631" s="797" t="s">
        <v>49</v>
      </c>
      <c r="F631" s="797">
        <v>4.4999999999999998E-2</v>
      </c>
      <c r="G631" s="797">
        <v>5</v>
      </c>
      <c r="H631" s="797">
        <v>222613.77999999997</v>
      </c>
      <c r="I631" s="797">
        <v>0</v>
      </c>
      <c r="J631" s="797">
        <f>(F631*(1+G631/100)) * (H631*(1+I631/100))</f>
        <v>10518.501104999999</v>
      </c>
    </row>
    <row r="632" spans="1:10" s="516" customFormat="1" hidden="1" outlineLevel="2">
      <c r="A632" s="1868"/>
      <c r="B632" s="1831"/>
      <c r="C632" s="798" t="s">
        <v>1858</v>
      </c>
      <c r="D632" s="794" t="s">
        <v>1859</v>
      </c>
      <c r="E632" s="797" t="s">
        <v>1492</v>
      </c>
      <c r="F632" s="797">
        <v>1</v>
      </c>
      <c r="G632" s="797">
        <v>0</v>
      </c>
      <c r="H632" s="797">
        <v>16426.36</v>
      </c>
      <c r="I632" s="797">
        <v>0</v>
      </c>
      <c r="J632" s="797">
        <f>(F632*(1+G632/100)) * (H632*(1+I632/100))</f>
        <v>16426.36</v>
      </c>
    </row>
    <row r="633" spans="1:10" s="516" customFormat="1" hidden="1" outlineLevel="2">
      <c r="A633" s="1868"/>
      <c r="B633" s="1831"/>
      <c r="C633" s="798"/>
      <c r="D633" s="797"/>
      <c r="E633" s="797"/>
      <c r="F633" s="797"/>
      <c r="G633" s="797">
        <v>5</v>
      </c>
      <c r="H633" s="797" t="s">
        <v>1514</v>
      </c>
      <c r="I633" s="797"/>
      <c r="J633" s="797">
        <v>821.32</v>
      </c>
    </row>
    <row r="634" spans="1:10" s="516" customFormat="1" hidden="1" outlineLevel="2">
      <c r="A634" s="1868"/>
      <c r="B634" s="1831"/>
      <c r="C634" s="1835" t="s">
        <v>1488</v>
      </c>
      <c r="D634" s="1808"/>
      <c r="E634" s="1166" t="s">
        <v>285</v>
      </c>
      <c r="F634" s="583">
        <f>'9. Carpintería metálica'!G17</f>
        <v>5</v>
      </c>
      <c r="G634" s="1166"/>
      <c r="H634" s="1166"/>
      <c r="I634" s="1166">
        <v>0</v>
      </c>
      <c r="J634" s="1165">
        <f>SUM(J630:J633)</f>
        <v>734696.18110499997</v>
      </c>
    </row>
    <row r="635" spans="1:10" s="516" customFormat="1" hidden="1" outlineLevel="2">
      <c r="A635" s="1868"/>
      <c r="B635" s="1831"/>
      <c r="C635" s="1836" t="s">
        <v>47</v>
      </c>
      <c r="D635" s="1827"/>
      <c r="E635" s="1827"/>
      <c r="F635" s="1827"/>
      <c r="G635" s="1827"/>
      <c r="H635" s="1827"/>
      <c r="I635" s="1827"/>
      <c r="J635" s="773">
        <f>J634*F634</f>
        <v>3673480.9055249998</v>
      </c>
    </row>
    <row r="636" spans="1:10" s="516" customFormat="1" ht="15.75" hidden="1" customHeight="1" outlineLevel="1" collapsed="1">
      <c r="A636" s="1868" t="s">
        <v>1854</v>
      </c>
      <c r="B636" s="1831" t="s">
        <v>1703</v>
      </c>
      <c r="C636" s="1922" t="s">
        <v>1290</v>
      </c>
      <c r="D636" s="1923"/>
      <c r="E636" s="1923"/>
      <c r="F636" s="1923"/>
      <c r="G636" s="1923"/>
      <c r="H636" s="1923"/>
      <c r="I636" s="1923"/>
      <c r="J636" s="1924"/>
    </row>
    <row r="637" spans="1:10" s="516" customFormat="1" hidden="1" outlineLevel="2">
      <c r="A637" s="1868"/>
      <c r="B637" s="1831"/>
      <c r="C637" s="798" t="s">
        <v>1855</v>
      </c>
      <c r="D637" s="794" t="s">
        <v>2860</v>
      </c>
      <c r="E637" s="797" t="s">
        <v>1492</v>
      </c>
      <c r="F637" s="797">
        <v>1</v>
      </c>
      <c r="G637" s="797">
        <v>0</v>
      </c>
      <c r="H637" s="797"/>
      <c r="I637" s="797">
        <v>0</v>
      </c>
      <c r="J637" s="797">
        <v>706930</v>
      </c>
    </row>
    <row r="638" spans="1:10" s="516" customFormat="1" hidden="1" outlineLevel="2">
      <c r="A638" s="1868"/>
      <c r="B638" s="1831"/>
      <c r="C638" s="798" t="s">
        <v>1856</v>
      </c>
      <c r="D638" s="794" t="s">
        <v>1857</v>
      </c>
      <c r="E638" s="797" t="s">
        <v>49</v>
      </c>
      <c r="F638" s="797">
        <v>4.4999999999999998E-2</v>
      </c>
      <c r="G638" s="797">
        <v>5</v>
      </c>
      <c r="H638" s="797">
        <v>222613.77999999997</v>
      </c>
      <c r="I638" s="797">
        <v>0</v>
      </c>
      <c r="J638" s="797">
        <f>(F638*(1+G638/100)) * (H638*(1+I638/100))</f>
        <v>10518.501104999999</v>
      </c>
    </row>
    <row r="639" spans="1:10" s="516" customFormat="1" hidden="1" outlineLevel="2">
      <c r="A639" s="1868"/>
      <c r="B639" s="1831"/>
      <c r="C639" s="798" t="s">
        <v>1858</v>
      </c>
      <c r="D639" s="794" t="s">
        <v>1859</v>
      </c>
      <c r="E639" s="797" t="s">
        <v>1492</v>
      </c>
      <c r="F639" s="797">
        <v>1</v>
      </c>
      <c r="G639" s="797">
        <v>0</v>
      </c>
      <c r="H639" s="797">
        <v>16426.36</v>
      </c>
      <c r="I639" s="797">
        <v>0</v>
      </c>
      <c r="J639" s="797">
        <f>(F639*(1+G639/100)) * (H639*(1+I639/100))</f>
        <v>16426.36</v>
      </c>
    </row>
    <row r="640" spans="1:10" s="516" customFormat="1" hidden="1" outlineLevel="2">
      <c r="A640" s="1868"/>
      <c r="B640" s="1831"/>
      <c r="C640" s="798"/>
      <c r="D640" s="797"/>
      <c r="E640" s="797"/>
      <c r="F640" s="797"/>
      <c r="G640" s="797">
        <v>5</v>
      </c>
      <c r="H640" s="797" t="s">
        <v>1514</v>
      </c>
      <c r="I640" s="797"/>
      <c r="J640" s="797">
        <v>821.32</v>
      </c>
    </row>
    <row r="641" spans="1:10" s="516" customFormat="1" hidden="1" outlineLevel="2">
      <c r="A641" s="1868"/>
      <c r="B641" s="1831"/>
      <c r="C641" s="1835" t="s">
        <v>1488</v>
      </c>
      <c r="D641" s="1808"/>
      <c r="E641" s="1166" t="s">
        <v>285</v>
      </c>
      <c r="F641" s="583">
        <f>'9. Carpintería metálica'!G17</f>
        <v>5</v>
      </c>
      <c r="G641" s="1166"/>
      <c r="H641" s="1166"/>
      <c r="I641" s="1166">
        <v>0</v>
      </c>
      <c r="J641" s="1165">
        <f>SUM(J637:J640)</f>
        <v>734696.18110499997</v>
      </c>
    </row>
    <row r="642" spans="1:10" s="516" customFormat="1" hidden="1" outlineLevel="2">
      <c r="A642" s="1868"/>
      <c r="B642" s="1831"/>
      <c r="C642" s="1836" t="s">
        <v>47</v>
      </c>
      <c r="D642" s="1827"/>
      <c r="E642" s="1827"/>
      <c r="F642" s="1827"/>
      <c r="G642" s="1827"/>
      <c r="H642" s="1827"/>
      <c r="I642" s="1827"/>
      <c r="J642" s="773">
        <f>J641*F641</f>
        <v>3673480.9055249998</v>
      </c>
    </row>
    <row r="643" spans="1:10" s="516" customFormat="1" hidden="1" outlineLevel="1" collapsed="1">
      <c r="A643" s="1868" t="s">
        <v>1854</v>
      </c>
      <c r="B643" s="1831" t="s">
        <v>1704</v>
      </c>
      <c r="C643" s="1922" t="s">
        <v>1290</v>
      </c>
      <c r="D643" s="1923"/>
      <c r="E643" s="1923"/>
      <c r="F643" s="1923"/>
      <c r="G643" s="1923"/>
      <c r="H643" s="1923"/>
      <c r="I643" s="1923"/>
      <c r="J643" s="1924"/>
    </row>
    <row r="644" spans="1:10" s="516" customFormat="1" hidden="1" outlineLevel="2">
      <c r="A644" s="1868"/>
      <c r="B644" s="1831"/>
      <c r="C644" s="798" t="s">
        <v>1855</v>
      </c>
      <c r="D644" s="794" t="s">
        <v>2860</v>
      </c>
      <c r="E644" s="797" t="s">
        <v>1492</v>
      </c>
      <c r="F644" s="797">
        <v>1</v>
      </c>
      <c r="G644" s="797">
        <v>0</v>
      </c>
      <c r="H644" s="797"/>
      <c r="I644" s="797">
        <v>0</v>
      </c>
      <c r="J644" s="797">
        <v>706930</v>
      </c>
    </row>
    <row r="645" spans="1:10" s="516" customFormat="1" hidden="1" outlineLevel="2">
      <c r="A645" s="1868"/>
      <c r="B645" s="1831"/>
      <c r="C645" s="798" t="s">
        <v>1856</v>
      </c>
      <c r="D645" s="794" t="s">
        <v>1857</v>
      </c>
      <c r="E645" s="797" t="s">
        <v>49</v>
      </c>
      <c r="F645" s="797">
        <v>4.4999999999999998E-2</v>
      </c>
      <c r="G645" s="797">
        <v>5</v>
      </c>
      <c r="H645" s="797">
        <v>222613.77999999997</v>
      </c>
      <c r="I645" s="797">
        <v>0</v>
      </c>
      <c r="J645" s="797">
        <f>(F645*(1+G645/100)) * (H645*(1+I645/100))</f>
        <v>10518.501104999999</v>
      </c>
    </row>
    <row r="646" spans="1:10" s="516" customFormat="1" hidden="1" outlineLevel="2">
      <c r="A646" s="1868"/>
      <c r="B646" s="1831"/>
      <c r="C646" s="798" t="s">
        <v>1858</v>
      </c>
      <c r="D646" s="794" t="s">
        <v>1859</v>
      </c>
      <c r="E646" s="797" t="s">
        <v>1492</v>
      </c>
      <c r="F646" s="797">
        <v>1</v>
      </c>
      <c r="G646" s="797">
        <v>0</v>
      </c>
      <c r="H646" s="797">
        <v>16426.36</v>
      </c>
      <c r="I646" s="797">
        <v>0</v>
      </c>
      <c r="J646" s="797">
        <f>(F646*(1+G646/100)) * (H646*(1+I646/100))</f>
        <v>16426.36</v>
      </c>
    </row>
    <row r="647" spans="1:10" s="516" customFormat="1" hidden="1" outlineLevel="2">
      <c r="A647" s="1868"/>
      <c r="B647" s="1831"/>
      <c r="C647" s="798"/>
      <c r="D647" s="797"/>
      <c r="E647" s="797"/>
      <c r="F647" s="797"/>
      <c r="G647" s="797">
        <v>5</v>
      </c>
      <c r="H647" s="797" t="s">
        <v>1514</v>
      </c>
      <c r="I647" s="797"/>
      <c r="J647" s="797">
        <v>821.32</v>
      </c>
    </row>
    <row r="648" spans="1:10" s="516" customFormat="1" hidden="1" outlineLevel="2">
      <c r="A648" s="1868"/>
      <c r="B648" s="1831"/>
      <c r="C648" s="1835" t="s">
        <v>1488</v>
      </c>
      <c r="D648" s="1808"/>
      <c r="E648" s="1166" t="s">
        <v>285</v>
      </c>
      <c r="F648" s="583">
        <f>'9. Carpintería metálica'!G18</f>
        <v>1</v>
      </c>
      <c r="G648" s="1166"/>
      <c r="H648" s="1166"/>
      <c r="I648" s="1166">
        <v>0</v>
      </c>
      <c r="J648" s="1165">
        <f>SUM(J644:J647)</f>
        <v>734696.18110499997</v>
      </c>
    </row>
    <row r="649" spans="1:10" s="516" customFormat="1" hidden="1" outlineLevel="2">
      <c r="A649" s="1868"/>
      <c r="B649" s="1831"/>
      <c r="C649" s="1836" t="s">
        <v>47</v>
      </c>
      <c r="D649" s="1827"/>
      <c r="E649" s="1827"/>
      <c r="F649" s="1827"/>
      <c r="G649" s="1827"/>
      <c r="H649" s="1827"/>
      <c r="I649" s="1827"/>
      <c r="J649" s="773">
        <f>J648*F648</f>
        <v>734696.18110499997</v>
      </c>
    </row>
    <row r="650" spans="1:10" s="516" customFormat="1" hidden="1" outlineLevel="1" collapsed="1">
      <c r="A650" s="1868" t="s">
        <v>1854</v>
      </c>
      <c r="B650" s="1831" t="s">
        <v>1705</v>
      </c>
      <c r="C650" s="1922" t="s">
        <v>1290</v>
      </c>
      <c r="D650" s="1923"/>
      <c r="E650" s="1923"/>
      <c r="F650" s="1923"/>
      <c r="G650" s="1923"/>
      <c r="H650" s="1923"/>
      <c r="I650" s="1923"/>
      <c r="J650" s="1924"/>
    </row>
    <row r="651" spans="1:10" s="516" customFormat="1" hidden="1" outlineLevel="2">
      <c r="A651" s="1868"/>
      <c r="B651" s="1831"/>
      <c r="C651" s="798" t="s">
        <v>1855</v>
      </c>
      <c r="D651" s="794" t="s">
        <v>2860</v>
      </c>
      <c r="E651" s="797" t="s">
        <v>1492</v>
      </c>
      <c r="F651" s="797">
        <v>1</v>
      </c>
      <c r="G651" s="797">
        <v>0</v>
      </c>
      <c r="H651" s="797"/>
      <c r="I651" s="797">
        <v>0</v>
      </c>
      <c r="J651" s="797">
        <v>706930</v>
      </c>
    </row>
    <row r="652" spans="1:10" s="516" customFormat="1" hidden="1" outlineLevel="2">
      <c r="A652" s="1868"/>
      <c r="B652" s="1831"/>
      <c r="C652" s="798" t="s">
        <v>1856</v>
      </c>
      <c r="D652" s="794" t="s">
        <v>1857</v>
      </c>
      <c r="E652" s="797" t="s">
        <v>49</v>
      </c>
      <c r="F652" s="797">
        <v>4.4999999999999998E-2</v>
      </c>
      <c r="G652" s="797">
        <v>5</v>
      </c>
      <c r="H652" s="797">
        <v>222613.77999999997</v>
      </c>
      <c r="I652" s="797">
        <v>0</v>
      </c>
      <c r="J652" s="797">
        <f>(F652*(1+G652/100)) * (H652*(1+I652/100))</f>
        <v>10518.501104999999</v>
      </c>
    </row>
    <row r="653" spans="1:10" s="516" customFormat="1" hidden="1" outlineLevel="2">
      <c r="A653" s="1868"/>
      <c r="B653" s="1831"/>
      <c r="C653" s="798" t="s">
        <v>1858</v>
      </c>
      <c r="D653" s="794" t="s">
        <v>1859</v>
      </c>
      <c r="E653" s="797" t="s">
        <v>1492</v>
      </c>
      <c r="F653" s="797">
        <v>1</v>
      </c>
      <c r="G653" s="797">
        <v>0</v>
      </c>
      <c r="H653" s="797">
        <v>16426.36</v>
      </c>
      <c r="I653" s="797">
        <v>0</v>
      </c>
      <c r="J653" s="797">
        <f>(F653*(1+G653/100)) * (H653*(1+I653/100))</f>
        <v>16426.36</v>
      </c>
    </row>
    <row r="654" spans="1:10" s="516" customFormat="1" hidden="1" outlineLevel="2">
      <c r="A654" s="1868"/>
      <c r="B654" s="1831"/>
      <c r="C654" s="798"/>
      <c r="D654" s="797"/>
      <c r="E654" s="797"/>
      <c r="F654" s="797"/>
      <c r="G654" s="797">
        <v>5</v>
      </c>
      <c r="H654" s="797" t="s">
        <v>1514</v>
      </c>
      <c r="I654" s="797"/>
      <c r="J654" s="797">
        <v>821.32</v>
      </c>
    </row>
    <row r="655" spans="1:10" s="516" customFormat="1" hidden="1" outlineLevel="2">
      <c r="A655" s="1868"/>
      <c r="B655" s="1831"/>
      <c r="C655" s="1835" t="s">
        <v>1488</v>
      </c>
      <c r="D655" s="1808"/>
      <c r="E655" s="1166" t="s">
        <v>285</v>
      </c>
      <c r="F655" s="583">
        <f>'9. Carpintería metálica'!G19</f>
        <v>4</v>
      </c>
      <c r="G655" s="1166"/>
      <c r="H655" s="1166"/>
      <c r="I655" s="1166">
        <v>0</v>
      </c>
      <c r="J655" s="1165">
        <f>SUM(J651:J654)</f>
        <v>734696.18110499997</v>
      </c>
    </row>
    <row r="656" spans="1:10" s="516" customFormat="1" hidden="1" outlineLevel="2">
      <c r="A656" s="1868"/>
      <c r="B656" s="1831"/>
      <c r="C656" s="1836" t="s">
        <v>47</v>
      </c>
      <c r="D656" s="1827"/>
      <c r="E656" s="1827"/>
      <c r="F656" s="1827"/>
      <c r="G656" s="1827"/>
      <c r="H656" s="1827"/>
      <c r="I656" s="1827"/>
      <c r="J656" s="773">
        <f>J655*F655</f>
        <v>2938784.7244199999</v>
      </c>
    </row>
    <row r="657" spans="1:10" s="516" customFormat="1" ht="16.5" hidden="1" customHeight="1" outlineLevel="1" collapsed="1">
      <c r="A657" s="1925" t="s">
        <v>1944</v>
      </c>
      <c r="B657" s="1831" t="s">
        <v>1706</v>
      </c>
      <c r="C657" s="1873" t="s">
        <v>1354</v>
      </c>
      <c r="D657" s="1873"/>
      <c r="E657" s="1873"/>
      <c r="F657" s="1873"/>
      <c r="G657" s="1873"/>
      <c r="H657" s="1873"/>
      <c r="I657" s="1873"/>
      <c r="J657" s="1873"/>
    </row>
    <row r="658" spans="1:10" s="516" customFormat="1" hidden="1" outlineLevel="2">
      <c r="A658" s="1925"/>
      <c r="B658" s="1831"/>
      <c r="C658" s="797" t="s">
        <v>1942</v>
      </c>
      <c r="D658" s="797" t="s">
        <v>1943</v>
      </c>
      <c r="E658" s="797" t="s">
        <v>48</v>
      </c>
      <c r="F658" s="797">
        <v>1</v>
      </c>
      <c r="G658" s="797">
        <v>0</v>
      </c>
      <c r="H658" s="797">
        <v>177000</v>
      </c>
      <c r="I658" s="797">
        <v>0</v>
      </c>
      <c r="J658" s="797">
        <f>(F658*(1+G658/100)) * (H658*(1+I658/100))</f>
        <v>177000</v>
      </c>
    </row>
    <row r="659" spans="1:10" s="516" customFormat="1" hidden="1" outlineLevel="2">
      <c r="A659" s="1925"/>
      <c r="B659" s="1831"/>
      <c r="C659" s="797" t="s">
        <v>1912</v>
      </c>
      <c r="D659" s="797" t="s">
        <v>1913</v>
      </c>
      <c r="E659" s="797" t="s">
        <v>49</v>
      </c>
      <c r="F659" s="797">
        <v>0.01</v>
      </c>
      <c r="G659" s="797">
        <v>0</v>
      </c>
      <c r="H659" s="797">
        <v>332522.64</v>
      </c>
      <c r="I659" s="797">
        <v>0</v>
      </c>
      <c r="J659" s="797">
        <f>(F659*(1+G659/100)) * (H659*(1+I659/100))</f>
        <v>3325.2264</v>
      </c>
    </row>
    <row r="660" spans="1:10" s="516" customFormat="1" hidden="1" outlineLevel="2">
      <c r="A660" s="1925"/>
      <c r="B660" s="1831"/>
      <c r="C660" s="797" t="s">
        <v>1579</v>
      </c>
      <c r="D660" s="797" t="s">
        <v>1580</v>
      </c>
      <c r="E660" s="797" t="s">
        <v>1482</v>
      </c>
      <c r="F660" s="797">
        <v>1</v>
      </c>
      <c r="G660" s="797">
        <v>0</v>
      </c>
      <c r="H660" s="797">
        <v>6810.12</v>
      </c>
      <c r="I660" s="797">
        <v>0</v>
      </c>
      <c r="J660" s="797">
        <f>(F660*(1+G660/100)) * (H660*(1+I660/100))</f>
        <v>6810.12</v>
      </c>
    </row>
    <row r="661" spans="1:10" s="516" customFormat="1" hidden="1" outlineLevel="2">
      <c r="A661" s="1925"/>
      <c r="B661" s="1831"/>
      <c r="C661" s="797"/>
      <c r="D661" s="797"/>
      <c r="E661" s="797"/>
      <c r="F661" s="797"/>
      <c r="G661" s="797">
        <v>5</v>
      </c>
      <c r="H661" s="797" t="s">
        <v>1514</v>
      </c>
      <c r="I661" s="797"/>
      <c r="J661" s="797">
        <v>821.32</v>
      </c>
    </row>
    <row r="662" spans="1:10" s="516" customFormat="1" hidden="1" outlineLevel="2">
      <c r="A662" s="1925"/>
      <c r="B662" s="1831"/>
      <c r="C662" s="1808" t="s">
        <v>1488</v>
      </c>
      <c r="D662" s="1808"/>
      <c r="E662" s="1166" t="s">
        <v>345</v>
      </c>
      <c r="F662" s="583">
        <f>'10. Perfilería de metal'!N14</f>
        <v>334.12513384390434</v>
      </c>
      <c r="G662" s="1166"/>
      <c r="H662" s="1166"/>
      <c r="I662" s="1166">
        <v>0</v>
      </c>
      <c r="J662" s="1165">
        <f>SUM(J658:J661)</f>
        <v>187956.66640000002</v>
      </c>
    </row>
    <row r="663" spans="1:10" s="516" customFormat="1" hidden="1" outlineLevel="2">
      <c r="A663" s="1925"/>
      <c r="B663" s="1831"/>
      <c r="C663" s="1827" t="s">
        <v>47</v>
      </c>
      <c r="D663" s="1827"/>
      <c r="E663" s="1827"/>
      <c r="F663" s="1827"/>
      <c r="G663" s="1827"/>
      <c r="H663" s="1827"/>
      <c r="I663" s="1827"/>
      <c r="J663" s="773">
        <f>J662*F662</f>
        <v>62801046.317754082</v>
      </c>
    </row>
    <row r="664" spans="1:10" s="516" customFormat="1" hidden="1" outlineLevel="1" collapsed="1">
      <c r="A664" s="1925" t="s">
        <v>1944</v>
      </c>
      <c r="B664" s="1831" t="s">
        <v>1707</v>
      </c>
      <c r="C664" s="1919" t="s">
        <v>1700</v>
      </c>
      <c r="D664" s="1926"/>
      <c r="E664" s="1926"/>
      <c r="F664" s="1926"/>
      <c r="G664" s="1926"/>
      <c r="H664" s="1926"/>
      <c r="I664" s="1926"/>
      <c r="J664" s="1920"/>
    </row>
    <row r="665" spans="1:10" s="516" customFormat="1" hidden="1" outlineLevel="2">
      <c r="A665" s="1925"/>
      <c r="B665" s="1831"/>
      <c r="C665" s="1768" t="s">
        <v>2892</v>
      </c>
      <c r="D665" s="1769"/>
      <c r="E665" s="797" t="s">
        <v>285</v>
      </c>
      <c r="F665" s="797"/>
      <c r="G665" s="797"/>
      <c r="H665" s="797"/>
      <c r="I665" s="797"/>
      <c r="J665" s="797">
        <v>210300</v>
      </c>
    </row>
    <row r="666" spans="1:10" s="516" customFormat="1" hidden="1" outlineLevel="2">
      <c r="A666" s="1925"/>
      <c r="B666" s="1831"/>
      <c r="C666" s="797" t="s">
        <v>2864</v>
      </c>
      <c r="D666" s="797" t="s">
        <v>2862</v>
      </c>
      <c r="E666" s="797" t="s">
        <v>55</v>
      </c>
      <c r="F666" s="797">
        <v>1</v>
      </c>
      <c r="G666" s="797">
        <v>0</v>
      </c>
      <c r="H666" s="797">
        <v>13789.789999999999</v>
      </c>
      <c r="I666" s="797">
        <v>0</v>
      </c>
      <c r="J666" s="797">
        <f>(F666*(1+G666/100)) * (H666*(1+I666/100))</f>
        <v>13789.789999999999</v>
      </c>
    </row>
    <row r="667" spans="1:10" s="516" customFormat="1" hidden="1" outlineLevel="2">
      <c r="A667" s="1925"/>
      <c r="B667" s="1831"/>
      <c r="C667" s="797"/>
      <c r="D667" s="797" t="s">
        <v>2863</v>
      </c>
      <c r="E667" s="797" t="s">
        <v>1482</v>
      </c>
      <c r="F667" s="1172">
        <v>1.0516522868540681</v>
      </c>
      <c r="G667" s="797">
        <v>0</v>
      </c>
      <c r="H667" s="797">
        <f>6406+4373</f>
        <v>10779</v>
      </c>
      <c r="I667" s="797">
        <v>0</v>
      </c>
      <c r="J667" s="797">
        <f>(F667*(1+G667/100)) * (H667*(1+I667/100))</f>
        <v>11335.76</v>
      </c>
    </row>
    <row r="668" spans="1:10" s="516" customFormat="1" hidden="1" outlineLevel="2">
      <c r="A668" s="1925"/>
      <c r="B668" s="1831"/>
      <c r="C668" s="862"/>
      <c r="D668" s="862"/>
      <c r="E668" s="861"/>
      <c r="F668" s="1173"/>
      <c r="G668" s="1174">
        <v>5</v>
      </c>
      <c r="H668" s="1175" t="s">
        <v>1514</v>
      </c>
      <c r="I668" s="862"/>
      <c r="J668" s="1175">
        <v>689.49</v>
      </c>
    </row>
    <row r="669" spans="1:10" s="516" customFormat="1" hidden="1" outlineLevel="2">
      <c r="A669" s="1925"/>
      <c r="B669" s="1831"/>
      <c r="C669" s="1854" t="s">
        <v>1488</v>
      </c>
      <c r="D669" s="1854"/>
      <c r="E669" s="797" t="s">
        <v>285</v>
      </c>
      <c r="F669" s="797">
        <f>'12. Acabados y accesorios'!F36</f>
        <v>248.009975</v>
      </c>
      <c r="G669" s="797"/>
      <c r="H669" s="797"/>
      <c r="I669" s="797">
        <v>0</v>
      </c>
      <c r="J669" s="797">
        <f>SUM(J665:J668)</f>
        <v>236115.04</v>
      </c>
    </row>
    <row r="670" spans="1:10" s="516" customFormat="1" hidden="1" outlineLevel="2">
      <c r="A670" s="1925"/>
      <c r="B670" s="1831"/>
      <c r="C670" s="1827" t="s">
        <v>47</v>
      </c>
      <c r="D670" s="1827"/>
      <c r="E670" s="1827"/>
      <c r="F670" s="1827"/>
      <c r="G670" s="1827"/>
      <c r="H670" s="1827"/>
      <c r="I670" s="1827"/>
      <c r="J670" s="773">
        <f>J669*F669</f>
        <v>58558885.167524002</v>
      </c>
    </row>
    <row r="671" spans="1:10" s="516" customFormat="1" ht="15" hidden="1" customHeight="1" outlineLevel="1" collapsed="1">
      <c r="A671" s="1925" t="s">
        <v>1944</v>
      </c>
      <c r="B671" s="1831" t="s">
        <v>1708</v>
      </c>
      <c r="C671" s="1919" t="s">
        <v>1699</v>
      </c>
      <c r="D671" s="1926"/>
      <c r="E671" s="1926"/>
      <c r="F671" s="1926"/>
      <c r="G671" s="1926"/>
      <c r="H671" s="1926"/>
      <c r="I671" s="1926"/>
      <c r="J671" s="1920"/>
    </row>
    <row r="672" spans="1:10" s="516" customFormat="1" ht="15" hidden="1" customHeight="1" outlineLevel="2">
      <c r="A672" s="1925"/>
      <c r="B672" s="1831"/>
      <c r="C672" s="1768" t="s">
        <v>2892</v>
      </c>
      <c r="D672" s="1769"/>
      <c r="E672" s="797" t="s">
        <v>285</v>
      </c>
      <c r="F672" s="797"/>
      <c r="G672" s="797"/>
      <c r="H672" s="797"/>
      <c r="I672" s="797"/>
      <c r="J672" s="797">
        <v>210300</v>
      </c>
    </row>
    <row r="673" spans="1:10" s="516" customFormat="1" ht="15" hidden="1" customHeight="1" outlineLevel="2">
      <c r="A673" s="1925"/>
      <c r="B673" s="1831"/>
      <c r="C673" s="797" t="s">
        <v>2864</v>
      </c>
      <c r="D673" s="797" t="s">
        <v>2862</v>
      </c>
      <c r="E673" s="797" t="s">
        <v>55</v>
      </c>
      <c r="F673" s="797">
        <v>1</v>
      </c>
      <c r="G673" s="797">
        <v>0</v>
      </c>
      <c r="H673" s="797">
        <v>13789.789999999999</v>
      </c>
      <c r="I673" s="797">
        <v>0</v>
      </c>
      <c r="J673" s="797">
        <f>(F673*(1+G673/100)) * (H673*(1+I673/100))</f>
        <v>13789.789999999999</v>
      </c>
    </row>
    <row r="674" spans="1:10" s="516" customFormat="1" ht="15" hidden="1" customHeight="1" outlineLevel="2">
      <c r="A674" s="1925"/>
      <c r="B674" s="1831"/>
      <c r="C674" s="797"/>
      <c r="D674" s="797" t="s">
        <v>2863</v>
      </c>
      <c r="E674" s="797" t="s">
        <v>1482</v>
      </c>
      <c r="F674" s="1172">
        <v>1.0516522868540681</v>
      </c>
      <c r="G674" s="797">
        <v>0</v>
      </c>
      <c r="H674" s="797">
        <f>6406+4373</f>
        <v>10779</v>
      </c>
      <c r="I674" s="797">
        <v>0</v>
      </c>
      <c r="J674" s="797">
        <f>(F674*(1+G674/100)) * (H674*(1+I674/100))</f>
        <v>11335.76</v>
      </c>
    </row>
    <row r="675" spans="1:10" s="516" customFormat="1" ht="15" hidden="1" customHeight="1" outlineLevel="2">
      <c r="A675" s="1925"/>
      <c r="B675" s="1831"/>
      <c r="C675" s="862"/>
      <c r="D675" s="862"/>
      <c r="E675" s="861"/>
      <c r="F675" s="1173"/>
      <c r="G675" s="1174">
        <v>5</v>
      </c>
      <c r="H675" s="1175" t="s">
        <v>1514</v>
      </c>
      <c r="I675" s="862"/>
      <c r="J675" s="1175">
        <v>689.49</v>
      </c>
    </row>
    <row r="676" spans="1:10" s="516" customFormat="1" ht="15" hidden="1" customHeight="1" outlineLevel="2">
      <c r="A676" s="1925"/>
      <c r="B676" s="1831"/>
      <c r="C676" s="1854" t="s">
        <v>1488</v>
      </c>
      <c r="D676" s="1854"/>
      <c r="E676" s="797" t="s">
        <v>285</v>
      </c>
      <c r="F676" s="797">
        <f>'12. Acabados y accesorios'!F35</f>
        <v>6.3262499999999999</v>
      </c>
      <c r="G676" s="797"/>
      <c r="H676" s="797"/>
      <c r="I676" s="797">
        <v>0</v>
      </c>
      <c r="J676" s="797">
        <f>SUM(J672:J675)</f>
        <v>236115.04</v>
      </c>
    </row>
    <row r="677" spans="1:10" s="516" customFormat="1" ht="15" hidden="1" customHeight="1" outlineLevel="2">
      <c r="A677" s="1925"/>
      <c r="B677" s="1831"/>
      <c r="C677" s="1827" t="s">
        <v>47</v>
      </c>
      <c r="D677" s="1827"/>
      <c r="E677" s="1827"/>
      <c r="F677" s="1827"/>
      <c r="G677" s="1827"/>
      <c r="H677" s="1827"/>
      <c r="I677" s="1827"/>
      <c r="J677" s="773">
        <f>J676*F676</f>
        <v>1493722.7718</v>
      </c>
    </row>
    <row r="678" spans="1:10" s="516" customFormat="1" ht="15" hidden="1" customHeight="1" outlineLevel="1" collapsed="1">
      <c r="A678" s="1925" t="s">
        <v>1944</v>
      </c>
      <c r="B678" s="1831" t="s">
        <v>1709</v>
      </c>
      <c r="C678" s="1842" t="s">
        <v>1187</v>
      </c>
      <c r="D678" s="1843"/>
      <c r="E678" s="1843"/>
      <c r="F678" s="1843"/>
      <c r="G678" s="1843"/>
      <c r="H678" s="1843"/>
      <c r="I678" s="1843"/>
      <c r="J678" s="1835"/>
    </row>
    <row r="679" spans="1:10" s="516" customFormat="1" ht="15" hidden="1" customHeight="1" outlineLevel="2">
      <c r="A679" s="1925"/>
      <c r="B679" s="1831"/>
      <c r="C679" s="1768" t="s">
        <v>2892</v>
      </c>
      <c r="D679" s="1769"/>
      <c r="E679" s="797" t="s">
        <v>285</v>
      </c>
      <c r="F679" s="797"/>
      <c r="G679" s="797"/>
      <c r="H679" s="797"/>
      <c r="I679" s="797"/>
      <c r="J679" s="797">
        <v>210300</v>
      </c>
    </row>
    <row r="680" spans="1:10" s="516" customFormat="1" ht="15" hidden="1" customHeight="1" outlineLevel="2">
      <c r="A680" s="1925"/>
      <c r="B680" s="1831"/>
      <c r="C680" s="797" t="s">
        <v>2864</v>
      </c>
      <c r="D680" s="797" t="s">
        <v>2862</v>
      </c>
      <c r="E680" s="797" t="s">
        <v>55</v>
      </c>
      <c r="F680" s="797">
        <v>1</v>
      </c>
      <c r="G680" s="797">
        <v>0</v>
      </c>
      <c r="H680" s="797">
        <v>13789.789999999999</v>
      </c>
      <c r="I680" s="797">
        <v>0</v>
      </c>
      <c r="J680" s="797">
        <f>(F680*(1+G680/100)) * (H680*(1+I680/100))</f>
        <v>13789.789999999999</v>
      </c>
    </row>
    <row r="681" spans="1:10" s="516" customFormat="1" ht="15" hidden="1" customHeight="1" outlineLevel="2">
      <c r="A681" s="1925"/>
      <c r="B681" s="1831"/>
      <c r="C681" s="797"/>
      <c r="D681" s="797" t="s">
        <v>2863</v>
      </c>
      <c r="E681" s="797" t="s">
        <v>1482</v>
      </c>
      <c r="F681" s="1172">
        <v>1.0516522868540681</v>
      </c>
      <c r="G681" s="797">
        <v>0</v>
      </c>
      <c r="H681" s="797">
        <f>6406+4373</f>
        <v>10779</v>
      </c>
      <c r="I681" s="797">
        <v>0</v>
      </c>
      <c r="J681" s="797">
        <f>(F681*(1+G681/100)) * (H681*(1+I681/100))</f>
        <v>11335.76</v>
      </c>
    </row>
    <row r="682" spans="1:10" s="516" customFormat="1" ht="15" hidden="1" customHeight="1" outlineLevel="2">
      <c r="A682" s="1925"/>
      <c r="B682" s="1831"/>
      <c r="C682" s="862"/>
      <c r="D682" s="862"/>
      <c r="E682" s="861"/>
      <c r="F682" s="1173"/>
      <c r="G682" s="1174">
        <v>5</v>
      </c>
      <c r="H682" s="1175" t="s">
        <v>1514</v>
      </c>
      <c r="I682" s="862"/>
      <c r="J682" s="1175">
        <v>689.49</v>
      </c>
    </row>
    <row r="683" spans="1:10" s="516" customFormat="1" ht="15" hidden="1" customHeight="1" outlineLevel="2">
      <c r="A683" s="1925"/>
      <c r="B683" s="1831"/>
      <c r="C683" s="1854" t="s">
        <v>1488</v>
      </c>
      <c r="D683" s="1854"/>
      <c r="E683" s="797" t="s">
        <v>285</v>
      </c>
      <c r="F683" s="797">
        <f>'12. Acabados y accesorios'!F34</f>
        <v>146.76752999999999</v>
      </c>
      <c r="G683" s="797"/>
      <c r="H683" s="797"/>
      <c r="I683" s="797">
        <v>0</v>
      </c>
      <c r="J683" s="797">
        <f>SUM(J679:J682)</f>
        <v>236115.04</v>
      </c>
    </row>
    <row r="684" spans="1:10" s="516" customFormat="1" ht="15" hidden="1" customHeight="1" outlineLevel="2">
      <c r="A684" s="1925"/>
      <c r="B684" s="1831"/>
      <c r="C684" s="1827" t="s">
        <v>47</v>
      </c>
      <c r="D684" s="1827"/>
      <c r="E684" s="1827"/>
      <c r="F684" s="1827"/>
      <c r="G684" s="1827"/>
      <c r="H684" s="1827"/>
      <c r="I684" s="1827"/>
      <c r="J684" s="773">
        <f>J683*F683</f>
        <v>34654021.216651201</v>
      </c>
    </row>
    <row r="685" spans="1:10" s="516" customFormat="1" ht="15" hidden="1" customHeight="1" outlineLevel="1" collapsed="1">
      <c r="A685" s="1928" t="s">
        <v>2865</v>
      </c>
      <c r="B685" s="1831" t="s">
        <v>1710</v>
      </c>
      <c r="C685" s="1842" t="s">
        <v>2861</v>
      </c>
      <c r="D685" s="1843"/>
      <c r="E685" s="1843"/>
      <c r="F685" s="1843"/>
      <c r="G685" s="1843"/>
      <c r="H685" s="1843"/>
      <c r="I685" s="1843"/>
      <c r="J685" s="1835"/>
    </row>
    <row r="686" spans="1:10" s="516" customFormat="1" ht="15" hidden="1" customHeight="1" outlineLevel="2">
      <c r="A686" s="1928"/>
      <c r="B686" s="1831"/>
      <c r="C686" s="1768" t="s">
        <v>2891</v>
      </c>
      <c r="D686" s="1769"/>
      <c r="E686" s="797" t="s">
        <v>285</v>
      </c>
      <c r="F686" s="797"/>
      <c r="G686" s="797"/>
      <c r="H686" s="797"/>
      <c r="I686" s="797"/>
      <c r="J686" s="797">
        <v>162400</v>
      </c>
    </row>
    <row r="687" spans="1:10" s="516" customFormat="1" hidden="1" outlineLevel="2">
      <c r="A687" s="1928"/>
      <c r="B687" s="1831"/>
      <c r="C687" s="797" t="s">
        <v>2864</v>
      </c>
      <c r="D687" s="797" t="s">
        <v>2862</v>
      </c>
      <c r="E687" s="797" t="s">
        <v>55</v>
      </c>
      <c r="F687" s="797">
        <v>1</v>
      </c>
      <c r="G687" s="797">
        <v>0</v>
      </c>
      <c r="H687" s="797">
        <v>13789.789999999999</v>
      </c>
      <c r="I687" s="797">
        <v>0</v>
      </c>
      <c r="J687" s="797">
        <f>(F687*(1+G687/100)) * (H687*(1+I687/100))</f>
        <v>13789.789999999999</v>
      </c>
    </row>
    <row r="688" spans="1:10" s="516" customFormat="1" hidden="1" outlineLevel="2">
      <c r="A688" s="1928"/>
      <c r="B688" s="1831"/>
      <c r="C688" s="797"/>
      <c r="D688" s="797" t="s">
        <v>2863</v>
      </c>
      <c r="E688" s="797" t="s">
        <v>1482</v>
      </c>
      <c r="F688" s="1172">
        <v>1.0516522868540681</v>
      </c>
      <c r="G688" s="797">
        <v>0</v>
      </c>
      <c r="H688" s="797">
        <f>6406+4373</f>
        <v>10779</v>
      </c>
      <c r="I688" s="797">
        <v>0</v>
      </c>
      <c r="J688" s="797">
        <f>(F688*(1+G688/100)) * (H688*(1+I688/100))</f>
        <v>11335.76</v>
      </c>
    </row>
    <row r="689" spans="1:10" s="516" customFormat="1" hidden="1" outlineLevel="2">
      <c r="A689" s="1928"/>
      <c r="B689" s="1831"/>
      <c r="C689" s="862"/>
      <c r="D689" s="862"/>
      <c r="E689" s="861"/>
      <c r="F689" s="1173"/>
      <c r="G689" s="1174">
        <v>5</v>
      </c>
      <c r="H689" s="1175" t="s">
        <v>1514</v>
      </c>
      <c r="I689" s="862"/>
      <c r="J689" s="1175">
        <v>689.49</v>
      </c>
    </row>
    <row r="690" spans="1:10" s="516" customFormat="1" hidden="1" outlineLevel="2">
      <c r="A690" s="1928"/>
      <c r="B690" s="1831"/>
      <c r="C690" s="1854" t="s">
        <v>1488</v>
      </c>
      <c r="D690" s="1854"/>
      <c r="E690" s="797" t="s">
        <v>285</v>
      </c>
      <c r="F690" s="797">
        <f>'12. Acabados y accesorios'!N6</f>
        <v>12.330499999999999</v>
      </c>
      <c r="G690" s="797"/>
      <c r="H690" s="797"/>
      <c r="I690" s="797">
        <v>0</v>
      </c>
      <c r="J690" s="797">
        <f>SUM(J686:J689)</f>
        <v>188215.04000000001</v>
      </c>
    </row>
    <row r="691" spans="1:10" s="516" customFormat="1" hidden="1" outlineLevel="2">
      <c r="A691" s="1928"/>
      <c r="B691" s="1831"/>
      <c r="C691" s="1827" t="s">
        <v>47</v>
      </c>
      <c r="D691" s="1827"/>
      <c r="E691" s="1827"/>
      <c r="F691" s="1827"/>
      <c r="G691" s="1827"/>
      <c r="H691" s="1827"/>
      <c r="I691" s="1827"/>
      <c r="J691" s="773">
        <f>J690*F690</f>
        <v>2320785.5507199997</v>
      </c>
    </row>
    <row r="692" spans="1:10" s="516" customFormat="1" hidden="1" outlineLevel="1" collapsed="1">
      <c r="A692" s="1928" t="s">
        <v>2865</v>
      </c>
      <c r="B692" s="1831" t="s">
        <v>1711</v>
      </c>
      <c r="C692" s="1842" t="s">
        <v>2866</v>
      </c>
      <c r="D692" s="1843"/>
      <c r="E692" s="1843"/>
      <c r="F692" s="1843"/>
      <c r="G692" s="1843"/>
      <c r="H692" s="1843"/>
      <c r="I692" s="1843"/>
      <c r="J692" s="1835"/>
    </row>
    <row r="693" spans="1:10" s="516" customFormat="1" hidden="1" outlineLevel="2">
      <c r="A693" s="1928"/>
      <c r="B693" s="1831"/>
      <c r="C693" s="1768" t="s">
        <v>2891</v>
      </c>
      <c r="D693" s="1769"/>
      <c r="E693" s="797" t="s">
        <v>285</v>
      </c>
      <c r="F693" s="797"/>
      <c r="G693" s="797"/>
      <c r="H693" s="797"/>
      <c r="I693" s="797"/>
      <c r="J693" s="797">
        <v>162400</v>
      </c>
    </row>
    <row r="694" spans="1:10" s="516" customFormat="1" hidden="1" outlineLevel="2">
      <c r="A694" s="1928"/>
      <c r="B694" s="1831"/>
      <c r="C694" s="797" t="s">
        <v>2864</v>
      </c>
      <c r="D694" s="797" t="s">
        <v>2862</v>
      </c>
      <c r="E694" s="797" t="s">
        <v>55</v>
      </c>
      <c r="F694" s="797">
        <v>1</v>
      </c>
      <c r="G694" s="797">
        <v>0</v>
      </c>
      <c r="H694" s="797">
        <v>13789.789999999999</v>
      </c>
      <c r="I694" s="797">
        <v>0</v>
      </c>
      <c r="J694" s="797">
        <f>(F694*(1+G694/100)) * (H694*(1+I694/100))</f>
        <v>13789.789999999999</v>
      </c>
    </row>
    <row r="695" spans="1:10" s="516" customFormat="1" hidden="1" outlineLevel="2">
      <c r="A695" s="1928"/>
      <c r="B695" s="1831"/>
      <c r="C695" s="797"/>
      <c r="D695" s="797" t="s">
        <v>2863</v>
      </c>
      <c r="E695" s="797" t="s">
        <v>1482</v>
      </c>
      <c r="F695" s="1172">
        <v>1.0516522868540681</v>
      </c>
      <c r="G695" s="797">
        <v>0</v>
      </c>
      <c r="H695" s="797">
        <f>6406+4373</f>
        <v>10779</v>
      </c>
      <c r="I695" s="797">
        <v>0</v>
      </c>
      <c r="J695" s="797">
        <f>(F695*(1+G695/100)) * (H695*(1+I695/100))</f>
        <v>11335.76</v>
      </c>
    </row>
    <row r="696" spans="1:10" s="516" customFormat="1" hidden="1" outlineLevel="2">
      <c r="A696" s="1928"/>
      <c r="B696" s="1831"/>
      <c r="C696" s="862"/>
      <c r="D696" s="862"/>
      <c r="E696" s="861"/>
      <c r="F696" s="1173"/>
      <c r="G696" s="1174">
        <v>5</v>
      </c>
      <c r="H696" s="1175" t="s">
        <v>1514</v>
      </c>
      <c r="I696" s="862"/>
      <c r="J696" s="1175">
        <v>689.49</v>
      </c>
    </row>
    <row r="697" spans="1:10" s="516" customFormat="1" hidden="1" outlineLevel="2">
      <c r="A697" s="1928"/>
      <c r="B697" s="1831"/>
      <c r="C697" s="1854" t="s">
        <v>1488</v>
      </c>
      <c r="D697" s="1854"/>
      <c r="E697" s="797" t="s">
        <v>285</v>
      </c>
      <c r="F697" s="797">
        <f>'12. Acabados y accesorios'!N7</f>
        <v>10.482279999999999</v>
      </c>
      <c r="G697" s="797"/>
      <c r="H697" s="797"/>
      <c r="I697" s="797">
        <v>0</v>
      </c>
      <c r="J697" s="797">
        <f>SUM(J693:J696)</f>
        <v>188215.04000000001</v>
      </c>
    </row>
    <row r="698" spans="1:10" s="516" customFormat="1" hidden="1" outlineLevel="2">
      <c r="A698" s="1928"/>
      <c r="B698" s="1831"/>
      <c r="C698" s="1827" t="s">
        <v>47</v>
      </c>
      <c r="D698" s="1827"/>
      <c r="E698" s="1827"/>
      <c r="F698" s="1827"/>
      <c r="G698" s="1827"/>
      <c r="H698" s="1827"/>
      <c r="I698" s="1827"/>
      <c r="J698" s="773">
        <f>J697*F697</f>
        <v>1972922.7494912001</v>
      </c>
    </row>
    <row r="699" spans="1:10" s="516" customFormat="1" ht="15" hidden="1" customHeight="1" outlineLevel="1" collapsed="1">
      <c r="A699" s="1928" t="s">
        <v>2865</v>
      </c>
      <c r="B699" s="1831" t="s">
        <v>1712</v>
      </c>
      <c r="C699" s="1842" t="s">
        <v>2867</v>
      </c>
      <c r="D699" s="1843"/>
      <c r="E699" s="1843"/>
      <c r="F699" s="1843"/>
      <c r="G699" s="1843"/>
      <c r="H699" s="1843"/>
      <c r="I699" s="1843"/>
      <c r="J699" s="1835"/>
    </row>
    <row r="700" spans="1:10" s="516" customFormat="1" ht="14.25" hidden="1" customHeight="1" outlineLevel="2">
      <c r="A700" s="1928"/>
      <c r="B700" s="1831"/>
      <c r="C700" s="1768" t="s">
        <v>2891</v>
      </c>
      <c r="D700" s="1769"/>
      <c r="E700" s="797" t="s">
        <v>285</v>
      </c>
      <c r="F700" s="797"/>
      <c r="G700" s="797"/>
      <c r="H700" s="797"/>
      <c r="I700" s="797"/>
      <c r="J700" s="797">
        <v>162400</v>
      </c>
    </row>
    <row r="701" spans="1:10" s="516" customFormat="1" ht="15" hidden="1" customHeight="1" outlineLevel="2">
      <c r="A701" s="1928"/>
      <c r="B701" s="1831"/>
      <c r="C701" s="797" t="s">
        <v>2864</v>
      </c>
      <c r="D701" s="797" t="s">
        <v>2862</v>
      </c>
      <c r="E701" s="797" t="s">
        <v>55</v>
      </c>
      <c r="F701" s="797">
        <v>1</v>
      </c>
      <c r="G701" s="797">
        <v>0</v>
      </c>
      <c r="H701" s="797">
        <v>13789.789999999999</v>
      </c>
      <c r="I701" s="797">
        <v>0</v>
      </c>
      <c r="J701" s="797">
        <f>(F701*(1+G701/100)) * (H701*(1+I701/100))</f>
        <v>13789.789999999999</v>
      </c>
    </row>
    <row r="702" spans="1:10" s="516" customFormat="1" ht="15" hidden="1" customHeight="1" outlineLevel="2">
      <c r="A702" s="1928"/>
      <c r="B702" s="1831"/>
      <c r="C702" s="797"/>
      <c r="D702" s="797" t="s">
        <v>2863</v>
      </c>
      <c r="E702" s="797" t="s">
        <v>1482</v>
      </c>
      <c r="F702" s="1172">
        <v>1.0516522868540681</v>
      </c>
      <c r="G702" s="797">
        <v>0</v>
      </c>
      <c r="H702" s="797">
        <f>6406+4373</f>
        <v>10779</v>
      </c>
      <c r="I702" s="797">
        <v>0</v>
      </c>
      <c r="J702" s="797">
        <f>(F702*(1+G702/100)) * (H702*(1+I702/100))</f>
        <v>11335.76</v>
      </c>
    </row>
    <row r="703" spans="1:10" s="516" customFormat="1" ht="15" hidden="1" customHeight="1" outlineLevel="2">
      <c r="A703" s="1928"/>
      <c r="B703" s="1831"/>
      <c r="C703" s="862"/>
      <c r="D703" s="862"/>
      <c r="E703" s="861"/>
      <c r="F703" s="1173"/>
      <c r="G703" s="1174">
        <v>5</v>
      </c>
      <c r="H703" s="1175" t="s">
        <v>1514</v>
      </c>
      <c r="I703" s="862"/>
      <c r="J703" s="1175">
        <v>689.49</v>
      </c>
    </row>
    <row r="704" spans="1:10" s="516" customFormat="1" ht="15" hidden="1" customHeight="1" outlineLevel="2">
      <c r="A704" s="1928"/>
      <c r="B704" s="1831"/>
      <c r="C704" s="1854" t="s">
        <v>1488</v>
      </c>
      <c r="D704" s="1854"/>
      <c r="E704" s="797" t="s">
        <v>285</v>
      </c>
      <c r="F704" s="797">
        <f>'12. Acabados y accesorios'!N8</f>
        <v>9.6069499999999994</v>
      </c>
      <c r="G704" s="797"/>
      <c r="H704" s="797"/>
      <c r="I704" s="797">
        <v>0</v>
      </c>
      <c r="J704" s="797">
        <f>SUM(J700:J703)</f>
        <v>188215.04000000001</v>
      </c>
    </row>
    <row r="705" spans="1:10" s="516" customFormat="1" hidden="1" outlineLevel="2">
      <c r="A705" s="1928"/>
      <c r="B705" s="1831"/>
      <c r="C705" s="1827" t="s">
        <v>47</v>
      </c>
      <c r="D705" s="1827"/>
      <c r="E705" s="1827"/>
      <c r="F705" s="1827"/>
      <c r="G705" s="1827"/>
      <c r="H705" s="1827"/>
      <c r="I705" s="1827"/>
      <c r="J705" s="773">
        <f>J704*F704</f>
        <v>1808172.4785279999</v>
      </c>
    </row>
    <row r="706" spans="1:10" s="516" customFormat="1" hidden="1" outlineLevel="1" collapsed="1">
      <c r="A706" s="1928" t="s">
        <v>2865</v>
      </c>
      <c r="B706" s="1831" t="s">
        <v>1713</v>
      </c>
      <c r="C706" s="1842" t="s">
        <v>2868</v>
      </c>
      <c r="D706" s="1843"/>
      <c r="E706" s="1843"/>
      <c r="F706" s="1843"/>
      <c r="G706" s="1843"/>
      <c r="H706" s="1843"/>
      <c r="I706" s="1843"/>
      <c r="J706" s="1835"/>
    </row>
    <row r="707" spans="1:10" s="516" customFormat="1" hidden="1" outlineLevel="1">
      <c r="A707" s="1928"/>
      <c r="B707" s="1831"/>
      <c r="C707" s="1768" t="s">
        <v>2891</v>
      </c>
      <c r="D707" s="1769"/>
      <c r="E707" s="797" t="s">
        <v>285</v>
      </c>
      <c r="F707" s="797"/>
      <c r="G707" s="797"/>
      <c r="H707" s="797"/>
      <c r="I707" s="797"/>
      <c r="J707" s="797">
        <v>162400</v>
      </c>
    </row>
    <row r="708" spans="1:10" s="516" customFormat="1" hidden="1" outlineLevel="1">
      <c r="A708" s="1928"/>
      <c r="B708" s="1831"/>
      <c r="C708" s="797" t="s">
        <v>2864</v>
      </c>
      <c r="D708" s="797" t="s">
        <v>2862</v>
      </c>
      <c r="E708" s="797" t="s">
        <v>55</v>
      </c>
      <c r="F708" s="797">
        <v>1</v>
      </c>
      <c r="G708" s="797">
        <v>0</v>
      </c>
      <c r="H708" s="797">
        <v>13789.789999999999</v>
      </c>
      <c r="I708" s="797">
        <v>0</v>
      </c>
      <c r="J708" s="797">
        <f>(F708*(1+G708/100)) * (H708*(1+I708/100))</f>
        <v>13789.789999999999</v>
      </c>
    </row>
    <row r="709" spans="1:10" s="516" customFormat="1" hidden="1" outlineLevel="1">
      <c r="A709" s="1928"/>
      <c r="B709" s="1831"/>
      <c r="C709" s="797"/>
      <c r="D709" s="797" t="s">
        <v>2863</v>
      </c>
      <c r="E709" s="797" t="s">
        <v>1482</v>
      </c>
      <c r="F709" s="1172">
        <v>1.0516522868540681</v>
      </c>
      <c r="G709" s="797">
        <v>0</v>
      </c>
      <c r="H709" s="797">
        <f>6406+4373</f>
        <v>10779</v>
      </c>
      <c r="I709" s="797">
        <v>0</v>
      </c>
      <c r="J709" s="797">
        <f>(F709*(1+G709/100)) * (H709*(1+I709/100))</f>
        <v>11335.76</v>
      </c>
    </row>
    <row r="710" spans="1:10" s="516" customFormat="1" hidden="1" outlineLevel="1">
      <c r="A710" s="1928"/>
      <c r="B710" s="1831"/>
      <c r="C710" s="862"/>
      <c r="D710" s="862"/>
      <c r="E710" s="861"/>
      <c r="F710" s="1173"/>
      <c r="G710" s="1174">
        <v>5</v>
      </c>
      <c r="H710" s="1175" t="s">
        <v>1514</v>
      </c>
      <c r="I710" s="862"/>
      <c r="J710" s="1175">
        <v>689.49</v>
      </c>
    </row>
    <row r="711" spans="1:10" s="516" customFormat="1" hidden="1" outlineLevel="1">
      <c r="A711" s="1928"/>
      <c r="B711" s="1831"/>
      <c r="C711" s="1854" t="s">
        <v>1488</v>
      </c>
      <c r="D711" s="1854"/>
      <c r="E711" s="797" t="s">
        <v>285</v>
      </c>
      <c r="F711" s="797">
        <f>'12. Acabados y accesorios'!N9</f>
        <v>73.712000000000003</v>
      </c>
      <c r="G711" s="797"/>
      <c r="H711" s="797"/>
      <c r="I711" s="797">
        <v>0</v>
      </c>
      <c r="J711" s="797">
        <f>SUM(J707:J710)</f>
        <v>188215.04000000001</v>
      </c>
    </row>
    <row r="712" spans="1:10" s="516" customFormat="1" hidden="1" outlineLevel="1">
      <c r="A712" s="1928"/>
      <c r="B712" s="1831"/>
      <c r="C712" s="1827" t="s">
        <v>47</v>
      </c>
      <c r="D712" s="1827"/>
      <c r="E712" s="1827"/>
      <c r="F712" s="1827"/>
      <c r="G712" s="1827"/>
      <c r="H712" s="1827"/>
      <c r="I712" s="1827"/>
      <c r="J712" s="773">
        <f>J711*F711</f>
        <v>13873707.028480001</v>
      </c>
    </row>
    <row r="713" spans="1:10" s="516" customFormat="1" hidden="1" outlineLevel="1">
      <c r="A713" s="1928" t="s">
        <v>2865</v>
      </c>
      <c r="B713" s="1831" t="s">
        <v>1714</v>
      </c>
      <c r="C713" s="1842" t="s">
        <v>2869</v>
      </c>
      <c r="D713" s="1843"/>
      <c r="E713" s="1843"/>
      <c r="F713" s="1843"/>
      <c r="G713" s="1843"/>
      <c r="H713" s="1843"/>
      <c r="I713" s="1843"/>
      <c r="J713" s="1835"/>
    </row>
    <row r="714" spans="1:10" s="516" customFormat="1" hidden="1" outlineLevel="1">
      <c r="A714" s="1928"/>
      <c r="B714" s="1831"/>
      <c r="C714" s="1768" t="s">
        <v>2891</v>
      </c>
      <c r="D714" s="1769"/>
      <c r="E714" s="797" t="s">
        <v>285</v>
      </c>
      <c r="F714" s="797"/>
      <c r="G714" s="797"/>
      <c r="H714" s="797"/>
      <c r="I714" s="797"/>
      <c r="J714" s="797">
        <v>162400</v>
      </c>
    </row>
    <row r="715" spans="1:10" s="516" customFormat="1" hidden="1" outlineLevel="1">
      <c r="A715" s="1928"/>
      <c r="B715" s="1831"/>
      <c r="C715" s="797" t="s">
        <v>2864</v>
      </c>
      <c r="D715" s="797" t="s">
        <v>2862</v>
      </c>
      <c r="E715" s="797" t="s">
        <v>55</v>
      </c>
      <c r="F715" s="797">
        <v>1</v>
      </c>
      <c r="G715" s="797">
        <v>0</v>
      </c>
      <c r="H715" s="797">
        <v>13789.789999999999</v>
      </c>
      <c r="I715" s="797">
        <v>0</v>
      </c>
      <c r="J715" s="797">
        <f>(F715*(1+G715/100)) * (H715*(1+I715/100))</f>
        <v>13789.789999999999</v>
      </c>
    </row>
    <row r="716" spans="1:10" s="516" customFormat="1" hidden="1" outlineLevel="1">
      <c r="A716" s="1928"/>
      <c r="B716" s="1831"/>
      <c r="C716" s="797"/>
      <c r="D716" s="797" t="s">
        <v>2863</v>
      </c>
      <c r="E716" s="797" t="s">
        <v>1482</v>
      </c>
      <c r="F716" s="1172">
        <v>1.0516522868540681</v>
      </c>
      <c r="G716" s="797">
        <v>0</v>
      </c>
      <c r="H716" s="797">
        <f>6406+4373</f>
        <v>10779</v>
      </c>
      <c r="I716" s="797">
        <v>0</v>
      </c>
      <c r="J716" s="797">
        <f>(F716*(1+G716/100)) * (H716*(1+I716/100))</f>
        <v>11335.76</v>
      </c>
    </row>
    <row r="717" spans="1:10" s="516" customFormat="1" hidden="1" outlineLevel="1">
      <c r="A717" s="1928"/>
      <c r="B717" s="1831"/>
      <c r="C717" s="862"/>
      <c r="D717" s="862"/>
      <c r="E717" s="861"/>
      <c r="F717" s="1173"/>
      <c r="G717" s="1174">
        <v>5</v>
      </c>
      <c r="H717" s="1175" t="s">
        <v>1514</v>
      </c>
      <c r="I717" s="862"/>
      <c r="J717" s="1175">
        <v>689.49</v>
      </c>
    </row>
    <row r="718" spans="1:10" s="516" customFormat="1" hidden="1" outlineLevel="1">
      <c r="A718" s="1928"/>
      <c r="B718" s="1831"/>
      <c r="C718" s="1854" t="s">
        <v>1488</v>
      </c>
      <c r="D718" s="1854"/>
      <c r="E718" s="797" t="s">
        <v>285</v>
      </c>
      <c r="F718" s="797">
        <f>'12. Acabados y accesorios'!N10</f>
        <v>9.8914999999999988</v>
      </c>
      <c r="G718" s="797"/>
      <c r="H718" s="797"/>
      <c r="I718" s="797">
        <v>0</v>
      </c>
      <c r="J718" s="797">
        <f>SUM(J714:J717)</f>
        <v>188215.04000000001</v>
      </c>
    </row>
    <row r="719" spans="1:10" s="516" customFormat="1" hidden="1" outlineLevel="1">
      <c r="A719" s="1928"/>
      <c r="B719" s="1831"/>
      <c r="C719" s="1827" t="s">
        <v>47</v>
      </c>
      <c r="D719" s="1827"/>
      <c r="E719" s="1827"/>
      <c r="F719" s="1827"/>
      <c r="G719" s="1827"/>
      <c r="H719" s="1827"/>
      <c r="I719" s="1827"/>
      <c r="J719" s="773">
        <f>J718*F718</f>
        <v>1861729.0681599998</v>
      </c>
    </row>
    <row r="720" spans="1:10" s="516" customFormat="1" hidden="1" outlineLevel="1">
      <c r="A720" s="1928" t="s">
        <v>2865</v>
      </c>
      <c r="B720" s="1831" t="s">
        <v>1715</v>
      </c>
      <c r="C720" s="1842" t="s">
        <v>2870</v>
      </c>
      <c r="D720" s="1843"/>
      <c r="E720" s="1843"/>
      <c r="F720" s="1843"/>
      <c r="G720" s="1843"/>
      <c r="H720" s="1843"/>
      <c r="I720" s="1843"/>
      <c r="J720" s="1835"/>
    </row>
    <row r="721" spans="1:10" s="516" customFormat="1" hidden="1" outlineLevel="1">
      <c r="A721" s="1928"/>
      <c r="B721" s="1831"/>
      <c r="C721" s="1768" t="s">
        <v>2891</v>
      </c>
      <c r="D721" s="1769"/>
      <c r="E721" s="797" t="s">
        <v>285</v>
      </c>
      <c r="F721" s="797"/>
      <c r="G721" s="797"/>
      <c r="H721" s="797"/>
      <c r="I721" s="797"/>
      <c r="J721" s="797">
        <v>162400</v>
      </c>
    </row>
    <row r="722" spans="1:10" s="516" customFormat="1" hidden="1" outlineLevel="1">
      <c r="A722" s="1928"/>
      <c r="B722" s="1831"/>
      <c r="C722" s="797" t="s">
        <v>2864</v>
      </c>
      <c r="D722" s="797" t="s">
        <v>2862</v>
      </c>
      <c r="E722" s="797" t="s">
        <v>55</v>
      </c>
      <c r="F722" s="797">
        <v>1</v>
      </c>
      <c r="G722" s="797">
        <v>0</v>
      </c>
      <c r="H722" s="797">
        <v>13789.789999999999</v>
      </c>
      <c r="I722" s="797">
        <v>0</v>
      </c>
      <c r="J722" s="797">
        <f>(F722*(1+G722/100)) * (H722*(1+I722/100))</f>
        <v>13789.789999999999</v>
      </c>
    </row>
    <row r="723" spans="1:10" s="516" customFormat="1" hidden="1" outlineLevel="1">
      <c r="A723" s="1928"/>
      <c r="B723" s="1831"/>
      <c r="C723" s="797"/>
      <c r="D723" s="797" t="s">
        <v>2863</v>
      </c>
      <c r="E723" s="797" t="s">
        <v>1482</v>
      </c>
      <c r="F723" s="1172">
        <v>1.0516522868540681</v>
      </c>
      <c r="G723" s="797">
        <v>0</v>
      </c>
      <c r="H723" s="797">
        <f>6406+4373</f>
        <v>10779</v>
      </c>
      <c r="I723" s="797">
        <v>0</v>
      </c>
      <c r="J723" s="797">
        <f>(F723*(1+G723/100)) * (H723*(1+I723/100))</f>
        <v>11335.76</v>
      </c>
    </row>
    <row r="724" spans="1:10" s="516" customFormat="1" hidden="1" outlineLevel="1">
      <c r="A724" s="1928"/>
      <c r="B724" s="1831"/>
      <c r="C724" s="862"/>
      <c r="D724" s="862"/>
      <c r="E724" s="861"/>
      <c r="F724" s="1173"/>
      <c r="G724" s="1174">
        <v>5</v>
      </c>
      <c r="H724" s="1175" t="s">
        <v>1514</v>
      </c>
      <c r="I724" s="862"/>
      <c r="J724" s="1175">
        <v>689.49</v>
      </c>
    </row>
    <row r="725" spans="1:10" s="516" customFormat="1" hidden="1" outlineLevel="1">
      <c r="A725" s="1928"/>
      <c r="B725" s="1831"/>
      <c r="C725" s="1854" t="s">
        <v>1488</v>
      </c>
      <c r="D725" s="1854"/>
      <c r="E725" s="797" t="s">
        <v>285</v>
      </c>
      <c r="F725" s="797">
        <f>'12. Acabados y accesorios'!N11</f>
        <v>16.259999999999998</v>
      </c>
      <c r="G725" s="797"/>
      <c r="H725" s="797"/>
      <c r="I725" s="797">
        <v>0</v>
      </c>
      <c r="J725" s="797">
        <f>SUM(J721:J724)</f>
        <v>188215.04000000001</v>
      </c>
    </row>
    <row r="726" spans="1:10" s="516" customFormat="1" hidden="1" outlineLevel="1">
      <c r="A726" s="1928"/>
      <c r="B726" s="1831"/>
      <c r="C726" s="1827" t="s">
        <v>47</v>
      </c>
      <c r="D726" s="1827"/>
      <c r="E726" s="1827"/>
      <c r="F726" s="1827"/>
      <c r="G726" s="1827"/>
      <c r="H726" s="1827"/>
      <c r="I726" s="1827"/>
      <c r="J726" s="773">
        <f>J725*F725</f>
        <v>3060376.5503999996</v>
      </c>
    </row>
    <row r="727" spans="1:10" s="516" customFormat="1" hidden="1" outlineLevel="1">
      <c r="A727" s="1928" t="s">
        <v>2865</v>
      </c>
      <c r="B727" s="1831" t="s">
        <v>1716</v>
      </c>
      <c r="C727" s="1842" t="s">
        <v>2871</v>
      </c>
      <c r="D727" s="1843"/>
      <c r="E727" s="1843"/>
      <c r="F727" s="1843"/>
      <c r="G727" s="1843"/>
      <c r="H727" s="1843"/>
      <c r="I727" s="1843"/>
      <c r="J727" s="1835"/>
    </row>
    <row r="728" spans="1:10" s="516" customFormat="1" hidden="1" outlineLevel="1">
      <c r="A728" s="1928"/>
      <c r="B728" s="1831"/>
      <c r="C728" s="1768" t="s">
        <v>2891</v>
      </c>
      <c r="D728" s="1769"/>
      <c r="E728" s="797" t="s">
        <v>285</v>
      </c>
      <c r="F728" s="797"/>
      <c r="G728" s="797"/>
      <c r="H728" s="797"/>
      <c r="I728" s="797"/>
      <c r="J728" s="797">
        <v>162400</v>
      </c>
    </row>
    <row r="729" spans="1:10" s="516" customFormat="1" hidden="1" outlineLevel="1">
      <c r="A729" s="1928"/>
      <c r="B729" s="1831"/>
      <c r="C729" s="797" t="s">
        <v>2864</v>
      </c>
      <c r="D729" s="797" t="s">
        <v>2862</v>
      </c>
      <c r="E729" s="797" t="s">
        <v>55</v>
      </c>
      <c r="F729" s="797">
        <v>1</v>
      </c>
      <c r="G729" s="797">
        <v>0</v>
      </c>
      <c r="H729" s="797">
        <v>13789.789999999999</v>
      </c>
      <c r="I729" s="797">
        <v>0</v>
      </c>
      <c r="J729" s="797">
        <f>(F729*(1+G729/100)) * (H729*(1+I729/100))</f>
        <v>13789.789999999999</v>
      </c>
    </row>
    <row r="730" spans="1:10" s="516" customFormat="1" hidden="1" outlineLevel="1">
      <c r="A730" s="1928"/>
      <c r="B730" s="1831"/>
      <c r="C730" s="797"/>
      <c r="D730" s="797" t="s">
        <v>2863</v>
      </c>
      <c r="E730" s="797" t="s">
        <v>1482</v>
      </c>
      <c r="F730" s="1172">
        <v>1.0516522868540681</v>
      </c>
      <c r="G730" s="797">
        <v>0</v>
      </c>
      <c r="H730" s="797">
        <f>6406+4373</f>
        <v>10779</v>
      </c>
      <c r="I730" s="797">
        <v>0</v>
      </c>
      <c r="J730" s="797">
        <f>(F730*(1+G730/100)) * (H730*(1+I730/100))</f>
        <v>11335.76</v>
      </c>
    </row>
    <row r="731" spans="1:10" s="516" customFormat="1" hidden="1" outlineLevel="1">
      <c r="A731" s="1928"/>
      <c r="B731" s="1831"/>
      <c r="C731" s="862"/>
      <c r="D731" s="862"/>
      <c r="E731" s="861"/>
      <c r="F731" s="1173"/>
      <c r="G731" s="1174">
        <v>5</v>
      </c>
      <c r="H731" s="1175" t="s">
        <v>1514</v>
      </c>
      <c r="I731" s="862"/>
      <c r="J731" s="1175">
        <v>689.49</v>
      </c>
    </row>
    <row r="732" spans="1:10" s="516" customFormat="1" hidden="1" outlineLevel="1">
      <c r="A732" s="1928"/>
      <c r="B732" s="1831"/>
      <c r="C732" s="1854" t="s">
        <v>1488</v>
      </c>
      <c r="D732" s="1854"/>
      <c r="E732" s="797" t="s">
        <v>285</v>
      </c>
      <c r="F732" s="797">
        <f>'12. Acabados y accesorios'!N12</f>
        <v>8.2302699999999991</v>
      </c>
      <c r="G732" s="797"/>
      <c r="H732" s="797"/>
      <c r="I732" s="797">
        <v>0</v>
      </c>
      <c r="J732" s="797">
        <f>SUM(J728:J731)</f>
        <v>188215.04000000001</v>
      </c>
    </row>
    <row r="733" spans="1:10" s="516" customFormat="1" hidden="1" outlineLevel="1">
      <c r="A733" s="1928"/>
      <c r="B733" s="1831"/>
      <c r="C733" s="1827" t="s">
        <v>47</v>
      </c>
      <c r="D733" s="1827"/>
      <c r="E733" s="1827"/>
      <c r="F733" s="1827"/>
      <c r="G733" s="1827"/>
      <c r="H733" s="1827"/>
      <c r="I733" s="1827"/>
      <c r="J733" s="773">
        <f>J732*F732</f>
        <v>1549060.5972608</v>
      </c>
    </row>
    <row r="734" spans="1:10" s="516" customFormat="1" hidden="1" outlineLevel="1">
      <c r="A734" s="1928" t="s">
        <v>2865</v>
      </c>
      <c r="B734" s="1831" t="s">
        <v>1717</v>
      </c>
      <c r="C734" s="1842" t="s">
        <v>2872</v>
      </c>
      <c r="D734" s="1843"/>
      <c r="E734" s="1843"/>
      <c r="F734" s="1843"/>
      <c r="G734" s="1843"/>
      <c r="H734" s="1843"/>
      <c r="I734" s="1843"/>
      <c r="J734" s="1835"/>
    </row>
    <row r="735" spans="1:10" s="516" customFormat="1" hidden="1" outlineLevel="1">
      <c r="A735" s="1928"/>
      <c r="B735" s="1831"/>
      <c r="C735" s="1768" t="s">
        <v>2891</v>
      </c>
      <c r="D735" s="1769"/>
      <c r="E735" s="797" t="s">
        <v>285</v>
      </c>
      <c r="F735" s="797"/>
      <c r="G735" s="797"/>
      <c r="H735" s="797"/>
      <c r="I735" s="797"/>
      <c r="J735" s="797">
        <v>162400</v>
      </c>
    </row>
    <row r="736" spans="1:10" s="516" customFormat="1" hidden="1" outlineLevel="1">
      <c r="A736" s="1928"/>
      <c r="B736" s="1831"/>
      <c r="C736" s="797" t="s">
        <v>2864</v>
      </c>
      <c r="D736" s="797" t="s">
        <v>2862</v>
      </c>
      <c r="E736" s="797" t="s">
        <v>55</v>
      </c>
      <c r="F736" s="797">
        <v>1</v>
      </c>
      <c r="G736" s="797">
        <v>0</v>
      </c>
      <c r="H736" s="797">
        <v>13789.789999999999</v>
      </c>
      <c r="I736" s="797">
        <v>0</v>
      </c>
      <c r="J736" s="797">
        <f>(F736*(1+G736/100)) * (H736*(1+I736/100))</f>
        <v>13789.789999999999</v>
      </c>
    </row>
    <row r="737" spans="1:10" s="516" customFormat="1" hidden="1" outlineLevel="1">
      <c r="A737" s="1928"/>
      <c r="B737" s="1831"/>
      <c r="C737" s="797"/>
      <c r="D737" s="797" t="s">
        <v>2863</v>
      </c>
      <c r="E737" s="797" t="s">
        <v>1482</v>
      </c>
      <c r="F737" s="1172">
        <v>1.0516522868540681</v>
      </c>
      <c r="G737" s="797">
        <v>0</v>
      </c>
      <c r="H737" s="797">
        <f>6406+4373</f>
        <v>10779</v>
      </c>
      <c r="I737" s="797">
        <v>0</v>
      </c>
      <c r="J737" s="797">
        <f>(F737*(1+G737/100)) * (H737*(1+I737/100))</f>
        <v>11335.76</v>
      </c>
    </row>
    <row r="738" spans="1:10" s="516" customFormat="1" hidden="1" outlineLevel="1">
      <c r="A738" s="1928"/>
      <c r="B738" s="1831"/>
      <c r="C738" s="862"/>
      <c r="D738" s="862"/>
      <c r="E738" s="861"/>
      <c r="F738" s="1173"/>
      <c r="G738" s="1174">
        <v>5</v>
      </c>
      <c r="H738" s="1175" t="s">
        <v>1514</v>
      </c>
      <c r="I738" s="862"/>
      <c r="J738" s="1175">
        <v>689.49</v>
      </c>
    </row>
    <row r="739" spans="1:10" s="516" customFormat="1" hidden="1" outlineLevel="1">
      <c r="A739" s="1928"/>
      <c r="B739" s="1831"/>
      <c r="C739" s="1854" t="s">
        <v>1488</v>
      </c>
      <c r="D739" s="1854"/>
      <c r="E739" s="797" t="s">
        <v>285</v>
      </c>
      <c r="F739" s="797">
        <f>'12. Acabados y accesorios'!N13</f>
        <v>45.457540000000002</v>
      </c>
      <c r="G739" s="797"/>
      <c r="H739" s="797"/>
      <c r="I739" s="797">
        <v>0</v>
      </c>
      <c r="J739" s="797">
        <f>SUM(J735:J738)</f>
        <v>188215.04000000001</v>
      </c>
    </row>
    <row r="740" spans="1:10" s="516" customFormat="1" hidden="1" outlineLevel="1">
      <c r="A740" s="1928"/>
      <c r="B740" s="1831"/>
      <c r="C740" s="1827" t="s">
        <v>47</v>
      </c>
      <c r="D740" s="1827"/>
      <c r="E740" s="1827"/>
      <c r="F740" s="1827"/>
      <c r="G740" s="1827"/>
      <c r="H740" s="1827"/>
      <c r="I740" s="1827"/>
      <c r="J740" s="773">
        <f>J739*F739</f>
        <v>8555792.7094016001</v>
      </c>
    </row>
    <row r="741" spans="1:10" s="516" customFormat="1" hidden="1" outlineLevel="1">
      <c r="A741" s="1928" t="s">
        <v>2865</v>
      </c>
      <c r="B741" s="1831" t="s">
        <v>1718</v>
      </c>
      <c r="C741" s="1842" t="s">
        <v>2873</v>
      </c>
      <c r="D741" s="1843"/>
      <c r="E741" s="1843"/>
      <c r="F741" s="1843"/>
      <c r="G741" s="1843"/>
      <c r="H741" s="1843"/>
      <c r="I741" s="1843"/>
      <c r="J741" s="1835"/>
    </row>
    <row r="742" spans="1:10" s="516" customFormat="1" hidden="1" outlineLevel="1">
      <c r="A742" s="1928"/>
      <c r="B742" s="1831"/>
      <c r="C742" s="1768" t="s">
        <v>2891</v>
      </c>
      <c r="D742" s="1769"/>
      <c r="E742" s="797" t="s">
        <v>285</v>
      </c>
      <c r="F742" s="797"/>
      <c r="G742" s="797"/>
      <c r="H742" s="797"/>
      <c r="I742" s="797"/>
      <c r="J742" s="797">
        <v>162400</v>
      </c>
    </row>
    <row r="743" spans="1:10" s="516" customFormat="1" hidden="1" outlineLevel="1">
      <c r="A743" s="1928"/>
      <c r="B743" s="1831"/>
      <c r="C743" s="797" t="s">
        <v>2864</v>
      </c>
      <c r="D743" s="797" t="s">
        <v>2862</v>
      </c>
      <c r="E743" s="797" t="s">
        <v>55</v>
      </c>
      <c r="F743" s="797">
        <v>1</v>
      </c>
      <c r="G743" s="797">
        <v>0</v>
      </c>
      <c r="H743" s="797">
        <v>13789.789999999999</v>
      </c>
      <c r="I743" s="797">
        <v>0</v>
      </c>
      <c r="J743" s="797">
        <f>(F743*(1+G743/100)) * (H743*(1+I743/100))</f>
        <v>13789.789999999999</v>
      </c>
    </row>
    <row r="744" spans="1:10" s="516" customFormat="1" hidden="1" outlineLevel="1">
      <c r="A744" s="1928"/>
      <c r="B744" s="1831"/>
      <c r="C744" s="797"/>
      <c r="D744" s="797" t="s">
        <v>2863</v>
      </c>
      <c r="E744" s="797" t="s">
        <v>1482</v>
      </c>
      <c r="F744" s="1172">
        <v>1.0516522868540681</v>
      </c>
      <c r="G744" s="797">
        <v>0</v>
      </c>
      <c r="H744" s="797">
        <f>6406+4373</f>
        <v>10779</v>
      </c>
      <c r="I744" s="797">
        <v>0</v>
      </c>
      <c r="J744" s="797">
        <f>(F744*(1+G744/100)) * (H744*(1+I744/100))</f>
        <v>11335.76</v>
      </c>
    </row>
    <row r="745" spans="1:10" s="516" customFormat="1" hidden="1" outlineLevel="1">
      <c r="A745" s="1928"/>
      <c r="B745" s="1831"/>
      <c r="C745" s="862"/>
      <c r="D745" s="862"/>
      <c r="E745" s="861"/>
      <c r="F745" s="1173"/>
      <c r="G745" s="1174">
        <v>5</v>
      </c>
      <c r="H745" s="1175" t="s">
        <v>1514</v>
      </c>
      <c r="I745" s="862"/>
      <c r="J745" s="1175">
        <v>689.49</v>
      </c>
    </row>
    <row r="746" spans="1:10" s="516" customFormat="1" hidden="1" outlineLevel="1">
      <c r="A746" s="1928"/>
      <c r="B746" s="1831"/>
      <c r="C746" s="1854" t="s">
        <v>1488</v>
      </c>
      <c r="D746" s="1854"/>
      <c r="E746" s="797" t="s">
        <v>285</v>
      </c>
      <c r="F746" s="797">
        <f>'12. Acabados y accesorios'!N14</f>
        <v>6.5039999999999996</v>
      </c>
      <c r="G746" s="797"/>
      <c r="H746" s="797"/>
      <c r="I746" s="797">
        <v>0</v>
      </c>
      <c r="J746" s="797">
        <f>SUM(J742:J745)</f>
        <v>188215.04000000001</v>
      </c>
    </row>
    <row r="747" spans="1:10" s="516" customFormat="1" hidden="1" outlineLevel="1">
      <c r="A747" s="1928"/>
      <c r="B747" s="1831"/>
      <c r="C747" s="1827" t="s">
        <v>47</v>
      </c>
      <c r="D747" s="1827"/>
      <c r="E747" s="1827"/>
      <c r="F747" s="1827"/>
      <c r="G747" s="1827"/>
      <c r="H747" s="1827"/>
      <c r="I747" s="1827"/>
      <c r="J747" s="773">
        <f>J746*F746</f>
        <v>1224150.6201599999</v>
      </c>
    </row>
    <row r="748" spans="1:10" s="516" customFormat="1" hidden="1" outlineLevel="1">
      <c r="A748" s="1928" t="s">
        <v>2865</v>
      </c>
      <c r="B748" s="1831" t="s">
        <v>1719</v>
      </c>
      <c r="C748" s="1842" t="s">
        <v>2874</v>
      </c>
      <c r="D748" s="1843"/>
      <c r="E748" s="1843"/>
      <c r="F748" s="1843"/>
      <c r="G748" s="1843"/>
      <c r="H748" s="1843"/>
      <c r="I748" s="1843"/>
      <c r="J748" s="1835"/>
    </row>
    <row r="749" spans="1:10" s="516" customFormat="1" hidden="1" outlineLevel="1">
      <c r="A749" s="1928"/>
      <c r="B749" s="1831"/>
      <c r="C749" s="1768" t="s">
        <v>2891</v>
      </c>
      <c r="D749" s="1769"/>
      <c r="E749" s="797" t="s">
        <v>285</v>
      </c>
      <c r="F749" s="797"/>
      <c r="G749" s="797"/>
      <c r="H749" s="797"/>
      <c r="I749" s="797"/>
      <c r="J749" s="797">
        <v>162400</v>
      </c>
    </row>
    <row r="750" spans="1:10" s="516" customFormat="1" hidden="1" outlineLevel="1">
      <c r="A750" s="1928"/>
      <c r="B750" s="1831"/>
      <c r="C750" s="797" t="s">
        <v>2864</v>
      </c>
      <c r="D750" s="797" t="s">
        <v>2862</v>
      </c>
      <c r="E750" s="797" t="s">
        <v>55</v>
      </c>
      <c r="F750" s="797">
        <v>1</v>
      </c>
      <c r="G750" s="797">
        <v>0</v>
      </c>
      <c r="H750" s="797">
        <v>13789.789999999999</v>
      </c>
      <c r="I750" s="797">
        <v>0</v>
      </c>
      <c r="J750" s="797">
        <f>(F750*(1+G750/100)) * (H750*(1+I750/100))</f>
        <v>13789.789999999999</v>
      </c>
    </row>
    <row r="751" spans="1:10" s="516" customFormat="1" hidden="1" outlineLevel="1">
      <c r="A751" s="1928"/>
      <c r="B751" s="1831"/>
      <c r="C751" s="797"/>
      <c r="D751" s="797" t="s">
        <v>2863</v>
      </c>
      <c r="E751" s="797" t="s">
        <v>1482</v>
      </c>
      <c r="F751" s="1172">
        <v>1.0516522868540701</v>
      </c>
      <c r="G751" s="797">
        <v>0</v>
      </c>
      <c r="H751" s="797">
        <f>6406+4373</f>
        <v>10779</v>
      </c>
      <c r="I751" s="797">
        <v>0</v>
      </c>
      <c r="J751" s="797">
        <f>(F751*(1+G751/100)) * (H751*(1+I751/100))</f>
        <v>11335.760000000022</v>
      </c>
    </row>
    <row r="752" spans="1:10" s="516" customFormat="1" hidden="1" outlineLevel="1">
      <c r="A752" s="1928"/>
      <c r="B752" s="1831"/>
      <c r="C752" s="862"/>
      <c r="D752" s="862"/>
      <c r="E752" s="861"/>
      <c r="F752" s="1173"/>
      <c r="G752" s="1174">
        <v>5</v>
      </c>
      <c r="H752" s="1175" t="s">
        <v>1514</v>
      </c>
      <c r="I752" s="862"/>
      <c r="J752" s="1175">
        <v>689.49</v>
      </c>
    </row>
    <row r="753" spans="1:10" s="516" customFormat="1" hidden="1" outlineLevel="1">
      <c r="A753" s="1928"/>
      <c r="B753" s="1831"/>
      <c r="C753" s="1854" t="s">
        <v>1488</v>
      </c>
      <c r="D753" s="1854"/>
      <c r="E753" s="797" t="s">
        <v>285</v>
      </c>
      <c r="F753" s="797">
        <f>'12. Acabados y accesorios'!N15</f>
        <v>5.6909999999999998</v>
      </c>
      <c r="G753" s="797"/>
      <c r="H753" s="797"/>
      <c r="I753" s="797">
        <v>0</v>
      </c>
      <c r="J753" s="797">
        <f>SUM(J749:J752)</f>
        <v>188215.04000000001</v>
      </c>
    </row>
    <row r="754" spans="1:10" s="516" customFormat="1" hidden="1" outlineLevel="1">
      <c r="A754" s="1928"/>
      <c r="B754" s="1831"/>
      <c r="C754" s="1827" t="s">
        <v>47</v>
      </c>
      <c r="D754" s="1827"/>
      <c r="E754" s="1827"/>
      <c r="F754" s="1827"/>
      <c r="G754" s="1827"/>
      <c r="H754" s="1827"/>
      <c r="I754" s="1827"/>
      <c r="J754" s="773">
        <f>J753*F753</f>
        <v>1071131.7926400001</v>
      </c>
    </row>
    <row r="755" spans="1:10" s="516" customFormat="1" hidden="1" outlineLevel="1">
      <c r="A755" s="1928" t="s">
        <v>2865</v>
      </c>
      <c r="B755" s="1831" t="s">
        <v>1720</v>
      </c>
      <c r="C755" s="1842" t="s">
        <v>2875</v>
      </c>
      <c r="D755" s="1843"/>
      <c r="E755" s="1843"/>
      <c r="F755" s="1843"/>
      <c r="G755" s="1843"/>
      <c r="H755" s="1843"/>
      <c r="I755" s="1843"/>
      <c r="J755" s="1835"/>
    </row>
    <row r="756" spans="1:10" s="516" customFormat="1" hidden="1" outlineLevel="1">
      <c r="A756" s="1928"/>
      <c r="B756" s="1831"/>
      <c r="C756" s="1768" t="s">
        <v>2891</v>
      </c>
      <c r="D756" s="1769"/>
      <c r="E756" s="797" t="s">
        <v>285</v>
      </c>
      <c r="F756" s="797"/>
      <c r="G756" s="797"/>
      <c r="H756" s="797"/>
      <c r="I756" s="797"/>
      <c r="J756" s="797">
        <v>73900</v>
      </c>
    </row>
    <row r="757" spans="1:10" s="516" customFormat="1" hidden="1" outlineLevel="1">
      <c r="A757" s="1928"/>
      <c r="B757" s="1831"/>
      <c r="C757" s="797" t="s">
        <v>2864</v>
      </c>
      <c r="D757" s="797" t="s">
        <v>2862</v>
      </c>
      <c r="E757" s="797" t="s">
        <v>55</v>
      </c>
      <c r="F757" s="797">
        <v>1</v>
      </c>
      <c r="G757" s="797">
        <v>0</v>
      </c>
      <c r="H757" s="797">
        <v>13789.789999999999</v>
      </c>
      <c r="I757" s="797">
        <v>0</v>
      </c>
      <c r="J757" s="797">
        <f>(F757*(1+G757/100)) * (H757*(1+I757/100))</f>
        <v>13789.789999999999</v>
      </c>
    </row>
    <row r="758" spans="1:10" s="516" customFormat="1" hidden="1" outlineLevel="1">
      <c r="A758" s="1928"/>
      <c r="B758" s="1831"/>
      <c r="C758" s="797"/>
      <c r="D758" s="797" t="s">
        <v>2863</v>
      </c>
      <c r="E758" s="797" t="s">
        <v>1482</v>
      </c>
      <c r="F758" s="1172">
        <v>1.0516522868540681</v>
      </c>
      <c r="G758" s="797">
        <v>0</v>
      </c>
      <c r="H758" s="797">
        <f>6406+4373</f>
        <v>10779</v>
      </c>
      <c r="I758" s="797">
        <v>0</v>
      </c>
      <c r="J758" s="797">
        <f>(F758*(1+G758/100)) * (H758*(1+I758/100))</f>
        <v>11335.76</v>
      </c>
    </row>
    <row r="759" spans="1:10" s="516" customFormat="1" hidden="1" outlineLevel="1">
      <c r="A759" s="1928"/>
      <c r="B759" s="1831"/>
      <c r="C759" s="862"/>
      <c r="D759" s="862"/>
      <c r="E759" s="861"/>
      <c r="F759" s="1173"/>
      <c r="G759" s="1174">
        <v>5</v>
      </c>
      <c r="H759" s="1175" t="s">
        <v>1514</v>
      </c>
      <c r="I759" s="862"/>
      <c r="J759" s="1175">
        <v>689.49</v>
      </c>
    </row>
    <row r="760" spans="1:10" s="516" customFormat="1" hidden="1" outlineLevel="1">
      <c r="A760" s="1928"/>
      <c r="B760" s="1831"/>
      <c r="C760" s="1854" t="s">
        <v>1488</v>
      </c>
      <c r="D760" s="1854"/>
      <c r="E760" s="797" t="s">
        <v>285</v>
      </c>
      <c r="F760" s="797">
        <f>'12. Acabados y accesorios'!N16</f>
        <v>22.736900000000002</v>
      </c>
      <c r="G760" s="797"/>
      <c r="H760" s="797"/>
      <c r="I760" s="797">
        <v>0</v>
      </c>
      <c r="J760" s="797">
        <f>SUM(J756:J759)</f>
        <v>99715.04</v>
      </c>
    </row>
    <row r="761" spans="1:10" s="516" customFormat="1" hidden="1" outlineLevel="1">
      <c r="A761" s="1928"/>
      <c r="B761" s="1831"/>
      <c r="C761" s="1827" t="s">
        <v>47</v>
      </c>
      <c r="D761" s="1827"/>
      <c r="E761" s="1827"/>
      <c r="F761" s="1827"/>
      <c r="G761" s="1827"/>
      <c r="H761" s="1827"/>
      <c r="I761" s="1827"/>
      <c r="J761" s="773">
        <f>J760*F760</f>
        <v>2267210.892976</v>
      </c>
    </row>
    <row r="762" spans="1:10" s="516" customFormat="1" hidden="1" outlineLevel="1">
      <c r="A762" s="1928" t="s">
        <v>2865</v>
      </c>
      <c r="B762" s="1831" t="s">
        <v>1721</v>
      </c>
      <c r="C762" s="1842" t="s">
        <v>2876</v>
      </c>
      <c r="D762" s="1843"/>
      <c r="E762" s="1843"/>
      <c r="F762" s="1843"/>
      <c r="G762" s="1843"/>
      <c r="H762" s="1843"/>
      <c r="I762" s="1843"/>
      <c r="J762" s="1835"/>
    </row>
    <row r="763" spans="1:10" s="516" customFormat="1" hidden="1" outlineLevel="1">
      <c r="A763" s="1928"/>
      <c r="B763" s="1831"/>
      <c r="C763" s="1768" t="s">
        <v>2891</v>
      </c>
      <c r="D763" s="1769"/>
      <c r="E763" s="797" t="s">
        <v>285</v>
      </c>
      <c r="F763" s="797"/>
      <c r="G763" s="797"/>
      <c r="H763" s="797"/>
      <c r="I763" s="797"/>
      <c r="J763" s="797">
        <v>162400</v>
      </c>
    </row>
    <row r="764" spans="1:10" s="516" customFormat="1" hidden="1" outlineLevel="1">
      <c r="A764" s="1928"/>
      <c r="B764" s="1831"/>
      <c r="C764" s="797" t="s">
        <v>2864</v>
      </c>
      <c r="D764" s="797" t="s">
        <v>2862</v>
      </c>
      <c r="E764" s="797" t="s">
        <v>55</v>
      </c>
      <c r="F764" s="797">
        <v>1</v>
      </c>
      <c r="G764" s="797">
        <v>0</v>
      </c>
      <c r="H764" s="797">
        <v>13789.789999999999</v>
      </c>
      <c r="I764" s="797">
        <v>0</v>
      </c>
      <c r="J764" s="797">
        <f>(F764*(1+G764/100)) * (H764*(1+I764/100))</f>
        <v>13789.789999999999</v>
      </c>
    </row>
    <row r="765" spans="1:10" s="516" customFormat="1" hidden="1" outlineLevel="1">
      <c r="A765" s="1928"/>
      <c r="B765" s="1831"/>
      <c r="C765" s="797"/>
      <c r="D765" s="797" t="s">
        <v>2863</v>
      </c>
      <c r="E765" s="797" t="s">
        <v>1482</v>
      </c>
      <c r="F765" s="1172">
        <v>1.0516522868540681</v>
      </c>
      <c r="G765" s="797">
        <v>0</v>
      </c>
      <c r="H765" s="797">
        <f>6406+4373</f>
        <v>10779</v>
      </c>
      <c r="I765" s="797">
        <v>0</v>
      </c>
      <c r="J765" s="797">
        <f>(F765*(1+G765/100)) * (H765*(1+I765/100))</f>
        <v>11335.76</v>
      </c>
    </row>
    <row r="766" spans="1:10" s="516" customFormat="1" hidden="1" outlineLevel="1">
      <c r="A766" s="1928"/>
      <c r="B766" s="1831"/>
      <c r="C766" s="862"/>
      <c r="D766" s="862"/>
      <c r="E766" s="861"/>
      <c r="F766" s="1173"/>
      <c r="G766" s="1174">
        <v>5</v>
      </c>
      <c r="H766" s="1175" t="s">
        <v>1514</v>
      </c>
      <c r="I766" s="862"/>
      <c r="J766" s="1175">
        <v>689.49</v>
      </c>
    </row>
    <row r="767" spans="1:10" s="516" customFormat="1" hidden="1" outlineLevel="1">
      <c r="A767" s="1928"/>
      <c r="B767" s="1831"/>
      <c r="C767" s="1854" t="s">
        <v>1488</v>
      </c>
      <c r="D767" s="1854"/>
      <c r="E767" s="797" t="s">
        <v>285</v>
      </c>
      <c r="F767" s="797">
        <f>'12. Acabados y accesorios'!N17</f>
        <v>8.129999999999999</v>
      </c>
      <c r="G767" s="797"/>
      <c r="H767" s="797"/>
      <c r="I767" s="797">
        <v>0</v>
      </c>
      <c r="J767" s="797">
        <f>SUM(J763:J766)</f>
        <v>188215.04000000001</v>
      </c>
    </row>
    <row r="768" spans="1:10" s="516" customFormat="1" hidden="1" outlineLevel="1">
      <c r="A768" s="1928"/>
      <c r="B768" s="1831"/>
      <c r="C768" s="1827" t="s">
        <v>47</v>
      </c>
      <c r="D768" s="1827"/>
      <c r="E768" s="1827"/>
      <c r="F768" s="1827"/>
      <c r="G768" s="1827"/>
      <c r="H768" s="1827"/>
      <c r="I768" s="1827"/>
      <c r="J768" s="773">
        <f>J767*F767</f>
        <v>1530188.2751999998</v>
      </c>
    </row>
    <row r="769" spans="1:10" s="516" customFormat="1" hidden="1" outlineLevel="1">
      <c r="A769" s="1928" t="s">
        <v>2865</v>
      </c>
      <c r="B769" s="1831" t="s">
        <v>1722</v>
      </c>
      <c r="C769" s="1842" t="s">
        <v>2877</v>
      </c>
      <c r="D769" s="1843"/>
      <c r="E769" s="1843"/>
      <c r="F769" s="1843"/>
      <c r="G769" s="1843"/>
      <c r="H769" s="1843"/>
      <c r="I769" s="1843"/>
      <c r="J769" s="1835"/>
    </row>
    <row r="770" spans="1:10" s="516" customFormat="1" hidden="1" outlineLevel="1">
      <c r="A770" s="1928"/>
      <c r="B770" s="1831"/>
      <c r="C770" s="1768" t="s">
        <v>2891</v>
      </c>
      <c r="D770" s="1769"/>
      <c r="E770" s="797" t="s">
        <v>285</v>
      </c>
      <c r="F770" s="797"/>
      <c r="G770" s="797"/>
      <c r="H770" s="797"/>
      <c r="I770" s="797"/>
      <c r="J770" s="797">
        <v>162400</v>
      </c>
    </row>
    <row r="771" spans="1:10" s="516" customFormat="1" hidden="1" outlineLevel="1">
      <c r="A771" s="1928"/>
      <c r="B771" s="1831"/>
      <c r="C771" s="797" t="s">
        <v>2864</v>
      </c>
      <c r="D771" s="797" t="s">
        <v>2862</v>
      </c>
      <c r="E771" s="797" t="s">
        <v>55</v>
      </c>
      <c r="F771" s="797">
        <v>1</v>
      </c>
      <c r="G771" s="797">
        <v>0</v>
      </c>
      <c r="H771" s="797">
        <v>13789.789999999999</v>
      </c>
      <c r="I771" s="797">
        <v>0</v>
      </c>
      <c r="J771" s="797">
        <f>(F771*(1+G771/100)) * (H771*(1+I771/100))</f>
        <v>13789.789999999999</v>
      </c>
    </row>
    <row r="772" spans="1:10" s="516" customFormat="1" hidden="1" outlineLevel="1">
      <c r="A772" s="1928"/>
      <c r="B772" s="1831"/>
      <c r="C772" s="797"/>
      <c r="D772" s="797" t="s">
        <v>2863</v>
      </c>
      <c r="E772" s="797" t="s">
        <v>1482</v>
      </c>
      <c r="F772" s="1172">
        <v>1.0516522868540681</v>
      </c>
      <c r="G772" s="797">
        <v>0</v>
      </c>
      <c r="H772" s="797">
        <f>6406+4373</f>
        <v>10779</v>
      </c>
      <c r="I772" s="797">
        <v>0</v>
      </c>
      <c r="J772" s="797">
        <f>(F772*(1+G772/100)) * (H772*(1+I772/100))</f>
        <v>11335.76</v>
      </c>
    </row>
    <row r="773" spans="1:10" s="516" customFormat="1" hidden="1" outlineLevel="1">
      <c r="A773" s="1928"/>
      <c r="B773" s="1831"/>
      <c r="C773" s="862"/>
      <c r="D773" s="862"/>
      <c r="E773" s="861"/>
      <c r="F773" s="1173"/>
      <c r="G773" s="1174">
        <v>5</v>
      </c>
      <c r="H773" s="1175" t="s">
        <v>1514</v>
      </c>
      <c r="I773" s="862"/>
      <c r="J773" s="1175">
        <v>689.49</v>
      </c>
    </row>
    <row r="774" spans="1:10" s="516" customFormat="1" hidden="1" outlineLevel="1">
      <c r="A774" s="1928"/>
      <c r="B774" s="1831"/>
      <c r="C774" s="1854" t="s">
        <v>1488</v>
      </c>
      <c r="D774" s="1854"/>
      <c r="E774" s="797" t="s">
        <v>285</v>
      </c>
      <c r="F774" s="797">
        <f>'12. Acabados y accesorios'!N18</f>
        <v>9.7560000000000002</v>
      </c>
      <c r="G774" s="797"/>
      <c r="H774" s="797"/>
      <c r="I774" s="797">
        <v>0</v>
      </c>
      <c r="J774" s="797">
        <f>SUM(J770:J773)</f>
        <v>188215.04000000001</v>
      </c>
    </row>
    <row r="775" spans="1:10" s="516" customFormat="1" hidden="1" outlineLevel="1">
      <c r="A775" s="1928"/>
      <c r="B775" s="1831"/>
      <c r="C775" s="1827" t="s">
        <v>47</v>
      </c>
      <c r="D775" s="1827"/>
      <c r="E775" s="1827"/>
      <c r="F775" s="1827"/>
      <c r="G775" s="1827"/>
      <c r="H775" s="1827"/>
      <c r="I775" s="1827"/>
      <c r="J775" s="773">
        <f>J774*F774</f>
        <v>1836225.9302400001</v>
      </c>
    </row>
    <row r="776" spans="1:10" s="516" customFormat="1" hidden="1" outlineLevel="1">
      <c r="A776" s="1928" t="s">
        <v>2865</v>
      </c>
      <c r="B776" s="1831" t="s">
        <v>1723</v>
      </c>
      <c r="C776" s="1842" t="s">
        <v>2878</v>
      </c>
      <c r="D776" s="1843"/>
      <c r="E776" s="1843"/>
      <c r="F776" s="1843"/>
      <c r="G776" s="1843"/>
      <c r="H776" s="1843"/>
      <c r="I776" s="1843"/>
      <c r="J776" s="1835"/>
    </row>
    <row r="777" spans="1:10" s="516" customFormat="1" hidden="1" outlineLevel="1">
      <c r="A777" s="1928"/>
      <c r="B777" s="1831"/>
      <c r="C777" s="1768" t="s">
        <v>2891</v>
      </c>
      <c r="D777" s="1769"/>
      <c r="E777" s="797" t="s">
        <v>285</v>
      </c>
      <c r="F777" s="797"/>
      <c r="G777" s="797"/>
      <c r="H777" s="797"/>
      <c r="I777" s="797"/>
      <c r="J777" s="797">
        <v>162400</v>
      </c>
    </row>
    <row r="778" spans="1:10" s="516" customFormat="1" hidden="1" outlineLevel="1">
      <c r="A778" s="1928"/>
      <c r="B778" s="1831"/>
      <c r="C778" s="797" t="s">
        <v>2864</v>
      </c>
      <c r="D778" s="797" t="s">
        <v>2862</v>
      </c>
      <c r="E778" s="797" t="s">
        <v>55</v>
      </c>
      <c r="F778" s="797">
        <v>1</v>
      </c>
      <c r="G778" s="797">
        <v>0</v>
      </c>
      <c r="H778" s="797">
        <v>13789.789999999999</v>
      </c>
      <c r="I778" s="797">
        <v>0</v>
      </c>
      <c r="J778" s="797">
        <f>(F778*(1+G778/100)) * (H778*(1+I778/100))</f>
        <v>13789.789999999999</v>
      </c>
    </row>
    <row r="779" spans="1:10" s="516" customFormat="1" hidden="1" outlineLevel="1">
      <c r="A779" s="1928"/>
      <c r="B779" s="1831"/>
      <c r="C779" s="797"/>
      <c r="D779" s="797" t="s">
        <v>2863</v>
      </c>
      <c r="E779" s="797" t="s">
        <v>1482</v>
      </c>
      <c r="F779" s="1172">
        <v>1.0516522868540681</v>
      </c>
      <c r="G779" s="797">
        <v>0</v>
      </c>
      <c r="H779" s="797">
        <f>6406+4373</f>
        <v>10779</v>
      </c>
      <c r="I779" s="797">
        <v>0</v>
      </c>
      <c r="J779" s="797">
        <f>(F779*(1+G779/100)) * (H779*(1+I779/100))</f>
        <v>11335.76</v>
      </c>
    </row>
    <row r="780" spans="1:10" s="516" customFormat="1" hidden="1" outlineLevel="1">
      <c r="A780" s="1928"/>
      <c r="B780" s="1831"/>
      <c r="C780" s="862"/>
      <c r="D780" s="862"/>
      <c r="E780" s="861"/>
      <c r="F780" s="1173"/>
      <c r="G780" s="1174">
        <v>5</v>
      </c>
      <c r="H780" s="1175" t="s">
        <v>1514</v>
      </c>
      <c r="I780" s="862"/>
      <c r="J780" s="1175">
        <v>689.49</v>
      </c>
    </row>
    <row r="781" spans="1:10" s="516" customFormat="1" hidden="1" outlineLevel="1">
      <c r="A781" s="1928"/>
      <c r="B781" s="1831"/>
      <c r="C781" s="1854" t="s">
        <v>1488</v>
      </c>
      <c r="D781" s="1854"/>
      <c r="E781" s="797" t="s">
        <v>285</v>
      </c>
      <c r="F781" s="797">
        <f>'12. Acabados y accesorios'!N19</f>
        <v>5.4741999999999997</v>
      </c>
      <c r="G781" s="797"/>
      <c r="H781" s="797"/>
      <c r="I781" s="797">
        <v>0</v>
      </c>
      <c r="J781" s="797">
        <f>SUM(J777:J780)</f>
        <v>188215.04000000001</v>
      </c>
    </row>
    <row r="782" spans="1:10" s="516" customFormat="1" hidden="1" outlineLevel="1">
      <c r="A782" s="1928"/>
      <c r="B782" s="1831"/>
      <c r="C782" s="1827" t="s">
        <v>47</v>
      </c>
      <c r="D782" s="1827"/>
      <c r="E782" s="1827"/>
      <c r="F782" s="1827"/>
      <c r="G782" s="1827"/>
      <c r="H782" s="1827"/>
      <c r="I782" s="1827"/>
      <c r="J782" s="773">
        <f>J781*F781</f>
        <v>1030326.771968</v>
      </c>
    </row>
    <row r="783" spans="1:10" s="516" customFormat="1" hidden="1" outlineLevel="1">
      <c r="A783" s="1928" t="s">
        <v>2865</v>
      </c>
      <c r="B783" s="1831" t="s">
        <v>1724</v>
      </c>
      <c r="C783" s="1842" t="s">
        <v>2879</v>
      </c>
      <c r="D783" s="1843"/>
      <c r="E783" s="1843"/>
      <c r="F783" s="1843"/>
      <c r="G783" s="1843"/>
      <c r="H783" s="1843"/>
      <c r="I783" s="1843"/>
      <c r="J783" s="1835"/>
    </row>
    <row r="784" spans="1:10" s="516" customFormat="1" hidden="1" outlineLevel="1">
      <c r="A784" s="1928"/>
      <c r="B784" s="1831"/>
      <c r="C784" s="1768" t="s">
        <v>2891</v>
      </c>
      <c r="D784" s="1769"/>
      <c r="E784" s="797" t="s">
        <v>285</v>
      </c>
      <c r="F784" s="797"/>
      <c r="G784" s="797"/>
      <c r="H784" s="797"/>
      <c r="I784" s="797"/>
      <c r="J784" s="797">
        <v>73900</v>
      </c>
    </row>
    <row r="785" spans="1:10" s="516" customFormat="1" hidden="1" outlineLevel="1">
      <c r="A785" s="1928"/>
      <c r="B785" s="1831"/>
      <c r="C785" s="797" t="s">
        <v>2864</v>
      </c>
      <c r="D785" s="797" t="s">
        <v>2862</v>
      </c>
      <c r="E785" s="797" t="s">
        <v>55</v>
      </c>
      <c r="F785" s="797">
        <v>1</v>
      </c>
      <c r="G785" s="797">
        <v>0</v>
      </c>
      <c r="H785" s="797">
        <v>13789.789999999999</v>
      </c>
      <c r="I785" s="797">
        <v>0</v>
      </c>
      <c r="J785" s="797">
        <f>(F785*(1+G785/100)) * (H785*(1+I785/100))</f>
        <v>13789.789999999999</v>
      </c>
    </row>
    <row r="786" spans="1:10" s="516" customFormat="1" hidden="1" outlineLevel="1">
      <c r="A786" s="1928"/>
      <c r="B786" s="1831"/>
      <c r="C786" s="797"/>
      <c r="D786" s="797" t="s">
        <v>2863</v>
      </c>
      <c r="E786" s="797" t="s">
        <v>1482</v>
      </c>
      <c r="F786" s="1172">
        <v>1.0516522868540681</v>
      </c>
      <c r="G786" s="797">
        <v>0</v>
      </c>
      <c r="H786" s="797">
        <f>6406+4373</f>
        <v>10779</v>
      </c>
      <c r="I786" s="797">
        <v>0</v>
      </c>
      <c r="J786" s="797">
        <f>(F786*(1+G786/100)) * (H786*(1+I786/100))</f>
        <v>11335.76</v>
      </c>
    </row>
    <row r="787" spans="1:10" s="516" customFormat="1" hidden="1" outlineLevel="1">
      <c r="A787" s="1928"/>
      <c r="B787" s="1831"/>
      <c r="C787" s="862"/>
      <c r="D787" s="862"/>
      <c r="E787" s="861"/>
      <c r="F787" s="1173"/>
      <c r="G787" s="1174">
        <v>5</v>
      </c>
      <c r="H787" s="1175" t="s">
        <v>1514</v>
      </c>
      <c r="I787" s="862"/>
      <c r="J787" s="1175">
        <v>689.49</v>
      </c>
    </row>
    <row r="788" spans="1:10" s="516" customFormat="1" hidden="1" outlineLevel="1">
      <c r="A788" s="1928"/>
      <c r="B788" s="1831"/>
      <c r="C788" s="1854" t="s">
        <v>1488</v>
      </c>
      <c r="D788" s="1854"/>
      <c r="E788" s="797" t="s">
        <v>285</v>
      </c>
      <c r="F788" s="797">
        <f>'12. Acabados y accesorios'!N20</f>
        <v>5.5284000000000004</v>
      </c>
      <c r="G788" s="797"/>
      <c r="H788" s="797"/>
      <c r="I788" s="797">
        <v>0</v>
      </c>
      <c r="J788" s="797">
        <f>SUM(J784:J787)</f>
        <v>99715.04</v>
      </c>
    </row>
    <row r="789" spans="1:10" s="516" customFormat="1" hidden="1" outlineLevel="1">
      <c r="A789" s="1928"/>
      <c r="B789" s="1831"/>
      <c r="C789" s="1827" t="s">
        <v>47</v>
      </c>
      <c r="D789" s="1827"/>
      <c r="E789" s="1827"/>
      <c r="F789" s="1827"/>
      <c r="G789" s="1827"/>
      <c r="H789" s="1827"/>
      <c r="I789" s="1827"/>
      <c r="J789" s="773">
        <f>J788*F788</f>
        <v>551264.62713599997</v>
      </c>
    </row>
    <row r="790" spans="1:10" s="516" customFormat="1" hidden="1" outlineLevel="1">
      <c r="A790" s="1928" t="s">
        <v>2865</v>
      </c>
      <c r="B790" s="1831" t="s">
        <v>1725</v>
      </c>
      <c r="C790" s="1842" t="s">
        <v>2880</v>
      </c>
      <c r="D790" s="1843"/>
      <c r="E790" s="1843"/>
      <c r="F790" s="1843"/>
      <c r="G790" s="1843"/>
      <c r="H790" s="1843"/>
      <c r="I790" s="1843"/>
      <c r="J790" s="1835"/>
    </row>
    <row r="791" spans="1:10" s="516" customFormat="1" hidden="1" outlineLevel="1">
      <c r="A791" s="1928"/>
      <c r="B791" s="1831"/>
      <c r="C791" s="1768" t="s">
        <v>2891</v>
      </c>
      <c r="D791" s="1769"/>
      <c r="E791" s="797" t="s">
        <v>285</v>
      </c>
      <c r="F791" s="797"/>
      <c r="G791" s="797"/>
      <c r="H791" s="797"/>
      <c r="I791" s="797"/>
      <c r="J791" s="797">
        <v>73900</v>
      </c>
    </row>
    <row r="792" spans="1:10" s="516" customFormat="1" hidden="1" outlineLevel="1">
      <c r="A792" s="1928"/>
      <c r="B792" s="1831"/>
      <c r="C792" s="797" t="s">
        <v>2864</v>
      </c>
      <c r="D792" s="797" t="s">
        <v>2862</v>
      </c>
      <c r="E792" s="797" t="s">
        <v>55</v>
      </c>
      <c r="F792" s="797">
        <v>1</v>
      </c>
      <c r="G792" s="797">
        <v>0</v>
      </c>
      <c r="H792" s="797">
        <v>13789.789999999999</v>
      </c>
      <c r="I792" s="797">
        <v>0</v>
      </c>
      <c r="J792" s="797">
        <f>(F792*(1+G792/100)) * (H792*(1+I792/100))</f>
        <v>13789.789999999999</v>
      </c>
    </row>
    <row r="793" spans="1:10" s="516" customFormat="1" hidden="1" outlineLevel="1">
      <c r="A793" s="1928"/>
      <c r="B793" s="1831"/>
      <c r="C793" s="797"/>
      <c r="D793" s="797" t="s">
        <v>2863</v>
      </c>
      <c r="E793" s="797" t="s">
        <v>1482</v>
      </c>
      <c r="F793" s="1172">
        <v>1.0516522868540681</v>
      </c>
      <c r="G793" s="797">
        <v>0</v>
      </c>
      <c r="H793" s="797">
        <f>6406+4373</f>
        <v>10779</v>
      </c>
      <c r="I793" s="797">
        <v>0</v>
      </c>
      <c r="J793" s="797">
        <f>(F793*(1+G793/100)) * (H793*(1+I793/100))</f>
        <v>11335.76</v>
      </c>
    </row>
    <row r="794" spans="1:10" s="516" customFormat="1" hidden="1" outlineLevel="1">
      <c r="A794" s="1928"/>
      <c r="B794" s="1831"/>
      <c r="C794" s="862"/>
      <c r="D794" s="862"/>
      <c r="E794" s="861"/>
      <c r="F794" s="1173"/>
      <c r="G794" s="1174">
        <v>5</v>
      </c>
      <c r="H794" s="1175" t="s">
        <v>1514</v>
      </c>
      <c r="I794" s="862"/>
      <c r="J794" s="1175">
        <v>689.49</v>
      </c>
    </row>
    <row r="795" spans="1:10" s="516" customFormat="1" hidden="1" outlineLevel="1">
      <c r="A795" s="1928"/>
      <c r="B795" s="1831"/>
      <c r="C795" s="1854" t="s">
        <v>1488</v>
      </c>
      <c r="D795" s="1854"/>
      <c r="E795" s="797" t="s">
        <v>285</v>
      </c>
      <c r="F795" s="797">
        <f>'12. Acabados y accesorios'!N21</f>
        <v>19.349399999999999</v>
      </c>
      <c r="G795" s="797"/>
      <c r="H795" s="797"/>
      <c r="I795" s="797">
        <v>0</v>
      </c>
      <c r="J795" s="797">
        <f>SUM(J791:J794)</f>
        <v>99715.04</v>
      </c>
    </row>
    <row r="796" spans="1:10" s="516" customFormat="1" hidden="1" outlineLevel="1">
      <c r="A796" s="1928"/>
      <c r="B796" s="1831"/>
      <c r="C796" s="1827" t="s">
        <v>47</v>
      </c>
      <c r="D796" s="1827"/>
      <c r="E796" s="1827"/>
      <c r="F796" s="1827"/>
      <c r="G796" s="1827"/>
      <c r="H796" s="1827"/>
      <c r="I796" s="1827"/>
      <c r="J796" s="773">
        <f>J795*F795</f>
        <v>1929426.1949759999</v>
      </c>
    </row>
    <row r="797" spans="1:10" s="516" customFormat="1" hidden="1" outlineLevel="1">
      <c r="A797" s="1928" t="s">
        <v>2865</v>
      </c>
      <c r="B797" s="1831" t="s">
        <v>1726</v>
      </c>
      <c r="C797" s="1842" t="s">
        <v>2881</v>
      </c>
      <c r="D797" s="1843"/>
      <c r="E797" s="1843"/>
      <c r="F797" s="1843"/>
      <c r="G797" s="1843"/>
      <c r="H797" s="1843"/>
      <c r="I797" s="1843"/>
      <c r="J797" s="1835"/>
    </row>
    <row r="798" spans="1:10" s="516" customFormat="1" hidden="1" outlineLevel="1">
      <c r="A798" s="1928"/>
      <c r="B798" s="1831"/>
      <c r="C798" s="1768" t="s">
        <v>2891</v>
      </c>
      <c r="D798" s="1769"/>
      <c r="E798" s="797" t="s">
        <v>285</v>
      </c>
      <c r="F798" s="797"/>
      <c r="G798" s="797"/>
      <c r="H798" s="797"/>
      <c r="I798" s="797"/>
      <c r="J798" s="797">
        <v>162400</v>
      </c>
    </row>
    <row r="799" spans="1:10" s="516" customFormat="1" hidden="1" outlineLevel="1">
      <c r="A799" s="1928"/>
      <c r="B799" s="1831"/>
      <c r="C799" s="797" t="s">
        <v>2864</v>
      </c>
      <c r="D799" s="797" t="s">
        <v>2862</v>
      </c>
      <c r="E799" s="797" t="s">
        <v>55</v>
      </c>
      <c r="F799" s="797">
        <v>1</v>
      </c>
      <c r="G799" s="797">
        <v>0</v>
      </c>
      <c r="H799" s="797">
        <v>13789.789999999999</v>
      </c>
      <c r="I799" s="797">
        <v>0</v>
      </c>
      <c r="J799" s="797">
        <f>(F799*(1+G799/100)) * (H799*(1+I799/100))</f>
        <v>13789.789999999999</v>
      </c>
    </row>
    <row r="800" spans="1:10" s="516" customFormat="1" hidden="1" outlineLevel="1">
      <c r="A800" s="1928"/>
      <c r="B800" s="1831"/>
      <c r="C800" s="797"/>
      <c r="D800" s="797" t="s">
        <v>2863</v>
      </c>
      <c r="E800" s="797" t="s">
        <v>1482</v>
      </c>
      <c r="F800" s="1172">
        <v>1.0516522868540681</v>
      </c>
      <c r="G800" s="797">
        <v>0</v>
      </c>
      <c r="H800" s="797">
        <f>6406+4373</f>
        <v>10779</v>
      </c>
      <c r="I800" s="797">
        <v>0</v>
      </c>
      <c r="J800" s="797">
        <f>(F800*(1+G800/100)) * (H800*(1+I800/100))</f>
        <v>11335.76</v>
      </c>
    </row>
    <row r="801" spans="1:10" s="516" customFormat="1" hidden="1" outlineLevel="1">
      <c r="A801" s="1928"/>
      <c r="B801" s="1831"/>
      <c r="C801" s="862"/>
      <c r="D801" s="862"/>
      <c r="E801" s="861"/>
      <c r="F801" s="1173"/>
      <c r="G801" s="1174">
        <v>5</v>
      </c>
      <c r="H801" s="1175" t="s">
        <v>1514</v>
      </c>
      <c r="I801" s="862"/>
      <c r="J801" s="1175">
        <v>689.49</v>
      </c>
    </row>
    <row r="802" spans="1:10" s="516" customFormat="1" hidden="1" outlineLevel="1">
      <c r="A802" s="1928"/>
      <c r="B802" s="1831"/>
      <c r="C802" s="1854" t="s">
        <v>1488</v>
      </c>
      <c r="D802" s="1854"/>
      <c r="E802" s="797" t="s">
        <v>285</v>
      </c>
      <c r="F802" s="797">
        <f>'12. Acabados y accesorios'!N22</f>
        <v>16.639399999999998</v>
      </c>
      <c r="G802" s="797"/>
      <c r="H802" s="797"/>
      <c r="I802" s="797">
        <v>0</v>
      </c>
      <c r="J802" s="797">
        <f>SUM(J798:J801)</f>
        <v>188215.04000000001</v>
      </c>
    </row>
    <row r="803" spans="1:10" s="516" customFormat="1" hidden="1" outlineLevel="1">
      <c r="A803" s="1928"/>
      <c r="B803" s="1831"/>
      <c r="C803" s="1827" t="s">
        <v>47</v>
      </c>
      <c r="D803" s="1827"/>
      <c r="E803" s="1827"/>
      <c r="F803" s="1827"/>
      <c r="G803" s="1827"/>
      <c r="H803" s="1827"/>
      <c r="I803" s="1827"/>
      <c r="J803" s="773">
        <f>J802*F802</f>
        <v>3131785.3365759999</v>
      </c>
    </row>
    <row r="804" spans="1:10" s="516" customFormat="1" hidden="1" outlineLevel="1">
      <c r="A804" s="1928" t="s">
        <v>2865</v>
      </c>
      <c r="B804" s="1831" t="s">
        <v>1727</v>
      </c>
      <c r="C804" s="1842" t="s">
        <v>2882</v>
      </c>
      <c r="D804" s="1843"/>
      <c r="E804" s="1843"/>
      <c r="F804" s="1843"/>
      <c r="G804" s="1843"/>
      <c r="H804" s="1843"/>
      <c r="I804" s="1843"/>
      <c r="J804" s="1835"/>
    </row>
    <row r="805" spans="1:10" s="516" customFormat="1" hidden="1" outlineLevel="1">
      <c r="A805" s="1928"/>
      <c r="B805" s="1831"/>
      <c r="C805" s="1768" t="s">
        <v>2891</v>
      </c>
      <c r="D805" s="1769"/>
      <c r="E805" s="797" t="s">
        <v>285</v>
      </c>
      <c r="F805" s="797"/>
      <c r="G805" s="797"/>
      <c r="H805" s="797"/>
      <c r="I805" s="797"/>
      <c r="J805" s="797">
        <v>162400</v>
      </c>
    </row>
    <row r="806" spans="1:10" s="516" customFormat="1" hidden="1" outlineLevel="1">
      <c r="A806" s="1928"/>
      <c r="B806" s="1831"/>
      <c r="C806" s="797" t="s">
        <v>2864</v>
      </c>
      <c r="D806" s="797" t="s">
        <v>2862</v>
      </c>
      <c r="E806" s="797" t="s">
        <v>55</v>
      </c>
      <c r="F806" s="797">
        <v>1</v>
      </c>
      <c r="G806" s="797">
        <v>0</v>
      </c>
      <c r="H806" s="797">
        <v>13789.789999999999</v>
      </c>
      <c r="I806" s="797">
        <v>0</v>
      </c>
      <c r="J806" s="797">
        <f>(F806*(1+G806/100)) * (H806*(1+I806/100))</f>
        <v>13789.789999999999</v>
      </c>
    </row>
    <row r="807" spans="1:10" s="516" customFormat="1" hidden="1" outlineLevel="1">
      <c r="A807" s="1928"/>
      <c r="B807" s="1831"/>
      <c r="C807" s="797"/>
      <c r="D807" s="797" t="s">
        <v>2863</v>
      </c>
      <c r="E807" s="797" t="s">
        <v>1482</v>
      </c>
      <c r="F807" s="1172">
        <v>1.0516522868540681</v>
      </c>
      <c r="G807" s="797">
        <v>0</v>
      </c>
      <c r="H807" s="797">
        <f>6406+4373</f>
        <v>10779</v>
      </c>
      <c r="I807" s="797">
        <v>0</v>
      </c>
      <c r="J807" s="797">
        <f>(F807*(1+G807/100)) * (H807*(1+I807/100))</f>
        <v>11335.76</v>
      </c>
    </row>
    <row r="808" spans="1:10" s="516" customFormat="1" hidden="1" outlineLevel="1">
      <c r="A808" s="1928"/>
      <c r="B808" s="1831"/>
      <c r="C808" s="862"/>
      <c r="D808" s="862"/>
      <c r="E808" s="861"/>
      <c r="F808" s="1173"/>
      <c r="G808" s="1174">
        <v>5</v>
      </c>
      <c r="H808" s="1175" t="s">
        <v>1514</v>
      </c>
      <c r="I808" s="862"/>
      <c r="J808" s="1175">
        <v>689.49</v>
      </c>
    </row>
    <row r="809" spans="1:10" s="516" customFormat="1" hidden="1" outlineLevel="1">
      <c r="A809" s="1928"/>
      <c r="B809" s="1831"/>
      <c r="C809" s="1854" t="s">
        <v>1488</v>
      </c>
      <c r="D809" s="1854"/>
      <c r="E809" s="797" t="s">
        <v>285</v>
      </c>
      <c r="F809" s="797">
        <f>'12. Acabados y accesorios'!N23</f>
        <v>27.018700000000003</v>
      </c>
      <c r="G809" s="797"/>
      <c r="H809" s="797"/>
      <c r="I809" s="797">
        <v>0</v>
      </c>
      <c r="J809" s="797">
        <f>SUM(J805:J808)</f>
        <v>188215.04000000001</v>
      </c>
    </row>
    <row r="810" spans="1:10" s="516" customFormat="1" hidden="1" outlineLevel="1">
      <c r="A810" s="1928"/>
      <c r="B810" s="1831"/>
      <c r="C810" s="1827" t="s">
        <v>47</v>
      </c>
      <c r="D810" s="1827"/>
      <c r="E810" s="1827"/>
      <c r="F810" s="1827"/>
      <c r="G810" s="1827"/>
      <c r="H810" s="1827"/>
      <c r="I810" s="1827"/>
      <c r="J810" s="773">
        <f>J809*F809</f>
        <v>5085325.7012480004</v>
      </c>
    </row>
    <row r="811" spans="1:10" s="516" customFormat="1" hidden="1" outlineLevel="1">
      <c r="A811" s="1928" t="s">
        <v>2865</v>
      </c>
      <c r="B811" s="1831" t="s">
        <v>1728</v>
      </c>
      <c r="C811" s="1842" t="s">
        <v>2883</v>
      </c>
      <c r="D811" s="1843"/>
      <c r="E811" s="1843"/>
      <c r="F811" s="1843"/>
      <c r="G811" s="1843"/>
      <c r="H811" s="1843"/>
      <c r="I811" s="1843"/>
      <c r="J811" s="1835"/>
    </row>
    <row r="812" spans="1:10" s="516" customFormat="1" hidden="1" outlineLevel="1">
      <c r="A812" s="1928"/>
      <c r="B812" s="1831"/>
      <c r="C812" s="1768" t="s">
        <v>2891</v>
      </c>
      <c r="D812" s="1769"/>
      <c r="E812" s="797" t="s">
        <v>285</v>
      </c>
      <c r="F812" s="797"/>
      <c r="G812" s="797"/>
      <c r="H812" s="797"/>
      <c r="I812" s="797"/>
      <c r="J812" s="797">
        <v>162400</v>
      </c>
    </row>
    <row r="813" spans="1:10" s="516" customFormat="1" hidden="1" outlineLevel="1">
      <c r="A813" s="1928"/>
      <c r="B813" s="1831"/>
      <c r="C813" s="797" t="s">
        <v>2864</v>
      </c>
      <c r="D813" s="797" t="s">
        <v>2862</v>
      </c>
      <c r="E813" s="797" t="s">
        <v>55</v>
      </c>
      <c r="F813" s="797">
        <v>1</v>
      </c>
      <c r="G813" s="797">
        <v>0</v>
      </c>
      <c r="H813" s="797">
        <v>13789.789999999999</v>
      </c>
      <c r="I813" s="797">
        <v>0</v>
      </c>
      <c r="J813" s="797">
        <f>(F813*(1+G813/100)) * (H813*(1+I813/100))</f>
        <v>13789.789999999999</v>
      </c>
    </row>
    <row r="814" spans="1:10" s="516" customFormat="1" hidden="1" outlineLevel="1">
      <c r="A814" s="1928"/>
      <c r="B814" s="1831"/>
      <c r="C814" s="797"/>
      <c r="D814" s="797" t="s">
        <v>2863</v>
      </c>
      <c r="E814" s="797" t="s">
        <v>1482</v>
      </c>
      <c r="F814" s="1172">
        <v>1.0516522868540681</v>
      </c>
      <c r="G814" s="797">
        <v>0</v>
      </c>
      <c r="H814" s="797">
        <f>6406+4373</f>
        <v>10779</v>
      </c>
      <c r="I814" s="797">
        <v>0</v>
      </c>
      <c r="J814" s="797">
        <f>(F814*(1+G814/100)) * (H814*(1+I814/100))</f>
        <v>11335.76</v>
      </c>
    </row>
    <row r="815" spans="1:10" s="516" customFormat="1" hidden="1" outlineLevel="1">
      <c r="A815" s="1928"/>
      <c r="B815" s="1831"/>
      <c r="C815" s="862"/>
      <c r="D815" s="862"/>
      <c r="E815" s="861"/>
      <c r="F815" s="1173"/>
      <c r="G815" s="1174">
        <v>5</v>
      </c>
      <c r="H815" s="1175" t="s">
        <v>1514</v>
      </c>
      <c r="I815" s="862"/>
      <c r="J815" s="1175">
        <v>689.49</v>
      </c>
    </row>
    <row r="816" spans="1:10" s="516" customFormat="1" hidden="1" outlineLevel="1">
      <c r="A816" s="1928"/>
      <c r="B816" s="1831"/>
      <c r="C816" s="1854" t="s">
        <v>1488</v>
      </c>
      <c r="D816" s="1854"/>
      <c r="E816" s="797" t="s">
        <v>285</v>
      </c>
      <c r="F816" s="797">
        <f>'12. Acabados y accesorios'!N24</f>
        <v>43.603899999999996</v>
      </c>
      <c r="G816" s="797"/>
      <c r="H816" s="797"/>
      <c r="I816" s="797">
        <v>0</v>
      </c>
      <c r="J816" s="797">
        <f>SUM(J812:J815)</f>
        <v>188215.04000000001</v>
      </c>
    </row>
    <row r="817" spans="1:10" s="516" customFormat="1" hidden="1" outlineLevel="1">
      <c r="A817" s="1928"/>
      <c r="B817" s="1831"/>
      <c r="C817" s="1827" t="s">
        <v>47</v>
      </c>
      <c r="D817" s="1827"/>
      <c r="E817" s="1827"/>
      <c r="F817" s="1827"/>
      <c r="G817" s="1827"/>
      <c r="H817" s="1827"/>
      <c r="I817" s="1827"/>
      <c r="J817" s="773">
        <f>J816*F816</f>
        <v>8206909.782656</v>
      </c>
    </row>
    <row r="818" spans="1:10" s="516" customFormat="1" hidden="1" outlineLevel="1">
      <c r="A818" s="1928" t="s">
        <v>2865</v>
      </c>
      <c r="B818" s="1831" t="s">
        <v>1729</v>
      </c>
      <c r="C818" s="1842" t="s">
        <v>2884</v>
      </c>
      <c r="D818" s="1843"/>
      <c r="E818" s="1843"/>
      <c r="F818" s="1843"/>
      <c r="G818" s="1843"/>
      <c r="H818" s="1843"/>
      <c r="I818" s="1843"/>
      <c r="J818" s="1835"/>
    </row>
    <row r="819" spans="1:10" s="516" customFormat="1" hidden="1" outlineLevel="1">
      <c r="A819" s="1928"/>
      <c r="B819" s="1831"/>
      <c r="C819" s="1768" t="s">
        <v>2891</v>
      </c>
      <c r="D819" s="1769"/>
      <c r="E819" s="797" t="s">
        <v>285</v>
      </c>
      <c r="F819" s="797"/>
      <c r="G819" s="797"/>
      <c r="H819" s="797"/>
      <c r="I819" s="797"/>
      <c r="J819" s="797">
        <v>162400</v>
      </c>
    </row>
    <row r="820" spans="1:10" s="516" customFormat="1" hidden="1" outlineLevel="1">
      <c r="A820" s="1928"/>
      <c r="B820" s="1831"/>
      <c r="C820" s="797" t="s">
        <v>2864</v>
      </c>
      <c r="D820" s="797" t="s">
        <v>2862</v>
      </c>
      <c r="E820" s="797" t="s">
        <v>55</v>
      </c>
      <c r="F820" s="797">
        <v>1</v>
      </c>
      <c r="G820" s="797">
        <v>0</v>
      </c>
      <c r="H820" s="797">
        <v>13789.789999999999</v>
      </c>
      <c r="I820" s="797">
        <v>0</v>
      </c>
      <c r="J820" s="797">
        <f>(F820*(1+G820/100)) * (H820*(1+I820/100))</f>
        <v>13789.789999999999</v>
      </c>
    </row>
    <row r="821" spans="1:10" s="516" customFormat="1" hidden="1" outlineLevel="1">
      <c r="A821" s="1928"/>
      <c r="B821" s="1831"/>
      <c r="C821" s="797"/>
      <c r="D821" s="797" t="s">
        <v>2863</v>
      </c>
      <c r="E821" s="797" t="s">
        <v>1482</v>
      </c>
      <c r="F821" s="1172">
        <v>1.0516522868540681</v>
      </c>
      <c r="G821" s="797">
        <v>0</v>
      </c>
      <c r="H821" s="797">
        <f>6406+4373</f>
        <v>10779</v>
      </c>
      <c r="I821" s="797">
        <v>0</v>
      </c>
      <c r="J821" s="797">
        <f>(F821*(1+G821/100)) * (H821*(1+I821/100))</f>
        <v>11335.76</v>
      </c>
    </row>
    <row r="822" spans="1:10" s="516" customFormat="1" hidden="1" outlineLevel="1">
      <c r="A822" s="1928"/>
      <c r="B822" s="1831"/>
      <c r="C822" s="862"/>
      <c r="D822" s="862"/>
      <c r="E822" s="861"/>
      <c r="F822" s="1173"/>
      <c r="G822" s="1174">
        <v>5</v>
      </c>
      <c r="H822" s="1175" t="s">
        <v>1514</v>
      </c>
      <c r="I822" s="862"/>
      <c r="J822" s="1175">
        <v>689.49</v>
      </c>
    </row>
    <row r="823" spans="1:10" s="516" customFormat="1" hidden="1" outlineLevel="1">
      <c r="A823" s="1928"/>
      <c r="B823" s="1831"/>
      <c r="C823" s="1854" t="s">
        <v>1488</v>
      </c>
      <c r="D823" s="1854"/>
      <c r="E823" s="797" t="s">
        <v>285</v>
      </c>
      <c r="F823" s="797">
        <f>'12. Acabados y accesorios'!N25</f>
        <v>10.704499999999999</v>
      </c>
      <c r="G823" s="797"/>
      <c r="H823" s="797"/>
      <c r="I823" s="797">
        <v>0</v>
      </c>
      <c r="J823" s="797">
        <f>SUM(J819:J822)</f>
        <v>188215.04000000001</v>
      </c>
    </row>
    <row r="824" spans="1:10" s="516" customFormat="1" hidden="1" outlineLevel="1">
      <c r="A824" s="1928"/>
      <c r="B824" s="1831"/>
      <c r="C824" s="1827" t="s">
        <v>47</v>
      </c>
      <c r="D824" s="1827"/>
      <c r="E824" s="1827"/>
      <c r="F824" s="1827"/>
      <c r="G824" s="1827"/>
      <c r="H824" s="1827"/>
      <c r="I824" s="1827"/>
      <c r="J824" s="773">
        <f>J823*F823</f>
        <v>2014747.8956800001</v>
      </c>
    </row>
    <row r="825" spans="1:10" s="516" customFormat="1" hidden="1" outlineLevel="1">
      <c r="A825" s="1928" t="s">
        <v>2865</v>
      </c>
      <c r="B825" s="1831" t="s">
        <v>1730</v>
      </c>
      <c r="C825" s="1842" t="s">
        <v>2885</v>
      </c>
      <c r="D825" s="1843"/>
      <c r="E825" s="1843"/>
      <c r="F825" s="1843"/>
      <c r="G825" s="1843"/>
      <c r="H825" s="1843"/>
      <c r="I825" s="1843"/>
      <c r="J825" s="1835"/>
    </row>
    <row r="826" spans="1:10" s="516" customFormat="1" hidden="1" outlineLevel="1">
      <c r="A826" s="1928"/>
      <c r="B826" s="1831"/>
      <c r="C826" s="1768" t="s">
        <v>2891</v>
      </c>
      <c r="D826" s="1769"/>
      <c r="E826" s="797" t="s">
        <v>285</v>
      </c>
      <c r="F826" s="797"/>
      <c r="G826" s="797"/>
      <c r="H826" s="797"/>
      <c r="I826" s="797"/>
      <c r="J826" s="797">
        <v>162400</v>
      </c>
    </row>
    <row r="827" spans="1:10" s="516" customFormat="1" hidden="1" outlineLevel="1">
      <c r="A827" s="1928"/>
      <c r="B827" s="1831"/>
      <c r="C827" s="797" t="s">
        <v>2864</v>
      </c>
      <c r="D827" s="797" t="s">
        <v>2862</v>
      </c>
      <c r="E827" s="797" t="s">
        <v>55</v>
      </c>
      <c r="F827" s="797">
        <v>1</v>
      </c>
      <c r="G827" s="797">
        <v>0</v>
      </c>
      <c r="H827" s="797">
        <v>13789.789999999999</v>
      </c>
      <c r="I827" s="797">
        <v>0</v>
      </c>
      <c r="J827" s="797">
        <f>(F827*(1+G827/100)) * (H827*(1+I827/100))</f>
        <v>13789.789999999999</v>
      </c>
    </row>
    <row r="828" spans="1:10" s="516" customFormat="1" hidden="1" outlineLevel="1">
      <c r="A828" s="1928"/>
      <c r="B828" s="1831"/>
      <c r="C828" s="797"/>
      <c r="D828" s="797" t="s">
        <v>2863</v>
      </c>
      <c r="E828" s="797" t="s">
        <v>1482</v>
      </c>
      <c r="F828" s="1172">
        <v>1.0516522868540681</v>
      </c>
      <c r="G828" s="797">
        <v>0</v>
      </c>
      <c r="H828" s="797">
        <f>6406+4373</f>
        <v>10779</v>
      </c>
      <c r="I828" s="797">
        <v>0</v>
      </c>
      <c r="J828" s="797">
        <f>(F828*(1+G828/100)) * (H828*(1+I828/100))</f>
        <v>11335.76</v>
      </c>
    </row>
    <row r="829" spans="1:10" s="516" customFormat="1" hidden="1" outlineLevel="1">
      <c r="A829" s="1928"/>
      <c r="B829" s="1831"/>
      <c r="C829" s="862"/>
      <c r="D829" s="862"/>
      <c r="E829" s="861"/>
      <c r="F829" s="1173"/>
      <c r="G829" s="1174">
        <v>5</v>
      </c>
      <c r="H829" s="1175" t="s">
        <v>1514</v>
      </c>
      <c r="I829" s="862"/>
      <c r="J829" s="1175">
        <v>689.49</v>
      </c>
    </row>
    <row r="830" spans="1:10" s="516" customFormat="1" hidden="1" outlineLevel="1">
      <c r="A830" s="1928"/>
      <c r="B830" s="1831"/>
      <c r="C830" s="1854" t="s">
        <v>1488</v>
      </c>
      <c r="D830" s="1854"/>
      <c r="E830" s="797" t="s">
        <v>285</v>
      </c>
      <c r="F830" s="797">
        <f>'12. Acabados y accesorios'!N26</f>
        <v>12.3034</v>
      </c>
      <c r="G830" s="797"/>
      <c r="H830" s="797"/>
      <c r="I830" s="797">
        <v>0</v>
      </c>
      <c r="J830" s="797">
        <f>SUM(J826:J829)</f>
        <v>188215.04000000001</v>
      </c>
    </row>
    <row r="831" spans="1:10" s="516" customFormat="1" hidden="1" outlineLevel="1">
      <c r="A831" s="1928"/>
      <c r="B831" s="1831"/>
      <c r="C831" s="1827" t="s">
        <v>47</v>
      </c>
      <c r="D831" s="1827"/>
      <c r="E831" s="1827"/>
      <c r="F831" s="1827"/>
      <c r="G831" s="1827"/>
      <c r="H831" s="1827"/>
      <c r="I831" s="1827"/>
      <c r="J831" s="773">
        <f>J830*F830</f>
        <v>2315684.9231360001</v>
      </c>
    </row>
    <row r="832" spans="1:10" s="516" customFormat="1" hidden="1" outlineLevel="1">
      <c r="A832" s="1928" t="s">
        <v>2865</v>
      </c>
      <c r="B832" s="1831" t="s">
        <v>1731</v>
      </c>
      <c r="C832" s="1842" t="s">
        <v>2886</v>
      </c>
      <c r="D832" s="1843"/>
      <c r="E832" s="1843"/>
      <c r="F832" s="1843"/>
      <c r="G832" s="1843"/>
      <c r="H832" s="1843"/>
      <c r="I832" s="1843"/>
      <c r="J832" s="1835"/>
    </row>
    <row r="833" spans="1:10" s="516" customFormat="1" hidden="1" outlineLevel="1">
      <c r="A833" s="1928"/>
      <c r="B833" s="1831"/>
      <c r="C833" s="1768" t="s">
        <v>2891</v>
      </c>
      <c r="D833" s="1769"/>
      <c r="E833" s="797" t="s">
        <v>285</v>
      </c>
      <c r="F833" s="797"/>
      <c r="G833" s="797"/>
      <c r="H833" s="797"/>
      <c r="I833" s="797"/>
      <c r="J833" s="797">
        <v>162400</v>
      </c>
    </row>
    <row r="834" spans="1:10" s="516" customFormat="1" hidden="1" outlineLevel="1">
      <c r="A834" s="1928"/>
      <c r="B834" s="1831"/>
      <c r="C834" s="797" t="s">
        <v>2864</v>
      </c>
      <c r="D834" s="797" t="s">
        <v>2862</v>
      </c>
      <c r="E834" s="797" t="s">
        <v>55</v>
      </c>
      <c r="F834" s="797">
        <v>1</v>
      </c>
      <c r="G834" s="797">
        <v>0</v>
      </c>
      <c r="H834" s="797">
        <v>13789.789999999999</v>
      </c>
      <c r="I834" s="797">
        <v>0</v>
      </c>
      <c r="J834" s="797">
        <f>(F834*(1+G834/100)) * (H834*(1+I834/100))</f>
        <v>13789.789999999999</v>
      </c>
    </row>
    <row r="835" spans="1:10" s="516" customFormat="1" hidden="1" outlineLevel="1">
      <c r="A835" s="1928"/>
      <c r="B835" s="1831"/>
      <c r="C835" s="797"/>
      <c r="D835" s="797" t="s">
        <v>2863</v>
      </c>
      <c r="E835" s="797" t="s">
        <v>1482</v>
      </c>
      <c r="F835" s="1172">
        <v>1.0516522868540681</v>
      </c>
      <c r="G835" s="797">
        <v>0</v>
      </c>
      <c r="H835" s="797">
        <f>6406+4373</f>
        <v>10779</v>
      </c>
      <c r="I835" s="797">
        <v>0</v>
      </c>
      <c r="J835" s="797">
        <f>(F835*(1+G835/100)) * (H835*(1+I835/100))</f>
        <v>11335.76</v>
      </c>
    </row>
    <row r="836" spans="1:10" s="516" customFormat="1" hidden="1" outlineLevel="1">
      <c r="A836" s="1928"/>
      <c r="B836" s="1831"/>
      <c r="C836" s="862"/>
      <c r="D836" s="862"/>
      <c r="E836" s="861"/>
      <c r="F836" s="1173"/>
      <c r="G836" s="1174">
        <v>5</v>
      </c>
      <c r="H836" s="1175" t="s">
        <v>1514</v>
      </c>
      <c r="I836" s="862"/>
      <c r="J836" s="1175">
        <v>689.49</v>
      </c>
    </row>
    <row r="837" spans="1:10" s="516" customFormat="1" hidden="1" outlineLevel="1">
      <c r="A837" s="1928"/>
      <c r="B837" s="1831"/>
      <c r="C837" s="1854" t="s">
        <v>1488</v>
      </c>
      <c r="D837" s="1854"/>
      <c r="E837" s="797" t="s">
        <v>285</v>
      </c>
      <c r="F837" s="797">
        <f>'12. Acabados y accesorios'!N27</f>
        <v>13.279</v>
      </c>
      <c r="G837" s="797"/>
      <c r="H837" s="797"/>
      <c r="I837" s="797">
        <v>0</v>
      </c>
      <c r="J837" s="797">
        <f>SUM(J833:J836)</f>
        <v>188215.04000000001</v>
      </c>
    </row>
    <row r="838" spans="1:10" s="516" customFormat="1" hidden="1" outlineLevel="1">
      <c r="A838" s="1928"/>
      <c r="B838" s="1831"/>
      <c r="C838" s="1827" t="s">
        <v>47</v>
      </c>
      <c r="D838" s="1827"/>
      <c r="E838" s="1827"/>
      <c r="F838" s="1827"/>
      <c r="G838" s="1827"/>
      <c r="H838" s="1827"/>
      <c r="I838" s="1827"/>
      <c r="J838" s="773">
        <f>J837*F837</f>
        <v>2499307.5161600001</v>
      </c>
    </row>
    <row r="839" spans="1:10" s="516" customFormat="1" hidden="1" outlineLevel="1">
      <c r="A839" s="1928" t="s">
        <v>2865</v>
      </c>
      <c r="B839" s="1831" t="s">
        <v>1732</v>
      </c>
      <c r="C839" s="1842" t="s">
        <v>2887</v>
      </c>
      <c r="D839" s="1843"/>
      <c r="E839" s="1843"/>
      <c r="F839" s="1843"/>
      <c r="G839" s="1843"/>
      <c r="H839" s="1843"/>
      <c r="I839" s="1843"/>
      <c r="J839" s="1835"/>
    </row>
    <row r="840" spans="1:10" s="516" customFormat="1" hidden="1" outlineLevel="1">
      <c r="A840" s="1928"/>
      <c r="B840" s="1831"/>
      <c r="C840" s="1768" t="s">
        <v>2891</v>
      </c>
      <c r="D840" s="1769"/>
      <c r="E840" s="797" t="s">
        <v>285</v>
      </c>
      <c r="F840" s="797"/>
      <c r="G840" s="797"/>
      <c r="H840" s="797"/>
      <c r="I840" s="797"/>
      <c r="J840" s="797">
        <v>162400</v>
      </c>
    </row>
    <row r="841" spans="1:10" s="516" customFormat="1" hidden="1" outlineLevel="1">
      <c r="A841" s="1928"/>
      <c r="B841" s="1831"/>
      <c r="C841" s="797" t="s">
        <v>2864</v>
      </c>
      <c r="D841" s="797" t="s">
        <v>2862</v>
      </c>
      <c r="E841" s="797" t="s">
        <v>55</v>
      </c>
      <c r="F841" s="797">
        <v>1</v>
      </c>
      <c r="G841" s="797">
        <v>0</v>
      </c>
      <c r="H841" s="797">
        <v>13789.789999999999</v>
      </c>
      <c r="I841" s="797">
        <v>0</v>
      </c>
      <c r="J841" s="797">
        <f>(F841*(1+G841/100)) * (H841*(1+I841/100))</f>
        <v>13789.789999999999</v>
      </c>
    </row>
    <row r="842" spans="1:10" s="516" customFormat="1" hidden="1" outlineLevel="1">
      <c r="A842" s="1928"/>
      <c r="B842" s="1831"/>
      <c r="C842" s="797"/>
      <c r="D842" s="797" t="s">
        <v>2863</v>
      </c>
      <c r="E842" s="797" t="s">
        <v>1482</v>
      </c>
      <c r="F842" s="1172">
        <v>1.0516522868540681</v>
      </c>
      <c r="G842" s="797">
        <v>0</v>
      </c>
      <c r="H842" s="797">
        <f>6406+4373</f>
        <v>10779</v>
      </c>
      <c r="I842" s="797">
        <v>0</v>
      </c>
      <c r="J842" s="797">
        <f>(F842*(1+G842/100)) * (H842*(1+I842/100))</f>
        <v>11335.76</v>
      </c>
    </row>
    <row r="843" spans="1:10" s="516" customFormat="1" hidden="1" outlineLevel="1">
      <c r="A843" s="1928"/>
      <c r="B843" s="1831"/>
      <c r="C843" s="862"/>
      <c r="D843" s="862"/>
      <c r="E843" s="861"/>
      <c r="F843" s="1173"/>
      <c r="G843" s="1174">
        <v>5</v>
      </c>
      <c r="H843" s="1175" t="s">
        <v>1514</v>
      </c>
      <c r="I843" s="862"/>
      <c r="J843" s="1175">
        <v>689.49</v>
      </c>
    </row>
    <row r="844" spans="1:10" s="516" customFormat="1" hidden="1" outlineLevel="1">
      <c r="A844" s="1928"/>
      <c r="B844" s="1831"/>
      <c r="C844" s="1854" t="s">
        <v>1488</v>
      </c>
      <c r="D844" s="1854"/>
      <c r="E844" s="797" t="s">
        <v>285</v>
      </c>
      <c r="F844" s="797">
        <f>'12. Acabados y accesorios'!N28</f>
        <v>49.999499999999998</v>
      </c>
      <c r="G844" s="797"/>
      <c r="H844" s="797"/>
      <c r="I844" s="797">
        <v>0</v>
      </c>
      <c r="J844" s="797">
        <f>SUM(J840:J843)</f>
        <v>188215.04000000001</v>
      </c>
    </row>
    <row r="845" spans="1:10" s="516" customFormat="1" hidden="1" outlineLevel="1">
      <c r="A845" s="1928"/>
      <c r="B845" s="1831"/>
      <c r="C845" s="1827" t="s">
        <v>47</v>
      </c>
      <c r="D845" s="1827"/>
      <c r="E845" s="1827"/>
      <c r="F845" s="1827"/>
      <c r="G845" s="1827"/>
      <c r="H845" s="1827"/>
      <c r="I845" s="1827"/>
      <c r="J845" s="773">
        <f>J844*F844</f>
        <v>9410657.8924800009</v>
      </c>
    </row>
    <row r="846" spans="1:10" s="516" customFormat="1" hidden="1" outlineLevel="1">
      <c r="A846" s="1928" t="s">
        <v>2865</v>
      </c>
      <c r="B846" s="1831" t="s">
        <v>1733</v>
      </c>
      <c r="C846" s="1842" t="s">
        <v>2888</v>
      </c>
      <c r="D846" s="1843"/>
      <c r="E846" s="1843"/>
      <c r="F846" s="1843"/>
      <c r="G846" s="1843"/>
      <c r="H846" s="1843"/>
      <c r="I846" s="1843"/>
      <c r="J846" s="1835"/>
    </row>
    <row r="847" spans="1:10" s="516" customFormat="1" hidden="1" outlineLevel="1">
      <c r="A847" s="1928"/>
      <c r="B847" s="1831"/>
      <c r="C847" s="1768" t="s">
        <v>2891</v>
      </c>
      <c r="D847" s="1769"/>
      <c r="E847" s="797" t="s">
        <v>285</v>
      </c>
      <c r="F847" s="797"/>
      <c r="G847" s="797"/>
      <c r="H847" s="797"/>
      <c r="I847" s="797"/>
      <c r="J847" s="797">
        <v>162400</v>
      </c>
    </row>
    <row r="848" spans="1:10" s="516" customFormat="1" hidden="1" outlineLevel="1">
      <c r="A848" s="1928"/>
      <c r="B848" s="1831"/>
      <c r="C848" s="797" t="s">
        <v>2864</v>
      </c>
      <c r="D848" s="797" t="s">
        <v>2862</v>
      </c>
      <c r="E848" s="797" t="s">
        <v>55</v>
      </c>
      <c r="F848" s="797">
        <v>1</v>
      </c>
      <c r="G848" s="797">
        <v>0</v>
      </c>
      <c r="H848" s="797">
        <v>13789.789999999999</v>
      </c>
      <c r="I848" s="797">
        <v>0</v>
      </c>
      <c r="J848" s="797">
        <f>(F848*(1+G848/100)) * (H848*(1+I848/100))</f>
        <v>13789.789999999999</v>
      </c>
    </row>
    <row r="849" spans="1:10" s="516" customFormat="1" hidden="1" outlineLevel="1">
      <c r="A849" s="1928"/>
      <c r="B849" s="1831"/>
      <c r="C849" s="797"/>
      <c r="D849" s="797" t="s">
        <v>2863</v>
      </c>
      <c r="E849" s="797" t="s">
        <v>1482</v>
      </c>
      <c r="F849" s="1172">
        <v>1.0516522868540681</v>
      </c>
      <c r="G849" s="797">
        <v>0</v>
      </c>
      <c r="H849" s="797">
        <f>6406+4373</f>
        <v>10779</v>
      </c>
      <c r="I849" s="797">
        <v>0</v>
      </c>
      <c r="J849" s="797">
        <f>(F849*(1+G849/100)) * (H849*(1+I849/100))</f>
        <v>11335.76</v>
      </c>
    </row>
    <row r="850" spans="1:10" s="516" customFormat="1" hidden="1" outlineLevel="1">
      <c r="A850" s="1928"/>
      <c r="B850" s="1831"/>
      <c r="C850" s="862"/>
      <c r="D850" s="862"/>
      <c r="E850" s="861"/>
      <c r="F850" s="1173"/>
      <c r="G850" s="1174">
        <v>5</v>
      </c>
      <c r="H850" s="1175" t="s">
        <v>1514</v>
      </c>
      <c r="I850" s="862"/>
      <c r="J850" s="1175">
        <v>689.49</v>
      </c>
    </row>
    <row r="851" spans="1:10" s="516" customFormat="1" hidden="1" outlineLevel="1">
      <c r="A851" s="1928"/>
      <c r="B851" s="1831"/>
      <c r="C851" s="1854" t="s">
        <v>1488</v>
      </c>
      <c r="D851" s="1854"/>
      <c r="E851" s="797" t="s">
        <v>285</v>
      </c>
      <c r="F851" s="797">
        <f>'12. Acabados y accesorios'!N29</f>
        <v>11.25</v>
      </c>
      <c r="G851" s="797"/>
      <c r="H851" s="797"/>
      <c r="I851" s="797">
        <v>0</v>
      </c>
      <c r="J851" s="797">
        <f>SUM(J847:J850)</f>
        <v>188215.04000000001</v>
      </c>
    </row>
    <row r="852" spans="1:10" s="516" customFormat="1" hidden="1" outlineLevel="1">
      <c r="A852" s="1928"/>
      <c r="B852" s="1831"/>
      <c r="C852" s="1827" t="s">
        <v>47</v>
      </c>
      <c r="D852" s="1827"/>
      <c r="E852" s="1827"/>
      <c r="F852" s="1827"/>
      <c r="G852" s="1827"/>
      <c r="H852" s="1827"/>
      <c r="I852" s="1827"/>
      <c r="J852" s="773">
        <f>J851*F851</f>
        <v>2117419.2000000002</v>
      </c>
    </row>
    <row r="853" spans="1:10" s="516" customFormat="1" hidden="1" outlineLevel="1">
      <c r="A853" s="1928" t="s">
        <v>2865</v>
      </c>
      <c r="B853" s="1831" t="s">
        <v>1734</v>
      </c>
      <c r="C853" s="1842" t="s">
        <v>2889</v>
      </c>
      <c r="D853" s="1843"/>
      <c r="E853" s="1843"/>
      <c r="F853" s="1843"/>
      <c r="G853" s="1843"/>
      <c r="H853" s="1843"/>
      <c r="I853" s="1843"/>
      <c r="J853" s="1835"/>
    </row>
    <row r="854" spans="1:10" s="516" customFormat="1" hidden="1" outlineLevel="1">
      <c r="A854" s="1928"/>
      <c r="B854" s="1831"/>
      <c r="C854" s="1768" t="s">
        <v>2891</v>
      </c>
      <c r="D854" s="1769"/>
      <c r="E854" s="797" t="s">
        <v>285</v>
      </c>
      <c r="F854" s="797"/>
      <c r="G854" s="797"/>
      <c r="H854" s="797"/>
      <c r="I854" s="797"/>
      <c r="J854" s="797">
        <v>162400</v>
      </c>
    </row>
    <row r="855" spans="1:10" s="516" customFormat="1" hidden="1" outlineLevel="1">
      <c r="A855" s="1928"/>
      <c r="B855" s="1831"/>
      <c r="C855" s="797" t="s">
        <v>2864</v>
      </c>
      <c r="D855" s="797" t="s">
        <v>2862</v>
      </c>
      <c r="E855" s="797" t="s">
        <v>55</v>
      </c>
      <c r="F855" s="797">
        <v>1</v>
      </c>
      <c r="G855" s="797">
        <v>0</v>
      </c>
      <c r="H855" s="797">
        <v>13789.789999999999</v>
      </c>
      <c r="I855" s="797">
        <v>0</v>
      </c>
      <c r="J855" s="797">
        <f>(F855*(1+G855/100)) * (H855*(1+I855/100))</f>
        <v>13789.789999999999</v>
      </c>
    </row>
    <row r="856" spans="1:10" s="516" customFormat="1" hidden="1" outlineLevel="1">
      <c r="A856" s="1928"/>
      <c r="B856" s="1831"/>
      <c r="C856" s="797"/>
      <c r="D856" s="797" t="s">
        <v>2863</v>
      </c>
      <c r="E856" s="797" t="s">
        <v>1482</v>
      </c>
      <c r="F856" s="1172">
        <v>1.0516522868540681</v>
      </c>
      <c r="G856" s="797">
        <v>0</v>
      </c>
      <c r="H856" s="797">
        <f>6406+4373</f>
        <v>10779</v>
      </c>
      <c r="I856" s="797">
        <v>0</v>
      </c>
      <c r="J856" s="797">
        <f>(F856*(1+G856/100)) * (H856*(1+I856/100))</f>
        <v>11335.76</v>
      </c>
    </row>
    <row r="857" spans="1:10" s="516" customFormat="1" hidden="1" outlineLevel="1">
      <c r="A857" s="1928"/>
      <c r="B857" s="1831"/>
      <c r="C857" s="862"/>
      <c r="D857" s="862"/>
      <c r="E857" s="861"/>
      <c r="F857" s="1173"/>
      <c r="G857" s="1174">
        <v>5</v>
      </c>
      <c r="H857" s="1175" t="s">
        <v>1514</v>
      </c>
      <c r="I857" s="862"/>
      <c r="J857" s="1175">
        <v>689.49</v>
      </c>
    </row>
    <row r="858" spans="1:10" s="516" customFormat="1" hidden="1" outlineLevel="1">
      <c r="A858" s="1928"/>
      <c r="B858" s="1831"/>
      <c r="C858" s="1854" t="s">
        <v>1488</v>
      </c>
      <c r="D858" s="1854"/>
      <c r="E858" s="797" t="s">
        <v>285</v>
      </c>
      <c r="F858" s="797">
        <f>'12. Acabados y accesorios'!N30</f>
        <v>3</v>
      </c>
      <c r="G858" s="797"/>
      <c r="H858" s="797"/>
      <c r="I858" s="797">
        <v>0</v>
      </c>
      <c r="J858" s="797">
        <f>SUM(J854:J857)</f>
        <v>188215.04000000001</v>
      </c>
    </row>
    <row r="859" spans="1:10" s="516" customFormat="1" hidden="1" outlineLevel="1">
      <c r="A859" s="1928"/>
      <c r="B859" s="1831"/>
      <c r="C859" s="1827" t="s">
        <v>47</v>
      </c>
      <c r="D859" s="1827"/>
      <c r="E859" s="1827"/>
      <c r="F859" s="1827"/>
      <c r="G859" s="1827"/>
      <c r="H859" s="1827"/>
      <c r="I859" s="1827"/>
      <c r="J859" s="773">
        <f>J858*F858</f>
        <v>564645.12</v>
      </c>
    </row>
    <row r="860" spans="1:10" s="516" customFormat="1" hidden="1" outlineLevel="1">
      <c r="A860" s="1928" t="s">
        <v>2865</v>
      </c>
      <c r="B860" s="1831" t="s">
        <v>1735</v>
      </c>
      <c r="C860" s="1842" t="s">
        <v>2890</v>
      </c>
      <c r="D860" s="1843"/>
      <c r="E860" s="1843"/>
      <c r="F860" s="1843"/>
      <c r="G860" s="1843"/>
      <c r="H860" s="1843"/>
      <c r="I860" s="1843"/>
      <c r="J860" s="1835"/>
    </row>
    <row r="861" spans="1:10" s="516" customFormat="1" hidden="1" outlineLevel="1">
      <c r="A861" s="1928"/>
      <c r="B861" s="1831"/>
      <c r="C861" s="1768" t="s">
        <v>2891</v>
      </c>
      <c r="D861" s="1769"/>
      <c r="E861" s="797" t="s">
        <v>285</v>
      </c>
      <c r="F861" s="797"/>
      <c r="G861" s="797"/>
      <c r="H861" s="797"/>
      <c r="I861" s="797"/>
      <c r="J861" s="797">
        <v>162400</v>
      </c>
    </row>
    <row r="862" spans="1:10" s="516" customFormat="1" hidden="1" outlineLevel="1">
      <c r="A862" s="1928"/>
      <c r="B862" s="1831"/>
      <c r="C862" s="797" t="s">
        <v>2864</v>
      </c>
      <c r="D862" s="797" t="s">
        <v>2862</v>
      </c>
      <c r="E862" s="797" t="s">
        <v>55</v>
      </c>
      <c r="F862" s="797">
        <v>1</v>
      </c>
      <c r="G862" s="797">
        <v>0</v>
      </c>
      <c r="H862" s="797">
        <v>13789.789999999999</v>
      </c>
      <c r="I862" s="797">
        <v>0</v>
      </c>
      <c r="J862" s="797">
        <f>(F862*(1+G862/100)) * (H862*(1+I862/100))</f>
        <v>13789.789999999999</v>
      </c>
    </row>
    <row r="863" spans="1:10" s="516" customFormat="1" hidden="1" outlineLevel="1">
      <c r="A863" s="1928"/>
      <c r="B863" s="1831"/>
      <c r="C863" s="797"/>
      <c r="D863" s="797" t="s">
        <v>2863</v>
      </c>
      <c r="E863" s="797" t="s">
        <v>1482</v>
      </c>
      <c r="F863" s="1172">
        <v>1.0516522868540681</v>
      </c>
      <c r="G863" s="797">
        <v>0</v>
      </c>
      <c r="H863" s="797">
        <f>6406+4373</f>
        <v>10779</v>
      </c>
      <c r="I863" s="797">
        <v>0</v>
      </c>
      <c r="J863" s="797">
        <f>(F863*(1+G863/100)) * (H863*(1+I863/100))</f>
        <v>11335.76</v>
      </c>
    </row>
    <row r="864" spans="1:10" s="516" customFormat="1" hidden="1" outlineLevel="1">
      <c r="A864" s="1928"/>
      <c r="B864" s="1831"/>
      <c r="C864" s="862"/>
      <c r="D864" s="862"/>
      <c r="E864" s="861"/>
      <c r="F864" s="1173"/>
      <c r="G864" s="1174">
        <v>5</v>
      </c>
      <c r="H864" s="1175" t="s">
        <v>1514</v>
      </c>
      <c r="I864" s="862"/>
      <c r="J864" s="1175">
        <v>689.49</v>
      </c>
    </row>
    <row r="865" spans="1:19" s="516" customFormat="1" hidden="1" outlineLevel="1">
      <c r="A865" s="1928"/>
      <c r="B865" s="1831"/>
      <c r="C865" s="1854" t="s">
        <v>1488</v>
      </c>
      <c r="D865" s="1854"/>
      <c r="E865" s="797" t="s">
        <v>285</v>
      </c>
      <c r="F865" s="797">
        <f>'12. Acabados y accesorios'!N31</f>
        <v>2.35</v>
      </c>
      <c r="G865" s="797"/>
      <c r="H865" s="797"/>
      <c r="I865" s="797">
        <v>0</v>
      </c>
      <c r="J865" s="797">
        <f>SUM(J861:J864)</f>
        <v>188215.04000000001</v>
      </c>
    </row>
    <row r="866" spans="1:19" s="516" customFormat="1" hidden="1" outlineLevel="1">
      <c r="A866" s="1928"/>
      <c r="B866" s="1831"/>
      <c r="C866" s="1827" t="s">
        <v>47</v>
      </c>
      <c r="D866" s="1827"/>
      <c r="E866" s="1827"/>
      <c r="F866" s="1827"/>
      <c r="G866" s="1827"/>
      <c r="H866" s="1827"/>
      <c r="I866" s="1827"/>
      <c r="J866" s="773">
        <f>J865*F865</f>
        <v>442305.34400000004</v>
      </c>
    </row>
    <row r="867" spans="1:19" s="516" customFormat="1" ht="15" hidden="1" customHeight="1" outlineLevel="1">
      <c r="A867" s="1858"/>
      <c r="B867" s="1855" t="s">
        <v>1736</v>
      </c>
      <c r="C867" s="1842" t="s">
        <v>3289</v>
      </c>
      <c r="D867" s="1843"/>
      <c r="E867" s="1843"/>
      <c r="F867" s="1843"/>
      <c r="G867" s="1843"/>
      <c r="H867" s="1843"/>
      <c r="I867" s="1843"/>
      <c r="J867" s="1835"/>
    </row>
    <row r="868" spans="1:19" s="516" customFormat="1" ht="15" hidden="1" customHeight="1" outlineLevel="1">
      <c r="A868" s="1859"/>
      <c r="B868" s="1856"/>
      <c r="C868" s="1768" t="s">
        <v>3291</v>
      </c>
      <c r="D868" s="1769"/>
      <c r="E868" s="797" t="s">
        <v>285</v>
      </c>
      <c r="F868" s="797"/>
      <c r="G868" s="797"/>
      <c r="H868" s="797"/>
      <c r="I868" s="797"/>
      <c r="J868" s="797">
        <v>4500000</v>
      </c>
    </row>
    <row r="869" spans="1:19" s="516" customFormat="1" ht="15" hidden="1" customHeight="1" outlineLevel="1">
      <c r="A869" s="1859"/>
      <c r="B869" s="1856"/>
      <c r="C869" s="1768" t="s">
        <v>3292</v>
      </c>
      <c r="D869" s="1769"/>
      <c r="E869" s="1262" t="s">
        <v>1482</v>
      </c>
      <c r="F869" s="1262"/>
      <c r="G869" s="1262"/>
      <c r="H869" s="1262"/>
      <c r="I869" s="1262"/>
      <c r="J869" s="798"/>
    </row>
    <row r="870" spans="1:19" s="516" customFormat="1" ht="15" hidden="1" customHeight="1" outlineLevel="1">
      <c r="A870" s="1859"/>
      <c r="B870" s="1856"/>
      <c r="C870" s="1854" t="s">
        <v>1488</v>
      </c>
      <c r="D870" s="1854"/>
      <c r="E870" s="797" t="s">
        <v>285</v>
      </c>
      <c r="F870" s="797">
        <f>'Estructura de Presupuesto'!G139</f>
        <v>14</v>
      </c>
      <c r="G870" s="797"/>
      <c r="H870" s="797"/>
      <c r="I870" s="797">
        <v>0</v>
      </c>
      <c r="J870" s="797">
        <f>SUM(J868:J869)</f>
        <v>4500000</v>
      </c>
    </row>
    <row r="871" spans="1:19" s="516" customFormat="1" ht="15" hidden="1" customHeight="1" outlineLevel="1">
      <c r="A871" s="1860"/>
      <c r="B871" s="1857"/>
      <c r="C871" s="1827" t="s">
        <v>47</v>
      </c>
      <c r="D871" s="1827"/>
      <c r="E871" s="1827"/>
      <c r="F871" s="1827"/>
      <c r="G871" s="1827"/>
      <c r="H871" s="1827"/>
      <c r="I871" s="1827"/>
      <c r="J871" s="773">
        <f>J870*F870</f>
        <v>63000000</v>
      </c>
    </row>
    <row r="872" spans="1:19" s="516" customFormat="1" hidden="1" outlineLevel="1">
      <c r="A872" s="1928" t="s">
        <v>2865</v>
      </c>
      <c r="B872" s="1831" t="s">
        <v>3290</v>
      </c>
      <c r="C872" s="1934" t="s">
        <v>1188</v>
      </c>
      <c r="D872" s="1935"/>
      <c r="E872" s="1935"/>
      <c r="F872" s="1935"/>
      <c r="G872" s="1935"/>
      <c r="H872" s="1935"/>
      <c r="I872" s="1935"/>
      <c r="J872" s="1936"/>
    </row>
    <row r="873" spans="1:19" s="516" customFormat="1" hidden="1" outlineLevel="1">
      <c r="A873" s="1928"/>
      <c r="B873" s="1831"/>
      <c r="C873" s="1768" t="s">
        <v>2891</v>
      </c>
      <c r="D873" s="1769"/>
      <c r="E873" s="797" t="s">
        <v>285</v>
      </c>
      <c r="F873" s="797"/>
      <c r="G873" s="797"/>
      <c r="H873" s="797"/>
      <c r="I873" s="797"/>
      <c r="J873" s="797">
        <v>162400</v>
      </c>
    </row>
    <row r="874" spans="1:19" s="516" customFormat="1" hidden="1" outlineLevel="1">
      <c r="A874" s="1928"/>
      <c r="B874" s="1831"/>
      <c r="C874" s="797" t="s">
        <v>2864</v>
      </c>
      <c r="D874" s="797" t="s">
        <v>2862</v>
      </c>
      <c r="E874" s="797" t="s">
        <v>55</v>
      </c>
      <c r="F874" s="797">
        <v>1</v>
      </c>
      <c r="G874" s="797">
        <v>0</v>
      </c>
      <c r="H874" s="797">
        <v>13789.789999999999</v>
      </c>
      <c r="I874" s="797">
        <v>0</v>
      </c>
      <c r="J874" s="797">
        <f>(F874*(1+G874/100)) * (H874*(1+I874/100))</f>
        <v>13789.789999999999</v>
      </c>
    </row>
    <row r="875" spans="1:19" s="516" customFormat="1" hidden="1" outlineLevel="1">
      <c r="A875" s="1928"/>
      <c r="B875" s="1831"/>
      <c r="C875" s="797"/>
      <c r="D875" s="797" t="s">
        <v>2863</v>
      </c>
      <c r="E875" s="797" t="s">
        <v>1482</v>
      </c>
      <c r="F875" s="1172">
        <v>1.0516522868540681</v>
      </c>
      <c r="G875" s="797">
        <v>0</v>
      </c>
      <c r="H875" s="797">
        <f>6406+4373</f>
        <v>10779</v>
      </c>
      <c r="I875" s="797">
        <v>0</v>
      </c>
      <c r="J875" s="797">
        <f>(F875*(1+G875/100)) * (H875*(1+I875/100))</f>
        <v>11335.76</v>
      </c>
    </row>
    <row r="876" spans="1:19" s="516" customFormat="1" hidden="1" outlineLevel="1">
      <c r="A876" s="1928"/>
      <c r="B876" s="1831"/>
      <c r="C876" s="862"/>
      <c r="D876" s="862"/>
      <c r="E876" s="861"/>
      <c r="F876" s="1173"/>
      <c r="G876" s="1174">
        <v>5</v>
      </c>
      <c r="H876" s="1175" t="s">
        <v>1514</v>
      </c>
      <c r="I876" s="862"/>
      <c r="J876" s="1175">
        <v>689.49</v>
      </c>
    </row>
    <row r="877" spans="1:19" s="516" customFormat="1" hidden="1" outlineLevel="1">
      <c r="A877" s="1928"/>
      <c r="B877" s="1831"/>
      <c r="C877" s="1854" t="s">
        <v>1488</v>
      </c>
      <c r="D877" s="1854"/>
      <c r="E877" s="797" t="s">
        <v>285</v>
      </c>
      <c r="F877" s="797">
        <f>'12. Acabados y accesorios'!F33</f>
        <v>146.76752999999999</v>
      </c>
      <c r="G877" s="797"/>
      <c r="H877" s="797"/>
      <c r="I877" s="797">
        <v>0</v>
      </c>
      <c r="J877" s="797">
        <f>SUM(J873:J876)</f>
        <v>188215.04000000001</v>
      </c>
    </row>
    <row r="878" spans="1:19" s="516" customFormat="1" hidden="1" outlineLevel="1">
      <c r="A878" s="1928"/>
      <c r="B878" s="1831"/>
      <c r="C878" s="1827" t="s">
        <v>47</v>
      </c>
      <c r="D878" s="1827"/>
      <c r="E878" s="1827"/>
      <c r="F878" s="1827"/>
      <c r="G878" s="1827"/>
      <c r="H878" s="1827"/>
      <c r="I878" s="1827"/>
      <c r="J878" s="773">
        <f>J877*F877</f>
        <v>27623856.529651199</v>
      </c>
    </row>
    <row r="879" spans="1:19" collapsed="1">
      <c r="A879" s="1869">
        <v>13</v>
      </c>
      <c r="B879" s="1870"/>
      <c r="C879" s="1869" t="s">
        <v>2507</v>
      </c>
      <c r="D879" s="1871"/>
      <c r="E879" s="1871"/>
      <c r="F879" s="1871"/>
      <c r="G879" s="1871"/>
      <c r="H879" s="1871"/>
      <c r="I879" s="1871"/>
      <c r="J879" s="1870"/>
      <c r="L879" s="764"/>
      <c r="M879" s="764"/>
      <c r="N879" s="806"/>
      <c r="O879" s="807"/>
      <c r="P879" s="765"/>
      <c r="Q879" s="766"/>
      <c r="R879" s="764"/>
      <c r="S879" s="766"/>
    </row>
    <row r="880" spans="1:19" hidden="1" outlineLevel="1">
      <c r="A880" s="1868"/>
      <c r="B880" s="1831" t="s">
        <v>1965</v>
      </c>
      <c r="C880" s="1875" t="s">
        <v>2659</v>
      </c>
      <c r="D880" s="1832"/>
      <c r="E880" s="1832"/>
      <c r="F880" s="1832"/>
      <c r="G880" s="1832"/>
      <c r="H880" s="1832"/>
      <c r="I880" s="1832"/>
      <c r="J880" s="1893"/>
    </row>
    <row r="881" spans="1:10" hidden="1" outlineLevel="2">
      <c r="A881" s="1868"/>
      <c r="B881" s="1831"/>
      <c r="C881" s="1040"/>
      <c r="D881" s="1036" t="s">
        <v>2508</v>
      </c>
      <c r="E881" s="1040" t="s">
        <v>1891</v>
      </c>
      <c r="F881" s="1040">
        <v>3</v>
      </c>
      <c r="G881" s="1040"/>
      <c r="H881" s="1040"/>
      <c r="I881" s="1040"/>
      <c r="J881" s="1061">
        <v>5349</v>
      </c>
    </row>
    <row r="882" spans="1:10" hidden="1" outlineLevel="2">
      <c r="A882" s="1868"/>
      <c r="B882" s="1831"/>
      <c r="C882" s="1040"/>
      <c r="D882" s="1036" t="s">
        <v>2509</v>
      </c>
      <c r="E882" s="1040" t="s">
        <v>1897</v>
      </c>
      <c r="F882" s="1040">
        <f>3/2</f>
        <v>1.5</v>
      </c>
      <c r="G882" s="1040"/>
      <c r="H882" s="1040"/>
      <c r="I882" s="1040"/>
      <c r="J882" s="1061">
        <v>67608</v>
      </c>
    </row>
    <row r="883" spans="1:10" hidden="1" outlineLevel="2">
      <c r="A883" s="1868"/>
      <c r="B883" s="1831"/>
      <c r="C883" s="1040"/>
      <c r="D883" s="1036" t="s">
        <v>2510</v>
      </c>
      <c r="E883" s="1040" t="s">
        <v>1891</v>
      </c>
      <c r="F883" s="1040">
        <v>0.2</v>
      </c>
      <c r="G883" s="1040"/>
      <c r="H883" s="1040"/>
      <c r="I883" s="1040"/>
      <c r="J883" s="1061">
        <v>1655</v>
      </c>
    </row>
    <row r="884" spans="1:10" hidden="1" outlineLevel="2">
      <c r="A884" s="1868"/>
      <c r="B884" s="1831"/>
      <c r="C884" s="1040"/>
      <c r="D884" s="1036" t="s">
        <v>2511</v>
      </c>
      <c r="E884" s="1040" t="s">
        <v>1891</v>
      </c>
      <c r="F884" s="1040">
        <v>0.28000000000000003</v>
      </c>
      <c r="G884" s="1040"/>
      <c r="H884" s="1040"/>
      <c r="I884" s="1040"/>
      <c r="J884" s="1061">
        <v>11686</v>
      </c>
    </row>
    <row r="885" spans="1:10" ht="12.75" hidden="1" customHeight="1" outlineLevel="2">
      <c r="A885" s="1868"/>
      <c r="B885" s="1831"/>
      <c r="C885" s="1039"/>
      <c r="D885" s="776" t="s">
        <v>2512</v>
      </c>
      <c r="E885" s="1039" t="s">
        <v>1501</v>
      </c>
      <c r="F885" s="1040">
        <v>0.35</v>
      </c>
      <c r="G885" s="1039"/>
      <c r="H885" s="1039"/>
      <c r="I885" s="1039"/>
      <c r="J885" s="1062">
        <v>805</v>
      </c>
    </row>
    <row r="886" spans="1:10" ht="12.75" hidden="1" customHeight="1" outlineLevel="2">
      <c r="A886" s="1868"/>
      <c r="B886" s="1831"/>
      <c r="C886" s="1039"/>
      <c r="D886" s="776" t="s">
        <v>2513</v>
      </c>
      <c r="E886" s="1039" t="s">
        <v>1891</v>
      </c>
      <c r="F886" s="1040">
        <v>18</v>
      </c>
      <c r="G886" s="1039"/>
      <c r="H886" s="1039"/>
      <c r="I886" s="1039"/>
      <c r="J886" s="1062">
        <v>1170</v>
      </c>
    </row>
    <row r="887" spans="1:10" ht="12.75" hidden="1" customHeight="1" outlineLevel="2">
      <c r="A887" s="1868"/>
      <c r="B887" s="1831"/>
      <c r="C887" s="1039"/>
      <c r="D887" s="776" t="s">
        <v>2514</v>
      </c>
      <c r="E887" s="1039" t="s">
        <v>1891</v>
      </c>
      <c r="F887" s="1060">
        <v>1.5</v>
      </c>
      <c r="G887" s="1039"/>
      <c r="H887" s="1039"/>
      <c r="I887" s="1039"/>
      <c r="J887" s="1062">
        <v>95994</v>
      </c>
    </row>
    <row r="888" spans="1:10" ht="12.75" hidden="1" customHeight="1" outlineLevel="2">
      <c r="A888" s="1868"/>
      <c r="B888" s="1831"/>
      <c r="C888" s="856" t="s">
        <v>2526</v>
      </c>
      <c r="D888" s="776" t="s">
        <v>2527</v>
      </c>
      <c r="E888" s="1039" t="s">
        <v>1492</v>
      </c>
      <c r="F888" s="1060">
        <v>1</v>
      </c>
      <c r="G888" s="859">
        <v>0</v>
      </c>
      <c r="H888" s="860">
        <v>26900</v>
      </c>
      <c r="I888" s="856">
        <v>0</v>
      </c>
      <c r="J888" s="1062">
        <f>(F888*(1+G888/100)) * (H888*(1+I888/100))</f>
        <v>26900</v>
      </c>
    </row>
    <row r="889" spans="1:10" ht="12.75" hidden="1" customHeight="1" outlineLevel="2">
      <c r="A889" s="1868"/>
      <c r="B889" s="1831"/>
      <c r="C889" s="856" t="s">
        <v>2524</v>
      </c>
      <c r="D889" s="776" t="s">
        <v>2525</v>
      </c>
      <c r="E889" s="1039" t="s">
        <v>1492</v>
      </c>
      <c r="F889" s="1060">
        <v>1</v>
      </c>
      <c r="G889" s="859">
        <v>0</v>
      </c>
      <c r="H889" s="860">
        <v>8101.82</v>
      </c>
      <c r="I889" s="856">
        <v>0</v>
      </c>
      <c r="J889" s="1062">
        <f>(F889*(1+G889/100)) * (H889*(1+I889/100))</f>
        <v>8101.82</v>
      </c>
    </row>
    <row r="890" spans="1:10" ht="12.75" hidden="1" customHeight="1" outlineLevel="2">
      <c r="A890" s="1868"/>
      <c r="B890" s="1831"/>
      <c r="C890" s="856"/>
      <c r="D890" s="856"/>
      <c r="E890" s="857"/>
      <c r="F890" s="858"/>
      <c r="G890" s="859">
        <v>5</v>
      </c>
      <c r="H890" s="860" t="s">
        <v>1514</v>
      </c>
      <c r="I890" s="856"/>
      <c r="J890" s="1062">
        <v>405.09000000000003</v>
      </c>
    </row>
    <row r="891" spans="1:10" ht="12.75" hidden="1" customHeight="1" outlineLevel="2">
      <c r="A891" s="1868"/>
      <c r="B891" s="1831"/>
      <c r="C891" s="1808" t="s">
        <v>1488</v>
      </c>
      <c r="D891" s="1808"/>
      <c r="E891" s="1040" t="s">
        <v>285</v>
      </c>
      <c r="F891" s="583">
        <f>'11. Carpintería en madera'!G6</f>
        <v>15</v>
      </c>
      <c r="G891" s="1040"/>
      <c r="H891" s="1040"/>
      <c r="I891" s="1040">
        <v>0</v>
      </c>
      <c r="J891" s="1062">
        <f>SUM(J881:J890)</f>
        <v>219673.91</v>
      </c>
    </row>
    <row r="892" spans="1:10" hidden="1" outlineLevel="1" collapsed="1">
      <c r="A892" s="1868"/>
      <c r="B892" s="1831"/>
      <c r="C892" s="1836" t="s">
        <v>47</v>
      </c>
      <c r="D892" s="1827"/>
      <c r="E892" s="1827"/>
      <c r="F892" s="1827"/>
      <c r="G892" s="1827"/>
      <c r="H892" s="1827"/>
      <c r="I892" s="1827"/>
      <c r="J892" s="773">
        <f>J891*F891</f>
        <v>3295108.65</v>
      </c>
    </row>
    <row r="893" spans="1:10" hidden="1" outlineLevel="1">
      <c r="A893" s="1868"/>
      <c r="B893" s="1831" t="s">
        <v>1966</v>
      </c>
      <c r="C893" s="1875" t="s">
        <v>2660</v>
      </c>
      <c r="D893" s="1832"/>
      <c r="E893" s="1832"/>
      <c r="F893" s="1832"/>
      <c r="G893" s="1832"/>
      <c r="H893" s="1832"/>
      <c r="I893" s="1832"/>
      <c r="J893" s="1893"/>
    </row>
    <row r="894" spans="1:10" hidden="1" outlineLevel="2">
      <c r="A894" s="1868"/>
      <c r="B894" s="1831"/>
      <c r="C894" s="1040"/>
      <c r="D894" s="1036" t="s">
        <v>2508</v>
      </c>
      <c r="E894" s="1040" t="s">
        <v>1891</v>
      </c>
      <c r="F894" s="1040">
        <v>3</v>
      </c>
      <c r="G894" s="1040"/>
      <c r="H894" s="1040"/>
      <c r="I894" s="1040"/>
      <c r="J894" s="1061">
        <v>5349</v>
      </c>
    </row>
    <row r="895" spans="1:10" hidden="1" outlineLevel="2">
      <c r="A895" s="1868"/>
      <c r="B895" s="1831"/>
      <c r="C895" s="1040"/>
      <c r="D895" s="1036" t="s">
        <v>2509</v>
      </c>
      <c r="E895" s="1040" t="s">
        <v>1897</v>
      </c>
      <c r="F895" s="1040">
        <f>3/2</f>
        <v>1.5</v>
      </c>
      <c r="G895" s="1040"/>
      <c r="H895" s="1040"/>
      <c r="I895" s="1040"/>
      <c r="J895" s="1061">
        <v>67608</v>
      </c>
    </row>
    <row r="896" spans="1:10" hidden="1" outlineLevel="2">
      <c r="A896" s="1868"/>
      <c r="B896" s="1831"/>
      <c r="C896" s="1040"/>
      <c r="D896" s="1036" t="s">
        <v>2510</v>
      </c>
      <c r="E896" s="1040" t="s">
        <v>1891</v>
      </c>
      <c r="F896" s="1040">
        <v>0.2</v>
      </c>
      <c r="G896" s="1040"/>
      <c r="H896" s="1040"/>
      <c r="I896" s="1040"/>
      <c r="J896" s="1061">
        <v>1655</v>
      </c>
    </row>
    <row r="897" spans="1:10" hidden="1" outlineLevel="2">
      <c r="A897" s="1868"/>
      <c r="B897" s="1831"/>
      <c r="C897" s="1040"/>
      <c r="D897" s="1036" t="s">
        <v>2511</v>
      </c>
      <c r="E897" s="1040" t="s">
        <v>1891</v>
      </c>
      <c r="F897" s="1040">
        <v>0.28000000000000003</v>
      </c>
      <c r="G897" s="1040"/>
      <c r="H897" s="1040"/>
      <c r="I897" s="1040"/>
      <c r="J897" s="1061">
        <v>11686</v>
      </c>
    </row>
    <row r="898" spans="1:10" ht="12.75" hidden="1" customHeight="1" outlineLevel="2">
      <c r="A898" s="1868"/>
      <c r="B898" s="1831"/>
      <c r="C898" s="1039"/>
      <c r="D898" s="776" t="s">
        <v>2512</v>
      </c>
      <c r="E898" s="1039" t="s">
        <v>1501</v>
      </c>
      <c r="F898" s="1040">
        <v>0.35</v>
      </c>
      <c r="G898" s="1039"/>
      <c r="H898" s="1039"/>
      <c r="I898" s="1039"/>
      <c r="J898" s="1062">
        <v>805</v>
      </c>
    </row>
    <row r="899" spans="1:10" ht="12.75" hidden="1" customHeight="1" outlineLevel="2">
      <c r="A899" s="1868"/>
      <c r="B899" s="1831"/>
      <c r="C899" s="1039"/>
      <c r="D899" s="776" t="s">
        <v>2513</v>
      </c>
      <c r="E899" s="1039" t="s">
        <v>1891</v>
      </c>
      <c r="F899" s="1040">
        <v>18</v>
      </c>
      <c r="G899" s="1039"/>
      <c r="H899" s="1039"/>
      <c r="I899" s="1039"/>
      <c r="J899" s="1062">
        <v>1170</v>
      </c>
    </row>
    <row r="900" spans="1:10" ht="12.75" hidden="1" customHeight="1" outlineLevel="2">
      <c r="A900" s="1868"/>
      <c r="B900" s="1831"/>
      <c r="C900" s="1039"/>
      <c r="D900" s="776" t="s">
        <v>2514</v>
      </c>
      <c r="E900" s="1039" t="s">
        <v>1891</v>
      </c>
      <c r="F900" s="1060">
        <v>1.5</v>
      </c>
      <c r="G900" s="1039"/>
      <c r="H900" s="1039"/>
      <c r="I900" s="1039"/>
      <c r="J900" s="1062">
        <v>95994</v>
      </c>
    </row>
    <row r="901" spans="1:10" ht="12.75" hidden="1" customHeight="1" outlineLevel="2">
      <c r="A901" s="1868"/>
      <c r="B901" s="1831"/>
      <c r="C901" s="856" t="s">
        <v>2526</v>
      </c>
      <c r="D901" s="776" t="s">
        <v>2527</v>
      </c>
      <c r="E901" s="1039" t="s">
        <v>1492</v>
      </c>
      <c r="F901" s="1060">
        <v>1</v>
      </c>
      <c r="G901" s="859">
        <v>0</v>
      </c>
      <c r="H901" s="860">
        <v>26900</v>
      </c>
      <c r="I901" s="856">
        <v>0</v>
      </c>
      <c r="J901" s="1062">
        <f>(F901*(1+G901/100)) * (H901*(1+I901/100))</f>
        <v>26900</v>
      </c>
    </row>
    <row r="902" spans="1:10" ht="12.75" hidden="1" customHeight="1" outlineLevel="2">
      <c r="A902" s="1868"/>
      <c r="B902" s="1831"/>
      <c r="C902" s="856" t="s">
        <v>2524</v>
      </c>
      <c r="D902" s="776" t="s">
        <v>2525</v>
      </c>
      <c r="E902" s="1039" t="s">
        <v>1492</v>
      </c>
      <c r="F902" s="1060">
        <v>1</v>
      </c>
      <c r="G902" s="859">
        <v>0</v>
      </c>
      <c r="H902" s="860">
        <v>8101.82</v>
      </c>
      <c r="I902" s="856">
        <v>0</v>
      </c>
      <c r="J902" s="1062">
        <f>(F902*(1+G902/100)) * (H902*(1+I902/100))</f>
        <v>8101.82</v>
      </c>
    </row>
    <row r="903" spans="1:10" ht="12.75" hidden="1" customHeight="1" outlineLevel="2">
      <c r="A903" s="1868"/>
      <c r="B903" s="1831"/>
      <c r="C903" s="856"/>
      <c r="D903" s="856"/>
      <c r="E903" s="857"/>
      <c r="F903" s="858"/>
      <c r="G903" s="859">
        <v>5</v>
      </c>
      <c r="H903" s="860" t="s">
        <v>1514</v>
      </c>
      <c r="I903" s="856"/>
      <c r="J903" s="1062">
        <v>405.09000000000003</v>
      </c>
    </row>
    <row r="904" spans="1:10" ht="12.75" hidden="1" customHeight="1" outlineLevel="2">
      <c r="A904" s="1868"/>
      <c r="B904" s="1831"/>
      <c r="C904" s="1808" t="s">
        <v>1488</v>
      </c>
      <c r="D904" s="1808"/>
      <c r="E904" s="1040" t="s">
        <v>285</v>
      </c>
      <c r="F904" s="583">
        <f>'11. Carpintería en madera'!G7</f>
        <v>1</v>
      </c>
      <c r="G904" s="1040"/>
      <c r="H904" s="1040"/>
      <c r="I904" s="1040">
        <v>0</v>
      </c>
      <c r="J904" s="1062">
        <f>SUM(J894:J903)</f>
        <v>219673.91</v>
      </c>
    </row>
    <row r="905" spans="1:10" hidden="1" outlineLevel="1" collapsed="1">
      <c r="A905" s="1868"/>
      <c r="B905" s="1831"/>
      <c r="C905" s="1836" t="s">
        <v>47</v>
      </c>
      <c r="D905" s="1827"/>
      <c r="E905" s="1827"/>
      <c r="F905" s="1827"/>
      <c r="G905" s="1827"/>
      <c r="H905" s="1827"/>
      <c r="I905" s="1827"/>
      <c r="J905" s="773">
        <f>J904*F904</f>
        <v>219673.91</v>
      </c>
    </row>
    <row r="906" spans="1:10" hidden="1" outlineLevel="1">
      <c r="A906" s="1868"/>
      <c r="B906" s="1831" t="s">
        <v>1967</v>
      </c>
      <c r="C906" s="1875" t="s">
        <v>2660</v>
      </c>
      <c r="D906" s="1832"/>
      <c r="E906" s="1832"/>
      <c r="F906" s="1832"/>
      <c r="G906" s="1832"/>
      <c r="H906" s="1832"/>
      <c r="I906" s="1832"/>
      <c r="J906" s="1893"/>
    </row>
    <row r="907" spans="1:10" hidden="1" outlineLevel="2">
      <c r="A907" s="1868"/>
      <c r="B907" s="1831"/>
      <c r="C907" s="1040"/>
      <c r="D907" s="1036" t="s">
        <v>2508</v>
      </c>
      <c r="E907" s="1040" t="s">
        <v>1891</v>
      </c>
      <c r="F907" s="1040">
        <v>3</v>
      </c>
      <c r="G907" s="1040"/>
      <c r="H907" s="1040"/>
      <c r="I907" s="1040"/>
      <c r="J907" s="1061">
        <v>5349</v>
      </c>
    </row>
    <row r="908" spans="1:10" hidden="1" outlineLevel="2">
      <c r="A908" s="1868"/>
      <c r="B908" s="1831"/>
      <c r="C908" s="1040"/>
      <c r="D908" s="1036" t="s">
        <v>2509</v>
      </c>
      <c r="E908" s="1040" t="s">
        <v>1897</v>
      </c>
      <c r="F908" s="1040">
        <f>3/2</f>
        <v>1.5</v>
      </c>
      <c r="G908" s="1040"/>
      <c r="H908" s="1040"/>
      <c r="I908" s="1040"/>
      <c r="J908" s="1061">
        <v>67608</v>
      </c>
    </row>
    <row r="909" spans="1:10" hidden="1" outlineLevel="2">
      <c r="A909" s="1868"/>
      <c r="B909" s="1831"/>
      <c r="C909" s="1040"/>
      <c r="D909" s="1036" t="s">
        <v>2510</v>
      </c>
      <c r="E909" s="1040" t="s">
        <v>1891</v>
      </c>
      <c r="F909" s="1040">
        <v>0.2</v>
      </c>
      <c r="G909" s="1040"/>
      <c r="H909" s="1040"/>
      <c r="I909" s="1040"/>
      <c r="J909" s="1061">
        <v>1655</v>
      </c>
    </row>
    <row r="910" spans="1:10" hidden="1" outlineLevel="2">
      <c r="A910" s="1868"/>
      <c r="B910" s="1831"/>
      <c r="C910" s="1040"/>
      <c r="D910" s="1036" t="s">
        <v>2511</v>
      </c>
      <c r="E910" s="1040" t="s">
        <v>1891</v>
      </c>
      <c r="F910" s="1040">
        <v>0.28000000000000003</v>
      </c>
      <c r="G910" s="1040"/>
      <c r="H910" s="1040"/>
      <c r="I910" s="1040"/>
      <c r="J910" s="1061">
        <v>11686</v>
      </c>
    </row>
    <row r="911" spans="1:10" ht="12.75" hidden="1" customHeight="1" outlineLevel="2">
      <c r="A911" s="1868"/>
      <c r="B911" s="1831"/>
      <c r="C911" s="1039"/>
      <c r="D911" s="776" t="s">
        <v>2512</v>
      </c>
      <c r="E911" s="1039" t="s">
        <v>1501</v>
      </c>
      <c r="F911" s="1040">
        <v>0.35</v>
      </c>
      <c r="G911" s="1039"/>
      <c r="H911" s="1039"/>
      <c r="I911" s="1039"/>
      <c r="J911" s="1062">
        <v>805</v>
      </c>
    </row>
    <row r="912" spans="1:10" ht="12.75" hidden="1" customHeight="1" outlineLevel="2">
      <c r="A912" s="1868"/>
      <c r="B912" s="1831"/>
      <c r="C912" s="1039"/>
      <c r="D912" s="776" t="s">
        <v>2513</v>
      </c>
      <c r="E912" s="1039" t="s">
        <v>1891</v>
      </c>
      <c r="F912" s="1040">
        <v>18</v>
      </c>
      <c r="G912" s="1039"/>
      <c r="H912" s="1039"/>
      <c r="I912" s="1039"/>
      <c r="J912" s="1062">
        <v>1170</v>
      </c>
    </row>
    <row r="913" spans="1:10" ht="12.75" hidden="1" customHeight="1" outlineLevel="2">
      <c r="A913" s="1868"/>
      <c r="B913" s="1831"/>
      <c r="C913" s="1039"/>
      <c r="D913" s="776" t="s">
        <v>2514</v>
      </c>
      <c r="E913" s="1039" t="s">
        <v>1891</v>
      </c>
      <c r="F913" s="1060">
        <v>1.5</v>
      </c>
      <c r="G913" s="1039"/>
      <c r="H913" s="1039"/>
      <c r="I913" s="1039"/>
      <c r="J913" s="1062">
        <v>95994</v>
      </c>
    </row>
    <row r="914" spans="1:10" ht="12.75" hidden="1" customHeight="1" outlineLevel="2">
      <c r="A914" s="1868"/>
      <c r="B914" s="1831"/>
      <c r="C914" s="856" t="s">
        <v>2526</v>
      </c>
      <c r="D914" s="776" t="s">
        <v>2527</v>
      </c>
      <c r="E914" s="1039" t="s">
        <v>1492</v>
      </c>
      <c r="F914" s="1060">
        <v>1</v>
      </c>
      <c r="G914" s="859">
        <v>0</v>
      </c>
      <c r="H914" s="860">
        <v>26900</v>
      </c>
      <c r="I914" s="856">
        <v>0</v>
      </c>
      <c r="J914" s="1062">
        <f>(F914*(1+G914/100)) * (H914*(1+I914/100))</f>
        <v>26900</v>
      </c>
    </row>
    <row r="915" spans="1:10" ht="12.75" hidden="1" customHeight="1" outlineLevel="2">
      <c r="A915" s="1868"/>
      <c r="B915" s="1831"/>
      <c r="C915" s="856" t="s">
        <v>2524</v>
      </c>
      <c r="D915" s="776" t="s">
        <v>2525</v>
      </c>
      <c r="E915" s="1039" t="s">
        <v>1492</v>
      </c>
      <c r="F915" s="1060">
        <v>1</v>
      </c>
      <c r="G915" s="859">
        <v>0</v>
      </c>
      <c r="H915" s="860">
        <v>8101.82</v>
      </c>
      <c r="I915" s="856">
        <v>0</v>
      </c>
      <c r="J915" s="1062">
        <f>(F915*(1+G915/100)) * (H915*(1+I915/100))</f>
        <v>8101.82</v>
      </c>
    </row>
    <row r="916" spans="1:10" ht="12.75" hidden="1" customHeight="1" outlineLevel="2">
      <c r="A916" s="1868"/>
      <c r="B916" s="1831"/>
      <c r="C916" s="856"/>
      <c r="D916" s="856"/>
      <c r="E916" s="857"/>
      <c r="F916" s="858"/>
      <c r="G916" s="859">
        <v>5</v>
      </c>
      <c r="H916" s="860" t="s">
        <v>1514</v>
      </c>
      <c r="I916" s="856"/>
      <c r="J916" s="1062">
        <v>405.09000000000003</v>
      </c>
    </row>
    <row r="917" spans="1:10" ht="12.75" hidden="1" customHeight="1" outlineLevel="2">
      <c r="A917" s="1868"/>
      <c r="B917" s="1831"/>
      <c r="C917" s="1808" t="s">
        <v>1488</v>
      </c>
      <c r="D917" s="1808"/>
      <c r="E917" s="1040" t="s">
        <v>285</v>
      </c>
      <c r="F917" s="583">
        <f>'11. Carpintería en madera'!G8</f>
        <v>4</v>
      </c>
      <c r="G917" s="1040"/>
      <c r="H917" s="1040"/>
      <c r="I917" s="1040">
        <v>0</v>
      </c>
      <c r="J917" s="1062">
        <f>SUM(J907:J916)</f>
        <v>219673.91</v>
      </c>
    </row>
    <row r="918" spans="1:10" hidden="1" outlineLevel="1" collapsed="1">
      <c r="A918" s="1868"/>
      <c r="B918" s="1831"/>
      <c r="C918" s="1836" t="s">
        <v>47</v>
      </c>
      <c r="D918" s="1827"/>
      <c r="E918" s="1827"/>
      <c r="F918" s="1827"/>
      <c r="G918" s="1827"/>
      <c r="H918" s="1827"/>
      <c r="I918" s="1827"/>
      <c r="J918" s="773">
        <f>J917*F917</f>
        <v>878695.64</v>
      </c>
    </row>
    <row r="919" spans="1:10" hidden="1" outlineLevel="1">
      <c r="A919" s="1868"/>
      <c r="B919" s="1831" t="s">
        <v>1968</v>
      </c>
      <c r="C919" s="1875" t="s">
        <v>2661</v>
      </c>
      <c r="D919" s="1832"/>
      <c r="E919" s="1832"/>
      <c r="F919" s="1832"/>
      <c r="G919" s="1832"/>
      <c r="H919" s="1832"/>
      <c r="I919" s="1832"/>
      <c r="J919" s="1893"/>
    </row>
    <row r="920" spans="1:10" hidden="1" outlineLevel="2">
      <c r="A920" s="1868"/>
      <c r="B920" s="1831"/>
      <c r="C920" s="1040"/>
      <c r="D920" s="1036" t="s">
        <v>2508</v>
      </c>
      <c r="E920" s="1040" t="s">
        <v>1891</v>
      </c>
      <c r="F920" s="1040">
        <v>3</v>
      </c>
      <c r="G920" s="1040"/>
      <c r="H920" s="1040"/>
      <c r="I920" s="1040"/>
      <c r="J920" s="1061">
        <v>5349</v>
      </c>
    </row>
    <row r="921" spans="1:10" hidden="1" outlineLevel="2">
      <c r="A921" s="1868"/>
      <c r="B921" s="1831"/>
      <c r="C921" s="1040"/>
      <c r="D921" s="1036" t="s">
        <v>2509</v>
      </c>
      <c r="E921" s="1040" t="s">
        <v>1897</v>
      </c>
      <c r="F921" s="1040">
        <f>3/2</f>
        <v>1.5</v>
      </c>
      <c r="G921" s="1040"/>
      <c r="H921" s="1040"/>
      <c r="I921" s="1040"/>
      <c r="J921" s="1061">
        <v>67608</v>
      </c>
    </row>
    <row r="922" spans="1:10" hidden="1" outlineLevel="2">
      <c r="A922" s="1868"/>
      <c r="B922" s="1831"/>
      <c r="C922" s="1040"/>
      <c r="D922" s="1036" t="s">
        <v>2510</v>
      </c>
      <c r="E922" s="1040" t="s">
        <v>1891</v>
      </c>
      <c r="F922" s="1040">
        <v>0.2</v>
      </c>
      <c r="G922" s="1040"/>
      <c r="H922" s="1040"/>
      <c r="I922" s="1040"/>
      <c r="J922" s="1061">
        <v>1655</v>
      </c>
    </row>
    <row r="923" spans="1:10" hidden="1" outlineLevel="2">
      <c r="A923" s="1868"/>
      <c r="B923" s="1831"/>
      <c r="C923" s="1040"/>
      <c r="D923" s="1036" t="s">
        <v>2511</v>
      </c>
      <c r="E923" s="1040" t="s">
        <v>1891</v>
      </c>
      <c r="F923" s="1040">
        <v>0.28000000000000003</v>
      </c>
      <c r="G923" s="1040"/>
      <c r="H923" s="1040"/>
      <c r="I923" s="1040"/>
      <c r="J923" s="1061">
        <v>11686</v>
      </c>
    </row>
    <row r="924" spans="1:10" ht="12.75" hidden="1" customHeight="1" outlineLevel="2">
      <c r="A924" s="1868"/>
      <c r="B924" s="1831"/>
      <c r="C924" s="1039"/>
      <c r="D924" s="776" t="s">
        <v>2512</v>
      </c>
      <c r="E924" s="1039" t="s">
        <v>1501</v>
      </c>
      <c r="F924" s="1040">
        <v>0.35</v>
      </c>
      <c r="G924" s="1039"/>
      <c r="H924" s="1039"/>
      <c r="I924" s="1039"/>
      <c r="J924" s="1062">
        <v>805</v>
      </c>
    </row>
    <row r="925" spans="1:10" ht="12.75" hidden="1" customHeight="1" outlineLevel="2">
      <c r="A925" s="1868"/>
      <c r="B925" s="1831"/>
      <c r="C925" s="1039"/>
      <c r="D925" s="776" t="s">
        <v>2513</v>
      </c>
      <c r="E925" s="1039" t="s">
        <v>1891</v>
      </c>
      <c r="F925" s="1040">
        <v>18</v>
      </c>
      <c r="G925" s="1039"/>
      <c r="H925" s="1039"/>
      <c r="I925" s="1039"/>
      <c r="J925" s="1062">
        <v>1170</v>
      </c>
    </row>
    <row r="926" spans="1:10" ht="12.75" hidden="1" customHeight="1" outlineLevel="2">
      <c r="A926" s="1868"/>
      <c r="B926" s="1831"/>
      <c r="C926" s="1039"/>
      <c r="D926" s="776" t="s">
        <v>2514</v>
      </c>
      <c r="E926" s="1039" t="s">
        <v>1891</v>
      </c>
      <c r="F926" s="1060">
        <v>1.5</v>
      </c>
      <c r="G926" s="1039"/>
      <c r="H926" s="1039"/>
      <c r="I926" s="1039"/>
      <c r="J926" s="1062">
        <v>95994</v>
      </c>
    </row>
    <row r="927" spans="1:10" ht="12.75" hidden="1" customHeight="1" outlineLevel="2">
      <c r="A927" s="1868"/>
      <c r="B927" s="1831"/>
      <c r="C927" s="856" t="s">
        <v>2526</v>
      </c>
      <c r="D927" s="776" t="s">
        <v>2527</v>
      </c>
      <c r="E927" s="1039" t="s">
        <v>1492</v>
      </c>
      <c r="F927" s="1060">
        <v>1</v>
      </c>
      <c r="G927" s="859">
        <v>0</v>
      </c>
      <c r="H927" s="860">
        <v>26900</v>
      </c>
      <c r="I927" s="856">
        <v>0</v>
      </c>
      <c r="J927" s="1062">
        <f>(F927*(1+G927/100)) * (H927*(1+I927/100))</f>
        <v>26900</v>
      </c>
    </row>
    <row r="928" spans="1:10" ht="12.75" hidden="1" customHeight="1" outlineLevel="2">
      <c r="A928" s="1868"/>
      <c r="B928" s="1831"/>
      <c r="C928" s="856" t="s">
        <v>2524</v>
      </c>
      <c r="D928" s="776" t="s">
        <v>2525</v>
      </c>
      <c r="E928" s="1039" t="s">
        <v>1492</v>
      </c>
      <c r="F928" s="1060">
        <v>1</v>
      </c>
      <c r="G928" s="859">
        <v>0</v>
      </c>
      <c r="H928" s="860">
        <v>8101.82</v>
      </c>
      <c r="I928" s="856">
        <v>0</v>
      </c>
      <c r="J928" s="1062">
        <f>(F928*(1+G928/100)) * (H928*(1+I928/100))</f>
        <v>8101.82</v>
      </c>
    </row>
    <row r="929" spans="1:10" ht="12.75" hidden="1" customHeight="1" outlineLevel="2">
      <c r="A929" s="1868"/>
      <c r="B929" s="1831"/>
      <c r="C929" s="856"/>
      <c r="D929" s="856"/>
      <c r="E929" s="857"/>
      <c r="F929" s="858"/>
      <c r="G929" s="859">
        <v>5</v>
      </c>
      <c r="H929" s="860" t="s">
        <v>1514</v>
      </c>
      <c r="I929" s="856"/>
      <c r="J929" s="1062">
        <v>405.09000000000003</v>
      </c>
    </row>
    <row r="930" spans="1:10" ht="12.75" hidden="1" customHeight="1" outlineLevel="2">
      <c r="A930" s="1868"/>
      <c r="B930" s="1831"/>
      <c r="C930" s="1808" t="s">
        <v>1488</v>
      </c>
      <c r="D930" s="1808"/>
      <c r="E930" s="1040" t="s">
        <v>285</v>
      </c>
      <c r="F930" s="583">
        <f>'11. Carpintería en madera'!G9</f>
        <v>63</v>
      </c>
      <c r="G930" s="1040"/>
      <c r="H930" s="1040"/>
      <c r="I930" s="1040">
        <v>0</v>
      </c>
      <c r="J930" s="1062">
        <f>SUM(J920:J929)</f>
        <v>219673.91</v>
      </c>
    </row>
    <row r="931" spans="1:10" hidden="1" outlineLevel="1" collapsed="1">
      <c r="A931" s="1868"/>
      <c r="B931" s="1831"/>
      <c r="C931" s="1836" t="s">
        <v>47</v>
      </c>
      <c r="D931" s="1827"/>
      <c r="E931" s="1827"/>
      <c r="F931" s="1827"/>
      <c r="G931" s="1827"/>
      <c r="H931" s="1827"/>
      <c r="I931" s="1827"/>
      <c r="J931" s="773">
        <f>J930*F930</f>
        <v>13839456.33</v>
      </c>
    </row>
    <row r="932" spans="1:10" hidden="1" outlineLevel="1">
      <c r="A932" s="1868"/>
      <c r="B932" s="1831" t="s">
        <v>1969</v>
      </c>
      <c r="C932" s="1875" t="s">
        <v>2662</v>
      </c>
      <c r="D932" s="1832"/>
      <c r="E932" s="1832"/>
      <c r="F932" s="1832"/>
      <c r="G932" s="1832"/>
      <c r="H932" s="1832"/>
      <c r="I932" s="1832"/>
      <c r="J932" s="1893"/>
    </row>
    <row r="933" spans="1:10" hidden="1" outlineLevel="2">
      <c r="A933" s="1868"/>
      <c r="B933" s="1831"/>
      <c r="C933" s="1040"/>
      <c r="D933" s="1036" t="s">
        <v>2508</v>
      </c>
      <c r="E933" s="1040" t="s">
        <v>1891</v>
      </c>
      <c r="F933" s="1040">
        <v>3</v>
      </c>
      <c r="G933" s="1040"/>
      <c r="H933" s="1040"/>
      <c r="I933" s="1040"/>
      <c r="J933" s="1061">
        <v>5349</v>
      </c>
    </row>
    <row r="934" spans="1:10" hidden="1" outlineLevel="2">
      <c r="A934" s="1868"/>
      <c r="B934" s="1831"/>
      <c r="C934" s="1040"/>
      <c r="D934" s="1036" t="s">
        <v>2509</v>
      </c>
      <c r="E934" s="1040" t="s">
        <v>1897</v>
      </c>
      <c r="F934" s="1040">
        <f>3/2</f>
        <v>1.5</v>
      </c>
      <c r="G934" s="1040"/>
      <c r="H934" s="1040"/>
      <c r="I934" s="1040"/>
      <c r="J934" s="1061">
        <v>67608</v>
      </c>
    </row>
    <row r="935" spans="1:10" hidden="1" outlineLevel="2">
      <c r="A935" s="1868"/>
      <c r="B935" s="1831"/>
      <c r="C935" s="1040"/>
      <c r="D935" s="1036" t="s">
        <v>2510</v>
      </c>
      <c r="E935" s="1040" t="s">
        <v>1891</v>
      </c>
      <c r="F935" s="1040">
        <v>0.2</v>
      </c>
      <c r="G935" s="1040"/>
      <c r="H935" s="1040"/>
      <c r="I935" s="1040"/>
      <c r="J935" s="1061">
        <v>1655</v>
      </c>
    </row>
    <row r="936" spans="1:10" hidden="1" outlineLevel="2">
      <c r="A936" s="1868"/>
      <c r="B936" s="1831"/>
      <c r="C936" s="1040"/>
      <c r="D936" s="1036" t="s">
        <v>2511</v>
      </c>
      <c r="E936" s="1040" t="s">
        <v>1891</v>
      </c>
      <c r="F936" s="1040">
        <v>0.28000000000000003</v>
      </c>
      <c r="G936" s="1040"/>
      <c r="H936" s="1040"/>
      <c r="I936" s="1040"/>
      <c r="J936" s="1061">
        <v>11686</v>
      </c>
    </row>
    <row r="937" spans="1:10" ht="12.75" hidden="1" customHeight="1" outlineLevel="2">
      <c r="A937" s="1868"/>
      <c r="B937" s="1831"/>
      <c r="C937" s="1039"/>
      <c r="D937" s="776" t="s">
        <v>2512</v>
      </c>
      <c r="E937" s="1039" t="s">
        <v>1501</v>
      </c>
      <c r="F937" s="1040">
        <v>0.35</v>
      </c>
      <c r="G937" s="1039"/>
      <c r="H937" s="1039"/>
      <c r="I937" s="1039"/>
      <c r="J937" s="1062">
        <v>805</v>
      </c>
    </row>
    <row r="938" spans="1:10" ht="12.75" hidden="1" customHeight="1" outlineLevel="2">
      <c r="A938" s="1868"/>
      <c r="B938" s="1831"/>
      <c r="C938" s="1039"/>
      <c r="D938" s="776" t="s">
        <v>2513</v>
      </c>
      <c r="E938" s="1039" t="s">
        <v>1891</v>
      </c>
      <c r="F938" s="1040">
        <v>18</v>
      </c>
      <c r="G938" s="1039"/>
      <c r="H938" s="1039"/>
      <c r="I938" s="1039"/>
      <c r="J938" s="1062">
        <v>1170</v>
      </c>
    </row>
    <row r="939" spans="1:10" ht="12.75" hidden="1" customHeight="1" outlineLevel="2">
      <c r="A939" s="1868"/>
      <c r="B939" s="1831"/>
      <c r="C939" s="1039"/>
      <c r="D939" s="776" t="s">
        <v>2514</v>
      </c>
      <c r="E939" s="1039" t="s">
        <v>1891</v>
      </c>
      <c r="F939" s="1060">
        <v>1.5</v>
      </c>
      <c r="G939" s="1039"/>
      <c r="H939" s="1039"/>
      <c r="I939" s="1039"/>
      <c r="J939" s="1062">
        <v>95994</v>
      </c>
    </row>
    <row r="940" spans="1:10" ht="12.75" hidden="1" customHeight="1" outlineLevel="2">
      <c r="A940" s="1868"/>
      <c r="B940" s="1831"/>
      <c r="C940" s="856" t="s">
        <v>2526</v>
      </c>
      <c r="D940" s="776" t="s">
        <v>2527</v>
      </c>
      <c r="E940" s="1039" t="s">
        <v>1492</v>
      </c>
      <c r="F940" s="1060">
        <v>1</v>
      </c>
      <c r="G940" s="859">
        <v>0</v>
      </c>
      <c r="H940" s="860">
        <v>26900</v>
      </c>
      <c r="I940" s="856">
        <v>0</v>
      </c>
      <c r="J940" s="1062">
        <f>(F940*(1+G940/100)) * (H940*(1+I940/100))</f>
        <v>26900</v>
      </c>
    </row>
    <row r="941" spans="1:10" ht="12.75" hidden="1" customHeight="1" outlineLevel="2">
      <c r="A941" s="1868"/>
      <c r="B941" s="1831"/>
      <c r="C941" s="856" t="s">
        <v>2524</v>
      </c>
      <c r="D941" s="776" t="s">
        <v>2525</v>
      </c>
      <c r="E941" s="1039" t="s">
        <v>1492</v>
      </c>
      <c r="F941" s="1060">
        <v>1</v>
      </c>
      <c r="G941" s="859">
        <v>0</v>
      </c>
      <c r="H941" s="860">
        <v>8101.82</v>
      </c>
      <c r="I941" s="856">
        <v>0</v>
      </c>
      <c r="J941" s="1062">
        <f>(F941*(1+G941/100)) * (H941*(1+I941/100))</f>
        <v>8101.82</v>
      </c>
    </row>
    <row r="942" spans="1:10" ht="12.75" hidden="1" customHeight="1" outlineLevel="2">
      <c r="A942" s="1868"/>
      <c r="B942" s="1831"/>
      <c r="C942" s="856"/>
      <c r="D942" s="856"/>
      <c r="E942" s="857"/>
      <c r="F942" s="858"/>
      <c r="G942" s="859">
        <v>5</v>
      </c>
      <c r="H942" s="860" t="s">
        <v>1514</v>
      </c>
      <c r="I942" s="856"/>
      <c r="J942" s="1062">
        <v>405.09000000000003</v>
      </c>
    </row>
    <row r="943" spans="1:10" ht="12.75" hidden="1" customHeight="1" outlineLevel="2">
      <c r="A943" s="1868"/>
      <c r="B943" s="1831"/>
      <c r="C943" s="1808" t="s">
        <v>1488</v>
      </c>
      <c r="D943" s="1808"/>
      <c r="E943" s="1040" t="s">
        <v>285</v>
      </c>
      <c r="F943" s="583">
        <f>'11. Carpintería en madera'!G10</f>
        <v>1</v>
      </c>
      <c r="G943" s="1040"/>
      <c r="H943" s="1040"/>
      <c r="I943" s="1040">
        <v>0</v>
      </c>
      <c r="J943" s="1062">
        <f>SUM(J933:J942)</f>
        <v>219673.91</v>
      </c>
    </row>
    <row r="944" spans="1:10" hidden="1" outlineLevel="1" collapsed="1">
      <c r="A944" s="1868"/>
      <c r="B944" s="1831"/>
      <c r="C944" s="1836" t="s">
        <v>47</v>
      </c>
      <c r="D944" s="1827"/>
      <c r="E944" s="1827"/>
      <c r="F944" s="1827"/>
      <c r="G944" s="1827"/>
      <c r="H944" s="1827"/>
      <c r="I944" s="1827"/>
      <c r="J944" s="773">
        <f>J943*F943</f>
        <v>219673.91</v>
      </c>
    </row>
    <row r="945" spans="1:10" hidden="1" outlineLevel="1">
      <c r="A945" s="1868"/>
      <c r="B945" s="1831" t="s">
        <v>1970</v>
      </c>
      <c r="C945" s="1875" t="s">
        <v>2663</v>
      </c>
      <c r="D945" s="1832"/>
      <c r="E945" s="1832"/>
      <c r="F945" s="1832"/>
      <c r="G945" s="1832"/>
      <c r="H945" s="1832"/>
      <c r="I945" s="1832"/>
      <c r="J945" s="1893"/>
    </row>
    <row r="946" spans="1:10" hidden="1" outlineLevel="2">
      <c r="A946" s="1868"/>
      <c r="B946" s="1831"/>
      <c r="C946" s="1040"/>
      <c r="D946" s="1036" t="s">
        <v>2509</v>
      </c>
      <c r="E946" s="1040" t="s">
        <v>1897</v>
      </c>
      <c r="F946" s="1040">
        <v>0.7</v>
      </c>
      <c r="G946" s="1040"/>
      <c r="H946" s="1040"/>
      <c r="I946" s="1040"/>
      <c r="J946" s="1061">
        <v>15775</v>
      </c>
    </row>
    <row r="947" spans="1:10" hidden="1" outlineLevel="2">
      <c r="A947" s="1868"/>
      <c r="B947" s="1831"/>
      <c r="C947" s="1040"/>
      <c r="D947" s="1036" t="s">
        <v>2515</v>
      </c>
      <c r="E947" s="1040" t="s">
        <v>1891</v>
      </c>
      <c r="F947" s="1040">
        <v>1</v>
      </c>
      <c r="G947" s="1040"/>
      <c r="H947" s="1040"/>
      <c r="I947" s="1040"/>
      <c r="J947" s="1061">
        <v>156900</v>
      </c>
    </row>
    <row r="948" spans="1:10" hidden="1" outlineLevel="2">
      <c r="A948" s="1868"/>
      <c r="B948" s="1831"/>
      <c r="C948" s="1040"/>
      <c r="D948" s="1036" t="s">
        <v>2516</v>
      </c>
      <c r="E948" s="1040" t="s">
        <v>1893</v>
      </c>
      <c r="F948" s="1040">
        <v>0.04</v>
      </c>
      <c r="G948" s="1040"/>
      <c r="H948" s="1040"/>
      <c r="I948" s="1040"/>
      <c r="J948" s="1061">
        <v>1472</v>
      </c>
    </row>
    <row r="949" spans="1:10" hidden="1" outlineLevel="2">
      <c r="A949" s="1868"/>
      <c r="B949" s="1831"/>
      <c r="C949" s="1040"/>
      <c r="D949" s="1036" t="s">
        <v>2517</v>
      </c>
      <c r="E949" s="1040" t="s">
        <v>1891</v>
      </c>
      <c r="F949" s="1040">
        <v>3</v>
      </c>
      <c r="G949" s="1040"/>
      <c r="H949" s="1040"/>
      <c r="I949" s="1040"/>
      <c r="J949" s="1061">
        <v>7449</v>
      </c>
    </row>
    <row r="950" spans="1:10" hidden="1" outlineLevel="2">
      <c r="A950" s="1868"/>
      <c r="B950" s="1831"/>
      <c r="C950" s="1040"/>
      <c r="D950" s="1036" t="s">
        <v>2519</v>
      </c>
      <c r="E950" s="1040" t="s">
        <v>2518</v>
      </c>
      <c r="F950" s="1040">
        <v>0.4</v>
      </c>
      <c r="G950" s="1040"/>
      <c r="H950" s="1040"/>
      <c r="I950" s="1040"/>
      <c r="J950" s="1061">
        <v>27534</v>
      </c>
    </row>
    <row r="951" spans="1:10" hidden="1" outlineLevel="2">
      <c r="A951" s="1868"/>
      <c r="B951" s="1831"/>
      <c r="C951" s="1040"/>
      <c r="D951" s="1036" t="s">
        <v>2520</v>
      </c>
      <c r="E951" s="1040" t="s">
        <v>1891</v>
      </c>
      <c r="F951" s="1040">
        <v>0.4</v>
      </c>
      <c r="G951" s="1040"/>
      <c r="H951" s="1040"/>
      <c r="I951" s="1040"/>
      <c r="J951" s="1061">
        <v>27571</v>
      </c>
    </row>
    <row r="952" spans="1:10" hidden="1" outlineLevel="2">
      <c r="A952" s="1868"/>
      <c r="B952" s="1831"/>
      <c r="C952" s="1040"/>
      <c r="D952" s="1036" t="s">
        <v>2521</v>
      </c>
      <c r="E952" s="1040" t="s">
        <v>39</v>
      </c>
      <c r="F952" s="1040">
        <v>0.08</v>
      </c>
      <c r="G952" s="1040"/>
      <c r="H952" s="1040"/>
      <c r="I952" s="1040"/>
      <c r="J952" s="1061">
        <v>579</v>
      </c>
    </row>
    <row r="953" spans="1:10" hidden="1" outlineLevel="2">
      <c r="A953" s="1868"/>
      <c r="B953" s="1831"/>
      <c r="C953" s="856" t="s">
        <v>2522</v>
      </c>
      <c r="D953" s="1036" t="s">
        <v>2523</v>
      </c>
      <c r="E953" s="1040" t="s">
        <v>1492</v>
      </c>
      <c r="F953" s="1040">
        <v>1</v>
      </c>
      <c r="G953" s="859">
        <v>0</v>
      </c>
      <c r="H953" s="860">
        <v>22900</v>
      </c>
      <c r="I953" s="856">
        <v>0</v>
      </c>
      <c r="J953" s="1061">
        <f>(F953*(1+G953/100)) * (H953*(1+I953/100))</f>
        <v>22900</v>
      </c>
    </row>
    <row r="954" spans="1:10" hidden="1" outlineLevel="2">
      <c r="A954" s="1868"/>
      <c r="B954" s="1831"/>
      <c r="C954" s="856" t="s">
        <v>2524</v>
      </c>
      <c r="D954" s="1036" t="s">
        <v>2525</v>
      </c>
      <c r="E954" s="1040" t="s">
        <v>1492</v>
      </c>
      <c r="F954" s="1040">
        <v>1</v>
      </c>
      <c r="G954" s="859">
        <v>0</v>
      </c>
      <c r="H954" s="860">
        <v>8101.82</v>
      </c>
      <c r="I954" s="856">
        <v>0</v>
      </c>
      <c r="J954" s="1061">
        <f>(F954*(1+G954/100)) * (H954*(1+I954/100))</f>
        <v>8101.82</v>
      </c>
    </row>
    <row r="955" spans="1:10" hidden="1" outlineLevel="2">
      <c r="A955" s="1868"/>
      <c r="B955" s="1831"/>
      <c r="C955" s="856"/>
      <c r="D955" s="856"/>
      <c r="E955" s="1040"/>
      <c r="F955" s="858"/>
      <c r="G955" s="859">
        <v>5</v>
      </c>
      <c r="H955" s="860" t="s">
        <v>1514</v>
      </c>
      <c r="I955" s="856"/>
      <c r="J955" s="1061">
        <v>405.09</v>
      </c>
    </row>
    <row r="956" spans="1:10" ht="12.75" hidden="1" customHeight="1" outlineLevel="2">
      <c r="A956" s="1868"/>
      <c r="B956" s="1831"/>
      <c r="C956" s="1808" t="s">
        <v>1488</v>
      </c>
      <c r="D956" s="1808"/>
      <c r="E956" s="1040" t="s">
        <v>285</v>
      </c>
      <c r="F956" s="583">
        <f>'11. Carpintería en madera'!G11</f>
        <v>1</v>
      </c>
      <c r="G956" s="1040"/>
      <c r="H956" s="1040"/>
      <c r="I956" s="1040">
        <v>0</v>
      </c>
      <c r="J956" s="1062">
        <f>SUM(J946:J955)</f>
        <v>268686.91000000003</v>
      </c>
    </row>
    <row r="957" spans="1:10" hidden="1" outlineLevel="1" collapsed="1">
      <c r="A957" s="1868"/>
      <c r="B957" s="1831"/>
      <c r="C957" s="1836" t="s">
        <v>47</v>
      </c>
      <c r="D957" s="1827"/>
      <c r="E957" s="1827"/>
      <c r="F957" s="1827"/>
      <c r="G957" s="1827"/>
      <c r="H957" s="1827"/>
      <c r="I957" s="1827"/>
      <c r="J957" s="773">
        <f>J956*F956</f>
        <v>268686.91000000003</v>
      </c>
    </row>
    <row r="958" spans="1:10" hidden="1" outlineLevel="1">
      <c r="A958" s="1868"/>
      <c r="B958" s="1831" t="s">
        <v>1936</v>
      </c>
      <c r="C958" s="1875" t="s">
        <v>2664</v>
      </c>
      <c r="D958" s="1832"/>
      <c r="E958" s="1832"/>
      <c r="F958" s="1832"/>
      <c r="G958" s="1832"/>
      <c r="H958" s="1832"/>
      <c r="I958" s="1832"/>
      <c r="J958" s="1893"/>
    </row>
    <row r="959" spans="1:10" hidden="1" outlineLevel="2">
      <c r="A959" s="1868"/>
      <c r="B959" s="1831"/>
      <c r="C959" s="1040"/>
      <c r="D959" s="1036" t="s">
        <v>2509</v>
      </c>
      <c r="E959" s="1040" t="s">
        <v>1897</v>
      </c>
      <c r="F959" s="1040">
        <v>0.7</v>
      </c>
      <c r="G959" s="1040"/>
      <c r="H959" s="1040"/>
      <c r="I959" s="1040"/>
      <c r="J959" s="1061">
        <v>15775</v>
      </c>
    </row>
    <row r="960" spans="1:10" hidden="1" outlineLevel="2">
      <c r="A960" s="1868"/>
      <c r="B960" s="1831"/>
      <c r="C960" s="1040"/>
      <c r="D960" s="1036" t="s">
        <v>2515</v>
      </c>
      <c r="E960" s="1040" t="s">
        <v>1891</v>
      </c>
      <c r="F960" s="1040">
        <v>1</v>
      </c>
      <c r="G960" s="1040"/>
      <c r="H960" s="1040"/>
      <c r="I960" s="1040"/>
      <c r="J960" s="1061">
        <v>156900</v>
      </c>
    </row>
    <row r="961" spans="1:10" hidden="1" outlineLevel="2">
      <c r="A961" s="1868"/>
      <c r="B961" s="1831"/>
      <c r="C961" s="1040"/>
      <c r="D961" s="1036" t="s">
        <v>2516</v>
      </c>
      <c r="E961" s="1040" t="s">
        <v>1893</v>
      </c>
      <c r="F961" s="1040">
        <v>0.04</v>
      </c>
      <c r="G961" s="1040"/>
      <c r="H961" s="1040"/>
      <c r="I961" s="1040"/>
      <c r="J961" s="1061">
        <v>1472</v>
      </c>
    </row>
    <row r="962" spans="1:10" hidden="1" outlineLevel="2">
      <c r="A962" s="1868"/>
      <c r="B962" s="1831"/>
      <c r="C962" s="1040"/>
      <c r="D962" s="1036" t="s">
        <v>2517</v>
      </c>
      <c r="E962" s="1040" t="s">
        <v>1891</v>
      </c>
      <c r="F962" s="1040">
        <v>3</v>
      </c>
      <c r="G962" s="1040"/>
      <c r="H962" s="1040"/>
      <c r="I962" s="1040"/>
      <c r="J962" s="1061">
        <v>7449</v>
      </c>
    </row>
    <row r="963" spans="1:10" hidden="1" outlineLevel="2">
      <c r="A963" s="1868"/>
      <c r="B963" s="1831"/>
      <c r="C963" s="1040"/>
      <c r="D963" s="1036" t="s">
        <v>2519</v>
      </c>
      <c r="E963" s="1040" t="s">
        <v>2518</v>
      </c>
      <c r="F963" s="1040">
        <v>0.4</v>
      </c>
      <c r="G963" s="1040"/>
      <c r="H963" s="1040"/>
      <c r="I963" s="1040"/>
      <c r="J963" s="1061">
        <v>27534</v>
      </c>
    </row>
    <row r="964" spans="1:10" hidden="1" outlineLevel="2">
      <c r="A964" s="1868"/>
      <c r="B964" s="1831"/>
      <c r="C964" s="1040"/>
      <c r="D964" s="1036" t="s">
        <v>2520</v>
      </c>
      <c r="E964" s="1040" t="s">
        <v>1891</v>
      </c>
      <c r="F964" s="1040">
        <v>0.4</v>
      </c>
      <c r="G964" s="1040"/>
      <c r="H964" s="1040"/>
      <c r="I964" s="1040"/>
      <c r="J964" s="1061">
        <v>27571</v>
      </c>
    </row>
    <row r="965" spans="1:10" hidden="1" outlineLevel="2">
      <c r="A965" s="1868"/>
      <c r="B965" s="1831"/>
      <c r="C965" s="1040"/>
      <c r="D965" s="1036" t="s">
        <v>2521</v>
      </c>
      <c r="E965" s="1040" t="s">
        <v>39</v>
      </c>
      <c r="F965" s="1040">
        <v>0.08</v>
      </c>
      <c r="G965" s="1040"/>
      <c r="H965" s="1040"/>
      <c r="I965" s="1040"/>
      <c r="J965" s="1061">
        <v>579</v>
      </c>
    </row>
    <row r="966" spans="1:10" hidden="1" outlineLevel="2">
      <c r="A966" s="1868"/>
      <c r="B966" s="1831"/>
      <c r="C966" s="856" t="s">
        <v>2522</v>
      </c>
      <c r="D966" s="1036" t="s">
        <v>2523</v>
      </c>
      <c r="E966" s="1040" t="s">
        <v>1492</v>
      </c>
      <c r="F966" s="1040">
        <v>1</v>
      </c>
      <c r="G966" s="859">
        <v>0</v>
      </c>
      <c r="H966" s="860">
        <v>22900</v>
      </c>
      <c r="I966" s="856">
        <v>0</v>
      </c>
      <c r="J966" s="1061">
        <f>(F966*(1+G966/100)) * (H966*(1+I966/100))</f>
        <v>22900</v>
      </c>
    </row>
    <row r="967" spans="1:10" hidden="1" outlineLevel="2">
      <c r="A967" s="1868"/>
      <c r="B967" s="1831"/>
      <c r="C967" s="856" t="s">
        <v>2524</v>
      </c>
      <c r="D967" s="1036" t="s">
        <v>2525</v>
      </c>
      <c r="E967" s="1040" t="s">
        <v>1492</v>
      </c>
      <c r="F967" s="1040">
        <v>1</v>
      </c>
      <c r="G967" s="859">
        <v>0</v>
      </c>
      <c r="H967" s="860">
        <v>8101.82</v>
      </c>
      <c r="I967" s="856">
        <v>0</v>
      </c>
      <c r="J967" s="1061">
        <f>(F967*(1+G967/100)) * (H967*(1+I967/100))</f>
        <v>8101.82</v>
      </c>
    </row>
    <row r="968" spans="1:10" hidden="1" outlineLevel="2">
      <c r="A968" s="1868"/>
      <c r="B968" s="1831"/>
      <c r="C968" s="856"/>
      <c r="D968" s="856"/>
      <c r="E968" s="1040"/>
      <c r="F968" s="858"/>
      <c r="G968" s="859">
        <v>5</v>
      </c>
      <c r="H968" s="860" t="s">
        <v>1514</v>
      </c>
      <c r="I968" s="856"/>
      <c r="J968" s="1061">
        <v>405.09</v>
      </c>
    </row>
    <row r="969" spans="1:10" ht="12.75" hidden="1" customHeight="1" outlineLevel="2">
      <c r="A969" s="1868"/>
      <c r="B969" s="1831"/>
      <c r="C969" s="1808" t="s">
        <v>1488</v>
      </c>
      <c r="D969" s="1808"/>
      <c r="E969" s="1040" t="s">
        <v>285</v>
      </c>
      <c r="F969" s="583">
        <f>'11. Carpintería en madera'!G12</f>
        <v>1</v>
      </c>
      <c r="G969" s="1040"/>
      <c r="H969" s="1040"/>
      <c r="I969" s="1040">
        <v>0</v>
      </c>
      <c r="J969" s="1062">
        <f>SUM(J959:J968)</f>
        <v>268686.91000000003</v>
      </c>
    </row>
    <row r="970" spans="1:10" hidden="1" outlineLevel="1" collapsed="1">
      <c r="A970" s="1868"/>
      <c r="B970" s="1831"/>
      <c r="C970" s="1836" t="s">
        <v>47</v>
      </c>
      <c r="D970" s="1827"/>
      <c r="E970" s="1827"/>
      <c r="F970" s="1827"/>
      <c r="G970" s="1827"/>
      <c r="H970" s="1827"/>
      <c r="I970" s="1827"/>
      <c r="J970" s="773">
        <f>J969*F969</f>
        <v>268686.91000000003</v>
      </c>
    </row>
    <row r="971" spans="1:10" hidden="1" outlineLevel="1">
      <c r="A971" s="1868"/>
      <c r="B971" s="1831" t="s">
        <v>1971</v>
      </c>
      <c r="C971" s="1875" t="s">
        <v>2665</v>
      </c>
      <c r="D971" s="1832"/>
      <c r="E971" s="1832"/>
      <c r="F971" s="1832"/>
      <c r="G971" s="1832"/>
      <c r="H971" s="1832"/>
      <c r="I971" s="1832"/>
      <c r="J971" s="1893"/>
    </row>
    <row r="972" spans="1:10" hidden="1" outlineLevel="2">
      <c r="A972" s="1868"/>
      <c r="B972" s="1831"/>
      <c r="C972" s="1040"/>
      <c r="D972" s="1036" t="s">
        <v>2509</v>
      </c>
      <c r="E972" s="1040" t="s">
        <v>1897</v>
      </c>
      <c r="F972" s="1040">
        <v>0.7</v>
      </c>
      <c r="G972" s="1040"/>
      <c r="H972" s="1040"/>
      <c r="I972" s="1040"/>
      <c r="J972" s="1061">
        <v>15775</v>
      </c>
    </row>
    <row r="973" spans="1:10" hidden="1" outlineLevel="2">
      <c r="A973" s="1868"/>
      <c r="B973" s="1831"/>
      <c r="C973" s="1040"/>
      <c r="D973" s="1036" t="s">
        <v>2515</v>
      </c>
      <c r="E973" s="1040" t="s">
        <v>1891</v>
      </c>
      <c r="F973" s="1040">
        <v>1</v>
      </c>
      <c r="G973" s="1040"/>
      <c r="H973" s="1040"/>
      <c r="I973" s="1040"/>
      <c r="J973" s="1061">
        <v>156900</v>
      </c>
    </row>
    <row r="974" spans="1:10" hidden="1" outlineLevel="2">
      <c r="A974" s="1868"/>
      <c r="B974" s="1831"/>
      <c r="C974" s="1040"/>
      <c r="D974" s="1036" t="s">
        <v>2516</v>
      </c>
      <c r="E974" s="1040" t="s">
        <v>1893</v>
      </c>
      <c r="F974" s="1040">
        <v>0.04</v>
      </c>
      <c r="G974" s="1040"/>
      <c r="H974" s="1040"/>
      <c r="I974" s="1040"/>
      <c r="J974" s="1061">
        <v>1472</v>
      </c>
    </row>
    <row r="975" spans="1:10" hidden="1" outlineLevel="2">
      <c r="A975" s="1868"/>
      <c r="B975" s="1831"/>
      <c r="C975" s="1040"/>
      <c r="D975" s="1036" t="s">
        <v>2517</v>
      </c>
      <c r="E975" s="1040" t="s">
        <v>1891</v>
      </c>
      <c r="F975" s="1040">
        <v>3</v>
      </c>
      <c r="G975" s="1040"/>
      <c r="H975" s="1040"/>
      <c r="I975" s="1040"/>
      <c r="J975" s="1061">
        <v>7449</v>
      </c>
    </row>
    <row r="976" spans="1:10" hidden="1" outlineLevel="2">
      <c r="A976" s="1868"/>
      <c r="B976" s="1831"/>
      <c r="C976" s="1040"/>
      <c r="D976" s="1036" t="s">
        <v>2519</v>
      </c>
      <c r="E976" s="1040" t="s">
        <v>2518</v>
      </c>
      <c r="F976" s="1040">
        <v>0.4</v>
      </c>
      <c r="G976" s="1040"/>
      <c r="H976" s="1040"/>
      <c r="I976" s="1040"/>
      <c r="J976" s="1061">
        <v>27534</v>
      </c>
    </row>
    <row r="977" spans="1:10" hidden="1" outlineLevel="2">
      <c r="A977" s="1868"/>
      <c r="B977" s="1831"/>
      <c r="C977" s="1040"/>
      <c r="D977" s="1036" t="s">
        <v>2520</v>
      </c>
      <c r="E977" s="1040" t="s">
        <v>1891</v>
      </c>
      <c r="F977" s="1040">
        <v>0.4</v>
      </c>
      <c r="G977" s="1040"/>
      <c r="H977" s="1040"/>
      <c r="I977" s="1040"/>
      <c r="J977" s="1061">
        <v>27571</v>
      </c>
    </row>
    <row r="978" spans="1:10" hidden="1" outlineLevel="2">
      <c r="A978" s="1868"/>
      <c r="B978" s="1831"/>
      <c r="C978" s="1040"/>
      <c r="D978" s="1036" t="s">
        <v>2521</v>
      </c>
      <c r="E978" s="1040" t="s">
        <v>39</v>
      </c>
      <c r="F978" s="1040">
        <v>0.08</v>
      </c>
      <c r="G978" s="1040"/>
      <c r="H978" s="1040"/>
      <c r="I978" s="1040"/>
      <c r="J978" s="1061">
        <v>579</v>
      </c>
    </row>
    <row r="979" spans="1:10" hidden="1" outlineLevel="2">
      <c r="A979" s="1868"/>
      <c r="B979" s="1831"/>
      <c r="C979" s="856" t="s">
        <v>2522</v>
      </c>
      <c r="D979" s="1036" t="s">
        <v>2523</v>
      </c>
      <c r="E979" s="1040" t="s">
        <v>1492</v>
      </c>
      <c r="F979" s="1040">
        <v>1</v>
      </c>
      <c r="G979" s="859">
        <v>0</v>
      </c>
      <c r="H979" s="860">
        <v>22900</v>
      </c>
      <c r="I979" s="856">
        <v>0</v>
      </c>
      <c r="J979" s="1061">
        <f>(F979*(1+G979/100)) * (H979*(1+I979/100))</f>
        <v>22900</v>
      </c>
    </row>
    <row r="980" spans="1:10" hidden="1" outlineLevel="2">
      <c r="A980" s="1868"/>
      <c r="B980" s="1831"/>
      <c r="C980" s="856" t="s">
        <v>2524</v>
      </c>
      <c r="D980" s="1036" t="s">
        <v>2525</v>
      </c>
      <c r="E980" s="1040" t="s">
        <v>1492</v>
      </c>
      <c r="F980" s="1040">
        <v>1</v>
      </c>
      <c r="G980" s="859">
        <v>0</v>
      </c>
      <c r="H980" s="860">
        <v>8101.82</v>
      </c>
      <c r="I980" s="856">
        <v>0</v>
      </c>
      <c r="J980" s="1061">
        <f>(F980*(1+G980/100)) * (H980*(1+I980/100))</f>
        <v>8101.82</v>
      </c>
    </row>
    <row r="981" spans="1:10" ht="12.75" hidden="1" customHeight="1" outlineLevel="2">
      <c r="A981" s="1868"/>
      <c r="B981" s="1831"/>
      <c r="C981" s="1808" t="s">
        <v>1488</v>
      </c>
      <c r="D981" s="1808"/>
      <c r="E981" s="1040" t="s">
        <v>285</v>
      </c>
      <c r="F981" s="583">
        <f>'11. Carpintería en madera'!G13</f>
        <v>5</v>
      </c>
      <c r="G981" s="1040"/>
      <c r="H981" s="1040"/>
      <c r="I981" s="1040">
        <v>0</v>
      </c>
      <c r="J981" s="1062">
        <f>SUM(J972:J980)</f>
        <v>268281.82</v>
      </c>
    </row>
    <row r="982" spans="1:10" hidden="1" outlineLevel="1" collapsed="1">
      <c r="A982" s="1868"/>
      <c r="B982" s="1831"/>
      <c r="C982" s="1836" t="s">
        <v>47</v>
      </c>
      <c r="D982" s="1827"/>
      <c r="E982" s="1827"/>
      <c r="F982" s="1827"/>
      <c r="G982" s="1827"/>
      <c r="H982" s="1827"/>
      <c r="I982" s="1827"/>
      <c r="J982" s="773">
        <f>J981*F981</f>
        <v>1341409.1000000001</v>
      </c>
    </row>
    <row r="983" spans="1:10" hidden="1" outlineLevel="1">
      <c r="A983" s="1868"/>
      <c r="B983" s="1831" t="s">
        <v>1972</v>
      </c>
      <c r="C983" s="1875" t="s">
        <v>2666</v>
      </c>
      <c r="D983" s="1832"/>
      <c r="E983" s="1832"/>
      <c r="F983" s="1832"/>
      <c r="G983" s="1832"/>
      <c r="H983" s="1832"/>
      <c r="I983" s="1832"/>
      <c r="J983" s="1893"/>
    </row>
    <row r="984" spans="1:10" hidden="1" outlineLevel="2">
      <c r="A984" s="1868"/>
      <c r="B984" s="1831"/>
      <c r="C984" s="1040"/>
      <c r="D984" s="1036" t="s">
        <v>2509</v>
      </c>
      <c r="E984" s="1040" t="s">
        <v>1897</v>
      </c>
      <c r="F984" s="1040">
        <v>0.7</v>
      </c>
      <c r="G984" s="1040"/>
      <c r="H984" s="1040"/>
      <c r="I984" s="1040"/>
      <c r="J984" s="1061">
        <v>15775</v>
      </c>
    </row>
    <row r="985" spans="1:10" hidden="1" outlineLevel="2">
      <c r="A985" s="1868"/>
      <c r="B985" s="1831"/>
      <c r="C985" s="1040"/>
      <c r="D985" s="1036" t="s">
        <v>2515</v>
      </c>
      <c r="E985" s="1040" t="s">
        <v>1891</v>
      </c>
      <c r="F985" s="1040">
        <v>1</v>
      </c>
      <c r="G985" s="1040"/>
      <c r="H985" s="1040"/>
      <c r="I985" s="1040"/>
      <c r="J985" s="1061">
        <v>156900</v>
      </c>
    </row>
    <row r="986" spans="1:10" hidden="1" outlineLevel="2">
      <c r="A986" s="1868"/>
      <c r="B986" s="1831"/>
      <c r="C986" s="1040"/>
      <c r="D986" s="1036" t="s">
        <v>2516</v>
      </c>
      <c r="E986" s="1040" t="s">
        <v>1893</v>
      </c>
      <c r="F986" s="1040">
        <v>0.04</v>
      </c>
      <c r="G986" s="1040"/>
      <c r="H986" s="1040"/>
      <c r="I986" s="1040"/>
      <c r="J986" s="1061">
        <v>1472</v>
      </c>
    </row>
    <row r="987" spans="1:10" hidden="1" outlineLevel="2">
      <c r="A987" s="1868"/>
      <c r="B987" s="1831"/>
      <c r="C987" s="1040"/>
      <c r="D987" s="1036" t="s">
        <v>2517</v>
      </c>
      <c r="E987" s="1040" t="s">
        <v>1891</v>
      </c>
      <c r="F987" s="1040">
        <v>3</v>
      </c>
      <c r="G987" s="1040"/>
      <c r="H987" s="1040"/>
      <c r="I987" s="1040"/>
      <c r="J987" s="1061">
        <v>7449</v>
      </c>
    </row>
    <row r="988" spans="1:10" hidden="1" outlineLevel="2">
      <c r="A988" s="1868"/>
      <c r="B988" s="1831"/>
      <c r="C988" s="1040"/>
      <c r="D988" s="1036" t="s">
        <v>2519</v>
      </c>
      <c r="E988" s="1040" t="s">
        <v>2518</v>
      </c>
      <c r="F988" s="1040">
        <v>0.4</v>
      </c>
      <c r="G988" s="1040"/>
      <c r="H988" s="1040"/>
      <c r="I988" s="1040"/>
      <c r="J988" s="1061">
        <v>27534</v>
      </c>
    </row>
    <row r="989" spans="1:10" hidden="1" outlineLevel="2">
      <c r="A989" s="1868"/>
      <c r="B989" s="1831"/>
      <c r="C989" s="1040"/>
      <c r="D989" s="1036" t="s">
        <v>2520</v>
      </c>
      <c r="E989" s="1040" t="s">
        <v>1891</v>
      </c>
      <c r="F989" s="1040">
        <v>0.4</v>
      </c>
      <c r="G989" s="1040"/>
      <c r="H989" s="1040"/>
      <c r="I989" s="1040"/>
      <c r="J989" s="1061">
        <v>27571</v>
      </c>
    </row>
    <row r="990" spans="1:10" hidden="1" outlineLevel="2">
      <c r="A990" s="1868"/>
      <c r="B990" s="1831"/>
      <c r="C990" s="1040"/>
      <c r="D990" s="1036" t="s">
        <v>2521</v>
      </c>
      <c r="E990" s="1040" t="s">
        <v>39</v>
      </c>
      <c r="F990" s="1040">
        <v>0.08</v>
      </c>
      <c r="G990" s="1040"/>
      <c r="H990" s="1040"/>
      <c r="I990" s="1040"/>
      <c r="J990" s="1061">
        <v>579</v>
      </c>
    </row>
    <row r="991" spans="1:10" hidden="1" outlineLevel="2">
      <c r="A991" s="1868"/>
      <c r="B991" s="1831"/>
      <c r="C991" s="856" t="s">
        <v>2522</v>
      </c>
      <c r="D991" s="1036" t="s">
        <v>2523</v>
      </c>
      <c r="E991" s="1040" t="s">
        <v>1492</v>
      </c>
      <c r="F991" s="1040">
        <v>1</v>
      </c>
      <c r="G991" s="859">
        <v>0</v>
      </c>
      <c r="H991" s="860">
        <v>22900</v>
      </c>
      <c r="I991" s="856">
        <v>0</v>
      </c>
      <c r="J991" s="1061">
        <f>(F991*(1+G991/100)) * (H991*(1+I991/100))</f>
        <v>22900</v>
      </c>
    </row>
    <row r="992" spans="1:10" hidden="1" outlineLevel="2">
      <c r="A992" s="1868"/>
      <c r="B992" s="1831"/>
      <c r="C992" s="856" t="s">
        <v>2524</v>
      </c>
      <c r="D992" s="1036" t="s">
        <v>2525</v>
      </c>
      <c r="E992" s="1040" t="s">
        <v>1492</v>
      </c>
      <c r="F992" s="1040">
        <v>1</v>
      </c>
      <c r="G992" s="859">
        <v>0</v>
      </c>
      <c r="H992" s="860">
        <v>8101.82</v>
      </c>
      <c r="I992" s="856">
        <v>0</v>
      </c>
      <c r="J992" s="1061">
        <f>(F992*(1+G992/100)) * (H992*(1+I992/100))</f>
        <v>8101.82</v>
      </c>
    </row>
    <row r="993" spans="1:10" hidden="1" outlineLevel="2">
      <c r="A993" s="1868"/>
      <c r="B993" s="1831"/>
      <c r="C993" s="856"/>
      <c r="D993" s="856"/>
      <c r="E993" s="1040"/>
      <c r="F993" s="858"/>
      <c r="G993" s="859">
        <v>5</v>
      </c>
      <c r="H993" s="860" t="s">
        <v>1514</v>
      </c>
      <c r="I993" s="856"/>
      <c r="J993" s="1061">
        <v>405.09</v>
      </c>
    </row>
    <row r="994" spans="1:10" ht="12.75" hidden="1" customHeight="1" outlineLevel="2">
      <c r="A994" s="1868"/>
      <c r="B994" s="1831"/>
      <c r="C994" s="1808" t="s">
        <v>1488</v>
      </c>
      <c r="D994" s="1808"/>
      <c r="E994" s="1040" t="s">
        <v>285</v>
      </c>
      <c r="F994" s="583">
        <f>'11. Carpintería en madera'!G14</f>
        <v>1</v>
      </c>
      <c r="G994" s="1040"/>
      <c r="H994" s="1040"/>
      <c r="I994" s="1040">
        <v>0</v>
      </c>
      <c r="J994" s="1062">
        <f>SUM(J984:J993)</f>
        <v>268686.91000000003</v>
      </c>
    </row>
    <row r="995" spans="1:10" hidden="1" outlineLevel="1" collapsed="1">
      <c r="A995" s="1868"/>
      <c r="B995" s="1831"/>
      <c r="C995" s="1836" t="s">
        <v>47</v>
      </c>
      <c r="D995" s="1827"/>
      <c r="E995" s="1827"/>
      <c r="F995" s="1827"/>
      <c r="G995" s="1827"/>
      <c r="H995" s="1827"/>
      <c r="I995" s="1827"/>
      <c r="J995" s="773">
        <f>J994*F994</f>
        <v>268686.91000000003</v>
      </c>
    </row>
    <row r="996" spans="1:10" collapsed="1">
      <c r="A996" s="1869">
        <v>14</v>
      </c>
      <c r="B996" s="1870"/>
      <c r="C996" s="1869" t="s">
        <v>1899</v>
      </c>
      <c r="D996" s="1871"/>
      <c r="E996" s="1871"/>
      <c r="F996" s="1871"/>
      <c r="G996" s="1871"/>
      <c r="H996" s="1871"/>
      <c r="I996" s="1871"/>
      <c r="J996" s="1870"/>
    </row>
    <row r="997" spans="1:10" ht="12.75" hidden="1" customHeight="1" outlineLevel="1">
      <c r="A997" s="1861" t="s">
        <v>1909</v>
      </c>
      <c r="B997" s="1831" t="s">
        <v>1360</v>
      </c>
      <c r="C997" s="1843" t="s">
        <v>1189</v>
      </c>
      <c r="D997" s="1843"/>
      <c r="E997" s="1843"/>
      <c r="F997" s="1843"/>
      <c r="G997" s="1843"/>
      <c r="H997" s="1843"/>
      <c r="I997" s="1843"/>
      <c r="J997" s="1843"/>
    </row>
    <row r="998" spans="1:10" ht="12.75" hidden="1" customHeight="1" outlineLevel="2">
      <c r="A998" s="1861"/>
      <c r="B998" s="1831"/>
      <c r="C998" s="1833" t="s">
        <v>1908</v>
      </c>
      <c r="D998" s="1834"/>
      <c r="E998" s="774" t="s">
        <v>1492</v>
      </c>
      <c r="F998" s="774">
        <v>1</v>
      </c>
      <c r="G998" s="774">
        <v>0</v>
      </c>
      <c r="H998" s="776">
        <v>504900</v>
      </c>
      <c r="I998" s="774">
        <v>0</v>
      </c>
      <c r="J998" s="774">
        <f>(F998*(1+G998/100)) * (H998*(1+I998/100))</f>
        <v>504900</v>
      </c>
    </row>
    <row r="999" spans="1:10" ht="12.75" hidden="1" customHeight="1" outlineLevel="2">
      <c r="A999" s="1830" t="s">
        <v>1910</v>
      </c>
      <c r="B999" s="1831"/>
      <c r="C999" s="821" t="s">
        <v>1900</v>
      </c>
      <c r="D999" s="776" t="s">
        <v>1901</v>
      </c>
      <c r="E999" s="774" t="s">
        <v>1902</v>
      </c>
      <c r="F999" s="774">
        <v>0.03</v>
      </c>
      <c r="G999" s="774">
        <v>8</v>
      </c>
      <c r="H999" s="774">
        <v>43846</v>
      </c>
      <c r="I999" s="774">
        <v>0</v>
      </c>
      <c r="J999" s="774">
        <f>(F999*(1+G999/100)) * (H999*(1+I999/100))</f>
        <v>1420.6104</v>
      </c>
    </row>
    <row r="1000" spans="1:10" ht="12.75" hidden="1" customHeight="1" outlineLevel="2">
      <c r="A1000" s="1830"/>
      <c r="B1000" s="1831"/>
      <c r="C1000" s="821" t="s">
        <v>1903</v>
      </c>
      <c r="D1000" s="776" t="s">
        <v>1904</v>
      </c>
      <c r="E1000" s="774" t="s">
        <v>1492</v>
      </c>
      <c r="F1000" s="774">
        <v>1</v>
      </c>
      <c r="G1000" s="774">
        <v>0</v>
      </c>
      <c r="H1000" s="774">
        <v>18900</v>
      </c>
      <c r="I1000" s="774">
        <v>0</v>
      </c>
      <c r="J1000" s="774">
        <f>(F1000*(1+G1000/100)) * (H1000*(1+I1000/100))</f>
        <v>18900</v>
      </c>
    </row>
    <row r="1001" spans="1:10" ht="12.75" hidden="1" customHeight="1" outlineLevel="2">
      <c r="A1001" s="1830"/>
      <c r="B1001" s="1831"/>
      <c r="C1001" s="821" t="s">
        <v>1681</v>
      </c>
      <c r="D1001" s="776" t="s">
        <v>1682</v>
      </c>
      <c r="E1001" s="774" t="s">
        <v>1482</v>
      </c>
      <c r="F1001" s="774">
        <v>3</v>
      </c>
      <c r="G1001" s="774">
        <v>0</v>
      </c>
      <c r="H1001" s="774">
        <v>8093.0300000000007</v>
      </c>
      <c r="I1001" s="774">
        <v>0</v>
      </c>
      <c r="J1001" s="774">
        <f>(F1001*(1+G1001/100)) * (H1001*(1+I1001/100))</f>
        <v>24279.090000000004</v>
      </c>
    </row>
    <row r="1002" spans="1:10" ht="12.75" hidden="1" customHeight="1" outlineLevel="2">
      <c r="A1002" s="1830"/>
      <c r="B1002" s="1831"/>
      <c r="C1002" s="821"/>
      <c r="D1002" s="774"/>
      <c r="E1002" s="774"/>
      <c r="F1002" s="774"/>
      <c r="G1002" s="774">
        <v>5</v>
      </c>
      <c r="H1002" s="774" t="s">
        <v>1514</v>
      </c>
      <c r="I1002" s="774"/>
      <c r="J1002" s="774">
        <v>1213.95</v>
      </c>
    </row>
    <row r="1003" spans="1:10" ht="12.75" hidden="1" customHeight="1" outlineLevel="2">
      <c r="A1003" s="1830"/>
      <c r="B1003" s="1831"/>
      <c r="C1003" s="1835" t="s">
        <v>1488</v>
      </c>
      <c r="D1003" s="1808"/>
      <c r="E1003" s="822" t="s">
        <v>285</v>
      </c>
      <c r="F1003" s="583">
        <f>'15. Ap. sanitarios y de cocina'!D6</f>
        <v>93</v>
      </c>
      <c r="G1003" s="822"/>
      <c r="H1003" s="822"/>
      <c r="I1003" s="822">
        <v>0</v>
      </c>
      <c r="J1003" s="774">
        <f>SUM(J998:J1002)</f>
        <v>550713.65039999993</v>
      </c>
    </row>
    <row r="1004" spans="1:10" ht="12.75" hidden="1" customHeight="1" outlineLevel="1" collapsed="1">
      <c r="A1004" s="1830"/>
      <c r="B1004" s="1831"/>
      <c r="C1004" s="1836" t="s">
        <v>47</v>
      </c>
      <c r="D1004" s="1827"/>
      <c r="E1004" s="1827"/>
      <c r="F1004" s="1827"/>
      <c r="G1004" s="1827"/>
      <c r="H1004" s="1827"/>
      <c r="I1004" s="1827"/>
      <c r="J1004" s="773">
        <f>J1003*F1003</f>
        <v>51216369.487199992</v>
      </c>
    </row>
    <row r="1005" spans="1:10" ht="12.75" hidden="1" customHeight="1" outlineLevel="1">
      <c r="A1005" s="1830" t="s">
        <v>1923</v>
      </c>
      <c r="B1005" s="1831" t="s">
        <v>1361</v>
      </c>
      <c r="C1005" s="1862" t="s">
        <v>1939</v>
      </c>
      <c r="D1005" s="1862"/>
      <c r="E1005" s="1862"/>
      <c r="F1005" s="1862"/>
      <c r="G1005" s="1862"/>
      <c r="H1005" s="1862"/>
      <c r="I1005" s="1862"/>
      <c r="J1005" s="1862"/>
    </row>
    <row r="1006" spans="1:10" ht="12.75" hidden="1" customHeight="1" outlineLevel="2">
      <c r="A1006" s="1830"/>
      <c r="B1006" s="1831"/>
      <c r="C1006" s="821" t="s">
        <v>1658</v>
      </c>
      <c r="D1006" s="776" t="s">
        <v>1659</v>
      </c>
      <c r="E1006" s="774" t="s">
        <v>39</v>
      </c>
      <c r="F1006" s="774">
        <v>1.75</v>
      </c>
      <c r="G1006" s="774">
        <v>3</v>
      </c>
      <c r="H1006" s="774">
        <v>2438</v>
      </c>
      <c r="I1006" s="774">
        <v>0</v>
      </c>
      <c r="J1006" s="774">
        <f t="shared" ref="J1006:J1014" si="22">(F1006*(1+G1006/100)) * (H1006*(1+I1006/100))</f>
        <v>4394.4949999999999</v>
      </c>
    </row>
    <row r="1007" spans="1:10" ht="12.75" hidden="1" customHeight="1" outlineLevel="2">
      <c r="A1007" s="1830"/>
      <c r="B1007" s="1831"/>
      <c r="C1007" s="821" t="s">
        <v>1581</v>
      </c>
      <c r="D1007" s="776" t="s">
        <v>1911</v>
      </c>
      <c r="E1007" s="774" t="s">
        <v>49</v>
      </c>
      <c r="F1007" s="774">
        <v>6.9999999999999993E-2</v>
      </c>
      <c r="G1007" s="774">
        <v>8</v>
      </c>
      <c r="H1007" s="774">
        <v>463529</v>
      </c>
      <c r="I1007" s="774">
        <v>0</v>
      </c>
      <c r="J1007" s="774">
        <f t="shared" si="22"/>
        <v>35042.792399999998</v>
      </c>
    </row>
    <row r="1008" spans="1:10" ht="12.75" hidden="1" customHeight="1" outlineLevel="2">
      <c r="A1008" s="1830"/>
      <c r="B1008" s="1831"/>
      <c r="C1008" s="821" t="s">
        <v>1912</v>
      </c>
      <c r="D1008" s="776" t="s">
        <v>1913</v>
      </c>
      <c r="E1008" s="774" t="s">
        <v>49</v>
      </c>
      <c r="F1008" s="774">
        <v>0.02</v>
      </c>
      <c r="G1008" s="774">
        <v>8</v>
      </c>
      <c r="H1008" s="774">
        <v>332522.64</v>
      </c>
      <c r="I1008" s="774">
        <v>0</v>
      </c>
      <c r="J1008" s="774">
        <f t="shared" si="22"/>
        <v>7182.4890240000004</v>
      </c>
    </row>
    <row r="1009" spans="1:10" ht="12.75" hidden="1" customHeight="1" outlineLevel="2">
      <c r="A1009" s="1830"/>
      <c r="B1009" s="1831"/>
      <c r="C1009" s="821" t="s">
        <v>1914</v>
      </c>
      <c r="D1009" s="776" t="s">
        <v>1915</v>
      </c>
      <c r="E1009" s="774" t="s">
        <v>39</v>
      </c>
      <c r="F1009" s="774">
        <v>0.215</v>
      </c>
      <c r="G1009" s="774">
        <v>10</v>
      </c>
      <c r="H1009" s="774">
        <v>3000</v>
      </c>
      <c r="I1009" s="774">
        <v>0</v>
      </c>
      <c r="J1009" s="774">
        <f t="shared" si="22"/>
        <v>709.5</v>
      </c>
    </row>
    <row r="1010" spans="1:10" ht="12.75" hidden="1" customHeight="1" outlineLevel="2">
      <c r="A1010" s="4" t="s">
        <v>1919</v>
      </c>
      <c r="B1010" s="1831"/>
      <c r="C1010" s="1889" t="s">
        <v>1918</v>
      </c>
      <c r="D1010" s="1890"/>
      <c r="E1010" s="774" t="s">
        <v>55</v>
      </c>
      <c r="F1010" s="774">
        <v>0.6</v>
      </c>
      <c r="G1010" s="774">
        <v>5</v>
      </c>
      <c r="H1010" s="774">
        <v>254160.9</v>
      </c>
      <c r="I1010" s="774">
        <v>0</v>
      </c>
      <c r="J1010" s="774">
        <f t="shared" si="22"/>
        <v>160121.367</v>
      </c>
    </row>
    <row r="1011" spans="1:10" ht="12.75" hidden="1" customHeight="1" outlineLevel="2">
      <c r="A1011" s="1830" t="s">
        <v>1923</v>
      </c>
      <c r="B1011" s="1831"/>
      <c r="C1011" s="821" t="s">
        <v>1568</v>
      </c>
      <c r="D1011" s="776" t="s">
        <v>1569</v>
      </c>
      <c r="E1011" s="774" t="s">
        <v>48</v>
      </c>
      <c r="F1011" s="774">
        <v>0.7</v>
      </c>
      <c r="G1011" s="774">
        <v>0</v>
      </c>
      <c r="H1011" s="774">
        <v>9900</v>
      </c>
      <c r="I1011" s="774">
        <v>0</v>
      </c>
      <c r="J1011" s="774">
        <f t="shared" si="22"/>
        <v>6930</v>
      </c>
    </row>
    <row r="1012" spans="1:10" ht="12.75" hidden="1" customHeight="1" outlineLevel="2">
      <c r="A1012" s="1830"/>
      <c r="B1012" s="1831"/>
      <c r="C1012" s="821" t="s">
        <v>1681</v>
      </c>
      <c r="D1012" s="776" t="s">
        <v>1682</v>
      </c>
      <c r="E1012" s="774" t="s">
        <v>1482</v>
      </c>
      <c r="F1012" s="774">
        <v>3</v>
      </c>
      <c r="G1012" s="774">
        <v>0</v>
      </c>
      <c r="H1012" s="774">
        <v>8093.0300000000007</v>
      </c>
      <c r="I1012" s="774">
        <v>0</v>
      </c>
      <c r="J1012" s="774">
        <f t="shared" si="22"/>
        <v>24279.090000000004</v>
      </c>
    </row>
    <row r="1013" spans="1:10" ht="12.75" hidden="1" customHeight="1" outlineLevel="2">
      <c r="A1013" s="1830"/>
      <c r="B1013" s="1831"/>
      <c r="C1013" s="821" t="s">
        <v>1916</v>
      </c>
      <c r="D1013" s="776" t="s">
        <v>1917</v>
      </c>
      <c r="E1013" s="774" t="s">
        <v>1482</v>
      </c>
      <c r="F1013" s="774">
        <v>4</v>
      </c>
      <c r="G1013" s="774">
        <v>0</v>
      </c>
      <c r="H1013" s="774">
        <v>5954.85</v>
      </c>
      <c r="I1013" s="774">
        <v>0</v>
      </c>
      <c r="J1013" s="774">
        <f t="shared" si="22"/>
        <v>23819.4</v>
      </c>
    </row>
    <row r="1014" spans="1:10" ht="12.75" hidden="1" customHeight="1" outlineLevel="2">
      <c r="A1014" s="1830"/>
      <c r="B1014" s="1831"/>
      <c r="C1014" s="821" t="s">
        <v>1510</v>
      </c>
      <c r="D1014" s="776" t="s">
        <v>1511</v>
      </c>
      <c r="E1014" s="774" t="s">
        <v>1482</v>
      </c>
      <c r="F1014" s="774">
        <v>5</v>
      </c>
      <c r="G1014" s="774">
        <v>0</v>
      </c>
      <c r="H1014" s="774">
        <v>5527.21</v>
      </c>
      <c r="I1014" s="774">
        <v>0</v>
      </c>
      <c r="J1014" s="774">
        <f t="shared" si="22"/>
        <v>27636.05</v>
      </c>
    </row>
    <row r="1015" spans="1:10" ht="12.75" hidden="1" customHeight="1" outlineLevel="2">
      <c r="A1015" s="1830"/>
      <c r="B1015" s="1831"/>
      <c r="C1015" s="821"/>
      <c r="D1015" s="776"/>
      <c r="E1015" s="774"/>
      <c r="F1015" s="774"/>
      <c r="G1015" s="774">
        <v>5</v>
      </c>
      <c r="H1015" s="774" t="s">
        <v>1514</v>
      </c>
      <c r="I1015" s="774"/>
      <c r="J1015" s="774">
        <v>3786.7300000000005</v>
      </c>
    </row>
    <row r="1016" spans="1:10" ht="12.75" hidden="1" customHeight="1" outlineLevel="2">
      <c r="A1016" s="1861" t="s">
        <v>1909</v>
      </c>
      <c r="B1016" s="1831"/>
      <c r="C1016" s="1889" t="s">
        <v>1920</v>
      </c>
      <c r="D1016" s="1890"/>
      <c r="E1016" s="774" t="s">
        <v>1492</v>
      </c>
      <c r="F1016" s="774">
        <v>1</v>
      </c>
      <c r="G1016" s="774">
        <v>0</v>
      </c>
      <c r="H1016" s="774">
        <v>249900</v>
      </c>
      <c r="I1016" s="774">
        <v>0</v>
      </c>
      <c r="J1016" s="774">
        <f t="shared" ref="J1016:J1021" si="23">(F1016*(1+G1016/100)) * (H1016*(1+I1016/100))</f>
        <v>249900</v>
      </c>
    </row>
    <row r="1017" spans="1:10" ht="12.75" hidden="1" customHeight="1" outlineLevel="2">
      <c r="A1017" s="1861"/>
      <c r="B1017" s="1831"/>
      <c r="C1017" s="1833" t="s">
        <v>1921</v>
      </c>
      <c r="D1017" s="1834"/>
      <c r="E1017" s="774" t="s">
        <v>1492</v>
      </c>
      <c r="F1017" s="774">
        <v>1</v>
      </c>
      <c r="G1017" s="774">
        <v>0</v>
      </c>
      <c r="H1017" s="774">
        <v>559700</v>
      </c>
      <c r="I1017" s="774">
        <v>0</v>
      </c>
      <c r="J1017" s="774">
        <f t="shared" si="23"/>
        <v>559700</v>
      </c>
    </row>
    <row r="1018" spans="1:10" ht="12.75" hidden="1" customHeight="1" outlineLevel="2">
      <c r="A1018" s="1868" t="s">
        <v>1922</v>
      </c>
      <c r="B1018" s="1831"/>
      <c r="C1018" s="821" t="s">
        <v>1900</v>
      </c>
      <c r="D1018" s="776" t="s">
        <v>1901</v>
      </c>
      <c r="E1018" s="774" t="s">
        <v>1902</v>
      </c>
      <c r="F1018" s="774">
        <v>0.03</v>
      </c>
      <c r="G1018" s="774">
        <v>8</v>
      </c>
      <c r="H1018" s="774">
        <v>43846</v>
      </c>
      <c r="I1018" s="774">
        <v>0</v>
      </c>
      <c r="J1018" s="774">
        <f t="shared" si="23"/>
        <v>1420.6104</v>
      </c>
    </row>
    <row r="1019" spans="1:10" ht="12.75" hidden="1" customHeight="1" outlineLevel="2">
      <c r="A1019" s="1868"/>
      <c r="B1019" s="1831"/>
      <c r="C1019" s="821" t="s">
        <v>1903</v>
      </c>
      <c r="D1019" s="776" t="s">
        <v>1904</v>
      </c>
      <c r="E1019" s="774" t="s">
        <v>1492</v>
      </c>
      <c r="F1019" s="774">
        <v>1</v>
      </c>
      <c r="G1019" s="774">
        <v>0</v>
      </c>
      <c r="H1019" s="774">
        <v>18900</v>
      </c>
      <c r="I1019" s="774">
        <v>0</v>
      </c>
      <c r="J1019" s="774">
        <f t="shared" si="23"/>
        <v>18900</v>
      </c>
    </row>
    <row r="1020" spans="1:10" ht="12.75" hidden="1" customHeight="1" outlineLevel="2">
      <c r="A1020" s="1868"/>
      <c r="B1020" s="1831"/>
      <c r="C1020" s="821" t="s">
        <v>1905</v>
      </c>
      <c r="D1020" s="776" t="s">
        <v>1906</v>
      </c>
      <c r="E1020" s="774" t="s">
        <v>1907</v>
      </c>
      <c r="F1020" s="774">
        <v>0.3</v>
      </c>
      <c r="G1020" s="774">
        <v>0</v>
      </c>
      <c r="H1020" s="774">
        <v>6900</v>
      </c>
      <c r="I1020" s="774">
        <v>0</v>
      </c>
      <c r="J1020" s="774">
        <f t="shared" si="23"/>
        <v>2070</v>
      </c>
    </row>
    <row r="1021" spans="1:10" ht="12.75" hidden="1" customHeight="1" outlineLevel="2">
      <c r="A1021" s="1868"/>
      <c r="B1021" s="1831"/>
      <c r="C1021" s="821" t="s">
        <v>1681</v>
      </c>
      <c r="D1021" s="776" t="s">
        <v>1682</v>
      </c>
      <c r="E1021" s="774" t="s">
        <v>1482</v>
      </c>
      <c r="F1021" s="774">
        <v>3</v>
      </c>
      <c r="G1021" s="774">
        <v>0</v>
      </c>
      <c r="H1021" s="774">
        <v>8093.0300000000007</v>
      </c>
      <c r="I1021" s="774">
        <v>0</v>
      </c>
      <c r="J1021" s="774">
        <f t="shared" si="23"/>
        <v>24279.090000000004</v>
      </c>
    </row>
    <row r="1022" spans="1:10" ht="12.75" hidden="1" customHeight="1" outlineLevel="2">
      <c r="A1022" s="1868"/>
      <c r="B1022" s="1831"/>
      <c r="C1022" s="821"/>
      <c r="D1022" s="774"/>
      <c r="E1022" s="774"/>
      <c r="F1022" s="774"/>
      <c r="G1022" s="774">
        <v>5</v>
      </c>
      <c r="H1022" s="774" t="s">
        <v>1514</v>
      </c>
      <c r="I1022" s="774"/>
      <c r="J1022" s="774">
        <v>1213.95</v>
      </c>
    </row>
    <row r="1023" spans="1:10" ht="12.75" hidden="1" customHeight="1" outlineLevel="2">
      <c r="A1023" s="1868"/>
      <c r="B1023" s="1831"/>
      <c r="C1023" s="1835" t="s">
        <v>1488</v>
      </c>
      <c r="D1023" s="1808"/>
      <c r="E1023" s="822" t="s">
        <v>285</v>
      </c>
      <c r="F1023" s="583">
        <f>'15. Ap. sanitarios y de cocina'!D7</f>
        <v>79</v>
      </c>
      <c r="G1023" s="822"/>
      <c r="H1023" s="822"/>
      <c r="I1023" s="822">
        <v>0</v>
      </c>
      <c r="J1023" s="774">
        <f>SUM(J1006:J1022)</f>
        <v>1151385.5638239998</v>
      </c>
    </row>
    <row r="1024" spans="1:10" ht="12.75" hidden="1" customHeight="1" outlineLevel="1" collapsed="1">
      <c r="A1024" s="1868"/>
      <c r="B1024" s="1831"/>
      <c r="C1024" s="1836" t="s">
        <v>47</v>
      </c>
      <c r="D1024" s="1827"/>
      <c r="E1024" s="1827"/>
      <c r="F1024" s="1827"/>
      <c r="G1024" s="1827"/>
      <c r="H1024" s="1827"/>
      <c r="I1024" s="1827"/>
      <c r="J1024" s="773">
        <f>J1023*F1023</f>
        <v>90959459.542095989</v>
      </c>
    </row>
    <row r="1025" spans="1:18" ht="12.75" hidden="1" customHeight="1" outlineLevel="1">
      <c r="A1025" s="1861" t="s">
        <v>1533</v>
      </c>
      <c r="B1025" s="1831" t="s">
        <v>1362</v>
      </c>
      <c r="C1025" s="1862" t="s">
        <v>1190</v>
      </c>
      <c r="D1025" s="1862"/>
      <c r="E1025" s="1862"/>
      <c r="F1025" s="1862"/>
      <c r="G1025" s="1862"/>
      <c r="H1025" s="1862"/>
      <c r="I1025" s="1862"/>
      <c r="J1025" s="1862"/>
    </row>
    <row r="1026" spans="1:18" ht="15" hidden="1" customHeight="1" outlineLevel="2">
      <c r="A1026" s="1861"/>
      <c r="B1026" s="1831"/>
      <c r="C1026" s="1833" t="s">
        <v>1927</v>
      </c>
      <c r="D1026" s="1834"/>
      <c r="E1026" s="774" t="s">
        <v>1924</v>
      </c>
      <c r="F1026" s="774">
        <v>0.67500000000000004</v>
      </c>
      <c r="G1026" s="774"/>
      <c r="H1026" s="774">
        <v>45200</v>
      </c>
      <c r="I1026" s="774"/>
      <c r="J1026" s="774">
        <v>45200</v>
      </c>
      <c r="L1026" s="8"/>
      <c r="M1026" s="8"/>
      <c r="N1026" s="8"/>
      <c r="O1026" s="8"/>
      <c r="P1026" s="8"/>
      <c r="Q1026" s="8"/>
      <c r="R1026" s="8"/>
    </row>
    <row r="1027" spans="1:18" ht="12.75" hidden="1" customHeight="1" outlineLevel="2">
      <c r="A1027" s="1861"/>
      <c r="B1027" s="1831"/>
      <c r="C1027" s="1833" t="s">
        <v>1925</v>
      </c>
      <c r="D1027" s="1834"/>
      <c r="E1027" s="774" t="s">
        <v>1888</v>
      </c>
      <c r="F1027" s="774">
        <v>0.2</v>
      </c>
      <c r="G1027" s="774"/>
      <c r="H1027" s="774">
        <v>6519</v>
      </c>
      <c r="I1027" s="774"/>
      <c r="J1027" s="774">
        <v>1303.8000000000002</v>
      </c>
      <c r="L1027" s="8"/>
      <c r="M1027" s="8"/>
      <c r="N1027" s="8"/>
      <c r="O1027" s="8"/>
      <c r="P1027" s="8"/>
      <c r="Q1027" s="8"/>
      <c r="R1027" s="8"/>
    </row>
    <row r="1028" spans="1:18" ht="15" hidden="1" customHeight="1" outlineLevel="2">
      <c r="A1028" s="1861"/>
      <c r="B1028" s="1831"/>
      <c r="C1028" s="1833" t="s">
        <v>1926</v>
      </c>
      <c r="D1028" s="1834"/>
      <c r="E1028" s="774" t="s">
        <v>1482</v>
      </c>
      <c r="F1028" s="774">
        <v>0.25</v>
      </c>
      <c r="G1028" s="774"/>
      <c r="H1028" s="774">
        <v>7103.17</v>
      </c>
      <c r="I1028" s="774"/>
      <c r="J1028" s="774">
        <v>1775.7925</v>
      </c>
      <c r="L1028" s="830"/>
      <c r="M1028" s="831"/>
      <c r="N1028" s="832"/>
      <c r="O1028" s="833"/>
      <c r="P1028" s="833"/>
      <c r="Q1028" s="834"/>
      <c r="R1028" s="835"/>
    </row>
    <row r="1029" spans="1:18" ht="12.75" hidden="1" customHeight="1" outlineLevel="2">
      <c r="A1029" s="1861"/>
      <c r="B1029" s="1831"/>
      <c r="C1029" s="821"/>
      <c r="D1029" s="774"/>
      <c r="E1029" s="774"/>
      <c r="F1029" s="774"/>
      <c r="G1029" s="774">
        <v>5</v>
      </c>
      <c r="H1029" s="774" t="s">
        <v>1514</v>
      </c>
      <c r="I1029" s="774"/>
      <c r="J1029" s="774">
        <f>J1028*0.05</f>
        <v>88.789625000000001</v>
      </c>
      <c r="L1029" s="8"/>
      <c r="M1029" s="8"/>
      <c r="N1029" s="8"/>
      <c r="O1029" s="8"/>
      <c r="P1029" s="8"/>
      <c r="Q1029" s="8"/>
      <c r="R1029" s="8"/>
    </row>
    <row r="1030" spans="1:18" ht="12.75" hidden="1" customHeight="1" outlineLevel="2">
      <c r="A1030" s="1861"/>
      <c r="B1030" s="1831"/>
      <c r="C1030" s="1835" t="s">
        <v>1488</v>
      </c>
      <c r="D1030" s="1808"/>
      <c r="E1030" s="822" t="s">
        <v>285</v>
      </c>
      <c r="F1030" s="583">
        <f>'15. Ap. sanitarios y de cocina'!D8</f>
        <v>29</v>
      </c>
      <c r="G1030" s="822"/>
      <c r="H1030" s="822"/>
      <c r="I1030" s="822">
        <v>0</v>
      </c>
      <c r="J1030" s="774">
        <f>SUM(J1026:J1029)</f>
        <v>48368.382125000004</v>
      </c>
      <c r="L1030" s="8"/>
      <c r="M1030" s="8"/>
      <c r="N1030" s="8"/>
      <c r="O1030" s="8"/>
      <c r="P1030" s="8"/>
      <c r="Q1030" s="8"/>
      <c r="R1030" s="8"/>
    </row>
    <row r="1031" spans="1:18" ht="12.75" hidden="1" customHeight="1" outlineLevel="1" collapsed="1">
      <c r="A1031" s="1861"/>
      <c r="B1031" s="1831"/>
      <c r="C1031" s="1836" t="s">
        <v>47</v>
      </c>
      <c r="D1031" s="1827"/>
      <c r="E1031" s="1827"/>
      <c r="F1031" s="1827"/>
      <c r="G1031" s="1827"/>
      <c r="H1031" s="1827"/>
      <c r="I1031" s="1827"/>
      <c r="J1031" s="773">
        <f>J1030*F1030</f>
        <v>1402683.0816250001</v>
      </c>
      <c r="L1031" s="8"/>
      <c r="M1031" s="8"/>
      <c r="N1031" s="8"/>
      <c r="O1031" s="8"/>
      <c r="P1031" s="8"/>
      <c r="Q1031" s="8"/>
      <c r="R1031" s="8"/>
    </row>
    <row r="1032" spans="1:18" ht="12.75" hidden="1" customHeight="1" outlineLevel="1">
      <c r="A1032" s="1861" t="s">
        <v>1929</v>
      </c>
      <c r="B1032" s="1831" t="s">
        <v>1363</v>
      </c>
      <c r="C1032" s="1862" t="s">
        <v>1951</v>
      </c>
      <c r="D1032" s="1862"/>
      <c r="E1032" s="1862"/>
      <c r="F1032" s="1862"/>
      <c r="G1032" s="1862"/>
      <c r="H1032" s="1862"/>
      <c r="I1032" s="1862"/>
      <c r="J1032" s="1862"/>
      <c r="L1032" s="8"/>
      <c r="M1032" s="8"/>
      <c r="N1032" s="8"/>
      <c r="O1032" s="8"/>
      <c r="P1032" s="8"/>
      <c r="Q1032" s="8"/>
      <c r="R1032" s="8"/>
    </row>
    <row r="1033" spans="1:18" ht="12.75" hidden="1" customHeight="1" outlineLevel="2">
      <c r="A1033" s="1861"/>
      <c r="B1033" s="1831"/>
      <c r="C1033" s="1833" t="s">
        <v>1928</v>
      </c>
      <c r="D1033" s="1834"/>
      <c r="E1033" s="774" t="s">
        <v>285</v>
      </c>
      <c r="F1033" s="774">
        <v>1</v>
      </c>
      <c r="G1033" s="774"/>
      <c r="H1033" s="774">
        <v>69900</v>
      </c>
      <c r="I1033" s="774"/>
      <c r="J1033" s="774">
        <v>69900</v>
      </c>
      <c r="L1033" s="8"/>
      <c r="M1033" s="8"/>
      <c r="N1033" s="8"/>
      <c r="O1033" s="8"/>
      <c r="P1033" s="8"/>
      <c r="Q1033" s="8"/>
      <c r="R1033" s="8"/>
    </row>
    <row r="1034" spans="1:18" ht="12.75" hidden="1" customHeight="1" outlineLevel="2">
      <c r="A1034" s="1861" t="s">
        <v>1533</v>
      </c>
      <c r="B1034" s="1831"/>
      <c r="C1034" s="1889" t="s">
        <v>1682</v>
      </c>
      <c r="D1034" s="1890"/>
      <c r="E1034" s="774" t="s">
        <v>1482</v>
      </c>
      <c r="F1034" s="774">
        <v>1</v>
      </c>
      <c r="G1034" s="774">
        <v>0</v>
      </c>
      <c r="H1034" s="774">
        <v>7625.07</v>
      </c>
      <c r="I1034" s="774">
        <v>0</v>
      </c>
      <c r="J1034" s="774">
        <f>(F1034*(1+G1034/100)) * (H1034*(1+I1034/100))</f>
        <v>7625.07</v>
      </c>
      <c r="L1034" s="8"/>
      <c r="M1034" s="8"/>
      <c r="N1034" s="8"/>
      <c r="O1034" s="8"/>
      <c r="P1034" s="8"/>
      <c r="Q1034" s="8"/>
      <c r="R1034" s="8"/>
    </row>
    <row r="1035" spans="1:18" ht="12.75" hidden="1" customHeight="1" outlineLevel="2">
      <c r="A1035" s="1861"/>
      <c r="B1035" s="1831"/>
      <c r="C1035" s="821"/>
      <c r="D1035" s="774"/>
      <c r="E1035" s="774"/>
      <c r="F1035" s="774"/>
      <c r="G1035" s="774">
        <v>5</v>
      </c>
      <c r="H1035" s="774" t="s">
        <v>1514</v>
      </c>
      <c r="I1035" s="774"/>
      <c r="J1035" s="774">
        <f>0.05*J1034</f>
        <v>381.25350000000003</v>
      </c>
      <c r="L1035" s="8"/>
      <c r="M1035" s="8"/>
      <c r="N1035" s="8"/>
      <c r="O1035" s="8"/>
      <c r="P1035" s="8"/>
      <c r="Q1035" s="8"/>
      <c r="R1035" s="8"/>
    </row>
    <row r="1036" spans="1:18" ht="12.75" hidden="1" customHeight="1" outlineLevel="2">
      <c r="A1036" s="1861"/>
      <c r="B1036" s="1831"/>
      <c r="C1036" s="1835" t="s">
        <v>1488</v>
      </c>
      <c r="D1036" s="1808"/>
      <c r="E1036" s="822" t="s">
        <v>285</v>
      </c>
      <c r="F1036" s="583">
        <f>'15. Ap. sanitarios y de cocina'!D9</f>
        <v>41</v>
      </c>
      <c r="G1036" s="822"/>
      <c r="H1036" s="822"/>
      <c r="I1036" s="822">
        <v>0</v>
      </c>
      <c r="J1036" s="774">
        <f>SUM(J1033:J1035)</f>
        <v>77906.323500000013</v>
      </c>
      <c r="L1036" s="8"/>
      <c r="M1036" s="8"/>
      <c r="N1036" s="8"/>
      <c r="O1036" s="8"/>
      <c r="P1036" s="8"/>
      <c r="Q1036" s="8"/>
      <c r="R1036" s="8"/>
    </row>
    <row r="1037" spans="1:18" ht="12.75" hidden="1" customHeight="1" outlineLevel="1" collapsed="1">
      <c r="A1037" s="1861"/>
      <c r="B1037" s="1831"/>
      <c r="C1037" s="1836" t="s">
        <v>47</v>
      </c>
      <c r="D1037" s="1827"/>
      <c r="E1037" s="1827"/>
      <c r="F1037" s="1827"/>
      <c r="G1037" s="1827"/>
      <c r="H1037" s="1827"/>
      <c r="I1037" s="1827"/>
      <c r="J1037" s="773">
        <f>J1036*F1036</f>
        <v>3194159.2635000004</v>
      </c>
      <c r="L1037" s="8"/>
      <c r="M1037" s="8"/>
      <c r="N1037" s="8"/>
      <c r="O1037" s="8"/>
      <c r="P1037" s="8"/>
      <c r="Q1037" s="8"/>
      <c r="R1037" s="8"/>
    </row>
    <row r="1038" spans="1:18" ht="12.75" hidden="1" customHeight="1" outlineLevel="1">
      <c r="A1038" s="1861" t="s">
        <v>1533</v>
      </c>
      <c r="B1038" s="1891" t="s">
        <v>1364</v>
      </c>
      <c r="C1038" s="1886" t="s">
        <v>1952</v>
      </c>
      <c r="D1038" s="1886"/>
      <c r="E1038" s="1886"/>
      <c r="F1038" s="1886"/>
      <c r="G1038" s="1886"/>
      <c r="H1038" s="1886"/>
      <c r="I1038" s="1886"/>
      <c r="J1038" s="1886"/>
      <c r="L1038" s="8"/>
      <c r="M1038" s="8"/>
      <c r="N1038" s="8"/>
      <c r="O1038" s="8"/>
      <c r="P1038" s="8"/>
      <c r="Q1038" s="8"/>
      <c r="R1038" s="8"/>
    </row>
    <row r="1039" spans="1:18" ht="12.75" hidden="1" customHeight="1" outlineLevel="2">
      <c r="A1039" s="1861"/>
      <c r="B1039" s="1891"/>
      <c r="C1039" s="1833" t="s">
        <v>1930</v>
      </c>
      <c r="D1039" s="1834"/>
      <c r="E1039" s="774" t="s">
        <v>285</v>
      </c>
      <c r="F1039" s="774">
        <v>1</v>
      </c>
      <c r="G1039" s="774"/>
      <c r="H1039" s="774">
        <v>99000</v>
      </c>
      <c r="I1039" s="774"/>
      <c r="J1039" s="774">
        <v>99000</v>
      </c>
      <c r="L1039" s="8"/>
      <c r="M1039" s="8"/>
      <c r="N1039" s="8"/>
      <c r="O1039" s="8"/>
      <c r="P1039" s="8"/>
      <c r="Q1039" s="8"/>
      <c r="R1039" s="8"/>
    </row>
    <row r="1040" spans="1:18" ht="12.75" hidden="1" customHeight="1" outlineLevel="2">
      <c r="A1040" s="1861"/>
      <c r="B1040" s="1891"/>
      <c r="C1040" s="1889" t="s">
        <v>1682</v>
      </c>
      <c r="D1040" s="1890"/>
      <c r="E1040" s="774" t="s">
        <v>1482</v>
      </c>
      <c r="F1040" s="774">
        <v>1</v>
      </c>
      <c r="G1040" s="774">
        <v>0</v>
      </c>
      <c r="H1040" s="774">
        <v>7625.07</v>
      </c>
      <c r="I1040" s="774">
        <v>0</v>
      </c>
      <c r="J1040" s="774">
        <f>(F1040*(1+G1040/100)) * (H1040*(1+I1040/100))</f>
        <v>7625.07</v>
      </c>
      <c r="L1040" s="8"/>
      <c r="M1040" s="8"/>
      <c r="N1040" s="8"/>
      <c r="O1040" s="8"/>
      <c r="P1040" s="8"/>
      <c r="Q1040" s="8"/>
      <c r="R1040" s="8"/>
    </row>
    <row r="1041" spans="1:18" ht="12.75" hidden="1" customHeight="1" outlineLevel="2">
      <c r="A1041" s="1861"/>
      <c r="B1041" s="1891"/>
      <c r="C1041" s="821"/>
      <c r="D1041" s="774"/>
      <c r="E1041" s="774"/>
      <c r="F1041" s="774"/>
      <c r="G1041" s="774">
        <v>5</v>
      </c>
      <c r="H1041" s="774" t="s">
        <v>1514</v>
      </c>
      <c r="I1041" s="774"/>
      <c r="J1041" s="774">
        <f>0.05*J1040</f>
        <v>381.25350000000003</v>
      </c>
      <c r="L1041" s="8"/>
      <c r="M1041" s="8"/>
      <c r="N1041" s="8"/>
      <c r="O1041" s="8"/>
      <c r="P1041" s="8"/>
      <c r="Q1041" s="8"/>
      <c r="R1041" s="8"/>
    </row>
    <row r="1042" spans="1:18" ht="12.75" hidden="1" customHeight="1" outlineLevel="2">
      <c r="A1042" s="1861"/>
      <c r="B1042" s="1891"/>
      <c r="C1042" s="1835" t="s">
        <v>1488</v>
      </c>
      <c r="D1042" s="1808"/>
      <c r="E1042" s="822" t="s">
        <v>285</v>
      </c>
      <c r="F1042" s="583">
        <f>'15. Ap. sanitarios y de cocina'!D10</f>
        <v>14</v>
      </c>
      <c r="G1042" s="822"/>
      <c r="H1042" s="822"/>
      <c r="I1042" s="822">
        <v>0</v>
      </c>
      <c r="J1042" s="774">
        <f>SUM(J1039:J1041)</f>
        <v>107006.32350000001</v>
      </c>
      <c r="L1042" s="8"/>
      <c r="M1042" s="8"/>
      <c r="N1042" s="8"/>
      <c r="O1042" s="8"/>
      <c r="P1042" s="8"/>
      <c r="Q1042" s="8"/>
      <c r="R1042" s="8"/>
    </row>
    <row r="1043" spans="1:18" ht="12.75" hidden="1" customHeight="1" outlineLevel="1" collapsed="1">
      <c r="A1043" s="1861"/>
      <c r="B1043" s="1891"/>
      <c r="C1043" s="1836" t="s">
        <v>47</v>
      </c>
      <c r="D1043" s="1827"/>
      <c r="E1043" s="1827"/>
      <c r="F1043" s="1827"/>
      <c r="G1043" s="1827"/>
      <c r="H1043" s="1827"/>
      <c r="I1043" s="1827"/>
      <c r="J1043" s="773">
        <f>J1042*F1042</f>
        <v>1498088.5290000001</v>
      </c>
      <c r="L1043" s="8"/>
      <c r="M1043" s="8"/>
      <c r="N1043" s="8"/>
      <c r="O1043" s="8"/>
      <c r="P1043" s="8"/>
      <c r="Q1043" s="8"/>
      <c r="R1043" s="8"/>
    </row>
    <row r="1044" spans="1:18" ht="12.75" hidden="1" customHeight="1" outlineLevel="1">
      <c r="A1044" s="1861" t="s">
        <v>1533</v>
      </c>
      <c r="B1044" s="1831" t="s">
        <v>1365</v>
      </c>
      <c r="C1044" s="1862" t="s">
        <v>1948</v>
      </c>
      <c r="D1044" s="1862"/>
      <c r="E1044" s="1862"/>
      <c r="F1044" s="1862"/>
      <c r="G1044" s="1862"/>
      <c r="H1044" s="1862"/>
      <c r="I1044" s="1862"/>
      <c r="J1044" s="1862"/>
      <c r="L1044" s="8"/>
      <c r="M1044" s="8"/>
      <c r="N1044" s="8"/>
      <c r="O1044" s="8"/>
      <c r="P1044" s="8"/>
      <c r="Q1044" s="8"/>
      <c r="R1044" s="8"/>
    </row>
    <row r="1045" spans="1:18" ht="12.75" hidden="1" customHeight="1" outlineLevel="2">
      <c r="A1045" s="1861"/>
      <c r="B1045" s="1831"/>
      <c r="C1045" s="1833" t="s">
        <v>1931</v>
      </c>
      <c r="D1045" s="1834"/>
      <c r="E1045" s="774" t="s">
        <v>39</v>
      </c>
      <c r="F1045" s="776">
        <v>0.2</v>
      </c>
      <c r="G1045" s="776"/>
      <c r="H1045" s="776">
        <v>390</v>
      </c>
      <c r="I1045" s="776"/>
      <c r="J1045" s="776">
        <f>F1045*H1045</f>
        <v>78</v>
      </c>
      <c r="L1045" s="8"/>
      <c r="M1045" s="8"/>
      <c r="N1045" s="8"/>
      <c r="O1045" s="8"/>
      <c r="P1045" s="8"/>
      <c r="Q1045" s="8"/>
      <c r="R1045" s="8"/>
    </row>
    <row r="1046" spans="1:18" ht="12.75" hidden="1" customHeight="1" outlineLevel="2">
      <c r="A1046" s="1861"/>
      <c r="B1046" s="1831"/>
      <c r="C1046" s="1833" t="s">
        <v>1932</v>
      </c>
      <c r="D1046" s="1834"/>
      <c r="E1046" s="774" t="s">
        <v>1897</v>
      </c>
      <c r="F1046" s="776">
        <v>0.3</v>
      </c>
      <c r="G1046" s="776"/>
      <c r="H1046" s="776">
        <v>15560</v>
      </c>
      <c r="I1046" s="776"/>
      <c r="J1046" s="776">
        <f>F1046*H1046</f>
        <v>4668</v>
      </c>
      <c r="L1046" s="8"/>
      <c r="M1046" s="8"/>
      <c r="N1046" s="8"/>
      <c r="O1046" s="8"/>
      <c r="P1046" s="8"/>
      <c r="Q1046" s="8"/>
      <c r="R1046" s="8"/>
    </row>
    <row r="1047" spans="1:18" ht="12.75" hidden="1" customHeight="1" outlineLevel="2">
      <c r="A1047" s="1861"/>
      <c r="B1047" s="1831"/>
      <c r="C1047" s="1833" t="s">
        <v>1933</v>
      </c>
      <c r="D1047" s="1834"/>
      <c r="E1047" s="774" t="s">
        <v>1891</v>
      </c>
      <c r="F1047" s="776">
        <v>1</v>
      </c>
      <c r="G1047" s="776"/>
      <c r="H1047" s="776">
        <v>4200</v>
      </c>
      <c r="I1047" s="776"/>
      <c r="J1047" s="776">
        <f>F1047*H1047</f>
        <v>4200</v>
      </c>
      <c r="L1047" s="8"/>
      <c r="M1047" s="8"/>
      <c r="N1047" s="8"/>
      <c r="O1047" s="8"/>
      <c r="P1047" s="8"/>
      <c r="Q1047" s="8"/>
      <c r="R1047" s="8"/>
    </row>
    <row r="1048" spans="1:18" ht="12.75" hidden="1" customHeight="1" outlineLevel="2">
      <c r="A1048" s="1861"/>
      <c r="B1048" s="1831"/>
      <c r="C1048" s="821"/>
      <c r="D1048" s="774"/>
      <c r="E1048" s="774"/>
      <c r="F1048" s="774"/>
      <c r="G1048" s="774">
        <v>5</v>
      </c>
      <c r="H1048" s="774" t="s">
        <v>1514</v>
      </c>
      <c r="I1048" s="774"/>
      <c r="J1048" s="774">
        <f>0.05*J1046</f>
        <v>233.4</v>
      </c>
      <c r="L1048" s="8"/>
      <c r="M1048" s="8"/>
      <c r="N1048" s="8"/>
      <c r="O1048" s="8"/>
      <c r="P1048" s="8"/>
      <c r="Q1048" s="8"/>
      <c r="R1048" s="8"/>
    </row>
    <row r="1049" spans="1:18" ht="12.75" hidden="1" customHeight="1" outlineLevel="2">
      <c r="A1049" s="1861"/>
      <c r="B1049" s="1831"/>
      <c r="C1049" s="1835" t="s">
        <v>1488</v>
      </c>
      <c r="D1049" s="1808"/>
      <c r="E1049" s="822" t="s">
        <v>285</v>
      </c>
      <c r="F1049" s="583">
        <f>'15. Ap. sanitarios y de cocina'!D12</f>
        <v>73</v>
      </c>
      <c r="G1049" s="822"/>
      <c r="H1049" s="822"/>
      <c r="I1049" s="822">
        <v>0</v>
      </c>
      <c r="J1049" s="774">
        <f>SUM(J1045:J1048)</f>
        <v>9179.4</v>
      </c>
      <c r="L1049" s="8"/>
      <c r="M1049" s="8"/>
      <c r="N1049" s="8"/>
      <c r="O1049" s="8"/>
      <c r="P1049" s="8"/>
      <c r="Q1049" s="8"/>
      <c r="R1049" s="8"/>
    </row>
    <row r="1050" spans="1:18" ht="12.75" hidden="1" customHeight="1" outlineLevel="1" collapsed="1">
      <c r="A1050" s="1861"/>
      <c r="B1050" s="1831"/>
      <c r="C1050" s="1836" t="s">
        <v>47</v>
      </c>
      <c r="D1050" s="1827"/>
      <c r="E1050" s="1827"/>
      <c r="F1050" s="1827"/>
      <c r="G1050" s="1827"/>
      <c r="H1050" s="1827"/>
      <c r="I1050" s="1827"/>
      <c r="J1050" s="773">
        <f>J1049*F1049</f>
        <v>670096.19999999995</v>
      </c>
      <c r="L1050" s="8"/>
      <c r="M1050" s="8"/>
      <c r="N1050" s="8"/>
      <c r="O1050" s="8"/>
      <c r="P1050" s="8"/>
      <c r="Q1050" s="8"/>
      <c r="R1050" s="8"/>
    </row>
    <row r="1051" spans="1:18" ht="12.75" hidden="1" customHeight="1" outlineLevel="1">
      <c r="A1051" s="1861" t="s">
        <v>1929</v>
      </c>
      <c r="B1051" s="1831" t="s">
        <v>1366</v>
      </c>
      <c r="C1051" s="1862" t="s">
        <v>1950</v>
      </c>
      <c r="D1051" s="1862"/>
      <c r="E1051" s="1862"/>
      <c r="F1051" s="1862"/>
      <c r="G1051" s="1862"/>
      <c r="H1051" s="1862"/>
      <c r="I1051" s="1862"/>
      <c r="J1051" s="1862"/>
      <c r="L1051" s="8"/>
      <c r="M1051" s="8"/>
      <c r="N1051" s="8"/>
      <c r="O1051" s="8"/>
      <c r="P1051" s="8"/>
      <c r="Q1051" s="8"/>
      <c r="R1051" s="8"/>
    </row>
    <row r="1052" spans="1:18" ht="12.75" hidden="1" customHeight="1" outlineLevel="2">
      <c r="A1052" s="1861"/>
      <c r="B1052" s="1831"/>
      <c r="C1052" s="1833" t="s">
        <v>1934</v>
      </c>
      <c r="D1052" s="1834"/>
      <c r="E1052" s="774" t="s">
        <v>1891</v>
      </c>
      <c r="F1052" s="776">
        <v>1</v>
      </c>
      <c r="G1052" s="776"/>
      <c r="H1052" s="776">
        <v>66900</v>
      </c>
      <c r="I1052" s="776"/>
      <c r="J1052" s="776">
        <f>F1052*H1052</f>
        <v>66900</v>
      </c>
      <c r="L1052" s="8"/>
      <c r="M1052" s="8"/>
      <c r="N1052" s="8"/>
      <c r="O1052" s="8"/>
      <c r="P1052" s="8"/>
      <c r="Q1052" s="8"/>
      <c r="R1052" s="8"/>
    </row>
    <row r="1053" spans="1:18" ht="12.75" hidden="1" customHeight="1" outlineLevel="2">
      <c r="A1053" s="1861" t="s">
        <v>1533</v>
      </c>
      <c r="B1053" s="1831"/>
      <c r="C1053" s="1889" t="s">
        <v>1682</v>
      </c>
      <c r="D1053" s="1890"/>
      <c r="E1053" s="774" t="s">
        <v>1482</v>
      </c>
      <c r="F1053" s="774">
        <v>1</v>
      </c>
      <c r="G1053" s="774">
        <v>0</v>
      </c>
      <c r="H1053" s="774">
        <v>7625.07</v>
      </c>
      <c r="I1053" s="774">
        <v>0</v>
      </c>
      <c r="J1053" s="774">
        <f>(F1053*(1+G1053/100)) * (H1053*(1+I1053/100))</f>
        <v>7625.07</v>
      </c>
      <c r="L1053" s="8"/>
      <c r="M1053" s="8"/>
      <c r="N1053" s="8"/>
      <c r="O1053" s="8"/>
      <c r="P1053" s="8"/>
      <c r="Q1053" s="8"/>
      <c r="R1053" s="8"/>
    </row>
    <row r="1054" spans="1:18" ht="12.75" hidden="1" customHeight="1" outlineLevel="2">
      <c r="A1054" s="1861"/>
      <c r="B1054" s="1831"/>
      <c r="C1054" s="821"/>
      <c r="D1054" s="774"/>
      <c r="E1054" s="774"/>
      <c r="F1054" s="774"/>
      <c r="G1054" s="774">
        <v>5</v>
      </c>
      <c r="H1054" s="774" t="s">
        <v>1514</v>
      </c>
      <c r="I1054" s="774"/>
      <c r="J1054" s="774">
        <f>0.05*J1053</f>
        <v>381.25350000000003</v>
      </c>
      <c r="L1054" s="8"/>
      <c r="M1054" s="8"/>
      <c r="N1054" s="8"/>
      <c r="O1054" s="8"/>
      <c r="P1054" s="8"/>
      <c r="Q1054" s="8"/>
      <c r="R1054" s="8"/>
    </row>
    <row r="1055" spans="1:18" ht="12.75" hidden="1" customHeight="1" outlineLevel="2">
      <c r="A1055" s="1861"/>
      <c r="B1055" s="1831"/>
      <c r="C1055" s="1835" t="s">
        <v>1488</v>
      </c>
      <c r="D1055" s="1808"/>
      <c r="E1055" s="822" t="s">
        <v>285</v>
      </c>
      <c r="F1055" s="583">
        <f>'15. Ap. sanitarios y de cocina'!D13</f>
        <v>37</v>
      </c>
      <c r="G1055" s="822"/>
      <c r="H1055" s="822"/>
      <c r="I1055" s="822">
        <v>0</v>
      </c>
      <c r="J1055" s="774">
        <f>SUM(J1052:J1054)</f>
        <v>74906.323500000013</v>
      </c>
      <c r="L1055" s="8"/>
      <c r="M1055" s="8"/>
      <c r="N1055" s="8"/>
      <c r="O1055" s="8"/>
      <c r="P1055" s="8"/>
      <c r="Q1055" s="8"/>
      <c r="R1055" s="8"/>
    </row>
    <row r="1056" spans="1:18" ht="12.75" hidden="1" customHeight="1" outlineLevel="1" collapsed="1">
      <c r="A1056" s="1861"/>
      <c r="B1056" s="1831"/>
      <c r="C1056" s="1836" t="s">
        <v>47</v>
      </c>
      <c r="D1056" s="1827"/>
      <c r="E1056" s="1827"/>
      <c r="F1056" s="1827"/>
      <c r="G1056" s="1827"/>
      <c r="H1056" s="1827"/>
      <c r="I1056" s="1827"/>
      <c r="J1056" s="773">
        <f>J1055*F1055</f>
        <v>2771533.9695000006</v>
      </c>
      <c r="L1056" s="8"/>
      <c r="M1056" s="8"/>
      <c r="N1056" s="8"/>
      <c r="O1056" s="8"/>
      <c r="P1056" s="8"/>
      <c r="Q1056" s="8"/>
      <c r="R1056" s="8"/>
    </row>
    <row r="1057" spans="1:20" ht="12.75" hidden="1" customHeight="1" outlineLevel="1">
      <c r="A1057" s="1861" t="s">
        <v>1533</v>
      </c>
      <c r="B1057" s="1831" t="s">
        <v>1367</v>
      </c>
      <c r="C1057" s="1862" t="s">
        <v>1949</v>
      </c>
      <c r="D1057" s="1862"/>
      <c r="E1057" s="1862"/>
      <c r="F1057" s="1862"/>
      <c r="G1057" s="1862"/>
      <c r="H1057" s="1862"/>
      <c r="I1057" s="1862"/>
      <c r="J1057" s="1862"/>
      <c r="L1057" s="8"/>
      <c r="M1057" s="8"/>
      <c r="N1057" s="8"/>
      <c r="O1057" s="8"/>
      <c r="P1057" s="8"/>
      <c r="Q1057" s="8"/>
      <c r="R1057" s="8"/>
    </row>
    <row r="1058" spans="1:20" ht="12.75" hidden="1" customHeight="1" outlineLevel="2">
      <c r="A1058" s="1861"/>
      <c r="B1058" s="1831"/>
      <c r="C1058" s="1565" t="s">
        <v>1935</v>
      </c>
      <c r="D1058" s="1565"/>
      <c r="E1058" s="774" t="s">
        <v>1891</v>
      </c>
      <c r="F1058" s="776">
        <v>1</v>
      </c>
      <c r="G1058" s="776"/>
      <c r="H1058" s="776">
        <v>378900</v>
      </c>
      <c r="I1058" s="776"/>
      <c r="J1058" s="776">
        <f>F1058*H1058</f>
        <v>378900</v>
      </c>
      <c r="L1058" s="8"/>
      <c r="M1058" s="8"/>
      <c r="N1058" s="8"/>
      <c r="O1058" s="8"/>
      <c r="P1058" s="8"/>
      <c r="Q1058" s="8"/>
      <c r="R1058" s="8"/>
    </row>
    <row r="1059" spans="1:20" ht="12.75" hidden="1" customHeight="1" outlineLevel="2">
      <c r="A1059" s="1861"/>
      <c r="B1059" s="1831"/>
      <c r="C1059" s="1889" t="s">
        <v>1682</v>
      </c>
      <c r="D1059" s="1890"/>
      <c r="E1059" s="774" t="s">
        <v>1482</v>
      </c>
      <c r="F1059" s="774">
        <v>1</v>
      </c>
      <c r="G1059" s="774">
        <v>0</v>
      </c>
      <c r="H1059" s="774">
        <v>7625.07</v>
      </c>
      <c r="I1059" s="774">
        <v>0</v>
      </c>
      <c r="J1059" s="774">
        <f>(F1059*(1+G1059/100)) * (H1059*(1+I1059/100))</f>
        <v>7625.07</v>
      </c>
      <c r="L1059" s="8"/>
      <c r="M1059" s="8"/>
      <c r="N1059" s="8"/>
      <c r="O1059" s="8"/>
      <c r="P1059" s="8"/>
      <c r="Q1059" s="8"/>
      <c r="R1059" s="8"/>
    </row>
    <row r="1060" spans="1:20" ht="12.75" hidden="1" customHeight="1" outlineLevel="2">
      <c r="A1060" s="1861"/>
      <c r="B1060" s="1831"/>
      <c r="C1060" s="821"/>
      <c r="D1060" s="774"/>
      <c r="E1060" s="774"/>
      <c r="F1060" s="774"/>
      <c r="G1060" s="774">
        <v>5</v>
      </c>
      <c r="H1060" s="774" t="s">
        <v>1514</v>
      </c>
      <c r="I1060" s="774"/>
      <c r="J1060" s="774">
        <f>0.05*J1059</f>
        <v>381.25350000000003</v>
      </c>
      <c r="L1060" s="8"/>
      <c r="M1060" s="8"/>
      <c r="N1060" s="8"/>
      <c r="O1060" s="8"/>
      <c r="P1060" s="8"/>
      <c r="Q1060" s="8"/>
      <c r="R1060" s="8"/>
    </row>
    <row r="1061" spans="1:20" ht="12.75" hidden="1" customHeight="1" outlineLevel="2">
      <c r="A1061" s="1861"/>
      <c r="B1061" s="1831"/>
      <c r="C1061" s="1835" t="s">
        <v>1488</v>
      </c>
      <c r="D1061" s="1808"/>
      <c r="E1061" s="822" t="s">
        <v>285</v>
      </c>
      <c r="F1061" s="583">
        <f>'15. Ap. sanitarios y de cocina'!D14</f>
        <v>51</v>
      </c>
      <c r="G1061" s="822"/>
      <c r="H1061" s="822"/>
      <c r="I1061" s="822">
        <v>0</v>
      </c>
      <c r="J1061" s="774">
        <f>SUM(J1058:J1060)</f>
        <v>386906.3235</v>
      </c>
      <c r="L1061" s="8"/>
      <c r="M1061" s="8"/>
      <c r="N1061" s="8"/>
      <c r="O1061" s="8"/>
      <c r="P1061" s="8"/>
      <c r="Q1061" s="8"/>
      <c r="R1061" s="8"/>
    </row>
    <row r="1062" spans="1:20" ht="12.75" hidden="1" customHeight="1" outlineLevel="1" collapsed="1">
      <c r="A1062" s="1861"/>
      <c r="B1062" s="1831"/>
      <c r="C1062" s="1836" t="s">
        <v>47</v>
      </c>
      <c r="D1062" s="1827"/>
      <c r="E1062" s="1827"/>
      <c r="F1062" s="1827"/>
      <c r="G1062" s="1827"/>
      <c r="H1062" s="1827"/>
      <c r="I1062" s="1827"/>
      <c r="J1062" s="773">
        <f>J1061*F1061</f>
        <v>19732222.498500001</v>
      </c>
      <c r="L1062" s="8"/>
      <c r="M1062" s="8"/>
      <c r="N1062" s="8"/>
      <c r="O1062" s="8"/>
      <c r="P1062" s="8"/>
      <c r="Q1062" s="8"/>
      <c r="R1062" s="8"/>
    </row>
    <row r="1063" spans="1:20" ht="12.75" hidden="1" customHeight="1" outlineLevel="1">
      <c r="A1063" s="1861" t="s">
        <v>1533</v>
      </c>
      <c r="B1063" s="1831" t="s">
        <v>1368</v>
      </c>
      <c r="C1063" s="1826" t="s">
        <v>1953</v>
      </c>
      <c r="D1063" s="1826"/>
      <c r="E1063" s="1826"/>
      <c r="F1063" s="1826"/>
      <c r="G1063" s="1826"/>
      <c r="H1063" s="1826"/>
      <c r="I1063" s="1826"/>
      <c r="J1063" s="1826"/>
    </row>
    <row r="1064" spans="1:20" ht="12.75" hidden="1" customHeight="1" outlineLevel="2">
      <c r="A1064" s="1861"/>
      <c r="B1064" s="1831"/>
      <c r="C1064" s="30" t="s">
        <v>1937</v>
      </c>
      <c r="E1064" s="836" t="s">
        <v>1891</v>
      </c>
      <c r="F1064" s="837">
        <v>1</v>
      </c>
      <c r="G1064" s="837"/>
      <c r="H1064" s="837">
        <v>137900</v>
      </c>
      <c r="I1064" s="837"/>
      <c r="J1064" s="837">
        <f>F1064*H1064</f>
        <v>137900</v>
      </c>
    </row>
    <row r="1065" spans="1:20" ht="12.75" hidden="1" customHeight="1" outlineLevel="2">
      <c r="A1065" s="1861"/>
      <c r="B1065" s="1831"/>
      <c r="C1065" s="1889" t="s">
        <v>1682</v>
      </c>
      <c r="D1065" s="1890"/>
      <c r="E1065" s="774" t="s">
        <v>1482</v>
      </c>
      <c r="F1065" s="774">
        <v>1</v>
      </c>
      <c r="G1065" s="774">
        <v>0</v>
      </c>
      <c r="H1065" s="774">
        <v>7625.07</v>
      </c>
      <c r="I1065" s="774">
        <v>0</v>
      </c>
      <c r="J1065" s="774">
        <f>(F1065*(1+G1065/100)) * (H1065*(1+I1065/100))</f>
        <v>7625.07</v>
      </c>
    </row>
    <row r="1066" spans="1:20" ht="12.75" hidden="1" customHeight="1" outlineLevel="2">
      <c r="A1066" s="1861"/>
      <c r="B1066" s="1831"/>
      <c r="C1066" s="821"/>
      <c r="D1066" s="774"/>
      <c r="E1066" s="774"/>
      <c r="F1066" s="774"/>
      <c r="G1066" s="774">
        <v>5</v>
      </c>
      <c r="H1066" s="774" t="s">
        <v>1514</v>
      </c>
      <c r="I1066" s="774"/>
      <c r="J1066" s="774">
        <f>0.05*J1065</f>
        <v>381.25350000000003</v>
      </c>
    </row>
    <row r="1067" spans="1:20" ht="12.75" hidden="1" customHeight="1" outlineLevel="2">
      <c r="A1067" s="1861"/>
      <c r="B1067" s="1831"/>
      <c r="C1067" s="1835" t="s">
        <v>1488</v>
      </c>
      <c r="D1067" s="1808"/>
      <c r="E1067" s="822" t="s">
        <v>285</v>
      </c>
      <c r="F1067" s="583">
        <f>'15. Ap. sanitarios y de cocina'!D15</f>
        <v>66</v>
      </c>
      <c r="G1067" s="822"/>
      <c r="H1067" s="822"/>
      <c r="I1067" s="822">
        <v>0</v>
      </c>
      <c r="J1067" s="774">
        <f>SUM(J1064:J1066)</f>
        <v>145906.3235</v>
      </c>
    </row>
    <row r="1068" spans="1:20" ht="12.75" hidden="1" customHeight="1" outlineLevel="1" collapsed="1">
      <c r="A1068" s="1861"/>
      <c r="B1068" s="1831"/>
      <c r="C1068" s="1836" t="s">
        <v>47</v>
      </c>
      <c r="D1068" s="1827"/>
      <c r="E1068" s="1827"/>
      <c r="F1068" s="1827"/>
      <c r="G1068" s="1827"/>
      <c r="H1068" s="1827"/>
      <c r="I1068" s="1827"/>
      <c r="J1068" s="773">
        <f>J1067*F1067</f>
        <v>9629817.3509999998</v>
      </c>
    </row>
    <row r="1069" spans="1:20" ht="12.75" hidden="1" customHeight="1" outlineLevel="1">
      <c r="A1069" s="1861" t="s">
        <v>1533</v>
      </c>
      <c r="B1069" s="1831" t="s">
        <v>1369</v>
      </c>
      <c r="C1069" s="1826" t="s">
        <v>1954</v>
      </c>
      <c r="D1069" s="1826"/>
      <c r="E1069" s="1826"/>
      <c r="F1069" s="1826"/>
      <c r="G1069" s="1826"/>
      <c r="H1069" s="1826"/>
      <c r="I1069" s="1826"/>
      <c r="J1069" s="1826"/>
    </row>
    <row r="1070" spans="1:20" ht="12.75" hidden="1" customHeight="1" outlineLevel="2">
      <c r="A1070" s="1861"/>
      <c r="B1070" s="1831"/>
      <c r="C1070" s="1913" t="s">
        <v>1938</v>
      </c>
      <c r="D1070" s="1914"/>
      <c r="E1070" s="836" t="s">
        <v>1891</v>
      </c>
      <c r="F1070" s="837">
        <v>1</v>
      </c>
      <c r="G1070" s="837"/>
      <c r="H1070" s="837">
        <v>201900</v>
      </c>
      <c r="I1070" s="837"/>
      <c r="J1070" s="837">
        <f>F1070*H1070</f>
        <v>201900</v>
      </c>
    </row>
    <row r="1071" spans="1:20" ht="12.75" hidden="1" customHeight="1" outlineLevel="2">
      <c r="A1071" s="1861"/>
      <c r="B1071" s="1831"/>
      <c r="C1071" s="1889" t="s">
        <v>1682</v>
      </c>
      <c r="D1071" s="1890"/>
      <c r="E1071" s="774" t="s">
        <v>1482</v>
      </c>
      <c r="F1071" s="774">
        <v>1</v>
      </c>
      <c r="G1071" s="774">
        <v>0</v>
      </c>
      <c r="H1071" s="774">
        <v>7625.07</v>
      </c>
      <c r="I1071" s="774">
        <v>0</v>
      </c>
      <c r="J1071" s="774">
        <f>(F1071*(1+G1071/100)) * (H1071*(1+I1071/100))</f>
        <v>7625.07</v>
      </c>
    </row>
    <row r="1072" spans="1:20" ht="12.75" hidden="1" customHeight="1" outlineLevel="2">
      <c r="A1072" s="1861"/>
      <c r="B1072" s="1831"/>
      <c r="C1072" s="821"/>
      <c r="D1072" s="774"/>
      <c r="E1072" s="774"/>
      <c r="F1072" s="774"/>
      <c r="G1072" s="774">
        <v>5</v>
      </c>
      <c r="H1072" s="774" t="s">
        <v>1514</v>
      </c>
      <c r="I1072" s="774"/>
      <c r="J1072" s="774">
        <f>0.05*J1071</f>
        <v>381.25350000000003</v>
      </c>
      <c r="L1072" s="8"/>
      <c r="M1072" s="8"/>
      <c r="N1072" s="8"/>
      <c r="O1072" s="8"/>
      <c r="P1072" s="8"/>
      <c r="Q1072" s="8"/>
      <c r="R1072" s="8"/>
      <c r="S1072" s="8"/>
      <c r="T1072" s="8"/>
    </row>
    <row r="1073" spans="1:20" ht="12.75" hidden="1" customHeight="1" outlineLevel="2">
      <c r="A1073" s="1861"/>
      <c r="B1073" s="1831"/>
      <c r="C1073" s="1835" t="s">
        <v>1488</v>
      </c>
      <c r="D1073" s="1808"/>
      <c r="E1073" s="822" t="s">
        <v>285</v>
      </c>
      <c r="F1073" s="583">
        <f>'15. Ap. sanitarios y de cocina'!D16</f>
        <v>37</v>
      </c>
      <c r="G1073" s="822"/>
      <c r="H1073" s="822"/>
      <c r="I1073" s="822">
        <v>0</v>
      </c>
      <c r="J1073" s="774">
        <f>SUM(J1070:J1072)</f>
        <v>209906.3235</v>
      </c>
      <c r="L1073" s="8"/>
      <c r="M1073" s="8"/>
      <c r="N1073" s="8"/>
      <c r="O1073" s="8"/>
      <c r="P1073" s="8"/>
      <c r="Q1073" s="8"/>
      <c r="R1073" s="8"/>
      <c r="S1073" s="8"/>
      <c r="T1073" s="8"/>
    </row>
    <row r="1074" spans="1:20" ht="12.75" hidden="1" customHeight="1" outlineLevel="1" collapsed="1">
      <c r="A1074" s="1861"/>
      <c r="B1074" s="1831"/>
      <c r="C1074" s="1836" t="s">
        <v>47</v>
      </c>
      <c r="D1074" s="1827"/>
      <c r="E1074" s="1827"/>
      <c r="F1074" s="1827"/>
      <c r="G1074" s="1827"/>
      <c r="H1074" s="1827"/>
      <c r="I1074" s="1827"/>
      <c r="J1074" s="773">
        <f>J1073*F1073</f>
        <v>7766533.9694999997</v>
      </c>
      <c r="L1074" s="840"/>
      <c r="M1074" s="824"/>
      <c r="N1074" s="841"/>
      <c r="O1074" s="842"/>
      <c r="P1074" s="842"/>
      <c r="Q1074" s="843"/>
      <c r="R1074" s="842"/>
      <c r="S1074" s="8"/>
      <c r="T1074" s="8"/>
    </row>
    <row r="1075" spans="1:20" ht="12.75" hidden="1" customHeight="1" outlineLevel="1">
      <c r="A1075" s="1861" t="s">
        <v>1909</v>
      </c>
      <c r="B1075" s="1831" t="s">
        <v>1370</v>
      </c>
      <c r="C1075" s="1826" t="s">
        <v>1946</v>
      </c>
      <c r="D1075" s="1826"/>
      <c r="E1075" s="1826"/>
      <c r="F1075" s="1826"/>
      <c r="G1075" s="1826"/>
      <c r="H1075" s="1826"/>
      <c r="I1075" s="1826"/>
      <c r="J1075" s="1826"/>
      <c r="L1075" s="8"/>
      <c r="M1075" s="8"/>
      <c r="N1075" s="8"/>
      <c r="O1075" s="8"/>
      <c r="P1075" s="8"/>
      <c r="Q1075" s="8"/>
      <c r="R1075" s="8"/>
      <c r="S1075" s="8"/>
      <c r="T1075" s="8"/>
    </row>
    <row r="1076" spans="1:20" ht="12.75" hidden="1" customHeight="1" outlineLevel="2">
      <c r="A1076" s="1861"/>
      <c r="B1076" s="1831"/>
      <c r="C1076" s="1915" t="s">
        <v>1947</v>
      </c>
      <c r="D1076" s="1916"/>
      <c r="E1076" s="837"/>
      <c r="F1076" s="837">
        <v>1</v>
      </c>
      <c r="G1076" s="837"/>
      <c r="H1076" s="837">
        <v>151900</v>
      </c>
      <c r="I1076" s="837"/>
      <c r="J1076" s="837">
        <v>151900</v>
      </c>
      <c r="L1076" s="8"/>
      <c r="M1076" s="8"/>
      <c r="N1076" s="8"/>
      <c r="O1076" s="8"/>
      <c r="P1076" s="8"/>
      <c r="Q1076" s="8"/>
      <c r="R1076" s="8"/>
      <c r="S1076" s="8"/>
      <c r="T1076" s="8"/>
    </row>
    <row r="1077" spans="1:20" ht="15" hidden="1" customHeight="1" outlineLevel="2">
      <c r="A1077" s="1861" t="s">
        <v>1533</v>
      </c>
      <c r="B1077" s="1831"/>
      <c r="C1077" s="1889" t="s">
        <v>1940</v>
      </c>
      <c r="D1077" s="1890"/>
      <c r="E1077" s="837" t="s">
        <v>1482</v>
      </c>
      <c r="F1077" s="837">
        <v>0.5</v>
      </c>
      <c r="G1077" s="837"/>
      <c r="H1077" s="837">
        <v>18779.689999999999</v>
      </c>
      <c r="I1077" s="837"/>
      <c r="J1077" s="837">
        <f>(F1077*(1+G1077/100)) * (H1077*(1+I1077/100))</f>
        <v>9389.8449999999993</v>
      </c>
      <c r="L1077" s="830"/>
      <c r="M1077" s="844"/>
      <c r="N1077" s="845"/>
      <c r="O1077" s="846"/>
      <c r="P1077" s="846"/>
      <c r="Q1077" s="847"/>
      <c r="R1077" s="828"/>
      <c r="S1077" s="8"/>
      <c r="T1077" s="8"/>
    </row>
    <row r="1078" spans="1:20" ht="12.75" hidden="1" customHeight="1" outlineLevel="2">
      <c r="A1078" s="1861"/>
      <c r="B1078" s="1831"/>
      <c r="C1078" s="1889" t="s">
        <v>1941</v>
      </c>
      <c r="D1078" s="1890"/>
      <c r="E1078" s="837" t="s">
        <v>285</v>
      </c>
      <c r="F1078" s="837">
        <v>1</v>
      </c>
      <c r="G1078" s="837"/>
      <c r="H1078" s="837">
        <v>62094</v>
      </c>
      <c r="I1078" s="837"/>
      <c r="J1078" s="837">
        <f>(F1078*(1+G1078/100)) * (H1078*(1+I1078/100))</f>
        <v>62094</v>
      </c>
    </row>
    <row r="1079" spans="1:20" ht="12.75" hidden="1" customHeight="1" outlineLevel="2">
      <c r="A1079" s="4" t="s">
        <v>1909</v>
      </c>
      <c r="B1079" s="1831"/>
      <c r="C1079" s="1889" t="s">
        <v>1945</v>
      </c>
      <c r="D1079" s="1890"/>
      <c r="E1079" s="837" t="s">
        <v>285</v>
      </c>
      <c r="F1079" s="837">
        <v>1</v>
      </c>
      <c r="G1079" s="837"/>
      <c r="H1079" s="837">
        <v>214900</v>
      </c>
      <c r="I1079" s="837"/>
      <c r="J1079" s="837">
        <v>214900</v>
      </c>
    </row>
    <row r="1080" spans="1:20" ht="12.75" hidden="1" customHeight="1" outlineLevel="2">
      <c r="A1080" s="1861" t="s">
        <v>1533</v>
      </c>
      <c r="B1080" s="1831"/>
      <c r="C1080" s="821"/>
      <c r="D1080" s="774"/>
      <c r="E1080" s="774"/>
      <c r="F1080" s="774"/>
      <c r="G1080" s="774">
        <v>5</v>
      </c>
      <c r="H1080" s="774" t="s">
        <v>1514</v>
      </c>
      <c r="I1080" s="774"/>
      <c r="J1080" s="774">
        <f>0.05*J1077</f>
        <v>469.49225000000001</v>
      </c>
    </row>
    <row r="1081" spans="1:20" ht="12.75" hidden="1" customHeight="1" outlineLevel="2">
      <c r="A1081" s="1861"/>
      <c r="B1081" s="1831"/>
      <c r="C1081" s="1835" t="s">
        <v>1488</v>
      </c>
      <c r="D1081" s="1808"/>
      <c r="E1081" s="822" t="s">
        <v>285</v>
      </c>
      <c r="F1081" s="583">
        <f>'15. Ap. sanitarios y de cocina'!I9</f>
        <v>6</v>
      </c>
      <c r="G1081" s="822"/>
      <c r="H1081" s="822"/>
      <c r="I1081" s="822">
        <v>0</v>
      </c>
      <c r="J1081" s="774">
        <f>SUM(J1076:J1080)</f>
        <v>438753.33724999998</v>
      </c>
    </row>
    <row r="1082" spans="1:20" ht="12.75" hidden="1" customHeight="1" outlineLevel="1" collapsed="1">
      <c r="A1082" s="1861"/>
      <c r="B1082" s="1831"/>
      <c r="C1082" s="1836" t="s">
        <v>47</v>
      </c>
      <c r="D1082" s="1827"/>
      <c r="E1082" s="1827"/>
      <c r="F1082" s="1827"/>
      <c r="G1082" s="1827"/>
      <c r="H1082" s="1827"/>
      <c r="I1082" s="1827"/>
      <c r="J1082" s="773">
        <f>J1081*F1081</f>
        <v>2632520.0235000001</v>
      </c>
    </row>
    <row r="1083" spans="1:20" ht="12.75" hidden="1" customHeight="1" outlineLevel="1">
      <c r="A1083" s="1861" t="s">
        <v>1909</v>
      </c>
      <c r="B1083" s="1831" t="s">
        <v>1371</v>
      </c>
      <c r="C1083" s="1826" t="s">
        <v>1959</v>
      </c>
      <c r="D1083" s="1826"/>
      <c r="E1083" s="1826"/>
      <c r="F1083" s="1826"/>
      <c r="G1083" s="1826"/>
      <c r="H1083" s="1826"/>
      <c r="I1083" s="1826"/>
      <c r="J1083" s="1826"/>
    </row>
    <row r="1084" spans="1:20" ht="12.75" hidden="1" customHeight="1" outlineLevel="2">
      <c r="A1084" s="1861"/>
      <c r="B1084" s="1831"/>
      <c r="C1084" s="848" t="s">
        <v>1955</v>
      </c>
      <c r="D1084" s="837" t="s">
        <v>1958</v>
      </c>
      <c r="E1084" s="837" t="s">
        <v>345</v>
      </c>
      <c r="F1084" s="837">
        <v>1</v>
      </c>
      <c r="G1084" s="837">
        <v>0</v>
      </c>
      <c r="H1084" s="837">
        <v>749340</v>
      </c>
      <c r="I1084" s="837">
        <v>0</v>
      </c>
      <c r="J1084" s="837">
        <v>749340</v>
      </c>
    </row>
    <row r="1085" spans="1:20" ht="12.75" hidden="1" customHeight="1" outlineLevel="2">
      <c r="A1085" s="1868" t="s">
        <v>1960</v>
      </c>
      <c r="B1085" s="1831"/>
      <c r="C1085" s="848" t="s">
        <v>1956</v>
      </c>
      <c r="D1085" s="837" t="s">
        <v>1957</v>
      </c>
      <c r="E1085" s="837" t="s">
        <v>345</v>
      </c>
      <c r="F1085" s="837">
        <v>1</v>
      </c>
      <c r="G1085" s="837">
        <v>0</v>
      </c>
      <c r="H1085" s="837">
        <v>278412.92000000004</v>
      </c>
      <c r="I1085" s="837">
        <v>0</v>
      </c>
      <c r="J1085" s="837">
        <f>(F1085*(1+G1085/100)) * (H1085*(1+I1085/100))</f>
        <v>278412.92000000004</v>
      </c>
    </row>
    <row r="1086" spans="1:20" ht="12.75" hidden="1" customHeight="1" outlineLevel="2">
      <c r="A1086" s="1868"/>
      <c r="B1086" s="1831"/>
      <c r="C1086" s="848" t="s">
        <v>1916</v>
      </c>
      <c r="D1086" s="837" t="s">
        <v>1917</v>
      </c>
      <c r="E1086" s="837" t="s">
        <v>1482</v>
      </c>
      <c r="F1086" s="837">
        <v>4</v>
      </c>
      <c r="G1086" s="837">
        <v>0</v>
      </c>
      <c r="H1086" s="837">
        <v>5954.85</v>
      </c>
      <c r="I1086" s="837">
        <v>0</v>
      </c>
      <c r="J1086" s="837">
        <f>(F1086*(1+G1086/100)) * (H1086*(1+I1086/100))</f>
        <v>23819.4</v>
      </c>
    </row>
    <row r="1087" spans="1:20" ht="12.75" hidden="1" customHeight="1" outlineLevel="2">
      <c r="A1087" s="1868"/>
      <c r="B1087" s="1831"/>
      <c r="C1087" s="848" t="s">
        <v>1510</v>
      </c>
      <c r="D1087" s="837" t="s">
        <v>1511</v>
      </c>
      <c r="E1087" s="837" t="s">
        <v>1482</v>
      </c>
      <c r="F1087" s="837">
        <v>5</v>
      </c>
      <c r="G1087" s="837">
        <v>0</v>
      </c>
      <c r="H1087" s="837">
        <v>5527.21</v>
      </c>
      <c r="I1087" s="837">
        <v>0</v>
      </c>
      <c r="J1087" s="837">
        <f>(F1087*(1+G1087/100)) * (H1087*(1+I1087/100))</f>
        <v>27636.05</v>
      </c>
    </row>
    <row r="1088" spans="1:20" ht="12.75" hidden="1" customHeight="1" outlineLevel="2">
      <c r="A1088" s="1868"/>
      <c r="B1088" s="1831"/>
      <c r="C1088" s="848"/>
      <c r="D1088" s="837"/>
      <c r="E1088" s="837"/>
      <c r="F1088" s="837"/>
      <c r="G1088" s="837">
        <v>5</v>
      </c>
      <c r="H1088" s="837" t="s">
        <v>1514</v>
      </c>
      <c r="I1088" s="837"/>
      <c r="J1088" s="837">
        <f>0.05*(J1086+J1087+J1085)</f>
        <v>16493.418500000003</v>
      </c>
    </row>
    <row r="1089" spans="1:10" ht="12.75" hidden="1" customHeight="1" outlineLevel="2">
      <c r="A1089" s="1868"/>
      <c r="B1089" s="1831"/>
      <c r="C1089" s="1835" t="s">
        <v>1488</v>
      </c>
      <c r="D1089" s="1808"/>
      <c r="E1089" s="822" t="s">
        <v>285</v>
      </c>
      <c r="F1089" s="583">
        <f>'15. Ap. sanitarios y de cocina'!I11</f>
        <v>5</v>
      </c>
      <c r="G1089" s="822"/>
      <c r="H1089" s="822"/>
      <c r="I1089" s="822">
        <v>0</v>
      </c>
      <c r="J1089" s="774">
        <f>SUM(J1084:J1088)</f>
        <v>1095701.7885</v>
      </c>
    </row>
    <row r="1090" spans="1:10" ht="12.75" hidden="1" customHeight="1" outlineLevel="1" collapsed="1">
      <c r="A1090" s="1868"/>
      <c r="B1090" s="1831"/>
      <c r="C1090" s="1836" t="s">
        <v>47</v>
      </c>
      <c r="D1090" s="1827"/>
      <c r="E1090" s="1827"/>
      <c r="F1090" s="1827"/>
      <c r="G1090" s="1827"/>
      <c r="H1090" s="1827"/>
      <c r="I1090" s="1827"/>
      <c r="J1090" s="773">
        <f>J1089*F1089</f>
        <v>5478508.9424999999</v>
      </c>
    </row>
    <row r="1091" spans="1:10" ht="12.75" hidden="1" customHeight="1" outlineLevel="1">
      <c r="A1091" s="1861" t="s">
        <v>1533</v>
      </c>
      <c r="B1091" s="1831" t="s">
        <v>1372</v>
      </c>
      <c r="C1091" s="1808" t="s">
        <v>1962</v>
      </c>
      <c r="D1091" s="1808"/>
      <c r="E1091" s="1808"/>
      <c r="F1091" s="1808"/>
      <c r="G1091" s="1808"/>
      <c r="H1091" s="1808"/>
      <c r="I1091" s="1808"/>
      <c r="J1091" s="1808"/>
    </row>
    <row r="1092" spans="1:10" ht="12.75" hidden="1" customHeight="1" outlineLevel="2">
      <c r="A1092" s="1861"/>
      <c r="B1092" s="1831"/>
      <c r="C1092" s="1917" t="s">
        <v>1961</v>
      </c>
      <c r="D1092" s="1917"/>
      <c r="E1092" s="776" t="s">
        <v>345</v>
      </c>
      <c r="F1092" s="776">
        <v>1</v>
      </c>
      <c r="G1092" s="776">
        <v>0</v>
      </c>
      <c r="H1092" s="776">
        <v>76900</v>
      </c>
      <c r="I1092" s="776">
        <v>0</v>
      </c>
      <c r="J1092" s="776">
        <v>76900</v>
      </c>
    </row>
    <row r="1093" spans="1:10" ht="12.75" hidden="1" customHeight="1" outlineLevel="2">
      <c r="A1093" s="1845" t="s">
        <v>1960</v>
      </c>
      <c r="B1093" s="1831"/>
      <c r="C1093" s="776" t="s">
        <v>1916</v>
      </c>
      <c r="D1093" s="776" t="s">
        <v>1917</v>
      </c>
      <c r="E1093" s="776" t="s">
        <v>1482</v>
      </c>
      <c r="F1093" s="776">
        <v>4</v>
      </c>
      <c r="G1093" s="776">
        <v>0</v>
      </c>
      <c r="H1093" s="776">
        <v>5954.85</v>
      </c>
      <c r="I1093" s="776">
        <v>0</v>
      </c>
      <c r="J1093" s="776">
        <f>(F1093*(1+G1093/100)) * (H1093*(1+I1093/100))</f>
        <v>23819.4</v>
      </c>
    </row>
    <row r="1094" spans="1:10" ht="12.75" hidden="1" customHeight="1" outlineLevel="2">
      <c r="A1094" s="1846"/>
      <c r="B1094" s="1831"/>
      <c r="C1094" s="776" t="s">
        <v>1510</v>
      </c>
      <c r="D1094" s="776" t="s">
        <v>1511</v>
      </c>
      <c r="E1094" s="776" t="s">
        <v>1482</v>
      </c>
      <c r="F1094" s="776">
        <v>5</v>
      </c>
      <c r="G1094" s="776">
        <v>0</v>
      </c>
      <c r="H1094" s="776">
        <v>5527.21</v>
      </c>
      <c r="I1094" s="776">
        <v>0</v>
      </c>
      <c r="J1094" s="776">
        <f>(F1094*(1+G1094/100)) * (H1094*(1+I1094/100))</f>
        <v>27636.05</v>
      </c>
    </row>
    <row r="1095" spans="1:10" ht="12.75" hidden="1" customHeight="1" outlineLevel="2">
      <c r="A1095" s="1846"/>
      <c r="B1095" s="1831"/>
      <c r="C1095" s="776"/>
      <c r="D1095" s="776"/>
      <c r="E1095" s="776"/>
      <c r="F1095" s="776"/>
      <c r="G1095" s="776">
        <v>5</v>
      </c>
      <c r="H1095" s="776" t="s">
        <v>1514</v>
      </c>
      <c r="I1095" s="776"/>
      <c r="J1095" s="776">
        <f>0.05*(J1093+J1094)</f>
        <v>2572.7725</v>
      </c>
    </row>
    <row r="1096" spans="1:10" ht="12.75" hidden="1" customHeight="1" outlineLevel="2">
      <c r="A1096" s="1846"/>
      <c r="B1096" s="1831"/>
      <c r="C1096" s="1808" t="s">
        <v>1488</v>
      </c>
      <c r="D1096" s="1808"/>
      <c r="E1096" s="822" t="s">
        <v>285</v>
      </c>
      <c r="F1096" s="583">
        <f>'15. Ap. sanitarios y de cocina'!I12</f>
        <v>9.6</v>
      </c>
      <c r="G1096" s="822"/>
      <c r="H1096" s="822"/>
      <c r="I1096" s="822">
        <v>0</v>
      </c>
      <c r="J1096" s="774">
        <f>SUM(J1092:J1095)</f>
        <v>130928.2225</v>
      </c>
    </row>
    <row r="1097" spans="1:10" ht="12.75" hidden="1" customHeight="1" outlineLevel="1" collapsed="1">
      <c r="A1097" s="1847"/>
      <c r="B1097" s="1831"/>
      <c r="C1097" s="1827" t="s">
        <v>47</v>
      </c>
      <c r="D1097" s="1827"/>
      <c r="E1097" s="1827"/>
      <c r="F1097" s="1827"/>
      <c r="G1097" s="1827"/>
      <c r="H1097" s="1827"/>
      <c r="I1097" s="1827"/>
      <c r="J1097" s="773">
        <f>J1096*F1096</f>
        <v>1256910.936</v>
      </c>
    </row>
    <row r="1098" spans="1:10" ht="12.75" hidden="1" customHeight="1" outlineLevel="1">
      <c r="A1098" s="1868" t="s">
        <v>1929</v>
      </c>
      <c r="B1098" s="1831" t="s">
        <v>1373</v>
      </c>
      <c r="C1098" s="1826" t="s">
        <v>1963</v>
      </c>
      <c r="D1098" s="1826"/>
      <c r="E1098" s="1826"/>
      <c r="F1098" s="1826"/>
      <c r="G1098" s="1826"/>
      <c r="H1098" s="1826"/>
      <c r="I1098" s="1826"/>
      <c r="J1098" s="1826"/>
    </row>
    <row r="1099" spans="1:10" ht="12.75" hidden="1" customHeight="1" outlineLevel="2">
      <c r="A1099" s="1868"/>
      <c r="B1099" s="1831"/>
      <c r="C1099" s="776" t="s">
        <v>1964</v>
      </c>
      <c r="D1099" s="776"/>
      <c r="E1099" s="776" t="s">
        <v>285</v>
      </c>
      <c r="F1099" s="776">
        <v>1</v>
      </c>
      <c r="G1099" s="776"/>
      <c r="H1099" s="776">
        <v>389900</v>
      </c>
      <c r="I1099" s="776"/>
      <c r="J1099" s="776">
        <v>389900</v>
      </c>
    </row>
    <row r="1100" spans="1:10" ht="12.75" hidden="1" customHeight="1" outlineLevel="2">
      <c r="A1100" s="1868" t="s">
        <v>1960</v>
      </c>
      <c r="B1100" s="1831"/>
      <c r="C1100" s="776" t="s">
        <v>1916</v>
      </c>
      <c r="D1100" s="776" t="s">
        <v>1917</v>
      </c>
      <c r="E1100" s="776" t="s">
        <v>1482</v>
      </c>
      <c r="F1100" s="776">
        <v>4</v>
      </c>
      <c r="G1100" s="776">
        <v>0</v>
      </c>
      <c r="H1100" s="776">
        <v>5954.85</v>
      </c>
      <c r="I1100" s="776">
        <v>0</v>
      </c>
      <c r="J1100" s="776">
        <f>(F1100*(1+G1100/100)) * (H1100*(1+I1100/100))</f>
        <v>23819.4</v>
      </c>
    </row>
    <row r="1101" spans="1:10" ht="12.75" hidden="1" customHeight="1" outlineLevel="2">
      <c r="A1101" s="1868"/>
      <c r="B1101" s="1831"/>
      <c r="C1101" s="776" t="s">
        <v>1510</v>
      </c>
      <c r="D1101" s="776" t="s">
        <v>1511</v>
      </c>
      <c r="E1101" s="776" t="s">
        <v>1482</v>
      </c>
      <c r="F1101" s="776">
        <v>5</v>
      </c>
      <c r="G1101" s="776">
        <v>0</v>
      </c>
      <c r="H1101" s="776">
        <v>5527.21</v>
      </c>
      <c r="I1101" s="776">
        <v>0</v>
      </c>
      <c r="J1101" s="776">
        <f>(F1101*(1+G1101/100)) * (H1101*(1+I1101/100))</f>
        <v>27636.05</v>
      </c>
    </row>
    <row r="1102" spans="1:10" ht="12.75" hidden="1" customHeight="1" outlineLevel="2">
      <c r="A1102" s="1868"/>
      <c r="B1102" s="1831"/>
      <c r="C1102" s="776"/>
      <c r="D1102" s="776"/>
      <c r="E1102" s="776"/>
      <c r="F1102" s="776"/>
      <c r="G1102" s="776">
        <v>5</v>
      </c>
      <c r="H1102" s="776" t="s">
        <v>1514</v>
      </c>
      <c r="I1102" s="776"/>
      <c r="J1102" s="776">
        <f>0.05*(J1100+J1101)</f>
        <v>2572.7725</v>
      </c>
    </row>
    <row r="1103" spans="1:10" ht="12.75" hidden="1" customHeight="1" outlineLevel="2">
      <c r="A1103" s="1868"/>
      <c r="B1103" s="1831"/>
      <c r="C1103" s="1808" t="s">
        <v>1488</v>
      </c>
      <c r="D1103" s="1808"/>
      <c r="E1103" s="822" t="s">
        <v>285</v>
      </c>
      <c r="F1103" s="583">
        <f>'15. Ap. sanitarios y de cocina'!I15</f>
        <v>10</v>
      </c>
      <c r="G1103" s="822"/>
      <c r="H1103" s="822"/>
      <c r="I1103" s="822">
        <v>0</v>
      </c>
      <c r="J1103" s="774">
        <f>SUM(J1099:J1102)</f>
        <v>443928.22250000003</v>
      </c>
    </row>
    <row r="1104" spans="1:10" ht="12.75" hidden="1" customHeight="1" outlineLevel="1" collapsed="1">
      <c r="A1104" s="1868"/>
      <c r="B1104" s="1831"/>
      <c r="C1104" s="1827" t="s">
        <v>47</v>
      </c>
      <c r="D1104" s="1827"/>
      <c r="E1104" s="1827"/>
      <c r="F1104" s="1827"/>
      <c r="G1104" s="1827"/>
      <c r="H1104" s="1827"/>
      <c r="I1104" s="1827"/>
      <c r="J1104" s="773">
        <f>J1103*F1103</f>
        <v>4439282.2250000006</v>
      </c>
    </row>
    <row r="1105" spans="1:10" collapsed="1">
      <c r="A1105" s="1869">
        <v>15</v>
      </c>
      <c r="B1105" s="1870"/>
      <c r="C1105" s="1869" t="s">
        <v>335</v>
      </c>
      <c r="D1105" s="1871"/>
      <c r="E1105" s="1871"/>
      <c r="F1105" s="1871"/>
      <c r="G1105" s="1871"/>
      <c r="H1105" s="1871"/>
      <c r="I1105" s="1871"/>
      <c r="J1105" s="1870"/>
    </row>
    <row r="1106" spans="1:10" hidden="1" outlineLevel="1">
      <c r="A1106" s="1828"/>
      <c r="B1106" s="1829">
        <v>15.1</v>
      </c>
      <c r="C1106" s="1837" t="s">
        <v>1126</v>
      </c>
      <c r="D1106" s="1837" t="s">
        <v>676</v>
      </c>
      <c r="E1106" s="1837" t="s">
        <v>676</v>
      </c>
      <c r="F1106" s="1837" t="s">
        <v>676</v>
      </c>
      <c r="G1106" s="1837" t="s">
        <v>1180</v>
      </c>
      <c r="H1106" s="1837" t="s">
        <v>676</v>
      </c>
      <c r="I1106" s="1837" t="s">
        <v>676</v>
      </c>
      <c r="J1106" s="1837" t="s">
        <v>676</v>
      </c>
    </row>
    <row r="1107" spans="1:10" hidden="1" outlineLevel="1">
      <c r="A1107" s="1828"/>
      <c r="B1107" s="1829"/>
      <c r="C1107" s="1861" t="s">
        <v>1533</v>
      </c>
      <c r="D1107" s="4" t="s">
        <v>2731</v>
      </c>
      <c r="E1107" s="4" t="s">
        <v>285</v>
      </c>
      <c r="F1107" s="5">
        <v>0.19</v>
      </c>
      <c r="G1107" s="5">
        <v>0</v>
      </c>
      <c r="H1107" s="5">
        <v>142340</v>
      </c>
      <c r="I1107" s="5"/>
      <c r="J1107" s="5">
        <f>+F1107*H1107</f>
        <v>27044.6</v>
      </c>
    </row>
    <row r="1108" spans="1:10" hidden="1" outlineLevel="1">
      <c r="A1108" s="1828"/>
      <c r="B1108" s="1829"/>
      <c r="C1108" s="1918"/>
      <c r="D1108" s="4" t="s">
        <v>2732</v>
      </c>
      <c r="E1108" s="4" t="s">
        <v>285</v>
      </c>
      <c r="F1108" s="5">
        <v>0.26</v>
      </c>
      <c r="G1108" s="5">
        <v>0</v>
      </c>
      <c r="H1108" s="5">
        <v>2723</v>
      </c>
      <c r="I1108" s="5"/>
      <c r="J1108" s="5">
        <f>+F1108*H1108</f>
        <v>707.98</v>
      </c>
    </row>
    <row r="1109" spans="1:10" hidden="1" outlineLevel="1">
      <c r="A1109" s="1828"/>
      <c r="B1109" s="1829"/>
      <c r="C1109" s="1918"/>
      <c r="D1109" s="4" t="s">
        <v>2733</v>
      </c>
      <c r="E1109" s="4" t="s">
        <v>1897</v>
      </c>
      <c r="F1109" s="5">
        <v>0.4</v>
      </c>
      <c r="G1109" s="5">
        <v>0</v>
      </c>
      <c r="H1109" s="5">
        <v>19135</v>
      </c>
      <c r="I1109" s="5"/>
      <c r="J1109" s="5">
        <f>+F1109*H1109</f>
        <v>7654</v>
      </c>
    </row>
    <row r="1110" spans="1:10" hidden="1" outlineLevel="1">
      <c r="A1110" s="1828"/>
      <c r="B1110" s="1829"/>
      <c r="C1110" s="1808" t="s">
        <v>1488</v>
      </c>
      <c r="D1110" s="1808"/>
      <c r="E1110" s="1106" t="s">
        <v>55</v>
      </c>
      <c r="F1110" s="583">
        <f>+'14. Inst. Hidro-Sanitarias'!H74</f>
        <v>82</v>
      </c>
      <c r="G1110" s="1106"/>
      <c r="H1110" s="1106"/>
      <c r="I1110" s="1106">
        <v>0</v>
      </c>
      <c r="J1110" s="1107">
        <f>SUM(J1107:J1109)</f>
        <v>35406.58</v>
      </c>
    </row>
    <row r="1111" spans="1:10" hidden="1" outlineLevel="1">
      <c r="A1111" s="1828"/>
      <c r="B1111" s="1829"/>
      <c r="C1111" s="1827" t="s">
        <v>47</v>
      </c>
      <c r="D1111" s="1827"/>
      <c r="E1111" s="1827"/>
      <c r="F1111" s="1827"/>
      <c r="G1111" s="1827"/>
      <c r="H1111" s="1827"/>
      <c r="I1111" s="1827"/>
      <c r="J1111" s="773">
        <f>J1110*F1110</f>
        <v>2903339.56</v>
      </c>
    </row>
    <row r="1112" spans="1:10" hidden="1" outlineLevel="1">
      <c r="A1112" s="1828"/>
      <c r="B1112" s="1829">
        <v>15.2</v>
      </c>
      <c r="C1112" s="1808" t="s">
        <v>2734</v>
      </c>
      <c r="D1112" s="1828"/>
      <c r="E1112" s="1828"/>
      <c r="F1112" s="1828"/>
      <c r="G1112" s="1828"/>
      <c r="H1112" s="1828"/>
      <c r="I1112" s="1828"/>
      <c r="J1112" s="1828"/>
    </row>
    <row r="1113" spans="1:10" hidden="1" outlineLevel="1">
      <c r="A1113" s="1828"/>
      <c r="B1113" s="1829"/>
      <c r="C1113" s="5"/>
      <c r="D1113" s="4" t="s">
        <v>2736</v>
      </c>
      <c r="E1113" s="4" t="s">
        <v>55</v>
      </c>
      <c r="F1113" s="4" t="s">
        <v>2728</v>
      </c>
      <c r="G1113" s="4" t="s">
        <v>2728</v>
      </c>
      <c r="H1113" s="449">
        <v>230215.8</v>
      </c>
      <c r="I1113" s="4" t="s">
        <v>2728</v>
      </c>
      <c r="J1113" s="5">
        <f>+H1113</f>
        <v>230215.8</v>
      </c>
    </row>
    <row r="1114" spans="1:10" hidden="1" outlineLevel="1">
      <c r="A1114" s="1828"/>
      <c r="B1114" s="1829"/>
      <c r="C1114" s="1808" t="s">
        <v>1488</v>
      </c>
      <c r="D1114" s="1808"/>
      <c r="E1114" s="1106" t="s">
        <v>55</v>
      </c>
      <c r="F1114" s="583">
        <f>+'3.Concreto'!C68</f>
        <v>885.01089999999988</v>
      </c>
      <c r="G1114" s="1106"/>
      <c r="H1114" s="1106"/>
      <c r="I1114" s="1106">
        <v>0</v>
      </c>
      <c r="J1114" s="1107">
        <f>SUM(J1113)</f>
        <v>230215.8</v>
      </c>
    </row>
    <row r="1115" spans="1:10" hidden="1" outlineLevel="1">
      <c r="A1115" s="1828"/>
      <c r="B1115" s="1829"/>
      <c r="C1115" s="1827" t="s">
        <v>47</v>
      </c>
      <c r="D1115" s="1827"/>
      <c r="E1115" s="1827"/>
      <c r="F1115" s="1827"/>
      <c r="G1115" s="1827"/>
      <c r="H1115" s="1827"/>
      <c r="I1115" s="1827"/>
      <c r="J1115" s="773">
        <f>J1114*F1114</f>
        <v>203743492.35221997</v>
      </c>
    </row>
    <row r="1116" spans="1:10" collapsed="1">
      <c r="A1116" s="1844">
        <v>16</v>
      </c>
      <c r="B1116" s="1844"/>
      <c r="C1116" s="1844" t="s">
        <v>278</v>
      </c>
      <c r="D1116" s="1844"/>
      <c r="E1116" s="1844"/>
      <c r="F1116" s="1844"/>
      <c r="G1116" s="1844"/>
      <c r="H1116" s="1844"/>
      <c r="I1116" s="1844"/>
      <c r="J1116" s="1844"/>
    </row>
    <row r="1117" spans="1:10" ht="12.75" hidden="1" customHeight="1" outlineLevel="1">
      <c r="A1117" s="1883"/>
      <c r="B1117" s="1855" t="s">
        <v>1375</v>
      </c>
      <c r="C1117" s="1826" t="s">
        <v>2196</v>
      </c>
      <c r="D1117" s="1886"/>
      <c r="E1117" s="1886"/>
      <c r="F1117" s="1886"/>
      <c r="G1117" s="1886"/>
      <c r="H1117" s="1886"/>
      <c r="I1117" s="1886"/>
      <c r="J1117" s="1887"/>
    </row>
    <row r="1118" spans="1:10" ht="12.75" hidden="1" customHeight="1" outlineLevel="2">
      <c r="A1118" s="1884"/>
      <c r="B1118" s="1856"/>
      <c r="C1118" s="856"/>
      <c r="D1118" s="856" t="s">
        <v>2197</v>
      </c>
      <c r="E1118" s="861" t="s">
        <v>1891</v>
      </c>
      <c r="F1118" s="858">
        <v>0.13</v>
      </c>
      <c r="G1118" s="5"/>
      <c r="H1118" s="5"/>
      <c r="I1118" s="856"/>
      <c r="J1118" s="853">
        <v>133</v>
      </c>
    </row>
    <row r="1119" spans="1:10" ht="12.75" hidden="1" customHeight="1" outlineLevel="2">
      <c r="A1119" s="1884"/>
      <c r="B1119" s="1856"/>
      <c r="C1119" s="856"/>
      <c r="D1119" s="856" t="s">
        <v>2198</v>
      </c>
      <c r="E1119" s="861" t="s">
        <v>48</v>
      </c>
      <c r="F1119" s="858">
        <v>1</v>
      </c>
      <c r="G1119" s="5"/>
      <c r="H1119" s="5"/>
      <c r="I1119" s="856"/>
      <c r="J1119" s="853">
        <v>5665</v>
      </c>
    </row>
    <row r="1120" spans="1:10" ht="12.75" hidden="1" customHeight="1" outlineLevel="2">
      <c r="A1120" s="1884"/>
      <c r="B1120" s="1856"/>
      <c r="C1120" s="856"/>
      <c r="D1120" s="856" t="s">
        <v>2199</v>
      </c>
      <c r="E1120" s="861" t="s">
        <v>1891</v>
      </c>
      <c r="F1120" s="858">
        <v>0.42</v>
      </c>
      <c r="G1120" s="5"/>
      <c r="H1120" s="5"/>
      <c r="I1120" s="856"/>
      <c r="J1120" s="853">
        <v>2206</v>
      </c>
    </row>
    <row r="1121" spans="1:10" ht="12.75" hidden="1" customHeight="1" outlineLevel="2">
      <c r="A1121" s="1884"/>
      <c r="B1121" s="1856"/>
      <c r="C1121" s="856"/>
      <c r="D1121" s="856" t="s">
        <v>2200</v>
      </c>
      <c r="E1121" s="861" t="s">
        <v>1891</v>
      </c>
      <c r="F1121" s="858">
        <v>0.14000000000000001</v>
      </c>
      <c r="G1121" s="5"/>
      <c r="H1121" s="5"/>
      <c r="I1121" s="856"/>
      <c r="J1121" s="853">
        <v>225</v>
      </c>
    </row>
    <row r="1122" spans="1:10" ht="12.75" hidden="1" customHeight="1" outlineLevel="2">
      <c r="A1122" s="1884"/>
      <c r="B1122" s="1856"/>
      <c r="C1122" s="856"/>
      <c r="D1122" s="856" t="s">
        <v>2201</v>
      </c>
      <c r="E1122" s="862" t="s">
        <v>48</v>
      </c>
      <c r="F1122" s="858">
        <v>3</v>
      </c>
      <c r="G1122" s="5"/>
      <c r="H1122" s="5"/>
      <c r="I1122" s="856"/>
      <c r="J1122" s="853">
        <v>114396</v>
      </c>
    </row>
    <row r="1123" spans="1:10" ht="12.75" hidden="1" customHeight="1" outlineLevel="2">
      <c r="A1123" s="1884"/>
      <c r="B1123" s="1856"/>
      <c r="C1123" s="856"/>
      <c r="D1123" s="856" t="s">
        <v>2202</v>
      </c>
      <c r="E1123" s="862" t="s">
        <v>48</v>
      </c>
      <c r="F1123" s="858">
        <v>1.05</v>
      </c>
      <c r="G1123" s="5"/>
      <c r="H1123" s="5"/>
      <c r="I1123" s="856"/>
      <c r="J1123" s="853">
        <v>15905</v>
      </c>
    </row>
    <row r="1124" spans="1:10" ht="12.75" hidden="1" customHeight="1" outlineLevel="2">
      <c r="A1124" s="1884"/>
      <c r="B1124" s="1856"/>
      <c r="C1124" s="856"/>
      <c r="D1124" s="856" t="s">
        <v>2089</v>
      </c>
      <c r="E1124" s="862" t="s">
        <v>1897</v>
      </c>
      <c r="F1124" s="858">
        <f>1.5/2</f>
        <v>0.75</v>
      </c>
      <c r="G1124" s="5"/>
      <c r="H1124" s="5"/>
      <c r="I1124" s="856"/>
      <c r="J1124" s="853">
        <v>33642</v>
      </c>
    </row>
    <row r="1125" spans="1:10" ht="12.75" hidden="1" customHeight="1" outlineLevel="2">
      <c r="A1125" s="1884"/>
      <c r="B1125" s="1856"/>
      <c r="C1125" s="856"/>
      <c r="D1125" s="856" t="s">
        <v>2090</v>
      </c>
      <c r="E1125" s="862" t="s">
        <v>2091</v>
      </c>
      <c r="F1125" s="858">
        <v>10</v>
      </c>
      <c r="G1125" s="5"/>
      <c r="H1125" s="5"/>
      <c r="I1125" s="856"/>
      <c r="J1125" s="853">
        <v>17289</v>
      </c>
    </row>
    <row r="1126" spans="1:10" ht="12.75" hidden="1" customHeight="1" outlineLevel="2">
      <c r="A1126" s="1884"/>
      <c r="B1126" s="1856"/>
      <c r="C1126" s="856"/>
      <c r="D1126" s="856" t="s">
        <v>2092</v>
      </c>
      <c r="E1126" s="862" t="s">
        <v>1891</v>
      </c>
      <c r="F1126" s="858">
        <v>0.01</v>
      </c>
      <c r="G1126" s="5"/>
      <c r="H1126" s="5"/>
      <c r="I1126" s="856"/>
      <c r="J1126" s="853">
        <v>436</v>
      </c>
    </row>
    <row r="1127" spans="1:10" ht="12.75" hidden="1" customHeight="1" outlineLevel="2">
      <c r="A1127" s="1884"/>
      <c r="B1127" s="1856"/>
      <c r="C1127" s="856"/>
      <c r="D1127" s="856" t="s">
        <v>2203</v>
      </c>
      <c r="E1127" s="862" t="s">
        <v>1891</v>
      </c>
      <c r="F1127" s="858">
        <v>0</v>
      </c>
      <c r="G1127" s="5"/>
      <c r="H1127" s="5"/>
      <c r="I1127" s="856"/>
      <c r="J1127" s="853">
        <v>280</v>
      </c>
    </row>
    <row r="1128" spans="1:10" ht="12.75" hidden="1" customHeight="1" outlineLevel="2">
      <c r="A1128" s="1884"/>
      <c r="B1128" s="1856"/>
      <c r="C1128" s="1842" t="s">
        <v>1488</v>
      </c>
      <c r="D1128" s="1835"/>
      <c r="E1128" s="852" t="s">
        <v>345</v>
      </c>
      <c r="F1128" s="583">
        <f>'13. Instalaciones Eléctricas'!AC121</f>
        <v>21</v>
      </c>
      <c r="G1128" s="852"/>
      <c r="H1128" s="852"/>
      <c r="I1128" s="852">
        <v>0</v>
      </c>
      <c r="J1128" s="853">
        <f>SUM(J1118:J1127)</f>
        <v>190177</v>
      </c>
    </row>
    <row r="1129" spans="1:10" ht="12.75" hidden="1" customHeight="1" outlineLevel="1" collapsed="1">
      <c r="A1129" s="1885"/>
      <c r="B1129" s="1857"/>
      <c r="C1129" s="1852" t="s">
        <v>47</v>
      </c>
      <c r="D1129" s="1853"/>
      <c r="E1129" s="1853"/>
      <c r="F1129" s="1853"/>
      <c r="G1129" s="1853"/>
      <c r="H1129" s="1853"/>
      <c r="I1129" s="1836"/>
      <c r="J1129" s="773">
        <f>J1128*F1128</f>
        <v>3993717</v>
      </c>
    </row>
    <row r="1130" spans="1:10" ht="12.75" hidden="1" customHeight="1" outlineLevel="1">
      <c r="A1130" s="1872"/>
      <c r="B1130" s="1831" t="s">
        <v>1376</v>
      </c>
      <c r="C1130" s="1826" t="s">
        <v>2083</v>
      </c>
      <c r="D1130" s="1826"/>
      <c r="E1130" s="1826"/>
      <c r="F1130" s="1826"/>
      <c r="G1130" s="1826"/>
      <c r="H1130" s="1826"/>
      <c r="I1130" s="1826"/>
      <c r="J1130" s="1826"/>
    </row>
    <row r="1131" spans="1:10" ht="12.75" hidden="1" customHeight="1" outlineLevel="2">
      <c r="A1131" s="1872"/>
      <c r="B1131" s="1831"/>
      <c r="C1131" s="856"/>
      <c r="D1131" s="856" t="s">
        <v>2084</v>
      </c>
      <c r="E1131" s="857" t="s">
        <v>1891</v>
      </c>
      <c r="F1131" s="858">
        <v>2</v>
      </c>
      <c r="G1131" s="859"/>
      <c r="H1131" s="5"/>
      <c r="I1131" s="856"/>
      <c r="J1131" s="860">
        <v>812</v>
      </c>
    </row>
    <row r="1132" spans="1:10" ht="12.75" hidden="1" customHeight="1" outlineLevel="2">
      <c r="A1132" s="1872"/>
      <c r="B1132" s="1831"/>
      <c r="C1132" s="856"/>
      <c r="D1132" s="856" t="s">
        <v>2085</v>
      </c>
      <c r="E1132" s="857" t="s">
        <v>48</v>
      </c>
      <c r="F1132" s="858">
        <v>3</v>
      </c>
      <c r="G1132" s="859"/>
      <c r="H1132" s="5"/>
      <c r="I1132" s="856"/>
      <c r="J1132" s="860">
        <v>6570</v>
      </c>
    </row>
    <row r="1133" spans="1:10" ht="12.75" hidden="1" customHeight="1" outlineLevel="2">
      <c r="A1133" s="1872"/>
      <c r="B1133" s="1831"/>
      <c r="C1133" s="856"/>
      <c r="D1133" s="856" t="s">
        <v>2086</v>
      </c>
      <c r="E1133" s="857" t="s">
        <v>48</v>
      </c>
      <c r="F1133" s="858">
        <v>6</v>
      </c>
      <c r="G1133" s="859"/>
      <c r="H1133" s="5"/>
      <c r="I1133" s="856"/>
      <c r="J1133" s="860">
        <v>13914</v>
      </c>
    </row>
    <row r="1134" spans="1:10" ht="12.75" hidden="1" customHeight="1" outlineLevel="2">
      <c r="A1134" s="1872"/>
      <c r="B1134" s="1831"/>
      <c r="C1134" s="856"/>
      <c r="D1134" s="856" t="s">
        <v>2087</v>
      </c>
      <c r="E1134" s="857" t="s">
        <v>1891</v>
      </c>
      <c r="F1134" s="858">
        <v>1</v>
      </c>
      <c r="G1134" s="859"/>
      <c r="H1134" s="5"/>
      <c r="I1134" s="856"/>
      <c r="J1134" s="860">
        <v>2280</v>
      </c>
    </row>
    <row r="1135" spans="1:10" ht="12.75" hidden="1" customHeight="1" outlineLevel="2">
      <c r="A1135" s="1872"/>
      <c r="B1135" s="1831"/>
      <c r="C1135" s="856"/>
      <c r="D1135" s="856" t="s">
        <v>2088</v>
      </c>
      <c r="E1135" s="856" t="s">
        <v>1891</v>
      </c>
      <c r="F1135" s="858">
        <v>2</v>
      </c>
      <c r="G1135" s="859"/>
      <c r="H1135" s="5"/>
      <c r="I1135" s="856"/>
      <c r="J1135" s="860">
        <v>986</v>
      </c>
    </row>
    <row r="1136" spans="1:10" ht="12.75" hidden="1" customHeight="1" outlineLevel="2">
      <c r="A1136" s="1872"/>
      <c r="B1136" s="1831"/>
      <c r="C1136" s="856"/>
      <c r="D1136" s="856" t="s">
        <v>2089</v>
      </c>
      <c r="E1136" s="856" t="s">
        <v>1897</v>
      </c>
      <c r="F1136" s="858">
        <f>2.5/2</f>
        <v>1.25</v>
      </c>
      <c r="G1136" s="859"/>
      <c r="H1136" s="5"/>
      <c r="I1136" s="856"/>
      <c r="J1136" s="860">
        <v>56071</v>
      </c>
    </row>
    <row r="1137" spans="1:10" ht="12.75" hidden="1" customHeight="1" outlineLevel="2">
      <c r="A1137" s="1872"/>
      <c r="B1137" s="1831"/>
      <c r="C1137" s="856"/>
      <c r="D1137" s="856" t="s">
        <v>2090</v>
      </c>
      <c r="E1137" s="856" t="s">
        <v>2091</v>
      </c>
      <c r="F1137" s="858">
        <v>10</v>
      </c>
      <c r="G1137" s="859"/>
      <c r="H1137" s="5"/>
      <c r="I1137" s="856"/>
      <c r="J1137" s="860">
        <v>9418</v>
      </c>
    </row>
    <row r="1138" spans="1:10" ht="12.75" hidden="1" customHeight="1" outlineLevel="2">
      <c r="A1138" s="1872"/>
      <c r="B1138" s="1831"/>
      <c r="C1138" s="856"/>
      <c r="D1138" s="856" t="s">
        <v>2092</v>
      </c>
      <c r="E1138" s="856" t="s">
        <v>1891</v>
      </c>
      <c r="F1138" s="858">
        <v>0.01</v>
      </c>
      <c r="G1138" s="859"/>
      <c r="H1138" s="5"/>
      <c r="I1138" s="856"/>
      <c r="J1138" s="860">
        <v>436</v>
      </c>
    </row>
    <row r="1139" spans="1:10" ht="12.75" hidden="1" customHeight="1" outlineLevel="2">
      <c r="A1139" s="1872"/>
      <c r="B1139" s="1831"/>
      <c r="C1139" s="856"/>
      <c r="D1139" s="856" t="s">
        <v>2093</v>
      </c>
      <c r="E1139" s="856" t="s">
        <v>1891</v>
      </c>
      <c r="F1139" s="858">
        <v>0.01</v>
      </c>
      <c r="G1139" s="859"/>
      <c r="H1139" s="5"/>
      <c r="I1139" s="856"/>
      <c r="J1139" s="860">
        <v>482</v>
      </c>
    </row>
    <row r="1140" spans="1:10" ht="12.75" hidden="1" customHeight="1" outlineLevel="2">
      <c r="A1140" s="1872"/>
      <c r="B1140" s="1831"/>
      <c r="C1140" s="856"/>
      <c r="D1140" s="856" t="s">
        <v>2094</v>
      </c>
      <c r="E1140" s="856" t="s">
        <v>1891</v>
      </c>
      <c r="F1140" s="858">
        <v>1</v>
      </c>
      <c r="G1140" s="859"/>
      <c r="H1140" s="5"/>
      <c r="I1140" s="856"/>
      <c r="J1140" s="860">
        <v>400</v>
      </c>
    </row>
    <row r="1141" spans="1:10" ht="12.75" hidden="1" customHeight="1" outlineLevel="2">
      <c r="A1141" s="1872"/>
      <c r="B1141" s="1831"/>
      <c r="C1141" s="856"/>
      <c r="D1141" s="856" t="s">
        <v>2095</v>
      </c>
      <c r="E1141" s="856" t="s">
        <v>1891</v>
      </c>
      <c r="F1141" s="858">
        <v>1</v>
      </c>
      <c r="G1141" s="859"/>
      <c r="H1141" s="5"/>
      <c r="I1141" s="856"/>
      <c r="J1141" s="860">
        <v>5916</v>
      </c>
    </row>
    <row r="1142" spans="1:10" ht="12.75" hidden="1" customHeight="1" outlineLevel="2">
      <c r="A1142" s="1872"/>
      <c r="B1142" s="1831"/>
      <c r="C1142" s="856"/>
      <c r="D1142" s="856" t="s">
        <v>2096</v>
      </c>
      <c r="E1142" s="856" t="s">
        <v>1891</v>
      </c>
      <c r="F1142" s="858">
        <v>1</v>
      </c>
      <c r="G1142" s="859"/>
      <c r="H1142" s="5"/>
      <c r="I1142" s="856"/>
      <c r="J1142" s="860">
        <v>26</v>
      </c>
    </row>
    <row r="1143" spans="1:10" ht="12.75" hidden="1" customHeight="1" outlineLevel="2">
      <c r="A1143" s="1872"/>
      <c r="B1143" s="1831"/>
      <c r="C1143" s="856"/>
      <c r="D1143" s="856" t="s">
        <v>2097</v>
      </c>
      <c r="E1143" s="856" t="s">
        <v>48</v>
      </c>
      <c r="F1143" s="858">
        <v>3</v>
      </c>
      <c r="G1143" s="859"/>
      <c r="H1143" s="5"/>
      <c r="I1143" s="856"/>
      <c r="J1143" s="860">
        <v>6288</v>
      </c>
    </row>
    <row r="1144" spans="1:10" ht="12.75" hidden="1" customHeight="1" outlineLevel="2">
      <c r="A1144" s="1872"/>
      <c r="B1144" s="1831"/>
      <c r="C1144" s="1808" t="s">
        <v>1488</v>
      </c>
      <c r="D1144" s="1808"/>
      <c r="E1144" s="851" t="s">
        <v>1891</v>
      </c>
      <c r="F1144" s="583">
        <f>'13. Instalaciones Eléctricas'!E124</f>
        <v>276</v>
      </c>
      <c r="G1144" s="851"/>
      <c r="H1144" s="851"/>
      <c r="I1144" s="851">
        <v>0</v>
      </c>
      <c r="J1144" s="850">
        <f>SUM(J1131:J1143)</f>
        <v>103599</v>
      </c>
    </row>
    <row r="1145" spans="1:10" ht="12.75" hidden="1" customHeight="1" outlineLevel="1" collapsed="1">
      <c r="A1145" s="1872"/>
      <c r="B1145" s="1831"/>
      <c r="C1145" s="1827" t="s">
        <v>47</v>
      </c>
      <c r="D1145" s="1827"/>
      <c r="E1145" s="1827"/>
      <c r="F1145" s="1827"/>
      <c r="G1145" s="1827"/>
      <c r="H1145" s="1827"/>
      <c r="I1145" s="1827"/>
      <c r="J1145" s="773">
        <f>J1144*F1144</f>
        <v>28593324</v>
      </c>
    </row>
    <row r="1146" spans="1:10" ht="12.75" hidden="1" customHeight="1" outlineLevel="1">
      <c r="A1146" s="1872"/>
      <c r="B1146" s="1831" t="s">
        <v>1377</v>
      </c>
      <c r="C1146" s="1873" t="s">
        <v>2098</v>
      </c>
      <c r="D1146" s="1873"/>
      <c r="E1146" s="1873"/>
      <c r="F1146" s="1873"/>
      <c r="G1146" s="1873"/>
      <c r="H1146" s="1873"/>
      <c r="I1146" s="1873"/>
      <c r="J1146" s="1873"/>
    </row>
    <row r="1147" spans="1:10" ht="12.75" hidden="1" customHeight="1" outlineLevel="2">
      <c r="A1147" s="1872"/>
      <c r="B1147" s="1831"/>
      <c r="C1147" s="856"/>
      <c r="D1147" s="856" t="s">
        <v>2084</v>
      </c>
      <c r="E1147" s="857" t="s">
        <v>1891</v>
      </c>
      <c r="F1147" s="858">
        <v>2</v>
      </c>
      <c r="G1147" s="859"/>
      <c r="H1147" s="5"/>
      <c r="I1147" s="856"/>
      <c r="J1147" s="860">
        <v>812</v>
      </c>
    </row>
    <row r="1148" spans="1:10" ht="12.75" hidden="1" customHeight="1" outlineLevel="2">
      <c r="A1148" s="1872"/>
      <c r="B1148" s="1831"/>
      <c r="C1148" s="856"/>
      <c r="D1148" s="856" t="s">
        <v>2085</v>
      </c>
      <c r="E1148" s="857" t="s">
        <v>48</v>
      </c>
      <c r="F1148" s="858">
        <v>3</v>
      </c>
      <c r="G1148" s="859"/>
      <c r="H1148" s="5"/>
      <c r="I1148" s="856"/>
      <c r="J1148" s="860">
        <v>6570</v>
      </c>
    </row>
    <row r="1149" spans="1:10" ht="12.75" hidden="1" customHeight="1" outlineLevel="2">
      <c r="A1149" s="1872"/>
      <c r="B1149" s="1831"/>
      <c r="C1149" s="856"/>
      <c r="D1149" s="856" t="s">
        <v>2086</v>
      </c>
      <c r="E1149" s="857" t="s">
        <v>48</v>
      </c>
      <c r="F1149" s="858">
        <v>6</v>
      </c>
      <c r="G1149" s="859"/>
      <c r="H1149" s="5"/>
      <c r="I1149" s="856"/>
      <c r="J1149" s="860">
        <v>13914</v>
      </c>
    </row>
    <row r="1150" spans="1:10" ht="12.75" hidden="1" customHeight="1" outlineLevel="2">
      <c r="A1150" s="1872"/>
      <c r="B1150" s="1831"/>
      <c r="C1150" s="856"/>
      <c r="D1150" s="856" t="s">
        <v>2087</v>
      </c>
      <c r="E1150" s="857" t="s">
        <v>1891</v>
      </c>
      <c r="F1150" s="858">
        <v>1</v>
      </c>
      <c r="G1150" s="859"/>
      <c r="H1150" s="5"/>
      <c r="I1150" s="856"/>
      <c r="J1150" s="860">
        <v>2280</v>
      </c>
    </row>
    <row r="1151" spans="1:10" ht="12.75" hidden="1" customHeight="1" outlineLevel="2">
      <c r="A1151" s="1872"/>
      <c r="B1151" s="1831"/>
      <c r="C1151" s="856"/>
      <c r="D1151" s="856" t="s">
        <v>2088</v>
      </c>
      <c r="E1151" s="856" t="s">
        <v>1891</v>
      </c>
      <c r="F1151" s="858">
        <v>2</v>
      </c>
      <c r="G1151" s="859"/>
      <c r="H1151" s="5"/>
      <c r="I1151" s="856"/>
      <c r="J1151" s="860">
        <v>986</v>
      </c>
    </row>
    <row r="1152" spans="1:10" ht="12.75" hidden="1" customHeight="1" outlineLevel="2">
      <c r="A1152" s="1872"/>
      <c r="B1152" s="1831"/>
      <c r="C1152" s="856"/>
      <c r="D1152" s="856" t="s">
        <v>2089</v>
      </c>
      <c r="E1152" s="856" t="s">
        <v>1897</v>
      </c>
      <c r="F1152" s="858">
        <f>2.5/2</f>
        <v>1.25</v>
      </c>
      <c r="G1152" s="859"/>
      <c r="H1152" s="5"/>
      <c r="I1152" s="856"/>
      <c r="J1152" s="860">
        <v>56071</v>
      </c>
    </row>
    <row r="1153" spans="1:10" ht="12.75" hidden="1" customHeight="1" outlineLevel="2">
      <c r="A1153" s="1872"/>
      <c r="B1153" s="1831"/>
      <c r="C1153" s="856"/>
      <c r="D1153" s="856" t="s">
        <v>2090</v>
      </c>
      <c r="E1153" s="856" t="s">
        <v>2091</v>
      </c>
      <c r="F1153" s="858">
        <v>10</v>
      </c>
      <c r="G1153" s="859"/>
      <c r="H1153" s="5"/>
      <c r="I1153" s="856"/>
      <c r="J1153" s="860">
        <v>9418</v>
      </c>
    </row>
    <row r="1154" spans="1:10" ht="12.75" hidden="1" customHeight="1" outlineLevel="2">
      <c r="A1154" s="1872"/>
      <c r="B1154" s="1831"/>
      <c r="C1154" s="856"/>
      <c r="D1154" s="856" t="s">
        <v>2092</v>
      </c>
      <c r="E1154" s="856" t="s">
        <v>1891</v>
      </c>
      <c r="F1154" s="858">
        <v>0.01</v>
      </c>
      <c r="G1154" s="859"/>
      <c r="H1154" s="5"/>
      <c r="I1154" s="856"/>
      <c r="J1154" s="860">
        <v>436</v>
      </c>
    </row>
    <row r="1155" spans="1:10" ht="12.75" hidden="1" customHeight="1" outlineLevel="2">
      <c r="A1155" s="1872"/>
      <c r="B1155" s="1831"/>
      <c r="C1155" s="856"/>
      <c r="D1155" s="856" t="s">
        <v>2093</v>
      </c>
      <c r="E1155" s="856" t="s">
        <v>1891</v>
      </c>
      <c r="F1155" s="858">
        <v>0.01</v>
      </c>
      <c r="G1155" s="859"/>
      <c r="H1155" s="5"/>
      <c r="I1155" s="856"/>
      <c r="J1155" s="860">
        <v>482</v>
      </c>
    </row>
    <row r="1156" spans="1:10" ht="12.75" hidden="1" customHeight="1" outlineLevel="2">
      <c r="A1156" s="1872"/>
      <c r="B1156" s="1831"/>
      <c r="C1156" s="856"/>
      <c r="D1156" s="856" t="s">
        <v>2094</v>
      </c>
      <c r="E1156" s="856" t="s">
        <v>1891</v>
      </c>
      <c r="F1156" s="858">
        <v>1</v>
      </c>
      <c r="G1156" s="859"/>
      <c r="H1156" s="5"/>
      <c r="I1156" s="856"/>
      <c r="J1156" s="860">
        <v>400</v>
      </c>
    </row>
    <row r="1157" spans="1:10" ht="12.75" hidden="1" customHeight="1" outlineLevel="2">
      <c r="A1157" s="1872"/>
      <c r="B1157" s="1831"/>
      <c r="C1157" s="856"/>
      <c r="D1157" s="856" t="s">
        <v>2099</v>
      </c>
      <c r="E1157" s="856" t="s">
        <v>1891</v>
      </c>
      <c r="F1157" s="858">
        <v>1</v>
      </c>
      <c r="G1157" s="859"/>
      <c r="H1157" s="5"/>
      <c r="I1157" s="856"/>
      <c r="J1157" s="860">
        <v>16550</v>
      </c>
    </row>
    <row r="1158" spans="1:10" ht="12.75" hidden="1" customHeight="1" outlineLevel="2">
      <c r="A1158" s="1872"/>
      <c r="B1158" s="1831"/>
      <c r="C1158" s="856"/>
      <c r="D1158" s="856" t="s">
        <v>2096</v>
      </c>
      <c r="E1158" s="856" t="s">
        <v>1891</v>
      </c>
      <c r="F1158" s="858">
        <v>1</v>
      </c>
      <c r="G1158" s="859"/>
      <c r="H1158" s="5"/>
      <c r="I1158" s="856"/>
      <c r="J1158" s="860">
        <v>26</v>
      </c>
    </row>
    <row r="1159" spans="1:10" ht="12.75" hidden="1" customHeight="1" outlineLevel="2">
      <c r="A1159" s="1872"/>
      <c r="B1159" s="1831"/>
      <c r="C1159" s="856"/>
      <c r="D1159" s="856" t="s">
        <v>2097</v>
      </c>
      <c r="E1159" s="856" t="s">
        <v>48</v>
      </c>
      <c r="F1159" s="858">
        <v>3</v>
      </c>
      <c r="G1159" s="859"/>
      <c r="H1159" s="5"/>
      <c r="I1159" s="856"/>
      <c r="J1159" s="860">
        <v>6288</v>
      </c>
    </row>
    <row r="1160" spans="1:10" ht="12.75" hidden="1" customHeight="1" outlineLevel="2">
      <c r="A1160" s="1872"/>
      <c r="B1160" s="1831"/>
      <c r="C1160" s="1842" t="s">
        <v>1488</v>
      </c>
      <c r="D1160" s="1835"/>
      <c r="E1160" s="851" t="s">
        <v>1891</v>
      </c>
      <c r="F1160" s="583">
        <f>'13. Instalaciones Eléctricas'!E120</f>
        <v>82</v>
      </c>
      <c r="G1160" s="851"/>
      <c r="H1160" s="851"/>
      <c r="I1160" s="851">
        <v>0</v>
      </c>
      <c r="J1160" s="850">
        <f>SUM(J1147:J1159)</f>
        <v>114233</v>
      </c>
    </row>
    <row r="1161" spans="1:10" ht="12.75" hidden="1" customHeight="1" outlineLevel="1" collapsed="1">
      <c r="A1161" s="1872"/>
      <c r="B1161" s="1831"/>
      <c r="C1161" s="1827" t="s">
        <v>47</v>
      </c>
      <c r="D1161" s="1827"/>
      <c r="E1161" s="1827"/>
      <c r="F1161" s="1827"/>
      <c r="G1161" s="1827"/>
      <c r="H1161" s="1827"/>
      <c r="I1161" s="1827"/>
      <c r="J1161" s="773">
        <f>J1160*F1160</f>
        <v>9367106</v>
      </c>
    </row>
    <row r="1162" spans="1:10" ht="12.75" hidden="1" customHeight="1" outlineLevel="1">
      <c r="A1162" s="1872"/>
      <c r="B1162" s="1831" t="s">
        <v>1378</v>
      </c>
      <c r="C1162" s="1873" t="s">
        <v>2100</v>
      </c>
      <c r="D1162" s="1873"/>
      <c r="E1162" s="1873"/>
      <c r="F1162" s="1873"/>
      <c r="G1162" s="1873"/>
      <c r="H1162" s="1873"/>
      <c r="I1162" s="1873"/>
      <c r="J1162" s="1873"/>
    </row>
    <row r="1163" spans="1:10" ht="12.75" hidden="1" customHeight="1" outlineLevel="2">
      <c r="A1163" s="1872"/>
      <c r="B1163" s="1831"/>
      <c r="C1163" s="856"/>
      <c r="D1163" s="856" t="s">
        <v>2084</v>
      </c>
      <c r="E1163" s="857" t="s">
        <v>1891</v>
      </c>
      <c r="F1163" s="858">
        <v>2</v>
      </c>
      <c r="G1163" s="859"/>
      <c r="H1163" s="5"/>
      <c r="I1163" s="856"/>
      <c r="J1163" s="860">
        <v>812</v>
      </c>
    </row>
    <row r="1164" spans="1:10" ht="12.75" hidden="1" customHeight="1" outlineLevel="2">
      <c r="A1164" s="1872"/>
      <c r="B1164" s="1831"/>
      <c r="C1164" s="856"/>
      <c r="D1164" s="856" t="s">
        <v>2085</v>
      </c>
      <c r="E1164" s="857" t="s">
        <v>48</v>
      </c>
      <c r="F1164" s="858">
        <v>3</v>
      </c>
      <c r="G1164" s="859"/>
      <c r="H1164" s="5"/>
      <c r="I1164" s="856"/>
      <c r="J1164" s="860">
        <v>6570</v>
      </c>
    </row>
    <row r="1165" spans="1:10" ht="12.75" hidden="1" customHeight="1" outlineLevel="2">
      <c r="A1165" s="1872"/>
      <c r="B1165" s="1831"/>
      <c r="C1165" s="856"/>
      <c r="D1165" s="856" t="s">
        <v>2086</v>
      </c>
      <c r="E1165" s="857" t="s">
        <v>48</v>
      </c>
      <c r="F1165" s="858">
        <v>6</v>
      </c>
      <c r="G1165" s="859"/>
      <c r="H1165" s="5"/>
      <c r="I1165" s="856"/>
      <c r="J1165" s="860">
        <v>13914</v>
      </c>
    </row>
    <row r="1166" spans="1:10" ht="12.75" hidden="1" customHeight="1" outlineLevel="2">
      <c r="A1166" s="1872"/>
      <c r="B1166" s="1831"/>
      <c r="C1166" s="856"/>
      <c r="D1166" s="856" t="s">
        <v>2087</v>
      </c>
      <c r="E1166" s="857" t="s">
        <v>1891</v>
      </c>
      <c r="F1166" s="858">
        <v>1</v>
      </c>
      <c r="G1166" s="859"/>
      <c r="H1166" s="5"/>
      <c r="I1166" s="856"/>
      <c r="J1166" s="860">
        <v>2280</v>
      </c>
    </row>
    <row r="1167" spans="1:10" ht="12.75" hidden="1" customHeight="1" outlineLevel="2">
      <c r="A1167" s="1872"/>
      <c r="B1167" s="1831"/>
      <c r="C1167" s="856"/>
      <c r="D1167" s="856" t="s">
        <v>2088</v>
      </c>
      <c r="E1167" s="856" t="s">
        <v>1891</v>
      </c>
      <c r="F1167" s="858">
        <v>2</v>
      </c>
      <c r="G1167" s="859"/>
      <c r="H1167" s="5"/>
      <c r="I1167" s="856"/>
      <c r="J1167" s="860">
        <v>986</v>
      </c>
    </row>
    <row r="1168" spans="1:10" ht="12.75" hidden="1" customHeight="1" outlineLevel="2">
      <c r="A1168" s="1872"/>
      <c r="B1168" s="1831"/>
      <c r="C1168" s="856"/>
      <c r="D1168" s="856" t="s">
        <v>2089</v>
      </c>
      <c r="E1168" s="856" t="s">
        <v>1897</v>
      </c>
      <c r="F1168" s="858">
        <f>2.5/2</f>
        <v>1.25</v>
      </c>
      <c r="G1168" s="859"/>
      <c r="H1168" s="5"/>
      <c r="I1168" s="856"/>
      <c r="J1168" s="860">
        <v>56071</v>
      </c>
    </row>
    <row r="1169" spans="1:10" ht="12.75" hidden="1" customHeight="1" outlineLevel="2">
      <c r="A1169" s="1872"/>
      <c r="B1169" s="1831"/>
      <c r="C1169" s="856"/>
      <c r="D1169" s="856" t="s">
        <v>2090</v>
      </c>
      <c r="E1169" s="856" t="s">
        <v>2091</v>
      </c>
      <c r="F1169" s="858">
        <v>10</v>
      </c>
      <c r="G1169" s="859"/>
      <c r="H1169" s="5"/>
      <c r="I1169" s="856"/>
      <c r="J1169" s="860">
        <v>9418</v>
      </c>
    </row>
    <row r="1170" spans="1:10" ht="12.75" hidden="1" customHeight="1" outlineLevel="2">
      <c r="A1170" s="1872"/>
      <c r="B1170" s="1831"/>
      <c r="C1170" s="856"/>
      <c r="D1170" s="856" t="s">
        <v>2092</v>
      </c>
      <c r="E1170" s="856" t="s">
        <v>1891</v>
      </c>
      <c r="F1170" s="858">
        <v>0.01</v>
      </c>
      <c r="G1170" s="859"/>
      <c r="H1170" s="5"/>
      <c r="I1170" s="856"/>
      <c r="J1170" s="860">
        <v>436</v>
      </c>
    </row>
    <row r="1171" spans="1:10" ht="12.75" hidden="1" customHeight="1" outlineLevel="2">
      <c r="A1171" s="1872"/>
      <c r="B1171" s="1831"/>
      <c r="C1171" s="856"/>
      <c r="D1171" s="856" t="s">
        <v>2093</v>
      </c>
      <c r="E1171" s="856" t="s">
        <v>1891</v>
      </c>
      <c r="F1171" s="858">
        <v>0.01</v>
      </c>
      <c r="G1171" s="859"/>
      <c r="H1171" s="5"/>
      <c r="I1171" s="856"/>
      <c r="J1171" s="860">
        <v>482</v>
      </c>
    </row>
    <row r="1172" spans="1:10" ht="12.75" hidden="1" customHeight="1" outlineLevel="2">
      <c r="A1172" s="1872"/>
      <c r="B1172" s="1831"/>
      <c r="C1172" s="856"/>
      <c r="D1172" s="856" t="s">
        <v>2094</v>
      </c>
      <c r="E1172" s="856" t="s">
        <v>1891</v>
      </c>
      <c r="F1172" s="858">
        <v>1</v>
      </c>
      <c r="G1172" s="859"/>
      <c r="H1172" s="5"/>
      <c r="I1172" s="856"/>
      <c r="J1172" s="860">
        <v>400</v>
      </c>
    </row>
    <row r="1173" spans="1:10" ht="12.75" hidden="1" customHeight="1" outlineLevel="2">
      <c r="A1173" s="1872"/>
      <c r="B1173" s="1831"/>
      <c r="C1173" s="856"/>
      <c r="D1173" s="856" t="s">
        <v>2095</v>
      </c>
      <c r="E1173" s="856" t="s">
        <v>1891</v>
      </c>
      <c r="F1173" s="858">
        <v>1</v>
      </c>
      <c r="G1173" s="859"/>
      <c r="H1173" s="5"/>
      <c r="I1173" s="856"/>
      <c r="J1173" s="860">
        <v>5916</v>
      </c>
    </row>
    <row r="1174" spans="1:10" ht="12.75" hidden="1" customHeight="1" outlineLevel="2">
      <c r="A1174" s="1872"/>
      <c r="B1174" s="1831"/>
      <c r="C1174" s="856"/>
      <c r="D1174" s="856" t="s">
        <v>2096</v>
      </c>
      <c r="E1174" s="856" t="s">
        <v>1891</v>
      </c>
      <c r="F1174" s="858">
        <v>1</v>
      </c>
      <c r="G1174" s="859"/>
      <c r="H1174" s="5"/>
      <c r="I1174" s="856"/>
      <c r="J1174" s="860">
        <v>26</v>
      </c>
    </row>
    <row r="1175" spans="1:10" ht="12.75" hidden="1" customHeight="1" outlineLevel="2">
      <c r="A1175" s="1872"/>
      <c r="B1175" s="1831"/>
      <c r="C1175" s="856"/>
      <c r="D1175" s="856" t="s">
        <v>2097</v>
      </c>
      <c r="E1175" s="856" t="s">
        <v>48</v>
      </c>
      <c r="F1175" s="858">
        <v>3</v>
      </c>
      <c r="G1175" s="859"/>
      <c r="H1175" s="5"/>
      <c r="I1175" s="856"/>
      <c r="J1175" s="860">
        <v>6288</v>
      </c>
    </row>
    <row r="1176" spans="1:10" ht="12.75" hidden="1" customHeight="1" outlineLevel="2">
      <c r="A1176" s="1872"/>
      <c r="B1176" s="1831"/>
      <c r="C1176" s="1842" t="s">
        <v>1488</v>
      </c>
      <c r="D1176" s="1835"/>
      <c r="E1176" s="851" t="s">
        <v>1891</v>
      </c>
      <c r="F1176" s="583">
        <f>'13. Instalaciones Eléctricas'!E123</f>
        <v>147</v>
      </c>
      <c r="G1176" s="851"/>
      <c r="H1176" s="851"/>
      <c r="I1176" s="851">
        <v>0</v>
      </c>
      <c r="J1176" s="850">
        <f>SUM(J1163:J1175)</f>
        <v>103599</v>
      </c>
    </row>
    <row r="1177" spans="1:10" ht="12.75" hidden="1" customHeight="1" outlineLevel="1" collapsed="1">
      <c r="A1177" s="1872"/>
      <c r="B1177" s="1831"/>
      <c r="C1177" s="1827" t="s">
        <v>47</v>
      </c>
      <c r="D1177" s="1827"/>
      <c r="E1177" s="1827"/>
      <c r="F1177" s="1827"/>
      <c r="G1177" s="1827"/>
      <c r="H1177" s="1827"/>
      <c r="I1177" s="1827"/>
      <c r="J1177" s="773">
        <f>J1176*F1176</f>
        <v>15229053</v>
      </c>
    </row>
    <row r="1178" spans="1:10" ht="12.75" hidden="1" customHeight="1" outlineLevel="1">
      <c r="A1178" s="1872"/>
      <c r="B1178" s="1831" t="s">
        <v>1379</v>
      </c>
      <c r="C1178" s="1873" t="s">
        <v>2101</v>
      </c>
      <c r="D1178" s="1873"/>
      <c r="E1178" s="1873"/>
      <c r="F1178" s="1873"/>
      <c r="G1178" s="1873"/>
      <c r="H1178" s="1873"/>
      <c r="I1178" s="1873"/>
      <c r="J1178" s="1873"/>
    </row>
    <row r="1179" spans="1:10" ht="12.75" hidden="1" customHeight="1" outlineLevel="2">
      <c r="A1179" s="1872"/>
      <c r="B1179" s="1831"/>
      <c r="C1179" s="856"/>
      <c r="D1179" s="856" t="s">
        <v>2084</v>
      </c>
      <c r="E1179" s="857" t="s">
        <v>1891</v>
      </c>
      <c r="F1179" s="858">
        <v>2</v>
      </c>
      <c r="G1179" s="859"/>
      <c r="H1179" s="5"/>
      <c r="I1179" s="856"/>
      <c r="J1179" s="860">
        <v>812</v>
      </c>
    </row>
    <row r="1180" spans="1:10" ht="12.75" hidden="1" customHeight="1" outlineLevel="2">
      <c r="A1180" s="1872"/>
      <c r="B1180" s="1831"/>
      <c r="C1180" s="856"/>
      <c r="D1180" s="856" t="s">
        <v>2085</v>
      </c>
      <c r="E1180" s="857" t="s">
        <v>48</v>
      </c>
      <c r="F1180" s="858">
        <v>3</v>
      </c>
      <c r="G1180" s="859"/>
      <c r="H1180" s="5"/>
      <c r="I1180" s="856"/>
      <c r="J1180" s="860">
        <v>6570</v>
      </c>
    </row>
    <row r="1181" spans="1:10" ht="12.75" hidden="1" customHeight="1" outlineLevel="2">
      <c r="A1181" s="1872"/>
      <c r="B1181" s="1831"/>
      <c r="C1181" s="856"/>
      <c r="D1181" s="856" t="s">
        <v>2086</v>
      </c>
      <c r="E1181" s="857" t="s">
        <v>48</v>
      </c>
      <c r="F1181" s="858">
        <v>6</v>
      </c>
      <c r="G1181" s="859"/>
      <c r="H1181" s="5"/>
      <c r="I1181" s="856"/>
      <c r="J1181" s="860">
        <v>13914</v>
      </c>
    </row>
    <row r="1182" spans="1:10" ht="12.75" hidden="1" customHeight="1" outlineLevel="2">
      <c r="A1182" s="1872"/>
      <c r="B1182" s="1831"/>
      <c r="C1182" s="856"/>
      <c r="D1182" s="856" t="s">
        <v>2087</v>
      </c>
      <c r="E1182" s="857" t="s">
        <v>1891</v>
      </c>
      <c r="F1182" s="858">
        <v>1</v>
      </c>
      <c r="G1182" s="859"/>
      <c r="H1182" s="5"/>
      <c r="I1182" s="856"/>
      <c r="J1182" s="860">
        <v>2280</v>
      </c>
    </row>
    <row r="1183" spans="1:10" ht="12.75" hidden="1" customHeight="1" outlineLevel="2">
      <c r="A1183" s="1872"/>
      <c r="B1183" s="1831"/>
      <c r="C1183" s="856"/>
      <c r="D1183" s="856" t="s">
        <v>2088</v>
      </c>
      <c r="E1183" s="856" t="s">
        <v>1891</v>
      </c>
      <c r="F1183" s="858">
        <v>2</v>
      </c>
      <c r="G1183" s="859"/>
      <c r="H1183" s="5"/>
      <c r="I1183" s="856"/>
      <c r="J1183" s="860">
        <v>986</v>
      </c>
    </row>
    <row r="1184" spans="1:10" ht="12.75" hidden="1" customHeight="1" outlineLevel="2">
      <c r="A1184" s="1872"/>
      <c r="B1184" s="1831"/>
      <c r="C1184" s="856"/>
      <c r="D1184" s="856" t="s">
        <v>2089</v>
      </c>
      <c r="E1184" s="856" t="s">
        <v>1897</v>
      </c>
      <c r="F1184" s="858">
        <f>2.5/2</f>
        <v>1.25</v>
      </c>
      <c r="G1184" s="859"/>
      <c r="H1184" s="5"/>
      <c r="I1184" s="856"/>
      <c r="J1184" s="860">
        <v>56071</v>
      </c>
    </row>
    <row r="1185" spans="1:10" ht="12.75" hidden="1" customHeight="1" outlineLevel="2">
      <c r="A1185" s="1872"/>
      <c r="B1185" s="1831"/>
      <c r="C1185" s="856"/>
      <c r="D1185" s="856" t="s">
        <v>2090</v>
      </c>
      <c r="E1185" s="856" t="s">
        <v>2091</v>
      </c>
      <c r="F1185" s="858">
        <v>10</v>
      </c>
      <c r="G1185" s="859"/>
      <c r="H1185" s="5"/>
      <c r="I1185" s="856"/>
      <c r="J1185" s="860">
        <v>9418</v>
      </c>
    </row>
    <row r="1186" spans="1:10" ht="12.75" hidden="1" customHeight="1" outlineLevel="2">
      <c r="A1186" s="1872"/>
      <c r="B1186" s="1831"/>
      <c r="C1186" s="856"/>
      <c r="D1186" s="856" t="s">
        <v>2092</v>
      </c>
      <c r="E1186" s="856" t="s">
        <v>1891</v>
      </c>
      <c r="F1186" s="858">
        <v>0.01</v>
      </c>
      <c r="G1186" s="859"/>
      <c r="H1186" s="5"/>
      <c r="I1186" s="856"/>
      <c r="J1186" s="860">
        <v>436</v>
      </c>
    </row>
    <row r="1187" spans="1:10" ht="12.75" hidden="1" customHeight="1" outlineLevel="2">
      <c r="A1187" s="1872"/>
      <c r="B1187" s="1831"/>
      <c r="C1187" s="856"/>
      <c r="D1187" s="856" t="s">
        <v>2093</v>
      </c>
      <c r="E1187" s="856" t="s">
        <v>1891</v>
      </c>
      <c r="F1187" s="858">
        <v>0.01</v>
      </c>
      <c r="G1187" s="859"/>
      <c r="H1187" s="5"/>
      <c r="I1187" s="856"/>
      <c r="J1187" s="860">
        <v>482</v>
      </c>
    </row>
    <row r="1188" spans="1:10" ht="12.75" hidden="1" customHeight="1" outlineLevel="2">
      <c r="A1188" s="1872"/>
      <c r="B1188" s="1831"/>
      <c r="C1188" s="856"/>
      <c r="D1188" s="856" t="s">
        <v>2094</v>
      </c>
      <c r="E1188" s="856" t="s">
        <v>1891</v>
      </c>
      <c r="F1188" s="858">
        <v>1</v>
      </c>
      <c r="G1188" s="859"/>
      <c r="H1188" s="5"/>
      <c r="I1188" s="856"/>
      <c r="J1188" s="860">
        <v>400</v>
      </c>
    </row>
    <row r="1189" spans="1:10" ht="12.75" hidden="1" customHeight="1" outlineLevel="2">
      <c r="A1189" s="1872"/>
      <c r="B1189" s="1831"/>
      <c r="C1189" s="856"/>
      <c r="D1189" s="856" t="s">
        <v>2099</v>
      </c>
      <c r="E1189" s="856" t="s">
        <v>1891</v>
      </c>
      <c r="F1189" s="858">
        <v>1</v>
      </c>
      <c r="G1189" s="859"/>
      <c r="H1189" s="5"/>
      <c r="I1189" s="856"/>
      <c r="J1189" s="860">
        <v>16550</v>
      </c>
    </row>
    <row r="1190" spans="1:10" ht="12.75" hidden="1" customHeight="1" outlineLevel="2">
      <c r="A1190" s="1872"/>
      <c r="B1190" s="1831"/>
      <c r="C1190" s="856"/>
      <c r="D1190" s="856" t="s">
        <v>2096</v>
      </c>
      <c r="E1190" s="856" t="s">
        <v>1891</v>
      </c>
      <c r="F1190" s="858">
        <v>1</v>
      </c>
      <c r="G1190" s="859"/>
      <c r="H1190" s="5"/>
      <c r="I1190" s="856"/>
      <c r="J1190" s="860">
        <v>26</v>
      </c>
    </row>
    <row r="1191" spans="1:10" ht="12.75" hidden="1" customHeight="1" outlineLevel="2">
      <c r="A1191" s="1872"/>
      <c r="B1191" s="1831"/>
      <c r="C1191" s="856"/>
      <c r="D1191" s="856" t="s">
        <v>2097</v>
      </c>
      <c r="E1191" s="856" t="s">
        <v>48</v>
      </c>
      <c r="F1191" s="858">
        <v>3</v>
      </c>
      <c r="G1191" s="859"/>
      <c r="H1191" s="5"/>
      <c r="I1191" s="856"/>
      <c r="J1191" s="860">
        <v>6288</v>
      </c>
    </row>
    <row r="1192" spans="1:10" ht="12.75" hidden="1" customHeight="1" outlineLevel="2">
      <c r="A1192" s="1872"/>
      <c r="B1192" s="1831"/>
      <c r="C1192" s="1842" t="s">
        <v>1488</v>
      </c>
      <c r="D1192" s="1835"/>
      <c r="E1192" s="851" t="s">
        <v>1891</v>
      </c>
      <c r="F1192" s="583">
        <f>'13. Instalaciones Eléctricas'!E121</f>
        <v>170</v>
      </c>
      <c r="G1192" s="851"/>
      <c r="H1192" s="851"/>
      <c r="I1192" s="851">
        <v>0</v>
      </c>
      <c r="J1192" s="850">
        <f>SUM(J1179:J1191)</f>
        <v>114233</v>
      </c>
    </row>
    <row r="1193" spans="1:10" ht="12.75" hidden="1" customHeight="1" outlineLevel="1" collapsed="1">
      <c r="A1193" s="1872"/>
      <c r="B1193" s="1831"/>
      <c r="C1193" s="1827" t="s">
        <v>47</v>
      </c>
      <c r="D1193" s="1827"/>
      <c r="E1193" s="1827"/>
      <c r="F1193" s="1827"/>
      <c r="G1193" s="1827"/>
      <c r="H1193" s="1827"/>
      <c r="I1193" s="1827"/>
      <c r="J1193" s="773">
        <f>J1192*F1192</f>
        <v>19419610</v>
      </c>
    </row>
    <row r="1194" spans="1:10" ht="12.75" hidden="1" customHeight="1" outlineLevel="1">
      <c r="A1194" s="1872"/>
      <c r="B1194" s="1831" t="s">
        <v>2528</v>
      </c>
      <c r="C1194" s="1873" t="s">
        <v>2102</v>
      </c>
      <c r="D1194" s="1873"/>
      <c r="E1194" s="1873"/>
      <c r="F1194" s="1873"/>
      <c r="G1194" s="1873"/>
      <c r="H1194" s="1873"/>
      <c r="I1194" s="1873"/>
      <c r="J1194" s="1873"/>
    </row>
    <row r="1195" spans="1:10" ht="12.75" hidden="1" customHeight="1" outlineLevel="2">
      <c r="A1195" s="1872"/>
      <c r="B1195" s="1831"/>
      <c r="C1195" s="856"/>
      <c r="D1195" s="856" t="s">
        <v>2084</v>
      </c>
      <c r="E1195" s="857" t="s">
        <v>1891</v>
      </c>
      <c r="F1195" s="858">
        <v>2</v>
      </c>
      <c r="G1195" s="859"/>
      <c r="H1195" s="5"/>
      <c r="I1195" s="856"/>
      <c r="J1195" s="860">
        <v>812</v>
      </c>
    </row>
    <row r="1196" spans="1:10" ht="12.75" hidden="1" customHeight="1" outlineLevel="2">
      <c r="A1196" s="1872"/>
      <c r="B1196" s="1831"/>
      <c r="C1196" s="856"/>
      <c r="D1196" s="856" t="s">
        <v>2085</v>
      </c>
      <c r="E1196" s="857" t="s">
        <v>48</v>
      </c>
      <c r="F1196" s="858">
        <v>3</v>
      </c>
      <c r="G1196" s="859"/>
      <c r="H1196" s="5"/>
      <c r="I1196" s="856"/>
      <c r="J1196" s="860">
        <v>6570</v>
      </c>
    </row>
    <row r="1197" spans="1:10" ht="12.75" hidden="1" customHeight="1" outlineLevel="2">
      <c r="A1197" s="1872"/>
      <c r="B1197" s="1831"/>
      <c r="C1197" s="856"/>
      <c r="D1197" s="856" t="s">
        <v>2086</v>
      </c>
      <c r="E1197" s="857" t="s">
        <v>48</v>
      </c>
      <c r="F1197" s="858">
        <v>6</v>
      </c>
      <c r="G1197" s="859"/>
      <c r="H1197" s="5"/>
      <c r="I1197" s="856"/>
      <c r="J1197" s="860">
        <v>13914</v>
      </c>
    </row>
    <row r="1198" spans="1:10" ht="12.75" hidden="1" customHeight="1" outlineLevel="2">
      <c r="A1198" s="1872"/>
      <c r="B1198" s="1831"/>
      <c r="C1198" s="856"/>
      <c r="D1198" s="856" t="s">
        <v>2087</v>
      </c>
      <c r="E1198" s="857" t="s">
        <v>1891</v>
      </c>
      <c r="F1198" s="858">
        <v>1</v>
      </c>
      <c r="G1198" s="859"/>
      <c r="H1198" s="5"/>
      <c r="I1198" s="856"/>
      <c r="J1198" s="860">
        <v>2280</v>
      </c>
    </row>
    <row r="1199" spans="1:10" ht="12.75" hidden="1" customHeight="1" outlineLevel="2">
      <c r="A1199" s="1872"/>
      <c r="B1199" s="1831"/>
      <c r="C1199" s="856"/>
      <c r="D1199" s="856" t="s">
        <v>2088</v>
      </c>
      <c r="E1199" s="856" t="s">
        <v>1891</v>
      </c>
      <c r="F1199" s="858">
        <v>2</v>
      </c>
      <c r="G1199" s="859"/>
      <c r="H1199" s="5"/>
      <c r="I1199" s="856"/>
      <c r="J1199" s="860">
        <v>986</v>
      </c>
    </row>
    <row r="1200" spans="1:10" ht="12.75" hidden="1" customHeight="1" outlineLevel="2">
      <c r="A1200" s="1872"/>
      <c r="B1200" s="1831"/>
      <c r="C1200" s="856"/>
      <c r="D1200" s="856" t="s">
        <v>2089</v>
      </c>
      <c r="E1200" s="856" t="s">
        <v>1897</v>
      </c>
      <c r="F1200" s="858">
        <f>2.5/2</f>
        <v>1.25</v>
      </c>
      <c r="G1200" s="859"/>
      <c r="H1200" s="5"/>
      <c r="I1200" s="856"/>
      <c r="J1200" s="860">
        <v>56071</v>
      </c>
    </row>
    <row r="1201" spans="1:10" ht="12.75" hidden="1" customHeight="1" outlineLevel="2">
      <c r="A1201" s="1872"/>
      <c r="B1201" s="1831"/>
      <c r="C1201" s="856"/>
      <c r="D1201" s="856" t="s">
        <v>2090</v>
      </c>
      <c r="E1201" s="856" t="s">
        <v>2091</v>
      </c>
      <c r="F1201" s="858">
        <v>10</v>
      </c>
      <c r="G1201" s="859"/>
      <c r="H1201" s="5"/>
      <c r="I1201" s="856"/>
      <c r="J1201" s="860">
        <v>9418</v>
      </c>
    </row>
    <row r="1202" spans="1:10" ht="12.75" hidden="1" customHeight="1" outlineLevel="2">
      <c r="A1202" s="1872"/>
      <c r="B1202" s="1831"/>
      <c r="C1202" s="856"/>
      <c r="D1202" s="856" t="s">
        <v>2092</v>
      </c>
      <c r="E1202" s="856" t="s">
        <v>1891</v>
      </c>
      <c r="F1202" s="858">
        <v>0.01</v>
      </c>
      <c r="G1202" s="859"/>
      <c r="H1202" s="5"/>
      <c r="I1202" s="856"/>
      <c r="J1202" s="860">
        <v>436</v>
      </c>
    </row>
    <row r="1203" spans="1:10" ht="12.75" hidden="1" customHeight="1" outlineLevel="2">
      <c r="A1203" s="1872"/>
      <c r="B1203" s="1831"/>
      <c r="C1203" s="856"/>
      <c r="D1203" s="856" t="s">
        <v>2093</v>
      </c>
      <c r="E1203" s="856" t="s">
        <v>1891</v>
      </c>
      <c r="F1203" s="858">
        <v>0.01</v>
      </c>
      <c r="G1203" s="859"/>
      <c r="H1203" s="5"/>
      <c r="I1203" s="856"/>
      <c r="J1203" s="860">
        <v>482</v>
      </c>
    </row>
    <row r="1204" spans="1:10" ht="12.75" hidden="1" customHeight="1" outlineLevel="2">
      <c r="A1204" s="1872"/>
      <c r="B1204" s="1831"/>
      <c r="C1204" s="856"/>
      <c r="D1204" s="856" t="s">
        <v>2094</v>
      </c>
      <c r="E1204" s="856" t="s">
        <v>1891</v>
      </c>
      <c r="F1204" s="858">
        <v>1</v>
      </c>
      <c r="G1204" s="859"/>
      <c r="H1204" s="5"/>
      <c r="I1204" s="856"/>
      <c r="J1204" s="860">
        <v>400</v>
      </c>
    </row>
    <row r="1205" spans="1:10" ht="12.75" hidden="1" customHeight="1" outlineLevel="2">
      <c r="A1205" s="1872"/>
      <c r="B1205" s="1831"/>
      <c r="C1205" s="856"/>
      <c r="D1205" s="856" t="s">
        <v>2103</v>
      </c>
      <c r="E1205" s="856" t="s">
        <v>1891</v>
      </c>
      <c r="F1205" s="858">
        <v>1</v>
      </c>
      <c r="G1205" s="859"/>
      <c r="H1205" s="5"/>
      <c r="I1205" s="856"/>
      <c r="J1205" s="860">
        <v>16550</v>
      </c>
    </row>
    <row r="1206" spans="1:10" ht="12.75" hidden="1" customHeight="1" outlineLevel="2">
      <c r="A1206" s="1872"/>
      <c r="B1206" s="1831"/>
      <c r="C1206" s="856"/>
      <c r="D1206" s="856" t="s">
        <v>2096</v>
      </c>
      <c r="E1206" s="856" t="s">
        <v>1891</v>
      </c>
      <c r="F1206" s="858">
        <v>1</v>
      </c>
      <c r="G1206" s="859"/>
      <c r="H1206" s="5"/>
      <c r="I1206" s="856"/>
      <c r="J1206" s="860">
        <v>26</v>
      </c>
    </row>
    <row r="1207" spans="1:10" ht="12.75" hidden="1" customHeight="1" outlineLevel="2">
      <c r="A1207" s="1872"/>
      <c r="B1207" s="1831"/>
      <c r="C1207" s="856"/>
      <c r="D1207" s="856" t="s">
        <v>2097</v>
      </c>
      <c r="E1207" s="856" t="s">
        <v>48</v>
      </c>
      <c r="F1207" s="858">
        <v>3</v>
      </c>
      <c r="G1207" s="859"/>
      <c r="H1207" s="5"/>
      <c r="I1207" s="856"/>
      <c r="J1207" s="860">
        <v>6288</v>
      </c>
    </row>
    <row r="1208" spans="1:10" ht="12.75" hidden="1" customHeight="1" outlineLevel="2">
      <c r="A1208" s="1872"/>
      <c r="B1208" s="1831"/>
      <c r="C1208" s="1842" t="s">
        <v>1488</v>
      </c>
      <c r="D1208" s="1835"/>
      <c r="E1208" s="851" t="s">
        <v>1891</v>
      </c>
      <c r="F1208" s="583">
        <f>'13. Instalaciones Eléctricas'!E127</f>
        <v>4</v>
      </c>
      <c r="G1208" s="851"/>
      <c r="H1208" s="851"/>
      <c r="I1208" s="851">
        <v>0</v>
      </c>
      <c r="J1208" s="850">
        <f>SUM(J1195:J1207)</f>
        <v>114233</v>
      </c>
    </row>
    <row r="1209" spans="1:10" ht="12.75" hidden="1" customHeight="1" outlineLevel="1" collapsed="1">
      <c r="A1209" s="1872"/>
      <c r="B1209" s="1831"/>
      <c r="C1209" s="1827" t="s">
        <v>47</v>
      </c>
      <c r="D1209" s="1827"/>
      <c r="E1209" s="1827"/>
      <c r="F1209" s="1827"/>
      <c r="G1209" s="1827"/>
      <c r="H1209" s="1827"/>
      <c r="I1209" s="1827"/>
      <c r="J1209" s="773">
        <f>J1208*F1208</f>
        <v>456932</v>
      </c>
    </row>
    <row r="1210" spans="1:10" ht="12.75" hidden="1" customHeight="1" outlineLevel="1">
      <c r="A1210" s="1872"/>
      <c r="B1210" s="1831" t="s">
        <v>1380</v>
      </c>
      <c r="C1210" s="1873" t="s">
        <v>2104</v>
      </c>
      <c r="D1210" s="1873"/>
      <c r="E1210" s="1873"/>
      <c r="F1210" s="1873"/>
      <c r="G1210" s="1873"/>
      <c r="H1210" s="1873"/>
      <c r="I1210" s="1873"/>
      <c r="J1210" s="1873"/>
    </row>
    <row r="1211" spans="1:10" ht="12.75" hidden="1" customHeight="1" outlineLevel="2">
      <c r="A1211" s="1872"/>
      <c r="B1211" s="1831"/>
      <c r="C1211" s="856"/>
      <c r="D1211" s="856" t="s">
        <v>2084</v>
      </c>
      <c r="E1211" s="857" t="s">
        <v>1891</v>
      </c>
      <c r="F1211" s="858">
        <v>2</v>
      </c>
      <c r="G1211" s="859"/>
      <c r="H1211" s="5"/>
      <c r="I1211" s="856"/>
      <c r="J1211" s="860">
        <v>812</v>
      </c>
    </row>
    <row r="1212" spans="1:10" ht="12.75" hidden="1" customHeight="1" outlineLevel="2">
      <c r="A1212" s="1872"/>
      <c r="B1212" s="1831"/>
      <c r="C1212" s="856"/>
      <c r="D1212" s="856" t="s">
        <v>2085</v>
      </c>
      <c r="E1212" s="857" t="s">
        <v>48</v>
      </c>
      <c r="F1212" s="858">
        <v>3</v>
      </c>
      <c r="G1212" s="859"/>
      <c r="H1212" s="5"/>
      <c r="I1212" s="856"/>
      <c r="J1212" s="860">
        <v>6570</v>
      </c>
    </row>
    <row r="1213" spans="1:10" ht="12.75" hidden="1" customHeight="1" outlineLevel="2">
      <c r="A1213" s="1872"/>
      <c r="B1213" s="1831"/>
      <c r="C1213" s="856"/>
      <c r="D1213" s="856" t="s">
        <v>2086</v>
      </c>
      <c r="E1213" s="857" t="s">
        <v>48</v>
      </c>
      <c r="F1213" s="858">
        <v>6</v>
      </c>
      <c r="G1213" s="859"/>
      <c r="H1213" s="5"/>
      <c r="I1213" s="856"/>
      <c r="J1213" s="860">
        <v>13914</v>
      </c>
    </row>
    <row r="1214" spans="1:10" ht="12.75" hidden="1" customHeight="1" outlineLevel="2">
      <c r="A1214" s="1872"/>
      <c r="B1214" s="1831"/>
      <c r="C1214" s="856"/>
      <c r="D1214" s="856" t="s">
        <v>2087</v>
      </c>
      <c r="E1214" s="857" t="s">
        <v>1891</v>
      </c>
      <c r="F1214" s="858">
        <v>1</v>
      </c>
      <c r="G1214" s="859"/>
      <c r="H1214" s="5"/>
      <c r="I1214" s="856"/>
      <c r="J1214" s="860">
        <v>2280</v>
      </c>
    </row>
    <row r="1215" spans="1:10" ht="12.75" hidden="1" customHeight="1" outlineLevel="2">
      <c r="A1215" s="1872"/>
      <c r="B1215" s="1831"/>
      <c r="C1215" s="856"/>
      <c r="D1215" s="856" t="s">
        <v>2088</v>
      </c>
      <c r="E1215" s="856" t="s">
        <v>1891</v>
      </c>
      <c r="F1215" s="858">
        <v>2</v>
      </c>
      <c r="G1215" s="859"/>
      <c r="H1215" s="5"/>
      <c r="I1215" s="856"/>
      <c r="J1215" s="860">
        <v>986</v>
      </c>
    </row>
    <row r="1216" spans="1:10" ht="12.75" hidden="1" customHeight="1" outlineLevel="2">
      <c r="A1216" s="1872"/>
      <c r="B1216" s="1831"/>
      <c r="C1216" s="856"/>
      <c r="D1216" s="856" t="s">
        <v>2089</v>
      </c>
      <c r="E1216" s="856" t="s">
        <v>1897</v>
      </c>
      <c r="F1216" s="858">
        <f>2.5/2</f>
        <v>1.25</v>
      </c>
      <c r="G1216" s="859"/>
      <c r="H1216" s="5"/>
      <c r="I1216" s="856"/>
      <c r="J1216" s="860">
        <v>56071</v>
      </c>
    </row>
    <row r="1217" spans="1:10" ht="12.75" hidden="1" customHeight="1" outlineLevel="2">
      <c r="A1217" s="1872"/>
      <c r="B1217" s="1831"/>
      <c r="C1217" s="856"/>
      <c r="D1217" s="856" t="s">
        <v>2090</v>
      </c>
      <c r="E1217" s="856" t="s">
        <v>2091</v>
      </c>
      <c r="F1217" s="858">
        <v>10</v>
      </c>
      <c r="G1217" s="859"/>
      <c r="H1217" s="5"/>
      <c r="I1217" s="856"/>
      <c r="J1217" s="860">
        <v>9418</v>
      </c>
    </row>
    <row r="1218" spans="1:10" ht="12.75" hidden="1" customHeight="1" outlineLevel="2">
      <c r="A1218" s="1872"/>
      <c r="B1218" s="1831"/>
      <c r="C1218" s="856"/>
      <c r="D1218" s="856" t="s">
        <v>2092</v>
      </c>
      <c r="E1218" s="856" t="s">
        <v>1891</v>
      </c>
      <c r="F1218" s="858">
        <v>0.01</v>
      </c>
      <c r="G1218" s="859"/>
      <c r="H1218" s="5"/>
      <c r="I1218" s="856"/>
      <c r="J1218" s="860">
        <v>436</v>
      </c>
    </row>
    <row r="1219" spans="1:10" ht="12.75" hidden="1" customHeight="1" outlineLevel="2">
      <c r="A1219" s="1872"/>
      <c r="B1219" s="1831"/>
      <c r="C1219" s="856"/>
      <c r="D1219" s="856" t="s">
        <v>2093</v>
      </c>
      <c r="E1219" s="856" t="s">
        <v>1891</v>
      </c>
      <c r="F1219" s="858">
        <v>0.01</v>
      </c>
      <c r="G1219" s="859"/>
      <c r="H1219" s="5"/>
      <c r="I1219" s="856"/>
      <c r="J1219" s="860">
        <v>482</v>
      </c>
    </row>
    <row r="1220" spans="1:10" ht="12.75" hidden="1" customHeight="1" outlineLevel="2">
      <c r="A1220" s="1872"/>
      <c r="B1220" s="1831"/>
      <c r="C1220" s="856"/>
      <c r="D1220" s="856" t="s">
        <v>2094</v>
      </c>
      <c r="E1220" s="856" t="s">
        <v>1891</v>
      </c>
      <c r="F1220" s="858">
        <v>1</v>
      </c>
      <c r="G1220" s="859"/>
      <c r="H1220" s="5"/>
      <c r="I1220" s="856"/>
      <c r="J1220" s="860">
        <v>400</v>
      </c>
    </row>
    <row r="1221" spans="1:10" ht="12.75" hidden="1" customHeight="1" outlineLevel="2">
      <c r="A1221" s="1872"/>
      <c r="B1221" s="1831"/>
      <c r="C1221" s="856"/>
      <c r="D1221" s="856" t="s">
        <v>2099</v>
      </c>
      <c r="E1221" s="856" t="s">
        <v>1891</v>
      </c>
      <c r="F1221" s="858">
        <v>1</v>
      </c>
      <c r="G1221" s="859"/>
      <c r="H1221" s="5"/>
      <c r="I1221" s="856"/>
      <c r="J1221" s="860">
        <v>16550</v>
      </c>
    </row>
    <row r="1222" spans="1:10" ht="12.75" hidden="1" customHeight="1" outlineLevel="2">
      <c r="A1222" s="1872"/>
      <c r="B1222" s="1831"/>
      <c r="C1222" s="856"/>
      <c r="D1222" s="856" t="s">
        <v>2096</v>
      </c>
      <c r="E1222" s="856" t="s">
        <v>1891</v>
      </c>
      <c r="F1222" s="858">
        <v>1</v>
      </c>
      <c r="G1222" s="859"/>
      <c r="H1222" s="5"/>
      <c r="I1222" s="856"/>
      <c r="J1222" s="860">
        <v>26</v>
      </c>
    </row>
    <row r="1223" spans="1:10" ht="12.75" hidden="1" customHeight="1" outlineLevel="2">
      <c r="A1223" s="1872"/>
      <c r="B1223" s="1831"/>
      <c r="C1223" s="856"/>
      <c r="D1223" s="856" t="s">
        <v>2097</v>
      </c>
      <c r="E1223" s="856" t="s">
        <v>48</v>
      </c>
      <c r="F1223" s="858">
        <v>3</v>
      </c>
      <c r="G1223" s="859"/>
      <c r="H1223" s="5"/>
      <c r="I1223" s="856"/>
      <c r="J1223" s="860">
        <v>6288</v>
      </c>
    </row>
    <row r="1224" spans="1:10" ht="12.75" hidden="1" customHeight="1" outlineLevel="2">
      <c r="A1224" s="1872"/>
      <c r="B1224" s="1831"/>
      <c r="C1224" s="1842" t="s">
        <v>1488</v>
      </c>
      <c r="D1224" s="1835"/>
      <c r="E1224" s="851" t="s">
        <v>1891</v>
      </c>
      <c r="F1224" s="583">
        <f>'13. Instalaciones Eléctricas'!E128</f>
        <v>6</v>
      </c>
      <c r="G1224" s="851"/>
      <c r="H1224" s="851"/>
      <c r="I1224" s="851">
        <v>0</v>
      </c>
      <c r="J1224" s="850">
        <f>SUM(J1218:J1223)</f>
        <v>24182</v>
      </c>
    </row>
    <row r="1225" spans="1:10" ht="12.75" hidden="1" customHeight="1" outlineLevel="1" collapsed="1">
      <c r="A1225" s="1872"/>
      <c r="B1225" s="1831"/>
      <c r="C1225" s="1827" t="s">
        <v>47</v>
      </c>
      <c r="D1225" s="1827"/>
      <c r="E1225" s="1827"/>
      <c r="F1225" s="1827"/>
      <c r="G1225" s="1827"/>
      <c r="H1225" s="1827"/>
      <c r="I1225" s="1827"/>
      <c r="J1225" s="773">
        <f>J1224*F1224</f>
        <v>145092</v>
      </c>
    </row>
    <row r="1226" spans="1:10" ht="12.75" hidden="1" customHeight="1" outlineLevel="1">
      <c r="A1226" s="1872"/>
      <c r="B1226" s="1855" t="s">
        <v>1381</v>
      </c>
      <c r="C1226" s="1873" t="s">
        <v>2105</v>
      </c>
      <c r="D1226" s="1873"/>
      <c r="E1226" s="1873"/>
      <c r="F1226" s="1873"/>
      <c r="G1226" s="1873"/>
      <c r="H1226" s="1873"/>
      <c r="I1226" s="1873"/>
      <c r="J1226" s="1873"/>
    </row>
    <row r="1227" spans="1:10" ht="12.75" hidden="1" customHeight="1" outlineLevel="2">
      <c r="A1227" s="1872"/>
      <c r="B1227" s="1856"/>
      <c r="C1227" s="856"/>
      <c r="D1227" s="856" t="s">
        <v>2084</v>
      </c>
      <c r="E1227" s="857" t="s">
        <v>1891</v>
      </c>
      <c r="F1227" s="858">
        <v>2</v>
      </c>
      <c r="G1227" s="859"/>
      <c r="H1227" s="5"/>
      <c r="I1227" s="856"/>
      <c r="J1227" s="860">
        <v>812</v>
      </c>
    </row>
    <row r="1228" spans="1:10" ht="12.75" hidden="1" customHeight="1" outlineLevel="2">
      <c r="A1228" s="1872"/>
      <c r="B1228" s="1856"/>
      <c r="C1228" s="856"/>
      <c r="D1228" s="856" t="s">
        <v>2085</v>
      </c>
      <c r="E1228" s="857" t="s">
        <v>48</v>
      </c>
      <c r="F1228" s="858">
        <v>3</v>
      </c>
      <c r="G1228" s="859"/>
      <c r="H1228" s="5"/>
      <c r="I1228" s="856"/>
      <c r="J1228" s="860">
        <v>6570</v>
      </c>
    </row>
    <row r="1229" spans="1:10" ht="12.75" hidden="1" customHeight="1" outlineLevel="2">
      <c r="A1229" s="1872"/>
      <c r="B1229" s="1856"/>
      <c r="C1229" s="856"/>
      <c r="D1229" s="856" t="s">
        <v>2086</v>
      </c>
      <c r="E1229" s="857" t="s">
        <v>48</v>
      </c>
      <c r="F1229" s="858">
        <v>6</v>
      </c>
      <c r="G1229" s="859"/>
      <c r="H1229" s="5"/>
      <c r="I1229" s="856"/>
      <c r="J1229" s="860">
        <v>13914</v>
      </c>
    </row>
    <row r="1230" spans="1:10" ht="12.75" hidden="1" customHeight="1" outlineLevel="2">
      <c r="A1230" s="1872"/>
      <c r="B1230" s="1856"/>
      <c r="C1230" s="856"/>
      <c r="D1230" s="856" t="s">
        <v>2087</v>
      </c>
      <c r="E1230" s="857" t="s">
        <v>1891</v>
      </c>
      <c r="F1230" s="858">
        <v>1</v>
      </c>
      <c r="G1230" s="859"/>
      <c r="H1230" s="5"/>
      <c r="I1230" s="856"/>
      <c r="J1230" s="860">
        <v>2280</v>
      </c>
    </row>
    <row r="1231" spans="1:10" ht="12.75" hidden="1" customHeight="1" outlineLevel="2">
      <c r="A1231" s="1872"/>
      <c r="B1231" s="1856"/>
      <c r="C1231" s="856"/>
      <c r="D1231" s="856" t="s">
        <v>2088</v>
      </c>
      <c r="E1231" s="856" t="s">
        <v>1891</v>
      </c>
      <c r="F1231" s="858">
        <v>2</v>
      </c>
      <c r="G1231" s="859"/>
      <c r="H1231" s="5"/>
      <c r="I1231" s="856"/>
      <c r="J1231" s="860">
        <v>986</v>
      </c>
    </row>
    <row r="1232" spans="1:10" ht="12.75" hidden="1" customHeight="1" outlineLevel="2">
      <c r="A1232" s="1872"/>
      <c r="B1232" s="1856"/>
      <c r="C1232" s="856"/>
      <c r="D1232" s="856" t="s">
        <v>2089</v>
      </c>
      <c r="E1232" s="856" t="s">
        <v>1897</v>
      </c>
      <c r="F1232" s="858">
        <f>2.5/2</f>
        <v>1.25</v>
      </c>
      <c r="G1232" s="859"/>
      <c r="H1232" s="5"/>
      <c r="I1232" s="856"/>
      <c r="J1232" s="860">
        <v>56071</v>
      </c>
    </row>
    <row r="1233" spans="1:10" ht="12.75" hidden="1" customHeight="1" outlineLevel="2">
      <c r="A1233" s="1872"/>
      <c r="B1233" s="1856"/>
      <c r="C1233" s="856"/>
      <c r="D1233" s="856" t="s">
        <v>2090</v>
      </c>
      <c r="E1233" s="856" t="s">
        <v>2091</v>
      </c>
      <c r="F1233" s="858">
        <v>10</v>
      </c>
      <c r="G1233" s="859"/>
      <c r="H1233" s="5"/>
      <c r="I1233" s="856"/>
      <c r="J1233" s="860">
        <v>9418</v>
      </c>
    </row>
    <row r="1234" spans="1:10" ht="12.75" hidden="1" customHeight="1" outlineLevel="2">
      <c r="A1234" s="1872"/>
      <c r="B1234" s="1856"/>
      <c r="C1234" s="856"/>
      <c r="D1234" s="856" t="s">
        <v>2092</v>
      </c>
      <c r="E1234" s="856" t="s">
        <v>1891</v>
      </c>
      <c r="F1234" s="858">
        <v>0.01</v>
      </c>
      <c r="G1234" s="859"/>
      <c r="H1234" s="5"/>
      <c r="I1234" s="856"/>
      <c r="J1234" s="860">
        <v>436</v>
      </c>
    </row>
    <row r="1235" spans="1:10" ht="12.75" hidden="1" customHeight="1" outlineLevel="2">
      <c r="A1235" s="1872"/>
      <c r="B1235" s="1856"/>
      <c r="C1235" s="856"/>
      <c r="D1235" s="856" t="s">
        <v>2093</v>
      </c>
      <c r="E1235" s="856" t="s">
        <v>1891</v>
      </c>
      <c r="F1235" s="858">
        <v>0.01</v>
      </c>
      <c r="G1235" s="859"/>
      <c r="H1235" s="5"/>
      <c r="I1235" s="856"/>
      <c r="J1235" s="860">
        <v>482</v>
      </c>
    </row>
    <row r="1236" spans="1:10" ht="12.75" hidden="1" customHeight="1" outlineLevel="2">
      <c r="A1236" s="1872"/>
      <c r="B1236" s="1856"/>
      <c r="C1236" s="856"/>
      <c r="D1236" s="856" t="s">
        <v>2094</v>
      </c>
      <c r="E1236" s="856" t="s">
        <v>1891</v>
      </c>
      <c r="F1236" s="858">
        <v>1</v>
      </c>
      <c r="G1236" s="859"/>
      <c r="H1236" s="5"/>
      <c r="I1236" s="856"/>
      <c r="J1236" s="860">
        <v>400</v>
      </c>
    </row>
    <row r="1237" spans="1:10" ht="12.75" hidden="1" customHeight="1" outlineLevel="2">
      <c r="A1237" s="1872"/>
      <c r="B1237" s="1856"/>
      <c r="C1237" s="856"/>
      <c r="D1237" s="856" t="s">
        <v>2095</v>
      </c>
      <c r="E1237" s="856" t="s">
        <v>1891</v>
      </c>
      <c r="F1237" s="858">
        <v>1</v>
      </c>
      <c r="G1237" s="859"/>
      <c r="H1237" s="5"/>
      <c r="I1237" s="856"/>
      <c r="J1237" s="860">
        <v>5916</v>
      </c>
    </row>
    <row r="1238" spans="1:10" ht="12.75" hidden="1" customHeight="1" outlineLevel="2">
      <c r="A1238" s="1872"/>
      <c r="B1238" s="1856"/>
      <c r="C1238" s="856"/>
      <c r="D1238" s="856" t="s">
        <v>2096</v>
      </c>
      <c r="E1238" s="856" t="s">
        <v>1891</v>
      </c>
      <c r="F1238" s="858">
        <v>1</v>
      </c>
      <c r="G1238" s="859"/>
      <c r="H1238" s="5"/>
      <c r="I1238" s="856"/>
      <c r="J1238" s="860">
        <v>26</v>
      </c>
    </row>
    <row r="1239" spans="1:10" ht="12.75" hidden="1" customHeight="1" outlineLevel="2">
      <c r="A1239" s="1872"/>
      <c r="B1239" s="1856"/>
      <c r="C1239" s="856"/>
      <c r="D1239" s="856" t="s">
        <v>2097</v>
      </c>
      <c r="E1239" s="856" t="s">
        <v>48</v>
      </c>
      <c r="F1239" s="858">
        <v>3</v>
      </c>
      <c r="G1239" s="859"/>
      <c r="H1239" s="5"/>
      <c r="I1239" s="856"/>
      <c r="J1239" s="860">
        <v>6288</v>
      </c>
    </row>
    <row r="1240" spans="1:10" ht="12.75" hidden="1" customHeight="1" outlineLevel="2">
      <c r="A1240" s="1872"/>
      <c r="B1240" s="1856"/>
      <c r="C1240" s="856"/>
      <c r="D1240" s="856" t="s">
        <v>2106</v>
      </c>
      <c r="E1240" s="856" t="s">
        <v>1891</v>
      </c>
      <c r="F1240" s="858">
        <v>1</v>
      </c>
      <c r="G1240" s="859"/>
      <c r="H1240" s="5"/>
      <c r="I1240" s="856"/>
      <c r="J1240" s="860">
        <v>17900</v>
      </c>
    </row>
    <row r="1241" spans="1:10" ht="12.75" hidden="1" customHeight="1" outlineLevel="2">
      <c r="A1241" s="1872"/>
      <c r="B1241" s="1856"/>
      <c r="C1241" s="1842" t="s">
        <v>1488</v>
      </c>
      <c r="D1241" s="1835"/>
      <c r="E1241" s="851" t="s">
        <v>1891</v>
      </c>
      <c r="F1241" s="583">
        <f>'13. Instalaciones Eléctricas'!E129</f>
        <v>2</v>
      </c>
      <c r="G1241" s="851"/>
      <c r="H1241" s="851"/>
      <c r="I1241" s="851">
        <v>0</v>
      </c>
      <c r="J1241" s="850">
        <f>SUM(J1227:J1240)</f>
        <v>121499</v>
      </c>
    </row>
    <row r="1242" spans="1:10" ht="12.75" hidden="1" customHeight="1" outlineLevel="1" collapsed="1">
      <c r="A1242" s="1872"/>
      <c r="B1242" s="1857"/>
      <c r="C1242" s="1827" t="s">
        <v>47</v>
      </c>
      <c r="D1242" s="1827"/>
      <c r="E1242" s="1827"/>
      <c r="F1242" s="1827"/>
      <c r="G1242" s="1827"/>
      <c r="H1242" s="1827"/>
      <c r="I1242" s="1827"/>
      <c r="J1242" s="773">
        <f>J1241*F1241</f>
        <v>242998</v>
      </c>
    </row>
    <row r="1243" spans="1:10" ht="12.75" hidden="1" customHeight="1" outlineLevel="1">
      <c r="A1243" s="1872"/>
      <c r="B1243" s="1855" t="s">
        <v>1381</v>
      </c>
      <c r="C1243" s="1873" t="s">
        <v>2832</v>
      </c>
      <c r="D1243" s="1873"/>
      <c r="E1243" s="1873"/>
      <c r="F1243" s="1873"/>
      <c r="G1243" s="1873"/>
      <c r="H1243" s="1873"/>
      <c r="I1243" s="1873"/>
      <c r="J1243" s="1873"/>
    </row>
    <row r="1244" spans="1:10" ht="12.75" hidden="1" customHeight="1" outlineLevel="2">
      <c r="A1244" s="1872"/>
      <c r="B1244" s="1856"/>
      <c r="C1244" s="856"/>
      <c r="D1244" s="856" t="s">
        <v>2108</v>
      </c>
      <c r="E1244" s="857" t="s">
        <v>1891</v>
      </c>
      <c r="F1244" s="858">
        <v>2</v>
      </c>
      <c r="G1244" s="859"/>
      <c r="H1244" s="5"/>
      <c r="I1244" s="856"/>
      <c r="J1244" s="860">
        <v>812</v>
      </c>
    </row>
    <row r="1245" spans="1:10" ht="12.75" hidden="1" customHeight="1" outlineLevel="2">
      <c r="A1245" s="1872"/>
      <c r="B1245" s="1856"/>
      <c r="C1245" s="856"/>
      <c r="D1245" s="856" t="s">
        <v>2833</v>
      </c>
      <c r="E1245" s="857" t="s">
        <v>48</v>
      </c>
      <c r="F1245" s="858">
        <v>3</v>
      </c>
      <c r="G1245" s="859"/>
      <c r="H1245" s="5"/>
      <c r="I1245" s="856"/>
      <c r="J1245" s="860">
        <v>6570</v>
      </c>
    </row>
    <row r="1246" spans="1:10" ht="12.75" hidden="1" customHeight="1" outlineLevel="2">
      <c r="A1246" s="1872"/>
      <c r="B1246" s="1856"/>
      <c r="C1246" s="856"/>
      <c r="D1246" s="856" t="s">
        <v>2085</v>
      </c>
      <c r="E1246" s="857" t="s">
        <v>48</v>
      </c>
      <c r="F1246" s="858">
        <v>3.5</v>
      </c>
      <c r="G1246" s="859"/>
      <c r="H1246" s="5"/>
      <c r="I1246" s="856"/>
      <c r="J1246" s="860">
        <v>13914</v>
      </c>
    </row>
    <row r="1247" spans="1:10" ht="12.75" hidden="1" customHeight="1" outlineLevel="2">
      <c r="A1247" s="1872"/>
      <c r="B1247" s="1856"/>
      <c r="C1247" s="856"/>
      <c r="D1247" s="856" t="s">
        <v>2834</v>
      </c>
      <c r="E1247" s="857" t="s">
        <v>48</v>
      </c>
      <c r="F1247" s="858">
        <v>11</v>
      </c>
      <c r="G1247" s="859"/>
      <c r="H1247" s="5"/>
      <c r="I1247" s="856"/>
      <c r="J1247" s="860">
        <v>2280</v>
      </c>
    </row>
    <row r="1248" spans="1:10" ht="12.75" hidden="1" customHeight="1" outlineLevel="2">
      <c r="A1248" s="1872"/>
      <c r="B1248" s="1856"/>
      <c r="C1248" s="856"/>
      <c r="D1248" s="856" t="s">
        <v>2835</v>
      </c>
      <c r="E1248" s="856" t="s">
        <v>1891</v>
      </c>
      <c r="F1248" s="858">
        <v>1</v>
      </c>
      <c r="G1248" s="859"/>
      <c r="H1248" s="5"/>
      <c r="I1248" s="856"/>
      <c r="J1248" s="860">
        <v>986</v>
      </c>
    </row>
    <row r="1249" spans="1:10" ht="12.75" hidden="1" customHeight="1" outlineLevel="2">
      <c r="A1249" s="1872"/>
      <c r="B1249" s="1856"/>
      <c r="C1249" s="856"/>
      <c r="D1249" s="856" t="s">
        <v>2836</v>
      </c>
      <c r="E1249" s="856" t="s">
        <v>1891</v>
      </c>
      <c r="F1249" s="858">
        <v>1</v>
      </c>
      <c r="G1249" s="859"/>
      <c r="H1249" s="5"/>
      <c r="I1249" s="856"/>
      <c r="J1249" s="860">
        <v>56071</v>
      </c>
    </row>
    <row r="1250" spans="1:10" ht="12.75" hidden="1" customHeight="1" outlineLevel="2">
      <c r="A1250" s="1872"/>
      <c r="B1250" s="1856"/>
      <c r="C1250" s="856"/>
      <c r="D1250" s="856" t="s">
        <v>2837</v>
      </c>
      <c r="E1250" s="856" t="s">
        <v>1891</v>
      </c>
      <c r="F1250" s="858">
        <v>4</v>
      </c>
      <c r="G1250" s="859"/>
      <c r="H1250" s="5"/>
      <c r="I1250" s="856"/>
      <c r="J1250" s="860">
        <v>9418</v>
      </c>
    </row>
    <row r="1251" spans="1:10" ht="12.75" hidden="1" customHeight="1" outlineLevel="2">
      <c r="A1251" s="1872"/>
      <c r="B1251" s="1856"/>
      <c r="C1251" s="856"/>
      <c r="D1251" s="856" t="s">
        <v>2092</v>
      </c>
      <c r="E1251" s="856" t="s">
        <v>1891</v>
      </c>
      <c r="F1251" s="858">
        <v>0.01</v>
      </c>
      <c r="G1251" s="859"/>
      <c r="H1251" s="5"/>
      <c r="I1251" s="856"/>
      <c r="J1251" s="860">
        <v>436</v>
      </c>
    </row>
    <row r="1252" spans="1:10" ht="12.75" hidden="1" customHeight="1" outlineLevel="2">
      <c r="A1252" s="1872"/>
      <c r="B1252" s="1856"/>
      <c r="C1252" s="856"/>
      <c r="D1252" s="856" t="s">
        <v>2838</v>
      </c>
      <c r="E1252" s="856" t="s">
        <v>1891</v>
      </c>
      <c r="F1252" s="858">
        <v>0.01</v>
      </c>
      <c r="G1252" s="859"/>
      <c r="H1252" s="5"/>
      <c r="I1252" s="856"/>
      <c r="J1252" s="860">
        <v>482</v>
      </c>
    </row>
    <row r="1253" spans="1:10" ht="12.75" hidden="1" customHeight="1" outlineLevel="2">
      <c r="A1253" s="1872"/>
      <c r="B1253" s="1856"/>
      <c r="C1253" s="856"/>
      <c r="D1253" s="856" t="s">
        <v>2839</v>
      </c>
      <c r="E1253" s="856" t="s">
        <v>1891</v>
      </c>
      <c r="F1253" s="858">
        <v>1</v>
      </c>
      <c r="G1253" s="859"/>
      <c r="H1253" s="5"/>
      <c r="I1253" s="856"/>
      <c r="J1253" s="860">
        <v>400</v>
      </c>
    </row>
    <row r="1254" spans="1:10" ht="12.75" hidden="1" customHeight="1" outlineLevel="2">
      <c r="A1254" s="1872"/>
      <c r="B1254" s="1856"/>
      <c r="C1254" s="856"/>
      <c r="D1254" s="856" t="s">
        <v>2505</v>
      </c>
      <c r="E1254" s="856" t="s">
        <v>1897</v>
      </c>
      <c r="F1254" s="858">
        <f>2.5/2</f>
        <v>1.25</v>
      </c>
      <c r="G1254" s="859"/>
      <c r="H1254" s="5"/>
      <c r="I1254" s="856"/>
      <c r="J1254" s="860">
        <v>5916</v>
      </c>
    </row>
    <row r="1255" spans="1:10" ht="12.75" hidden="1" customHeight="1" outlineLevel="2">
      <c r="A1255" s="1872"/>
      <c r="B1255" s="1856"/>
      <c r="C1255" s="1842" t="s">
        <v>1488</v>
      </c>
      <c r="D1255" s="1835"/>
      <c r="E1255" s="1148" t="s">
        <v>1891</v>
      </c>
      <c r="F1255" s="583">
        <f>'13. Instalaciones Eléctricas'!K130</f>
        <v>22</v>
      </c>
      <c r="G1255" s="1148"/>
      <c r="H1255" s="1148"/>
      <c r="I1255" s="1148">
        <v>0</v>
      </c>
      <c r="J1255" s="1149">
        <f>SUM(J1244:J1254)</f>
        <v>97285</v>
      </c>
    </row>
    <row r="1256" spans="1:10" ht="12.75" hidden="1" customHeight="1" outlineLevel="1" collapsed="1">
      <c r="A1256" s="1872"/>
      <c r="B1256" s="1857"/>
      <c r="C1256" s="1827" t="s">
        <v>47</v>
      </c>
      <c r="D1256" s="1827"/>
      <c r="E1256" s="1827"/>
      <c r="F1256" s="1827"/>
      <c r="G1256" s="1827"/>
      <c r="H1256" s="1827"/>
      <c r="I1256" s="1827"/>
      <c r="J1256" s="773">
        <f>J1255*F1255</f>
        <v>2140270</v>
      </c>
    </row>
    <row r="1257" spans="1:10" ht="12.75" hidden="1" customHeight="1" outlineLevel="1">
      <c r="A1257" s="1872"/>
      <c r="B1257" s="1855" t="s">
        <v>1382</v>
      </c>
      <c r="C1257" s="1873" t="s">
        <v>2500</v>
      </c>
      <c r="D1257" s="1873"/>
      <c r="E1257" s="1873"/>
      <c r="F1257" s="1873"/>
      <c r="G1257" s="1873"/>
      <c r="H1257" s="1873"/>
      <c r="I1257" s="1873"/>
      <c r="J1257" s="1873"/>
    </row>
    <row r="1258" spans="1:10" ht="12.75" hidden="1" customHeight="1" outlineLevel="2">
      <c r="A1258" s="1872"/>
      <c r="B1258" s="1856"/>
      <c r="C1258" s="856"/>
      <c r="D1258" s="856" t="s">
        <v>2493</v>
      </c>
      <c r="E1258" s="861" t="s">
        <v>1891</v>
      </c>
      <c r="F1258" s="858">
        <v>4.8</v>
      </c>
      <c r="G1258" s="859"/>
      <c r="H1258" s="5"/>
      <c r="I1258" s="856"/>
      <c r="J1258" s="860">
        <v>83578</v>
      </c>
    </row>
    <row r="1259" spans="1:10" ht="12.75" hidden="1" customHeight="1" outlineLevel="2">
      <c r="A1259" s="1872"/>
      <c r="B1259" s="1856"/>
      <c r="C1259" s="856"/>
      <c r="D1259" s="856" t="s">
        <v>2494</v>
      </c>
      <c r="E1259" s="861" t="s">
        <v>49</v>
      </c>
      <c r="F1259" s="858">
        <v>0.03</v>
      </c>
      <c r="G1259" s="859"/>
      <c r="H1259" s="5"/>
      <c r="I1259" s="856"/>
      <c r="J1259" s="860">
        <v>1385</v>
      </c>
    </row>
    <row r="1260" spans="1:10" ht="12.75" hidden="1" customHeight="1" outlineLevel="2">
      <c r="A1260" s="1872"/>
      <c r="B1260" s="1856"/>
      <c r="C1260" s="856"/>
      <c r="D1260" s="856" t="s">
        <v>2495</v>
      </c>
      <c r="E1260" s="861" t="s">
        <v>49</v>
      </c>
      <c r="F1260" s="858">
        <v>0.03</v>
      </c>
      <c r="G1260" s="859"/>
      <c r="H1260" s="5"/>
      <c r="I1260" s="856"/>
      <c r="J1260" s="860">
        <v>1149</v>
      </c>
    </row>
    <row r="1261" spans="1:10" ht="12.75" hidden="1" customHeight="1" outlineLevel="2">
      <c r="A1261" s="1872"/>
      <c r="B1261" s="1856"/>
      <c r="C1261" s="856"/>
      <c r="D1261" s="856" t="s">
        <v>2496</v>
      </c>
      <c r="E1261" s="861" t="s">
        <v>49</v>
      </c>
      <c r="F1261" s="858">
        <v>0.72</v>
      </c>
      <c r="G1261" s="859"/>
      <c r="H1261" s="5"/>
      <c r="I1261" s="856"/>
      <c r="J1261" s="860">
        <v>230593</v>
      </c>
    </row>
    <row r="1262" spans="1:10" ht="12.75" hidden="1" customHeight="1" outlineLevel="2">
      <c r="A1262" s="1872"/>
      <c r="B1262" s="1856"/>
      <c r="C1262" s="856"/>
      <c r="D1262" s="856" t="s">
        <v>2089</v>
      </c>
      <c r="E1262" s="862" t="s">
        <v>1897</v>
      </c>
      <c r="F1262" s="858">
        <f>4/2</f>
        <v>2</v>
      </c>
      <c r="G1262" s="859"/>
      <c r="H1262" s="5"/>
      <c r="I1262" s="856"/>
      <c r="J1262" s="860">
        <v>89713</v>
      </c>
    </row>
    <row r="1263" spans="1:10" ht="12.75" hidden="1" customHeight="1" outlineLevel="2">
      <c r="A1263" s="1872"/>
      <c r="B1263" s="1856"/>
      <c r="C1263" s="856"/>
      <c r="D1263" s="856" t="s">
        <v>2090</v>
      </c>
      <c r="E1263" s="862" t="s">
        <v>2091</v>
      </c>
      <c r="F1263" s="858">
        <v>10</v>
      </c>
      <c r="G1263" s="859"/>
      <c r="H1263" s="5"/>
      <c r="I1263" s="856"/>
      <c r="J1263" s="860">
        <v>52577</v>
      </c>
    </row>
    <row r="1264" spans="1:10" ht="12.75" hidden="1" customHeight="1" outlineLevel="2">
      <c r="A1264" s="1872"/>
      <c r="B1264" s="1856"/>
      <c r="C1264" s="856"/>
      <c r="D1264" s="856" t="s">
        <v>2497</v>
      </c>
      <c r="E1264" s="862" t="s">
        <v>55</v>
      </c>
      <c r="F1264" s="858">
        <v>1.08</v>
      </c>
      <c r="G1264" s="859"/>
      <c r="H1264" s="5"/>
      <c r="I1264" s="856"/>
      <c r="J1264" s="860">
        <v>70098</v>
      </c>
    </row>
    <row r="1265" spans="1:10" ht="12.75" hidden="1" customHeight="1" outlineLevel="2">
      <c r="A1265" s="1872"/>
      <c r="B1265" s="1856"/>
      <c r="C1265" s="856"/>
      <c r="D1265" s="856" t="s">
        <v>2498</v>
      </c>
      <c r="E1265" s="862" t="s">
        <v>55</v>
      </c>
      <c r="F1265" s="858">
        <v>0.36</v>
      </c>
      <c r="G1265" s="859"/>
      <c r="H1265" s="5"/>
      <c r="I1265" s="856"/>
      <c r="J1265" s="860">
        <v>49258</v>
      </c>
    </row>
    <row r="1266" spans="1:10" ht="12.75" hidden="1" customHeight="1" outlineLevel="2">
      <c r="A1266" s="1872"/>
      <c r="B1266" s="1856"/>
      <c r="C1266" s="1842" t="s">
        <v>1488</v>
      </c>
      <c r="D1266" s="1835"/>
      <c r="E1266" s="851" t="s">
        <v>1891</v>
      </c>
      <c r="F1266" s="583">
        <f>'13. Instalaciones Eléctricas'!E122</f>
        <v>2</v>
      </c>
      <c r="G1266" s="851"/>
      <c r="H1266" s="851"/>
      <c r="I1266" s="851"/>
      <c r="J1266" s="850">
        <f>SUM(J1265:J1265)</f>
        <v>49258</v>
      </c>
    </row>
    <row r="1267" spans="1:10" ht="12.75" hidden="1" customHeight="1" outlineLevel="1" collapsed="1">
      <c r="A1267" s="1872"/>
      <c r="B1267" s="1856"/>
      <c r="C1267" s="1852" t="s">
        <v>47</v>
      </c>
      <c r="D1267" s="1853"/>
      <c r="E1267" s="1853"/>
      <c r="F1267" s="1853"/>
      <c r="G1267" s="1853"/>
      <c r="H1267" s="1853"/>
      <c r="I1267" s="1836"/>
      <c r="J1267" s="773">
        <f>J1266*F1266</f>
        <v>98516</v>
      </c>
    </row>
    <row r="1268" spans="1:10" ht="12.75" hidden="1" customHeight="1" outlineLevel="1">
      <c r="A1268" s="1872"/>
      <c r="B1268" s="1855" t="s">
        <v>1383</v>
      </c>
      <c r="C1268" s="1747" t="s">
        <v>2501</v>
      </c>
      <c r="D1268" s="1747"/>
      <c r="E1268" s="1747"/>
      <c r="F1268" s="1747"/>
      <c r="G1268" s="1747"/>
      <c r="H1268" s="1747"/>
      <c r="I1268" s="1747"/>
      <c r="J1268" s="1747"/>
    </row>
    <row r="1269" spans="1:10" ht="12.75" hidden="1" customHeight="1" outlineLevel="2">
      <c r="A1269" s="1872"/>
      <c r="B1269" s="1856"/>
      <c r="C1269" s="1038"/>
      <c r="D1269" s="1037" t="s">
        <v>2502</v>
      </c>
      <c r="E1269" s="529" t="s">
        <v>1891</v>
      </c>
      <c r="F1269" s="529">
        <v>1</v>
      </c>
      <c r="G1269" s="529"/>
      <c r="H1269" s="529"/>
      <c r="I1269" s="1058">
        <v>1155000</v>
      </c>
      <c r="J1269" s="1000">
        <f>I1269*F1269</f>
        <v>1155000</v>
      </c>
    </row>
    <row r="1270" spans="1:10" ht="12.75" hidden="1" customHeight="1" outlineLevel="2">
      <c r="A1270" s="1872"/>
      <c r="B1270" s="1856"/>
      <c r="C1270" s="1038"/>
      <c r="D1270" s="1037" t="s">
        <v>2503</v>
      </c>
      <c r="E1270" s="529" t="s">
        <v>1891</v>
      </c>
      <c r="F1270" s="529">
        <v>10</v>
      </c>
      <c r="G1270" s="529"/>
      <c r="H1270" s="529"/>
      <c r="I1270" s="1058">
        <v>1000</v>
      </c>
      <c r="J1270" s="1000">
        <f>I1270*F1270</f>
        <v>10000</v>
      </c>
    </row>
    <row r="1271" spans="1:10" ht="12.75" hidden="1" customHeight="1" outlineLevel="2">
      <c r="A1271" s="1872"/>
      <c r="B1271" s="1856"/>
      <c r="C1271" s="1038"/>
      <c r="D1271" s="1037" t="s">
        <v>2504</v>
      </c>
      <c r="E1271" s="529" t="s">
        <v>1891</v>
      </c>
      <c r="F1271" s="529">
        <v>1</v>
      </c>
      <c r="G1271" s="529"/>
      <c r="H1271" s="529"/>
      <c r="I1271" s="1058">
        <v>530309</v>
      </c>
      <c r="J1271" s="1000">
        <f>I1271*F1271</f>
        <v>530309</v>
      </c>
    </row>
    <row r="1272" spans="1:10" ht="12.75" hidden="1" customHeight="1" outlineLevel="2">
      <c r="A1272" s="1872"/>
      <c r="B1272" s="1856"/>
      <c r="C1272" s="1038"/>
      <c r="D1272" s="1037" t="s">
        <v>2505</v>
      </c>
      <c r="E1272" s="529" t="s">
        <v>1897</v>
      </c>
      <c r="F1272" s="529">
        <f>4.5/2</f>
        <v>2.25</v>
      </c>
      <c r="G1272" s="529"/>
      <c r="H1272" s="529"/>
      <c r="I1272" s="1058">
        <v>21048</v>
      </c>
      <c r="J1272" s="1000">
        <f>I1272*F1272</f>
        <v>47358</v>
      </c>
    </row>
    <row r="1273" spans="1:10" ht="12.75" hidden="1" customHeight="1" outlineLevel="2">
      <c r="A1273" s="1872"/>
      <c r="B1273" s="1856"/>
      <c r="C1273" s="1919" t="s">
        <v>1488</v>
      </c>
      <c r="D1273" s="1920"/>
      <c r="E1273" s="1041" t="s">
        <v>1891</v>
      </c>
      <c r="F1273" s="586">
        <f>'13. Instalaciones Eléctricas'!E126</f>
        <v>30</v>
      </c>
      <c r="G1273" s="1041"/>
      <c r="H1273" s="1041"/>
      <c r="I1273" s="1041">
        <v>0</v>
      </c>
      <c r="J1273" s="797">
        <f>SUM(J1269:J1272)</f>
        <v>1742667</v>
      </c>
    </row>
    <row r="1274" spans="1:10" ht="12.75" hidden="1" customHeight="1" outlineLevel="1" collapsed="1">
      <c r="A1274" s="1872"/>
      <c r="B1274" s="1856"/>
      <c r="C1274" s="1852" t="s">
        <v>47</v>
      </c>
      <c r="D1274" s="1853"/>
      <c r="E1274" s="1853"/>
      <c r="F1274" s="1853"/>
      <c r="G1274" s="1853"/>
      <c r="H1274" s="1853"/>
      <c r="I1274" s="1836"/>
      <c r="J1274" s="773">
        <f>J1273*F1273</f>
        <v>52280010</v>
      </c>
    </row>
    <row r="1275" spans="1:10" ht="12.75" hidden="1" customHeight="1" outlineLevel="1">
      <c r="A1275" s="1872"/>
      <c r="B1275" s="1855" t="s">
        <v>2529</v>
      </c>
      <c r="C1275" s="1873" t="s">
        <v>2107</v>
      </c>
      <c r="D1275" s="1873"/>
      <c r="E1275" s="1873"/>
      <c r="F1275" s="1873"/>
      <c r="G1275" s="1873"/>
      <c r="H1275" s="1873"/>
      <c r="I1275" s="1873"/>
      <c r="J1275" s="1873"/>
    </row>
    <row r="1276" spans="1:10" ht="12.75" hidden="1" customHeight="1" outlineLevel="2">
      <c r="A1276" s="1872"/>
      <c r="B1276" s="1856"/>
      <c r="C1276" s="856"/>
      <c r="D1276" s="856" t="s">
        <v>2108</v>
      </c>
      <c r="E1276" s="861" t="s">
        <v>1891</v>
      </c>
      <c r="F1276" s="858">
        <v>2</v>
      </c>
      <c r="G1276" s="859"/>
      <c r="H1276" s="5"/>
      <c r="I1276" s="856"/>
      <c r="J1276" s="860">
        <v>1082</v>
      </c>
    </row>
    <row r="1277" spans="1:10" ht="12.75" hidden="1" customHeight="1" outlineLevel="2">
      <c r="A1277" s="1872"/>
      <c r="B1277" s="1856"/>
      <c r="C1277" s="856"/>
      <c r="D1277" s="856" t="s">
        <v>2109</v>
      </c>
      <c r="E1277" s="861" t="s">
        <v>1891</v>
      </c>
      <c r="F1277" s="858">
        <v>1</v>
      </c>
      <c r="G1277" s="859"/>
      <c r="H1277" s="5"/>
      <c r="I1277" s="856"/>
      <c r="J1277" s="860">
        <v>1848</v>
      </c>
    </row>
    <row r="1278" spans="1:10" ht="12.75" hidden="1" customHeight="1" outlineLevel="2">
      <c r="A1278" s="1872"/>
      <c r="B1278" s="1856"/>
      <c r="C1278" s="856"/>
      <c r="D1278" s="856" t="s">
        <v>2110</v>
      </c>
      <c r="E1278" s="861" t="s">
        <v>2111</v>
      </c>
      <c r="F1278" s="858">
        <v>0.5</v>
      </c>
      <c r="G1278" s="859"/>
      <c r="H1278" s="5"/>
      <c r="I1278" s="856"/>
      <c r="J1278" s="860">
        <v>3907</v>
      </c>
    </row>
    <row r="1279" spans="1:10" ht="12.75" hidden="1" customHeight="1" outlineLevel="2">
      <c r="A1279" s="1872"/>
      <c r="B1279" s="1856"/>
      <c r="C1279" s="856"/>
      <c r="D1279" s="856" t="s">
        <v>2112</v>
      </c>
      <c r="E1279" s="861" t="s">
        <v>1891</v>
      </c>
      <c r="F1279" s="858">
        <v>1</v>
      </c>
      <c r="G1279" s="859"/>
      <c r="H1279" s="5"/>
      <c r="I1279" s="856"/>
      <c r="J1279" s="860">
        <v>6032</v>
      </c>
    </row>
    <row r="1280" spans="1:10" ht="12.75" hidden="1" customHeight="1" outlineLevel="2">
      <c r="A1280" s="1872"/>
      <c r="B1280" s="1856"/>
      <c r="C1280" s="856"/>
      <c r="D1280" s="856" t="s">
        <v>2113</v>
      </c>
      <c r="E1280" s="862" t="s">
        <v>48</v>
      </c>
      <c r="F1280" s="858">
        <v>9</v>
      </c>
      <c r="G1280" s="859"/>
      <c r="H1280" s="5"/>
      <c r="I1280" s="856"/>
      <c r="J1280" s="860">
        <v>15642</v>
      </c>
    </row>
    <row r="1281" spans="1:10" ht="12.75" hidden="1" customHeight="1" outlineLevel="2">
      <c r="A1281" s="1872"/>
      <c r="B1281" s="1856"/>
      <c r="C1281" s="1842" t="s">
        <v>1488</v>
      </c>
      <c r="D1281" s="1835"/>
      <c r="E1281" s="851" t="s">
        <v>1891</v>
      </c>
      <c r="F1281" s="583">
        <f>'13. Instalaciones Eléctricas'!Q120</f>
        <v>137</v>
      </c>
      <c r="G1281" s="851"/>
      <c r="H1281" s="851"/>
      <c r="I1281" s="851">
        <v>0</v>
      </c>
      <c r="J1281" s="850">
        <f>SUM(J1276:J1280)</f>
        <v>28511</v>
      </c>
    </row>
    <row r="1282" spans="1:10" ht="12.75" hidden="1" customHeight="1" outlineLevel="1" collapsed="1">
      <c r="A1282" s="1872"/>
      <c r="B1282" s="1857"/>
      <c r="C1282" s="1827" t="s">
        <v>47</v>
      </c>
      <c r="D1282" s="1827"/>
      <c r="E1282" s="1827"/>
      <c r="F1282" s="1827"/>
      <c r="G1282" s="1827"/>
      <c r="H1282" s="1827"/>
      <c r="I1282" s="1827"/>
      <c r="J1282" s="773">
        <f>J1281*F1281</f>
        <v>3906007</v>
      </c>
    </row>
    <row r="1283" spans="1:10" ht="12.75" hidden="1" customHeight="1" outlineLevel="1">
      <c r="A1283" s="1872"/>
      <c r="B1283" s="1855" t="s">
        <v>2530</v>
      </c>
      <c r="C1283" s="1873" t="s">
        <v>2114</v>
      </c>
      <c r="D1283" s="1873"/>
      <c r="E1283" s="1873"/>
      <c r="F1283" s="1873"/>
      <c r="G1283" s="1873"/>
      <c r="H1283" s="1873"/>
      <c r="I1283" s="1873"/>
      <c r="J1283" s="1873"/>
    </row>
    <row r="1284" spans="1:10" ht="12.75" hidden="1" customHeight="1" outlineLevel="2">
      <c r="A1284" s="1872"/>
      <c r="B1284" s="1856"/>
      <c r="C1284" s="856"/>
      <c r="D1284" s="856" t="s">
        <v>2108</v>
      </c>
      <c r="E1284" s="861" t="s">
        <v>1891</v>
      </c>
      <c r="F1284" s="858">
        <v>2</v>
      </c>
      <c r="G1284" s="859"/>
      <c r="H1284" s="5"/>
      <c r="I1284" s="856"/>
      <c r="J1284" s="860">
        <v>1082</v>
      </c>
    </row>
    <row r="1285" spans="1:10" ht="12.75" hidden="1" customHeight="1" outlineLevel="2">
      <c r="A1285" s="1872"/>
      <c r="B1285" s="1856"/>
      <c r="C1285" s="856"/>
      <c r="D1285" s="856" t="s">
        <v>2109</v>
      </c>
      <c r="E1285" s="861" t="s">
        <v>1891</v>
      </c>
      <c r="F1285" s="858">
        <v>1</v>
      </c>
      <c r="G1285" s="859"/>
      <c r="H1285" s="5"/>
      <c r="I1285" s="856"/>
      <c r="J1285" s="860">
        <v>1848</v>
      </c>
    </row>
    <row r="1286" spans="1:10" ht="12.75" hidden="1" customHeight="1" outlineLevel="2">
      <c r="A1286" s="1872"/>
      <c r="B1286" s="1856"/>
      <c r="C1286" s="856"/>
      <c r="D1286" s="856" t="s">
        <v>2110</v>
      </c>
      <c r="E1286" s="861" t="s">
        <v>2111</v>
      </c>
      <c r="F1286" s="858">
        <v>0.5</v>
      </c>
      <c r="G1286" s="859"/>
      <c r="H1286" s="5"/>
      <c r="I1286" s="856"/>
      <c r="J1286" s="860">
        <v>3907</v>
      </c>
    </row>
    <row r="1287" spans="1:10" ht="12.75" hidden="1" customHeight="1" outlineLevel="2">
      <c r="A1287" s="1872"/>
      <c r="B1287" s="1856"/>
      <c r="C1287" s="856"/>
      <c r="D1287" s="856" t="s">
        <v>2112</v>
      </c>
      <c r="E1287" s="861" t="s">
        <v>1891</v>
      </c>
      <c r="F1287" s="858">
        <v>1</v>
      </c>
      <c r="G1287" s="859"/>
      <c r="H1287" s="5"/>
      <c r="I1287" s="856"/>
      <c r="J1287" s="860">
        <v>6032</v>
      </c>
    </row>
    <row r="1288" spans="1:10" ht="12.75" hidden="1" customHeight="1" outlineLevel="2">
      <c r="A1288" s="1872"/>
      <c r="B1288" s="1856"/>
      <c r="C1288" s="856"/>
      <c r="D1288" s="856" t="s">
        <v>2113</v>
      </c>
      <c r="E1288" s="862" t="s">
        <v>48</v>
      </c>
      <c r="F1288" s="858">
        <v>9</v>
      </c>
      <c r="G1288" s="859"/>
      <c r="H1288" s="5"/>
      <c r="I1288" s="856"/>
      <c r="J1288" s="860">
        <v>15642</v>
      </c>
    </row>
    <row r="1289" spans="1:10" ht="12.75" hidden="1" customHeight="1" outlineLevel="2">
      <c r="A1289" s="1872"/>
      <c r="B1289" s="1856"/>
      <c r="C1289" s="1842" t="s">
        <v>1488</v>
      </c>
      <c r="D1289" s="1835"/>
      <c r="E1289" s="851" t="s">
        <v>1891</v>
      </c>
      <c r="F1289" s="583">
        <f>'13. Instalaciones Eléctricas'!Q121</f>
        <v>29</v>
      </c>
      <c r="G1289" s="851"/>
      <c r="H1289" s="851"/>
      <c r="I1289" s="851">
        <v>0</v>
      </c>
      <c r="J1289" s="850">
        <f>SUM(J1284:J1288)</f>
        <v>28511</v>
      </c>
    </row>
    <row r="1290" spans="1:10" ht="12.75" hidden="1" customHeight="1" outlineLevel="1" collapsed="1">
      <c r="A1290" s="1872"/>
      <c r="B1290" s="1857"/>
      <c r="C1290" s="1827" t="s">
        <v>47</v>
      </c>
      <c r="D1290" s="1827"/>
      <c r="E1290" s="1827"/>
      <c r="F1290" s="1827"/>
      <c r="G1290" s="1827"/>
      <c r="H1290" s="1827"/>
      <c r="I1290" s="1827"/>
      <c r="J1290" s="773">
        <f>J1289*F1289</f>
        <v>826819</v>
      </c>
    </row>
    <row r="1291" spans="1:10" ht="12.75" hidden="1" customHeight="1" outlineLevel="1">
      <c r="A1291" s="1872"/>
      <c r="B1291" s="1855" t="s">
        <v>2531</v>
      </c>
      <c r="C1291" s="1873" t="s">
        <v>2115</v>
      </c>
      <c r="D1291" s="1873"/>
      <c r="E1291" s="1873"/>
      <c r="F1291" s="1873"/>
      <c r="G1291" s="1873"/>
      <c r="H1291" s="1873"/>
      <c r="I1291" s="1873"/>
      <c r="J1291" s="1873"/>
    </row>
    <row r="1292" spans="1:10" ht="12.75" hidden="1" customHeight="1" outlineLevel="2">
      <c r="A1292" s="1872"/>
      <c r="B1292" s="1856"/>
      <c r="C1292" s="856"/>
      <c r="D1292" s="856" t="s">
        <v>2108</v>
      </c>
      <c r="E1292" s="857" t="s">
        <v>1891</v>
      </c>
      <c r="F1292" s="858">
        <v>2</v>
      </c>
      <c r="G1292" s="859"/>
      <c r="H1292" s="5"/>
      <c r="I1292" s="856"/>
      <c r="J1292" s="860">
        <v>1082</v>
      </c>
    </row>
    <row r="1293" spans="1:10" ht="12.75" hidden="1" customHeight="1" outlineLevel="2">
      <c r="A1293" s="1872"/>
      <c r="B1293" s="1856"/>
      <c r="C1293" s="856"/>
      <c r="D1293" s="856" t="s">
        <v>2109</v>
      </c>
      <c r="E1293" s="861" t="s">
        <v>1891</v>
      </c>
      <c r="F1293" s="858">
        <v>1</v>
      </c>
      <c r="G1293" s="859"/>
      <c r="H1293" s="5"/>
      <c r="I1293" s="856"/>
      <c r="J1293" s="860">
        <v>1848</v>
      </c>
    </row>
    <row r="1294" spans="1:10" ht="12.75" hidden="1" customHeight="1" outlineLevel="2">
      <c r="A1294" s="1872"/>
      <c r="B1294" s="1856"/>
      <c r="C1294" s="856"/>
      <c r="D1294" s="856" t="s">
        <v>2110</v>
      </c>
      <c r="E1294" s="861" t="s">
        <v>2111</v>
      </c>
      <c r="F1294" s="858">
        <v>0.5</v>
      </c>
      <c r="G1294" s="859"/>
      <c r="H1294" s="5"/>
      <c r="I1294" s="856"/>
      <c r="J1294" s="860">
        <v>3907</v>
      </c>
    </row>
    <row r="1295" spans="1:10" ht="12.75" hidden="1" customHeight="1" outlineLevel="2">
      <c r="A1295" s="1872"/>
      <c r="B1295" s="1856"/>
      <c r="C1295" s="856"/>
      <c r="D1295" s="856" t="s">
        <v>2112</v>
      </c>
      <c r="E1295" s="861" t="s">
        <v>1891</v>
      </c>
      <c r="F1295" s="858">
        <v>1</v>
      </c>
      <c r="G1295" s="859"/>
      <c r="H1295" s="5"/>
      <c r="I1295" s="856"/>
      <c r="J1295" s="860">
        <v>6032</v>
      </c>
    </row>
    <row r="1296" spans="1:10" ht="12.75" hidden="1" customHeight="1" outlineLevel="2">
      <c r="A1296" s="1872"/>
      <c r="B1296" s="1856"/>
      <c r="C1296" s="856"/>
      <c r="D1296" s="856" t="s">
        <v>2113</v>
      </c>
      <c r="E1296" s="862" t="s">
        <v>48</v>
      </c>
      <c r="F1296" s="858">
        <v>9</v>
      </c>
      <c r="G1296" s="859"/>
      <c r="H1296" s="5"/>
      <c r="I1296" s="856"/>
      <c r="J1296" s="860">
        <v>15642</v>
      </c>
    </row>
    <row r="1297" spans="1:10" ht="12.75" hidden="1" customHeight="1" outlineLevel="2">
      <c r="A1297" s="1872"/>
      <c r="B1297" s="1856"/>
      <c r="C1297" s="1842" t="s">
        <v>1488</v>
      </c>
      <c r="D1297" s="1835"/>
      <c r="E1297" s="851" t="s">
        <v>1891</v>
      </c>
      <c r="F1297" s="583">
        <f>'13. Instalaciones Eléctricas'!Q122</f>
        <v>154</v>
      </c>
      <c r="G1297" s="851"/>
      <c r="H1297" s="851"/>
      <c r="I1297" s="851">
        <v>0</v>
      </c>
      <c r="J1297" s="850">
        <f>SUM(J1292:J1296)</f>
        <v>28511</v>
      </c>
    </row>
    <row r="1298" spans="1:10" ht="12.75" hidden="1" customHeight="1" outlineLevel="1" collapsed="1">
      <c r="A1298" s="1872"/>
      <c r="B1298" s="1857"/>
      <c r="C1298" s="1827" t="s">
        <v>47</v>
      </c>
      <c r="D1298" s="1827"/>
      <c r="E1298" s="1827"/>
      <c r="F1298" s="1827"/>
      <c r="G1298" s="1827"/>
      <c r="H1298" s="1827"/>
      <c r="I1298" s="1827"/>
      <c r="J1298" s="773">
        <f>J1297*F1297</f>
        <v>4390694</v>
      </c>
    </row>
    <row r="1299" spans="1:10" ht="12.75" hidden="1" customHeight="1" outlineLevel="1">
      <c r="A1299" s="1872"/>
      <c r="B1299" s="1855" t="s">
        <v>2532</v>
      </c>
      <c r="C1299" s="1873" t="s">
        <v>2116</v>
      </c>
      <c r="D1299" s="1873"/>
      <c r="E1299" s="1873"/>
      <c r="F1299" s="1873"/>
      <c r="G1299" s="1873"/>
      <c r="H1299" s="1873"/>
      <c r="I1299" s="1873"/>
      <c r="J1299" s="1873"/>
    </row>
    <row r="1300" spans="1:10" ht="12.75" hidden="1" customHeight="1" outlineLevel="2">
      <c r="A1300" s="1872"/>
      <c r="B1300" s="1856"/>
      <c r="C1300" s="856"/>
      <c r="D1300" s="856" t="s">
        <v>2108</v>
      </c>
      <c r="E1300" s="857" t="s">
        <v>1891</v>
      </c>
      <c r="F1300" s="858">
        <v>2</v>
      </c>
      <c r="G1300" s="859"/>
      <c r="H1300" s="5"/>
      <c r="I1300" s="856"/>
      <c r="J1300" s="860">
        <v>1082</v>
      </c>
    </row>
    <row r="1301" spans="1:10" ht="12.75" hidden="1" customHeight="1" outlineLevel="2">
      <c r="A1301" s="1872"/>
      <c r="B1301" s="1856"/>
      <c r="C1301" s="856"/>
      <c r="D1301" s="856" t="s">
        <v>2109</v>
      </c>
      <c r="E1301" s="861" t="s">
        <v>1891</v>
      </c>
      <c r="F1301" s="858">
        <v>1</v>
      </c>
      <c r="G1301" s="859"/>
      <c r="H1301" s="5"/>
      <c r="I1301" s="856"/>
      <c r="J1301" s="860">
        <v>1848</v>
      </c>
    </row>
    <row r="1302" spans="1:10" ht="12.75" hidden="1" customHeight="1" outlineLevel="2">
      <c r="A1302" s="1872"/>
      <c r="B1302" s="1856"/>
      <c r="C1302" s="856"/>
      <c r="D1302" s="856" t="s">
        <v>2110</v>
      </c>
      <c r="E1302" s="861" t="s">
        <v>2111</v>
      </c>
      <c r="F1302" s="858">
        <v>0.5</v>
      </c>
      <c r="G1302" s="859"/>
      <c r="H1302" s="5"/>
      <c r="I1302" s="856"/>
      <c r="J1302" s="860">
        <v>3907</v>
      </c>
    </row>
    <row r="1303" spans="1:10" ht="12.75" hidden="1" customHeight="1" outlineLevel="2">
      <c r="A1303" s="1872"/>
      <c r="B1303" s="1856"/>
      <c r="C1303" s="856"/>
      <c r="D1303" s="856" t="s">
        <v>2112</v>
      </c>
      <c r="E1303" s="861" t="s">
        <v>1891</v>
      </c>
      <c r="F1303" s="858">
        <v>1</v>
      </c>
      <c r="G1303" s="859"/>
      <c r="H1303" s="5"/>
      <c r="I1303" s="856"/>
      <c r="J1303" s="860">
        <v>6032</v>
      </c>
    </row>
    <row r="1304" spans="1:10" ht="12.75" hidden="1" customHeight="1" outlineLevel="2">
      <c r="A1304" s="1872"/>
      <c r="B1304" s="1856"/>
      <c r="C1304" s="856"/>
      <c r="D1304" s="856" t="s">
        <v>2113</v>
      </c>
      <c r="E1304" s="862" t="s">
        <v>48</v>
      </c>
      <c r="F1304" s="858">
        <v>9</v>
      </c>
      <c r="G1304" s="859"/>
      <c r="H1304" s="5"/>
      <c r="I1304" s="856"/>
      <c r="J1304" s="860">
        <v>15642</v>
      </c>
    </row>
    <row r="1305" spans="1:10" ht="12.75" hidden="1" customHeight="1" outlineLevel="2">
      <c r="A1305" s="1872"/>
      <c r="B1305" s="1856"/>
      <c r="C1305" s="1842" t="s">
        <v>1488</v>
      </c>
      <c r="D1305" s="1835"/>
      <c r="E1305" s="851" t="s">
        <v>1891</v>
      </c>
      <c r="F1305" s="583">
        <f>'13. Instalaciones Eléctricas'!Q123</f>
        <v>54</v>
      </c>
      <c r="G1305" s="851"/>
      <c r="H1305" s="851"/>
      <c r="I1305" s="851">
        <v>0</v>
      </c>
      <c r="J1305" s="850">
        <f>SUM(J1300:J1304)</f>
        <v>28511</v>
      </c>
    </row>
    <row r="1306" spans="1:10" ht="12.75" hidden="1" customHeight="1" outlineLevel="1" collapsed="1">
      <c r="A1306" s="1872"/>
      <c r="B1306" s="1857"/>
      <c r="C1306" s="1827" t="s">
        <v>47</v>
      </c>
      <c r="D1306" s="1827"/>
      <c r="E1306" s="1827"/>
      <c r="F1306" s="1827"/>
      <c r="G1306" s="1827"/>
      <c r="H1306" s="1827"/>
      <c r="I1306" s="1827"/>
      <c r="J1306" s="773">
        <f>J1305*F1305</f>
        <v>1539594</v>
      </c>
    </row>
    <row r="1307" spans="1:10" ht="12.75" hidden="1" customHeight="1" outlineLevel="1">
      <c r="A1307" s="1872"/>
      <c r="B1307" s="1855" t="s">
        <v>2533</v>
      </c>
      <c r="C1307" s="1873" t="s">
        <v>2117</v>
      </c>
      <c r="D1307" s="1873"/>
      <c r="E1307" s="1873"/>
      <c r="F1307" s="1873"/>
      <c r="G1307" s="1873"/>
      <c r="H1307" s="1873"/>
      <c r="I1307" s="1873"/>
      <c r="J1307" s="1873"/>
    </row>
    <row r="1308" spans="1:10" ht="12.75" hidden="1" customHeight="1" outlineLevel="2">
      <c r="A1308" s="1872"/>
      <c r="B1308" s="1856"/>
      <c r="C1308" s="856"/>
      <c r="D1308" s="856" t="s">
        <v>2108</v>
      </c>
      <c r="E1308" s="857" t="s">
        <v>1891</v>
      </c>
      <c r="F1308" s="858">
        <v>2</v>
      </c>
      <c r="G1308" s="859"/>
      <c r="H1308" s="5"/>
      <c r="I1308" s="856"/>
      <c r="J1308" s="860">
        <v>1082</v>
      </c>
    </row>
    <row r="1309" spans="1:10" ht="12.75" hidden="1" customHeight="1" outlineLevel="2">
      <c r="A1309" s="1872"/>
      <c r="B1309" s="1856"/>
      <c r="C1309" s="856"/>
      <c r="D1309" s="856" t="s">
        <v>2109</v>
      </c>
      <c r="E1309" s="861" t="s">
        <v>1891</v>
      </c>
      <c r="F1309" s="858">
        <v>1</v>
      </c>
      <c r="G1309" s="859"/>
      <c r="H1309" s="5"/>
      <c r="I1309" s="856"/>
      <c r="J1309" s="860">
        <v>1848</v>
      </c>
    </row>
    <row r="1310" spans="1:10" ht="12.75" hidden="1" customHeight="1" outlineLevel="2">
      <c r="A1310" s="1872"/>
      <c r="B1310" s="1856"/>
      <c r="C1310" s="856"/>
      <c r="D1310" s="856" t="s">
        <v>2110</v>
      </c>
      <c r="E1310" s="861" t="s">
        <v>2111</v>
      </c>
      <c r="F1310" s="858">
        <v>0.5</v>
      </c>
      <c r="G1310" s="859"/>
      <c r="H1310" s="5"/>
      <c r="I1310" s="856"/>
      <c r="J1310" s="860">
        <v>3907</v>
      </c>
    </row>
    <row r="1311" spans="1:10" ht="12.75" hidden="1" customHeight="1" outlineLevel="2">
      <c r="A1311" s="1872"/>
      <c r="B1311" s="1856"/>
      <c r="C1311" s="856"/>
      <c r="D1311" s="856" t="s">
        <v>2112</v>
      </c>
      <c r="E1311" s="861" t="s">
        <v>1891</v>
      </c>
      <c r="F1311" s="858">
        <v>1</v>
      </c>
      <c r="G1311" s="859"/>
      <c r="H1311" s="5"/>
      <c r="I1311" s="856"/>
      <c r="J1311" s="860">
        <v>6032</v>
      </c>
    </row>
    <row r="1312" spans="1:10" ht="12.75" hidden="1" customHeight="1" outlineLevel="2">
      <c r="A1312" s="1872"/>
      <c r="B1312" s="1856"/>
      <c r="C1312" s="856"/>
      <c r="D1312" s="856" t="s">
        <v>2113</v>
      </c>
      <c r="E1312" s="862" t="s">
        <v>48</v>
      </c>
      <c r="F1312" s="858">
        <v>9</v>
      </c>
      <c r="G1312" s="859"/>
      <c r="H1312" s="5"/>
      <c r="I1312" s="856"/>
      <c r="J1312" s="860">
        <v>15642</v>
      </c>
    </row>
    <row r="1313" spans="1:10" ht="12.75" hidden="1" customHeight="1" outlineLevel="2">
      <c r="A1313" s="1872"/>
      <c r="B1313" s="1856"/>
      <c r="C1313" s="1842" t="s">
        <v>1488</v>
      </c>
      <c r="D1313" s="1835"/>
      <c r="E1313" s="851" t="s">
        <v>1891</v>
      </c>
      <c r="F1313" s="583">
        <f>'13. Instalaciones Eléctricas'!Q124</f>
        <v>18</v>
      </c>
      <c r="G1313" s="851"/>
      <c r="H1313" s="851"/>
      <c r="I1313" s="851">
        <v>0</v>
      </c>
      <c r="J1313" s="850">
        <f>SUM(J1308:J1312)</f>
        <v>28511</v>
      </c>
    </row>
    <row r="1314" spans="1:10" ht="12.75" hidden="1" customHeight="1" outlineLevel="1" collapsed="1">
      <c r="A1314" s="1872"/>
      <c r="B1314" s="1857"/>
      <c r="C1314" s="1827" t="s">
        <v>47</v>
      </c>
      <c r="D1314" s="1827"/>
      <c r="E1314" s="1827"/>
      <c r="F1314" s="1827"/>
      <c r="G1314" s="1827"/>
      <c r="H1314" s="1827"/>
      <c r="I1314" s="1827"/>
      <c r="J1314" s="773">
        <f>J1313*F1313</f>
        <v>513198</v>
      </c>
    </row>
    <row r="1315" spans="1:10" ht="12.75" hidden="1" customHeight="1" outlineLevel="1">
      <c r="A1315" s="1872"/>
      <c r="B1315" s="1855" t="s">
        <v>2534</v>
      </c>
      <c r="C1315" s="1873" t="s">
        <v>2118</v>
      </c>
      <c r="D1315" s="1873"/>
      <c r="E1315" s="1873"/>
      <c r="F1315" s="1873"/>
      <c r="G1315" s="1873"/>
      <c r="H1315" s="1873"/>
      <c r="I1315" s="1873"/>
      <c r="J1315" s="1873"/>
    </row>
    <row r="1316" spans="1:10" ht="12.75" hidden="1" customHeight="1" outlineLevel="2">
      <c r="A1316" s="1872"/>
      <c r="B1316" s="1856"/>
      <c r="C1316" s="856"/>
      <c r="D1316" s="856" t="s">
        <v>2084</v>
      </c>
      <c r="E1316" s="861" t="s">
        <v>1891</v>
      </c>
      <c r="F1316" s="858">
        <v>1.05</v>
      </c>
      <c r="G1316" s="859"/>
      <c r="H1316" s="5"/>
      <c r="I1316" s="856"/>
      <c r="J1316" s="860">
        <v>258</v>
      </c>
    </row>
    <row r="1317" spans="1:10" ht="12.75" hidden="1" customHeight="1" outlineLevel="2">
      <c r="A1317" s="1872"/>
      <c r="B1317" s="1856"/>
      <c r="C1317" s="856"/>
      <c r="D1317" s="856" t="s">
        <v>2109</v>
      </c>
      <c r="E1317" s="861" t="s">
        <v>1891</v>
      </c>
      <c r="F1317" s="858">
        <v>1.05</v>
      </c>
      <c r="G1317" s="859"/>
      <c r="H1317" s="5"/>
      <c r="I1317" s="856"/>
      <c r="J1317" s="860">
        <v>1350</v>
      </c>
    </row>
    <row r="1318" spans="1:10" ht="12.75" hidden="1" customHeight="1" outlineLevel="2">
      <c r="A1318" s="1872"/>
      <c r="B1318" s="1856"/>
      <c r="C1318" s="856"/>
      <c r="D1318" s="856" t="s">
        <v>2119</v>
      </c>
      <c r="E1318" s="861" t="s">
        <v>1897</v>
      </c>
      <c r="F1318" s="858">
        <f>2.88/2</f>
        <v>1.44</v>
      </c>
      <c r="G1318" s="859"/>
      <c r="H1318" s="5"/>
      <c r="I1318" s="856"/>
      <c r="J1318" s="860">
        <v>49294</v>
      </c>
    </row>
    <row r="1319" spans="1:10" ht="12.75" hidden="1" customHeight="1" outlineLevel="2">
      <c r="A1319" s="1872"/>
      <c r="B1319" s="1856"/>
      <c r="C1319" s="856"/>
      <c r="D1319" s="856" t="s">
        <v>2097</v>
      </c>
      <c r="E1319" s="861" t="s">
        <v>48</v>
      </c>
      <c r="F1319" s="858">
        <v>12</v>
      </c>
      <c r="G1319" s="859"/>
      <c r="H1319" s="5"/>
      <c r="I1319" s="856"/>
      <c r="J1319" s="860">
        <v>55800</v>
      </c>
    </row>
    <row r="1320" spans="1:10" ht="12.75" hidden="1" customHeight="1" outlineLevel="2">
      <c r="A1320" s="1872"/>
      <c r="B1320" s="1856"/>
      <c r="C1320" s="856"/>
      <c r="D1320" s="856" t="s">
        <v>2120</v>
      </c>
      <c r="E1320" s="861" t="s">
        <v>2091</v>
      </c>
      <c r="F1320" s="858">
        <v>38</v>
      </c>
      <c r="G1320" s="859"/>
      <c r="H1320" s="5"/>
      <c r="I1320" s="856"/>
      <c r="J1320" s="860">
        <v>40547</v>
      </c>
    </row>
    <row r="1321" spans="1:10" ht="12.75" hidden="1" customHeight="1" outlineLevel="2">
      <c r="A1321" s="1872"/>
      <c r="B1321" s="1856"/>
      <c r="C1321" s="1842" t="s">
        <v>1488</v>
      </c>
      <c r="D1321" s="1835"/>
      <c r="E1321" s="851" t="s">
        <v>1891</v>
      </c>
      <c r="F1321" s="583">
        <f>'13. Instalaciones Eléctricas'!Q125</f>
        <v>1</v>
      </c>
      <c r="G1321" s="851"/>
      <c r="H1321" s="851"/>
      <c r="I1321" s="851">
        <v>0</v>
      </c>
      <c r="J1321" s="850">
        <f>SUM(J1316:J1320)</f>
        <v>147249</v>
      </c>
    </row>
    <row r="1322" spans="1:10" ht="12.75" hidden="1" customHeight="1" outlineLevel="1" collapsed="1">
      <c r="A1322" s="1872"/>
      <c r="B1322" s="1857"/>
      <c r="C1322" s="1827" t="s">
        <v>47</v>
      </c>
      <c r="D1322" s="1827"/>
      <c r="E1322" s="1827"/>
      <c r="F1322" s="1827"/>
      <c r="G1322" s="1827"/>
      <c r="H1322" s="1827"/>
      <c r="I1322" s="1827"/>
      <c r="J1322" s="773">
        <f>J1321*F1321</f>
        <v>147249</v>
      </c>
    </row>
    <row r="1323" spans="1:10" ht="12.75" hidden="1" customHeight="1" outlineLevel="1">
      <c r="A1323" s="1883"/>
      <c r="B1323" s="1831" t="s">
        <v>2535</v>
      </c>
      <c r="C1323" s="1873" t="s">
        <v>2121</v>
      </c>
      <c r="D1323" s="1873"/>
      <c r="E1323" s="1873"/>
      <c r="F1323" s="1873"/>
      <c r="G1323" s="1873"/>
      <c r="H1323" s="1873"/>
      <c r="I1323" s="1873"/>
      <c r="J1323" s="1873"/>
    </row>
    <row r="1324" spans="1:10" ht="12.75" hidden="1" customHeight="1" outlineLevel="2">
      <c r="A1324" s="1884"/>
      <c r="B1324" s="1831"/>
      <c r="C1324" s="856"/>
      <c r="D1324" s="856" t="s">
        <v>2084</v>
      </c>
      <c r="E1324" s="857" t="s">
        <v>1891</v>
      </c>
      <c r="F1324" s="858">
        <v>2</v>
      </c>
      <c r="G1324" s="859"/>
      <c r="H1324" s="5"/>
      <c r="I1324" s="856"/>
      <c r="J1324" s="860">
        <v>812</v>
      </c>
    </row>
    <row r="1325" spans="1:10" ht="12.75" hidden="1" customHeight="1" outlineLevel="2">
      <c r="A1325" s="1884"/>
      <c r="B1325" s="1831"/>
      <c r="C1325" s="856"/>
      <c r="D1325" s="856" t="s">
        <v>2085</v>
      </c>
      <c r="E1325" s="857" t="s">
        <v>48</v>
      </c>
      <c r="F1325" s="858">
        <v>3</v>
      </c>
      <c r="G1325" s="859"/>
      <c r="H1325" s="5"/>
      <c r="I1325" s="856"/>
      <c r="J1325" s="860">
        <v>6570</v>
      </c>
    </row>
    <row r="1326" spans="1:10" ht="12.75" hidden="1" customHeight="1" outlineLevel="2">
      <c r="A1326" s="1884"/>
      <c r="B1326" s="1831"/>
      <c r="C1326" s="856"/>
      <c r="D1326" s="856" t="s">
        <v>2086</v>
      </c>
      <c r="E1326" s="857" t="s">
        <v>48</v>
      </c>
      <c r="F1326" s="858">
        <v>6</v>
      </c>
      <c r="G1326" s="859"/>
      <c r="H1326" s="5"/>
      <c r="I1326" s="856"/>
      <c r="J1326" s="860">
        <v>13914</v>
      </c>
    </row>
    <row r="1327" spans="1:10" ht="12.75" hidden="1" customHeight="1" outlineLevel="2">
      <c r="A1327" s="1884"/>
      <c r="B1327" s="1831"/>
      <c r="C1327" s="856"/>
      <c r="D1327" s="856" t="s">
        <v>2087</v>
      </c>
      <c r="E1327" s="857" t="s">
        <v>1891</v>
      </c>
      <c r="F1327" s="858">
        <v>1</v>
      </c>
      <c r="G1327" s="859"/>
      <c r="H1327" s="5"/>
      <c r="I1327" s="856"/>
      <c r="J1327" s="860">
        <v>2280</v>
      </c>
    </row>
    <row r="1328" spans="1:10" ht="12.75" hidden="1" customHeight="1" outlineLevel="2">
      <c r="A1328" s="1884"/>
      <c r="B1328" s="1831"/>
      <c r="C1328" s="856"/>
      <c r="D1328" s="856" t="s">
        <v>2088</v>
      </c>
      <c r="E1328" s="856" t="s">
        <v>1891</v>
      </c>
      <c r="F1328" s="858">
        <v>2</v>
      </c>
      <c r="G1328" s="859"/>
      <c r="H1328" s="5"/>
      <c r="I1328" s="856"/>
      <c r="J1328" s="860">
        <v>986</v>
      </c>
    </row>
    <row r="1329" spans="1:10" ht="12.75" hidden="1" customHeight="1" outlineLevel="2">
      <c r="A1329" s="1884"/>
      <c r="B1329" s="1831"/>
      <c r="C1329" s="856"/>
      <c r="D1329" s="856" t="s">
        <v>2089</v>
      </c>
      <c r="E1329" s="856" t="s">
        <v>1897</v>
      </c>
      <c r="F1329" s="858">
        <f>2.5/2</f>
        <v>1.25</v>
      </c>
      <c r="G1329" s="859"/>
      <c r="H1329" s="5"/>
      <c r="I1329" s="856"/>
      <c r="J1329" s="860">
        <v>56071</v>
      </c>
    </row>
    <row r="1330" spans="1:10" ht="12.75" hidden="1" customHeight="1" outlineLevel="2">
      <c r="A1330" s="1884"/>
      <c r="B1330" s="1831"/>
      <c r="C1330" s="856"/>
      <c r="D1330" s="856" t="s">
        <v>2090</v>
      </c>
      <c r="E1330" s="856" t="s">
        <v>2091</v>
      </c>
      <c r="F1330" s="858">
        <v>10</v>
      </c>
      <c r="G1330" s="859"/>
      <c r="H1330" s="5"/>
      <c r="I1330" s="856"/>
      <c r="J1330" s="860">
        <v>9418</v>
      </c>
    </row>
    <row r="1331" spans="1:10" ht="12.75" hidden="1" customHeight="1" outlineLevel="2">
      <c r="A1331" s="1884"/>
      <c r="B1331" s="1831"/>
      <c r="C1331" s="856"/>
      <c r="D1331" s="856" t="s">
        <v>2092</v>
      </c>
      <c r="E1331" s="856" t="s">
        <v>1891</v>
      </c>
      <c r="F1331" s="858">
        <v>0.01</v>
      </c>
      <c r="G1331" s="859"/>
      <c r="H1331" s="5"/>
      <c r="I1331" s="856"/>
      <c r="J1331" s="860">
        <v>436</v>
      </c>
    </row>
    <row r="1332" spans="1:10" ht="12.75" hidden="1" customHeight="1" outlineLevel="2">
      <c r="A1332" s="1884"/>
      <c r="B1332" s="1831"/>
      <c r="C1332" s="856"/>
      <c r="D1332" s="856" t="s">
        <v>2093</v>
      </c>
      <c r="E1332" s="856" t="s">
        <v>1891</v>
      </c>
      <c r="F1332" s="858">
        <v>0.01</v>
      </c>
      <c r="G1332" s="859"/>
      <c r="H1332" s="5"/>
      <c r="I1332" s="856"/>
      <c r="J1332" s="860">
        <v>482</v>
      </c>
    </row>
    <row r="1333" spans="1:10" ht="12.75" hidden="1" customHeight="1" outlineLevel="2">
      <c r="A1333" s="1884"/>
      <c r="B1333" s="1831"/>
      <c r="C1333" s="856"/>
      <c r="D1333" s="856" t="s">
        <v>2094</v>
      </c>
      <c r="E1333" s="856" t="s">
        <v>1891</v>
      </c>
      <c r="F1333" s="858">
        <v>1</v>
      </c>
      <c r="G1333" s="859"/>
      <c r="H1333" s="5"/>
      <c r="I1333" s="856"/>
      <c r="J1333" s="860">
        <v>400</v>
      </c>
    </row>
    <row r="1334" spans="1:10" ht="12.75" hidden="1" customHeight="1" outlineLevel="2">
      <c r="A1334" s="1884"/>
      <c r="B1334" s="1831"/>
      <c r="C1334" s="856"/>
      <c r="D1334" s="856" t="s">
        <v>2095</v>
      </c>
      <c r="E1334" s="856" t="s">
        <v>1891</v>
      </c>
      <c r="F1334" s="858">
        <v>1</v>
      </c>
      <c r="G1334" s="859"/>
      <c r="H1334" s="5"/>
      <c r="I1334" s="856"/>
      <c r="J1334" s="860">
        <v>5916</v>
      </c>
    </row>
    <row r="1335" spans="1:10" ht="12.75" hidden="1" customHeight="1" outlineLevel="2">
      <c r="A1335" s="1884"/>
      <c r="B1335" s="1831"/>
      <c r="C1335" s="856"/>
      <c r="D1335" s="856" t="s">
        <v>2096</v>
      </c>
      <c r="E1335" s="856" t="s">
        <v>1891</v>
      </c>
      <c r="F1335" s="858">
        <v>1</v>
      </c>
      <c r="G1335" s="859"/>
      <c r="H1335" s="5"/>
      <c r="I1335" s="856"/>
      <c r="J1335" s="860">
        <v>26</v>
      </c>
    </row>
    <row r="1336" spans="1:10" ht="12.75" hidden="1" customHeight="1" outlineLevel="2">
      <c r="A1336" s="1884"/>
      <c r="B1336" s="1831"/>
      <c r="C1336" s="856"/>
      <c r="D1336" s="856" t="s">
        <v>2097</v>
      </c>
      <c r="E1336" s="856" t="s">
        <v>48</v>
      </c>
      <c r="F1336" s="858">
        <v>3</v>
      </c>
      <c r="G1336" s="859"/>
      <c r="H1336" s="5"/>
      <c r="I1336" s="856"/>
      <c r="J1336" s="860">
        <v>6288</v>
      </c>
    </row>
    <row r="1337" spans="1:10" ht="12.75" hidden="1" customHeight="1" outlineLevel="2">
      <c r="A1337" s="1884"/>
      <c r="B1337" s="1831"/>
      <c r="C1337" s="1842" t="s">
        <v>1488</v>
      </c>
      <c r="D1337" s="1835"/>
      <c r="E1337" s="851" t="s">
        <v>1891</v>
      </c>
      <c r="F1337" s="583">
        <f>'13. Instalaciones Eléctricas'!Q127</f>
        <v>84</v>
      </c>
      <c r="G1337" s="851"/>
      <c r="H1337" s="851"/>
      <c r="I1337" s="851">
        <v>0</v>
      </c>
      <c r="J1337" s="850">
        <f>SUM(J1324:J1336)</f>
        <v>103599</v>
      </c>
    </row>
    <row r="1338" spans="1:10" ht="12.75" hidden="1" customHeight="1" outlineLevel="1">
      <c r="A1338" s="1885"/>
      <c r="B1338" s="1831"/>
      <c r="C1338" s="1827" t="s">
        <v>47</v>
      </c>
      <c r="D1338" s="1827"/>
      <c r="E1338" s="1827"/>
      <c r="F1338" s="1827"/>
      <c r="G1338" s="1827"/>
      <c r="H1338" s="1827"/>
      <c r="I1338" s="1827"/>
      <c r="J1338" s="773">
        <f>J1337*F1337</f>
        <v>8702316</v>
      </c>
    </row>
    <row r="1339" spans="1:10" ht="12.75" hidden="1" customHeight="1" outlineLevel="1">
      <c r="A1339" s="1872"/>
      <c r="B1339" s="1831" t="s">
        <v>2536</v>
      </c>
      <c r="C1339" s="1873" t="s">
        <v>2122</v>
      </c>
      <c r="D1339" s="1873"/>
      <c r="E1339" s="1873"/>
      <c r="F1339" s="1873"/>
      <c r="G1339" s="1873"/>
      <c r="H1339" s="1873"/>
      <c r="I1339" s="1873"/>
      <c r="J1339" s="1873"/>
    </row>
    <row r="1340" spans="1:10" ht="12.75" hidden="1" customHeight="1" outlineLevel="2">
      <c r="A1340" s="1872"/>
      <c r="B1340" s="1831"/>
      <c r="C1340" s="856"/>
      <c r="D1340" s="856" t="s">
        <v>2084</v>
      </c>
      <c r="E1340" s="857" t="s">
        <v>1891</v>
      </c>
      <c r="F1340" s="858">
        <v>2</v>
      </c>
      <c r="G1340" s="859"/>
      <c r="H1340" s="5"/>
      <c r="I1340" s="856"/>
      <c r="J1340" s="860">
        <v>812</v>
      </c>
    </row>
    <row r="1341" spans="1:10" ht="12.75" hidden="1" customHeight="1" outlineLevel="2">
      <c r="A1341" s="1872"/>
      <c r="B1341" s="1831"/>
      <c r="C1341" s="856"/>
      <c r="D1341" s="856" t="s">
        <v>2085</v>
      </c>
      <c r="E1341" s="857" t="s">
        <v>48</v>
      </c>
      <c r="F1341" s="858">
        <v>3</v>
      </c>
      <c r="G1341" s="859"/>
      <c r="H1341" s="5"/>
      <c r="I1341" s="856"/>
      <c r="J1341" s="860">
        <v>6570</v>
      </c>
    </row>
    <row r="1342" spans="1:10" ht="12.75" hidden="1" customHeight="1" outlineLevel="2">
      <c r="A1342" s="1872"/>
      <c r="B1342" s="1831"/>
      <c r="C1342" s="856"/>
      <c r="D1342" s="856" t="s">
        <v>2086</v>
      </c>
      <c r="E1342" s="857" t="s">
        <v>48</v>
      </c>
      <c r="F1342" s="858">
        <v>6</v>
      </c>
      <c r="G1342" s="859"/>
      <c r="H1342" s="5"/>
      <c r="I1342" s="856"/>
      <c r="J1342" s="860">
        <v>13914</v>
      </c>
    </row>
    <row r="1343" spans="1:10" ht="12.75" hidden="1" customHeight="1" outlineLevel="2">
      <c r="A1343" s="1872"/>
      <c r="B1343" s="1831"/>
      <c r="C1343" s="856"/>
      <c r="D1343" s="856" t="s">
        <v>2087</v>
      </c>
      <c r="E1343" s="857" t="s">
        <v>1891</v>
      </c>
      <c r="F1343" s="858">
        <v>1</v>
      </c>
      <c r="G1343" s="859"/>
      <c r="H1343" s="5"/>
      <c r="I1343" s="856"/>
      <c r="J1343" s="860">
        <v>2280</v>
      </c>
    </row>
    <row r="1344" spans="1:10" ht="12.75" hidden="1" customHeight="1" outlineLevel="2">
      <c r="A1344" s="1872"/>
      <c r="B1344" s="1831"/>
      <c r="C1344" s="856"/>
      <c r="D1344" s="856" t="s">
        <v>2088</v>
      </c>
      <c r="E1344" s="856" t="s">
        <v>1891</v>
      </c>
      <c r="F1344" s="858">
        <v>2</v>
      </c>
      <c r="G1344" s="859"/>
      <c r="H1344" s="5"/>
      <c r="I1344" s="856"/>
      <c r="J1344" s="860">
        <v>986</v>
      </c>
    </row>
    <row r="1345" spans="1:10" ht="12.75" hidden="1" customHeight="1" outlineLevel="2">
      <c r="A1345" s="1872"/>
      <c r="B1345" s="1831"/>
      <c r="C1345" s="856"/>
      <c r="D1345" s="856" t="s">
        <v>2089</v>
      </c>
      <c r="E1345" s="856" t="s">
        <v>1897</v>
      </c>
      <c r="F1345" s="858">
        <f>2.5/2</f>
        <v>1.25</v>
      </c>
      <c r="G1345" s="859"/>
      <c r="H1345" s="5"/>
      <c r="I1345" s="856"/>
      <c r="J1345" s="860">
        <v>56071</v>
      </c>
    </row>
    <row r="1346" spans="1:10" ht="12.75" hidden="1" customHeight="1" outlineLevel="2">
      <c r="A1346" s="1872"/>
      <c r="B1346" s="1831"/>
      <c r="C1346" s="856"/>
      <c r="D1346" s="856" t="s">
        <v>2090</v>
      </c>
      <c r="E1346" s="856" t="s">
        <v>2091</v>
      </c>
      <c r="F1346" s="858">
        <v>10</v>
      </c>
      <c r="G1346" s="859"/>
      <c r="H1346" s="5"/>
      <c r="I1346" s="856"/>
      <c r="J1346" s="860">
        <v>9418</v>
      </c>
    </row>
    <row r="1347" spans="1:10" ht="12.75" hidden="1" customHeight="1" outlineLevel="2">
      <c r="A1347" s="1872"/>
      <c r="B1347" s="1831"/>
      <c r="C1347" s="856"/>
      <c r="D1347" s="856" t="s">
        <v>2092</v>
      </c>
      <c r="E1347" s="856" t="s">
        <v>1891</v>
      </c>
      <c r="F1347" s="858">
        <v>0.01</v>
      </c>
      <c r="G1347" s="859"/>
      <c r="H1347" s="5"/>
      <c r="I1347" s="856"/>
      <c r="J1347" s="860">
        <v>436</v>
      </c>
    </row>
    <row r="1348" spans="1:10" ht="12.75" hidden="1" customHeight="1" outlineLevel="2">
      <c r="A1348" s="1872"/>
      <c r="B1348" s="1831"/>
      <c r="C1348" s="856"/>
      <c r="D1348" s="856" t="s">
        <v>2093</v>
      </c>
      <c r="E1348" s="856" t="s">
        <v>1891</v>
      </c>
      <c r="F1348" s="858">
        <v>0.01</v>
      </c>
      <c r="G1348" s="859"/>
      <c r="H1348" s="5"/>
      <c r="I1348" s="856"/>
      <c r="J1348" s="860">
        <v>482</v>
      </c>
    </row>
    <row r="1349" spans="1:10" ht="12.75" hidden="1" customHeight="1" outlineLevel="2">
      <c r="A1349" s="1872"/>
      <c r="B1349" s="1831"/>
      <c r="C1349" s="856"/>
      <c r="D1349" s="856" t="s">
        <v>2094</v>
      </c>
      <c r="E1349" s="856" t="s">
        <v>1891</v>
      </c>
      <c r="F1349" s="858">
        <v>1</v>
      </c>
      <c r="G1349" s="859"/>
      <c r="H1349" s="5"/>
      <c r="I1349" s="856"/>
      <c r="J1349" s="860">
        <v>400</v>
      </c>
    </row>
    <row r="1350" spans="1:10" ht="12.75" hidden="1" customHeight="1" outlineLevel="2">
      <c r="A1350" s="1872"/>
      <c r="B1350" s="1831"/>
      <c r="C1350" s="856"/>
      <c r="D1350" s="856" t="s">
        <v>2095</v>
      </c>
      <c r="E1350" s="856" t="s">
        <v>1891</v>
      </c>
      <c r="F1350" s="858">
        <v>1</v>
      </c>
      <c r="G1350" s="859"/>
      <c r="H1350" s="5"/>
      <c r="I1350" s="856"/>
      <c r="J1350" s="860">
        <v>5916</v>
      </c>
    </row>
    <row r="1351" spans="1:10" ht="12.75" hidden="1" customHeight="1" outlineLevel="2">
      <c r="A1351" s="1872"/>
      <c r="B1351" s="1831"/>
      <c r="C1351" s="856"/>
      <c r="D1351" s="856" t="s">
        <v>2096</v>
      </c>
      <c r="E1351" s="856" t="s">
        <v>1891</v>
      </c>
      <c r="F1351" s="858">
        <v>1</v>
      </c>
      <c r="G1351" s="859"/>
      <c r="H1351" s="5"/>
      <c r="I1351" s="856"/>
      <c r="J1351" s="860">
        <v>26</v>
      </c>
    </row>
    <row r="1352" spans="1:10" ht="12.75" hidden="1" customHeight="1" outlineLevel="2">
      <c r="A1352" s="1872"/>
      <c r="B1352" s="1831"/>
      <c r="C1352" s="856"/>
      <c r="D1352" s="856" t="s">
        <v>2097</v>
      </c>
      <c r="E1352" s="856" t="s">
        <v>48</v>
      </c>
      <c r="F1352" s="858">
        <v>3</v>
      </c>
      <c r="G1352" s="859"/>
      <c r="H1352" s="5"/>
      <c r="I1352" s="856"/>
      <c r="J1352" s="860">
        <v>6288</v>
      </c>
    </row>
    <row r="1353" spans="1:10" ht="12.75" hidden="1" customHeight="1" outlineLevel="2">
      <c r="A1353" s="1872"/>
      <c r="B1353" s="1831"/>
      <c r="C1353" s="1842" t="s">
        <v>1488</v>
      </c>
      <c r="D1353" s="1835"/>
      <c r="E1353" s="851" t="s">
        <v>1891</v>
      </c>
      <c r="F1353" s="583">
        <f>'13. Instalaciones Eléctricas'!Q126</f>
        <v>84</v>
      </c>
      <c r="G1353" s="851"/>
      <c r="H1353" s="851"/>
      <c r="I1353" s="851">
        <v>0</v>
      </c>
      <c r="J1353" s="850">
        <f>SUM(J1340:J1352)</f>
        <v>103599</v>
      </c>
    </row>
    <row r="1354" spans="1:10" ht="12.75" hidden="1" customHeight="1" outlineLevel="1">
      <c r="A1354" s="1872"/>
      <c r="B1354" s="1831"/>
      <c r="C1354" s="1827" t="s">
        <v>47</v>
      </c>
      <c r="D1354" s="1827"/>
      <c r="E1354" s="1827"/>
      <c r="F1354" s="1827"/>
      <c r="G1354" s="1827"/>
      <c r="H1354" s="1827"/>
      <c r="I1354" s="1827"/>
      <c r="J1354" s="773">
        <f>J1353*F1353</f>
        <v>8702316</v>
      </c>
    </row>
    <row r="1355" spans="1:10" ht="12.75" hidden="1" customHeight="1" outlineLevel="1">
      <c r="A1355" s="1872"/>
      <c r="B1355" s="1855" t="s">
        <v>2537</v>
      </c>
      <c r="C1355" s="1873" t="s">
        <v>2123</v>
      </c>
      <c r="D1355" s="1873"/>
      <c r="E1355" s="1873"/>
      <c r="F1355" s="1873"/>
      <c r="G1355" s="1873"/>
      <c r="H1355" s="1873"/>
      <c r="I1355" s="1873"/>
      <c r="J1355" s="1873"/>
    </row>
    <row r="1356" spans="1:10" ht="12.75" hidden="1" customHeight="1" outlineLevel="2">
      <c r="A1356" s="1872"/>
      <c r="B1356" s="1856"/>
      <c r="C1356" s="856"/>
      <c r="D1356" s="856" t="s">
        <v>2084</v>
      </c>
      <c r="E1356" s="857" t="s">
        <v>1891</v>
      </c>
      <c r="F1356" s="858">
        <v>2</v>
      </c>
      <c r="G1356" s="859"/>
      <c r="H1356" s="5"/>
      <c r="I1356" s="856"/>
      <c r="J1356" s="860">
        <v>812</v>
      </c>
    </row>
    <row r="1357" spans="1:10" ht="12.75" hidden="1" customHeight="1" outlineLevel="2">
      <c r="A1357" s="1872"/>
      <c r="B1357" s="1856"/>
      <c r="C1357" s="856"/>
      <c r="D1357" s="856" t="s">
        <v>2085</v>
      </c>
      <c r="E1357" s="857" t="s">
        <v>48</v>
      </c>
      <c r="F1357" s="858">
        <v>3</v>
      </c>
      <c r="G1357" s="859"/>
      <c r="H1357" s="5"/>
      <c r="I1357" s="856"/>
      <c r="J1357" s="860">
        <v>6570</v>
      </c>
    </row>
    <row r="1358" spans="1:10" ht="12.75" hidden="1" customHeight="1" outlineLevel="2">
      <c r="A1358" s="1872"/>
      <c r="B1358" s="1856"/>
      <c r="C1358" s="856"/>
      <c r="D1358" s="856" t="s">
        <v>2086</v>
      </c>
      <c r="E1358" s="857" t="s">
        <v>48</v>
      </c>
      <c r="F1358" s="858">
        <v>6</v>
      </c>
      <c r="G1358" s="859"/>
      <c r="H1358" s="5"/>
      <c r="I1358" s="856"/>
      <c r="J1358" s="860">
        <v>13914</v>
      </c>
    </row>
    <row r="1359" spans="1:10" ht="12.75" hidden="1" customHeight="1" outlineLevel="2">
      <c r="A1359" s="1872"/>
      <c r="B1359" s="1856"/>
      <c r="C1359" s="856"/>
      <c r="D1359" s="856" t="s">
        <v>2087</v>
      </c>
      <c r="E1359" s="857" t="s">
        <v>1891</v>
      </c>
      <c r="F1359" s="858">
        <v>1</v>
      </c>
      <c r="G1359" s="859"/>
      <c r="H1359" s="5"/>
      <c r="I1359" s="856"/>
      <c r="J1359" s="860">
        <v>2280</v>
      </c>
    </row>
    <row r="1360" spans="1:10" ht="12.75" hidden="1" customHeight="1" outlineLevel="2">
      <c r="A1360" s="1872"/>
      <c r="B1360" s="1856"/>
      <c r="C1360" s="856"/>
      <c r="D1360" s="856" t="s">
        <v>2088</v>
      </c>
      <c r="E1360" s="856" t="s">
        <v>1891</v>
      </c>
      <c r="F1360" s="858">
        <v>2</v>
      </c>
      <c r="G1360" s="859"/>
      <c r="H1360" s="5"/>
      <c r="I1360" s="856"/>
      <c r="J1360" s="860">
        <v>986</v>
      </c>
    </row>
    <row r="1361" spans="1:10" ht="12.75" hidden="1" customHeight="1" outlineLevel="2">
      <c r="A1361" s="1872"/>
      <c r="B1361" s="1856"/>
      <c r="C1361" s="856"/>
      <c r="D1361" s="856" t="s">
        <v>2089</v>
      </c>
      <c r="E1361" s="856" t="s">
        <v>1897</v>
      </c>
      <c r="F1361" s="858">
        <f>2.5/2</f>
        <v>1.25</v>
      </c>
      <c r="G1361" s="859"/>
      <c r="H1361" s="5"/>
      <c r="I1361" s="856"/>
      <c r="J1361" s="860">
        <v>56071</v>
      </c>
    </row>
    <row r="1362" spans="1:10" ht="12.75" hidden="1" customHeight="1" outlineLevel="2">
      <c r="A1362" s="1872"/>
      <c r="B1362" s="1856"/>
      <c r="C1362" s="856"/>
      <c r="D1362" s="856" t="s">
        <v>2090</v>
      </c>
      <c r="E1362" s="856" t="s">
        <v>2091</v>
      </c>
      <c r="F1362" s="858">
        <v>10</v>
      </c>
      <c r="G1362" s="859"/>
      <c r="H1362" s="5"/>
      <c r="I1362" s="856"/>
      <c r="J1362" s="860">
        <v>9418</v>
      </c>
    </row>
    <row r="1363" spans="1:10" ht="12.75" hidden="1" customHeight="1" outlineLevel="2">
      <c r="A1363" s="1872"/>
      <c r="B1363" s="1856"/>
      <c r="C1363" s="856"/>
      <c r="D1363" s="856" t="s">
        <v>2092</v>
      </c>
      <c r="E1363" s="856" t="s">
        <v>1891</v>
      </c>
      <c r="F1363" s="858">
        <v>0.01</v>
      </c>
      <c r="G1363" s="859"/>
      <c r="H1363" s="5"/>
      <c r="I1363" s="856"/>
      <c r="J1363" s="860">
        <v>436</v>
      </c>
    </row>
    <row r="1364" spans="1:10" ht="12.75" hidden="1" customHeight="1" outlineLevel="2">
      <c r="A1364" s="1872"/>
      <c r="B1364" s="1856"/>
      <c r="C1364" s="856"/>
      <c r="D1364" s="856" t="s">
        <v>2093</v>
      </c>
      <c r="E1364" s="856" t="s">
        <v>1891</v>
      </c>
      <c r="F1364" s="858">
        <v>0.01</v>
      </c>
      <c r="G1364" s="859"/>
      <c r="H1364" s="5"/>
      <c r="I1364" s="856"/>
      <c r="J1364" s="860">
        <v>482</v>
      </c>
    </row>
    <row r="1365" spans="1:10" ht="12.75" hidden="1" customHeight="1" outlineLevel="2">
      <c r="A1365" s="1872"/>
      <c r="B1365" s="1856"/>
      <c r="C1365" s="856"/>
      <c r="D1365" s="856" t="s">
        <v>2094</v>
      </c>
      <c r="E1365" s="856" t="s">
        <v>1891</v>
      </c>
      <c r="F1365" s="858">
        <v>1</v>
      </c>
      <c r="G1365" s="859"/>
      <c r="H1365" s="5"/>
      <c r="I1365" s="856"/>
      <c r="J1365" s="860">
        <v>400</v>
      </c>
    </row>
    <row r="1366" spans="1:10" ht="12.75" hidden="1" customHeight="1" outlineLevel="2">
      <c r="A1366" s="1872"/>
      <c r="B1366" s="1856"/>
      <c r="C1366" s="856"/>
      <c r="D1366" s="856" t="s">
        <v>2095</v>
      </c>
      <c r="E1366" s="856" t="s">
        <v>1891</v>
      </c>
      <c r="F1366" s="858">
        <v>2</v>
      </c>
      <c r="G1366" s="859"/>
      <c r="H1366" s="5"/>
      <c r="I1366" s="856"/>
      <c r="J1366" s="860">
        <f>5916*2</f>
        <v>11832</v>
      </c>
    </row>
    <row r="1367" spans="1:10" ht="12.75" hidden="1" customHeight="1" outlineLevel="2">
      <c r="A1367" s="1872"/>
      <c r="B1367" s="1856"/>
      <c r="C1367" s="856"/>
      <c r="D1367" s="856" t="s">
        <v>2096</v>
      </c>
      <c r="E1367" s="856" t="s">
        <v>1891</v>
      </c>
      <c r="F1367" s="858">
        <v>1</v>
      </c>
      <c r="G1367" s="859"/>
      <c r="H1367" s="5"/>
      <c r="I1367" s="856"/>
      <c r="J1367" s="860">
        <v>26</v>
      </c>
    </row>
    <row r="1368" spans="1:10" ht="12.75" hidden="1" customHeight="1" outlineLevel="2">
      <c r="A1368" s="1872"/>
      <c r="B1368" s="1856"/>
      <c r="C1368" s="856"/>
      <c r="D1368" s="856" t="s">
        <v>2097</v>
      </c>
      <c r="E1368" s="856" t="s">
        <v>48</v>
      </c>
      <c r="F1368" s="858">
        <v>3</v>
      </c>
      <c r="G1368" s="859"/>
      <c r="H1368" s="5"/>
      <c r="I1368" s="856"/>
      <c r="J1368" s="860">
        <v>6288</v>
      </c>
    </row>
    <row r="1369" spans="1:10" ht="12.75" hidden="1" customHeight="1" outlineLevel="2">
      <c r="A1369" s="1872"/>
      <c r="B1369" s="1856"/>
      <c r="C1369" s="1842" t="s">
        <v>1488</v>
      </c>
      <c r="D1369" s="1835"/>
      <c r="E1369" s="851" t="s">
        <v>1891</v>
      </c>
      <c r="F1369" s="583">
        <f>'13. Instalaciones Eléctricas'!W120</f>
        <v>108</v>
      </c>
      <c r="G1369" s="851"/>
      <c r="H1369" s="851"/>
      <c r="I1369" s="851">
        <v>0</v>
      </c>
      <c r="J1369" s="850">
        <f>SUM(J1356:J1368)</f>
        <v>109515</v>
      </c>
    </row>
    <row r="1370" spans="1:10" ht="12.75" hidden="1" customHeight="1" outlineLevel="1" collapsed="1">
      <c r="A1370" s="1872"/>
      <c r="B1370" s="1857"/>
      <c r="C1370" s="1827" t="s">
        <v>47</v>
      </c>
      <c r="D1370" s="1827"/>
      <c r="E1370" s="1827"/>
      <c r="F1370" s="1827"/>
      <c r="G1370" s="1827"/>
      <c r="H1370" s="1827"/>
      <c r="I1370" s="1827"/>
      <c r="J1370" s="773">
        <f>J1369*F1369</f>
        <v>11827620</v>
      </c>
    </row>
    <row r="1371" spans="1:10" ht="12.75" hidden="1" customHeight="1" outlineLevel="1">
      <c r="A1371" s="1872"/>
      <c r="B1371" s="1831" t="s">
        <v>2538</v>
      </c>
      <c r="C1371" s="1873" t="s">
        <v>2124</v>
      </c>
      <c r="D1371" s="1873"/>
      <c r="E1371" s="1873"/>
      <c r="F1371" s="1873"/>
      <c r="G1371" s="1873"/>
      <c r="H1371" s="1873"/>
      <c r="I1371" s="1873"/>
      <c r="J1371" s="1873"/>
    </row>
    <row r="1372" spans="1:10" ht="12.75" hidden="1" customHeight="1" outlineLevel="2">
      <c r="A1372" s="1872"/>
      <c r="B1372" s="1831"/>
      <c r="C1372" s="856"/>
      <c r="D1372" s="856" t="s">
        <v>2084</v>
      </c>
      <c r="E1372" s="861" t="s">
        <v>1891</v>
      </c>
      <c r="F1372" s="858">
        <v>2</v>
      </c>
      <c r="G1372" s="859"/>
      <c r="H1372" s="5"/>
      <c r="I1372" s="856"/>
      <c r="J1372" s="860">
        <v>812</v>
      </c>
    </row>
    <row r="1373" spans="1:10" ht="12.75" hidden="1" customHeight="1" outlineLevel="2">
      <c r="A1373" s="1872"/>
      <c r="B1373" s="1831"/>
      <c r="C1373" s="856"/>
      <c r="D1373" s="856" t="s">
        <v>2085</v>
      </c>
      <c r="E1373" s="861" t="s">
        <v>48</v>
      </c>
      <c r="F1373" s="858">
        <v>3</v>
      </c>
      <c r="G1373" s="859"/>
      <c r="H1373" s="5"/>
      <c r="I1373" s="856"/>
      <c r="J1373" s="860">
        <v>6570</v>
      </c>
    </row>
    <row r="1374" spans="1:10" ht="12.75" hidden="1" customHeight="1" outlineLevel="2">
      <c r="A1374" s="1872"/>
      <c r="B1374" s="1831"/>
      <c r="C1374" s="856"/>
      <c r="D1374" s="856" t="s">
        <v>2086</v>
      </c>
      <c r="E1374" s="861" t="s">
        <v>48</v>
      </c>
      <c r="F1374" s="858">
        <v>6</v>
      </c>
      <c r="G1374" s="859"/>
      <c r="H1374" s="5"/>
      <c r="I1374" s="856"/>
      <c r="J1374" s="860">
        <v>13914</v>
      </c>
    </row>
    <row r="1375" spans="1:10" ht="12.75" hidden="1" customHeight="1" outlineLevel="2">
      <c r="A1375" s="1872"/>
      <c r="B1375" s="1831"/>
      <c r="C1375" s="856"/>
      <c r="D1375" s="856" t="s">
        <v>2087</v>
      </c>
      <c r="E1375" s="861" t="s">
        <v>1891</v>
      </c>
      <c r="F1375" s="858">
        <v>1</v>
      </c>
      <c r="G1375" s="859"/>
      <c r="H1375" s="5"/>
      <c r="I1375" s="856"/>
      <c r="J1375" s="860">
        <v>2280</v>
      </c>
    </row>
    <row r="1376" spans="1:10" ht="12.75" hidden="1" customHeight="1" outlineLevel="2">
      <c r="A1376" s="1872"/>
      <c r="B1376" s="1831"/>
      <c r="C1376" s="856"/>
      <c r="D1376" s="856" t="s">
        <v>2088</v>
      </c>
      <c r="E1376" s="862" t="s">
        <v>1891</v>
      </c>
      <c r="F1376" s="858">
        <v>2</v>
      </c>
      <c r="G1376" s="859"/>
      <c r="H1376" s="5"/>
      <c r="I1376" s="856"/>
      <c r="J1376" s="860">
        <v>986</v>
      </c>
    </row>
    <row r="1377" spans="1:10" ht="12.75" hidden="1" customHeight="1" outlineLevel="2">
      <c r="A1377" s="1872"/>
      <c r="B1377" s="1831"/>
      <c r="C1377" s="856"/>
      <c r="D1377" s="856" t="s">
        <v>2089</v>
      </c>
      <c r="E1377" s="862" t="s">
        <v>1897</v>
      </c>
      <c r="F1377" s="858">
        <f>2.5/2</f>
        <v>1.25</v>
      </c>
      <c r="G1377" s="859"/>
      <c r="H1377" s="5"/>
      <c r="I1377" s="856"/>
      <c r="J1377" s="860">
        <v>56071</v>
      </c>
    </row>
    <row r="1378" spans="1:10" ht="12.75" hidden="1" customHeight="1" outlineLevel="2">
      <c r="A1378" s="1872"/>
      <c r="B1378" s="1831"/>
      <c r="C1378" s="856"/>
      <c r="D1378" s="856" t="s">
        <v>2090</v>
      </c>
      <c r="E1378" s="862" t="s">
        <v>2091</v>
      </c>
      <c r="F1378" s="858">
        <v>10</v>
      </c>
      <c r="G1378" s="859"/>
      <c r="H1378" s="5"/>
      <c r="I1378" s="856"/>
      <c r="J1378" s="860">
        <v>9418</v>
      </c>
    </row>
    <row r="1379" spans="1:10" ht="12.75" hidden="1" customHeight="1" outlineLevel="2">
      <c r="A1379" s="1872"/>
      <c r="B1379" s="1831"/>
      <c r="C1379" s="856"/>
      <c r="D1379" s="856" t="s">
        <v>2092</v>
      </c>
      <c r="E1379" s="862" t="s">
        <v>1891</v>
      </c>
      <c r="F1379" s="858">
        <v>0.01</v>
      </c>
      <c r="G1379" s="859"/>
      <c r="H1379" s="5"/>
      <c r="I1379" s="856"/>
      <c r="J1379" s="860">
        <v>436</v>
      </c>
    </row>
    <row r="1380" spans="1:10" ht="12.75" hidden="1" customHeight="1" outlineLevel="2">
      <c r="A1380" s="1872"/>
      <c r="B1380" s="1831"/>
      <c r="C1380" s="856"/>
      <c r="D1380" s="856" t="s">
        <v>2093</v>
      </c>
      <c r="E1380" s="862" t="s">
        <v>1891</v>
      </c>
      <c r="F1380" s="858">
        <v>0.01</v>
      </c>
      <c r="G1380" s="859"/>
      <c r="H1380" s="5"/>
      <c r="I1380" s="856"/>
      <c r="J1380" s="860">
        <v>482</v>
      </c>
    </row>
    <row r="1381" spans="1:10" ht="12.75" hidden="1" customHeight="1" outlineLevel="2">
      <c r="A1381" s="1872"/>
      <c r="B1381" s="1831"/>
      <c r="C1381" s="856"/>
      <c r="D1381" s="856" t="s">
        <v>2094</v>
      </c>
      <c r="E1381" s="862" t="s">
        <v>1891</v>
      </c>
      <c r="F1381" s="858">
        <v>1</v>
      </c>
      <c r="G1381" s="859"/>
      <c r="H1381" s="5"/>
      <c r="I1381" s="856"/>
      <c r="J1381" s="860">
        <v>400</v>
      </c>
    </row>
    <row r="1382" spans="1:10" ht="12.75" hidden="1" customHeight="1" outlineLevel="2">
      <c r="A1382" s="1872"/>
      <c r="B1382" s="1831"/>
      <c r="C1382" s="856"/>
      <c r="D1382" s="856" t="s">
        <v>2095</v>
      </c>
      <c r="E1382" s="862" t="s">
        <v>1891</v>
      </c>
      <c r="F1382" s="858">
        <v>1</v>
      </c>
      <c r="G1382" s="859"/>
      <c r="H1382" s="5"/>
      <c r="I1382" s="856"/>
      <c r="J1382" s="860">
        <v>5916</v>
      </c>
    </row>
    <row r="1383" spans="1:10" ht="12.75" hidden="1" customHeight="1" outlineLevel="2">
      <c r="A1383" s="1872"/>
      <c r="B1383" s="1831"/>
      <c r="C1383" s="856"/>
      <c r="D1383" s="856" t="s">
        <v>2096</v>
      </c>
      <c r="E1383" s="862" t="s">
        <v>1891</v>
      </c>
      <c r="F1383" s="858">
        <v>1</v>
      </c>
      <c r="G1383" s="859"/>
      <c r="H1383" s="5"/>
      <c r="I1383" s="856"/>
      <c r="J1383" s="860">
        <v>26</v>
      </c>
    </row>
    <row r="1384" spans="1:10" ht="12.75" hidden="1" customHeight="1" outlineLevel="2">
      <c r="A1384" s="1872"/>
      <c r="B1384" s="1831"/>
      <c r="C1384" s="856"/>
      <c r="D1384" s="856" t="s">
        <v>2097</v>
      </c>
      <c r="E1384" s="862" t="s">
        <v>48</v>
      </c>
      <c r="F1384" s="858">
        <v>3</v>
      </c>
      <c r="G1384" s="859"/>
      <c r="H1384" s="5"/>
      <c r="I1384" s="856"/>
      <c r="J1384" s="860">
        <v>6288</v>
      </c>
    </row>
    <row r="1385" spans="1:10" ht="12.75" hidden="1" customHeight="1" outlineLevel="2">
      <c r="A1385" s="1872"/>
      <c r="B1385" s="1831"/>
      <c r="C1385" s="1842" t="s">
        <v>1488</v>
      </c>
      <c r="D1385" s="1835"/>
      <c r="E1385" s="851" t="s">
        <v>1891</v>
      </c>
      <c r="F1385" s="583">
        <f>'13. Instalaciones Eléctricas'!AC120</f>
        <v>2</v>
      </c>
      <c r="G1385" s="851"/>
      <c r="H1385" s="851"/>
      <c r="I1385" s="851">
        <v>0</v>
      </c>
      <c r="J1385" s="850">
        <f>SUM(J1372:J1384)</f>
        <v>103599</v>
      </c>
    </row>
    <row r="1386" spans="1:10" ht="12.75" hidden="1" customHeight="1" outlineLevel="1" collapsed="1">
      <c r="A1386" s="1872"/>
      <c r="B1386" s="1831"/>
      <c r="C1386" s="1827" t="s">
        <v>47</v>
      </c>
      <c r="D1386" s="1827"/>
      <c r="E1386" s="1827"/>
      <c r="F1386" s="1827"/>
      <c r="G1386" s="1827"/>
      <c r="H1386" s="1827"/>
      <c r="I1386" s="1827"/>
      <c r="J1386" s="773">
        <f>J1385*F1385</f>
        <v>207198</v>
      </c>
    </row>
    <row r="1387" spans="1:10" ht="12.75" hidden="1" customHeight="1" outlineLevel="1">
      <c r="A1387" s="1872"/>
      <c r="B1387" s="1831" t="s">
        <v>1384</v>
      </c>
      <c r="C1387" s="1873" t="s">
        <v>2125</v>
      </c>
      <c r="D1387" s="1873"/>
      <c r="E1387" s="1873"/>
      <c r="F1387" s="1873"/>
      <c r="G1387" s="1873"/>
      <c r="H1387" s="1873"/>
      <c r="I1387" s="1873"/>
      <c r="J1387" s="1873"/>
    </row>
    <row r="1388" spans="1:10" ht="12.75" hidden="1" customHeight="1" outlineLevel="2">
      <c r="A1388" s="1872"/>
      <c r="B1388" s="1831"/>
      <c r="C1388" s="856"/>
      <c r="D1388" s="856" t="s">
        <v>2126</v>
      </c>
      <c r="E1388" s="861" t="s">
        <v>1897</v>
      </c>
      <c r="F1388" s="858">
        <f>9/2</f>
        <v>4.5</v>
      </c>
      <c r="G1388" s="859"/>
      <c r="H1388" s="5"/>
      <c r="I1388" s="856"/>
      <c r="J1388" s="860">
        <v>241788</v>
      </c>
    </row>
    <row r="1389" spans="1:10" ht="12.75" hidden="1" customHeight="1" outlineLevel="2">
      <c r="A1389" s="1872"/>
      <c r="B1389" s="1831"/>
      <c r="C1389" s="856"/>
      <c r="D1389" s="856" t="s">
        <v>2127</v>
      </c>
      <c r="E1389" s="861" t="s">
        <v>2128</v>
      </c>
      <c r="F1389" s="858">
        <v>1.3</v>
      </c>
      <c r="G1389" s="859"/>
      <c r="H1389" s="5"/>
      <c r="I1389" s="856"/>
      <c r="J1389" s="860">
        <v>1170437</v>
      </c>
    </row>
    <row r="1390" spans="1:10" ht="12.75" hidden="1" customHeight="1" outlineLevel="2">
      <c r="A1390" s="1872"/>
      <c r="B1390" s="1831"/>
      <c r="C1390" s="856"/>
      <c r="D1390" s="856" t="s">
        <v>2090</v>
      </c>
      <c r="E1390" s="861" t="s">
        <v>2091</v>
      </c>
      <c r="F1390" s="858">
        <v>10</v>
      </c>
      <c r="G1390" s="859"/>
      <c r="H1390" s="5"/>
      <c r="I1390" s="856"/>
      <c r="J1390" s="860">
        <v>156695</v>
      </c>
    </row>
    <row r="1391" spans="1:10" ht="12.75" hidden="1" customHeight="1" outlineLevel="2">
      <c r="A1391" s="1872"/>
      <c r="B1391" s="1831"/>
      <c r="C1391" s="856"/>
      <c r="D1391" s="856" t="s">
        <v>2129</v>
      </c>
      <c r="E1391" s="861" t="s">
        <v>1891</v>
      </c>
      <c r="F1391" s="858">
        <v>1</v>
      </c>
      <c r="G1391" s="859"/>
      <c r="H1391" s="5"/>
      <c r="I1391" s="856"/>
      <c r="J1391" s="860">
        <v>154721</v>
      </c>
    </row>
    <row r="1392" spans="1:10" ht="12.75" hidden="1" customHeight="1" outlineLevel="2">
      <c r="A1392" s="1872"/>
      <c r="B1392" s="1831"/>
      <c r="C1392" s="1842" t="s">
        <v>1488</v>
      </c>
      <c r="D1392" s="1835"/>
      <c r="E1392" s="851" t="s">
        <v>1891</v>
      </c>
      <c r="F1392" s="583">
        <f>'13. Instalaciones Eléctricas'!AU120</f>
        <v>1</v>
      </c>
      <c r="G1392" s="851"/>
      <c r="H1392" s="851"/>
      <c r="I1392" s="851">
        <v>0</v>
      </c>
      <c r="J1392" s="850">
        <f>SUM(J1388:J1391)</f>
        <v>1723641</v>
      </c>
    </row>
    <row r="1393" spans="1:10" ht="12.75" hidden="1" customHeight="1" outlineLevel="1" collapsed="1">
      <c r="A1393" s="1872"/>
      <c r="B1393" s="1831"/>
      <c r="C1393" s="1827" t="s">
        <v>47</v>
      </c>
      <c r="D1393" s="1827"/>
      <c r="E1393" s="1827"/>
      <c r="F1393" s="1827"/>
      <c r="G1393" s="1827"/>
      <c r="H1393" s="1827"/>
      <c r="I1393" s="1827"/>
      <c r="J1393" s="773">
        <f>J1392*F1392</f>
        <v>1723641</v>
      </c>
    </row>
    <row r="1394" spans="1:10" ht="12.75" hidden="1" customHeight="1" outlineLevel="1">
      <c r="A1394" s="1872"/>
      <c r="B1394" s="1831" t="s">
        <v>1385</v>
      </c>
      <c r="C1394" s="1921" t="s">
        <v>2130</v>
      </c>
      <c r="D1394" s="1921"/>
      <c r="E1394" s="1921"/>
      <c r="F1394" s="1921"/>
      <c r="G1394" s="1921"/>
      <c r="H1394" s="1921"/>
      <c r="I1394" s="1921"/>
      <c r="J1394" s="1921"/>
    </row>
    <row r="1395" spans="1:10" ht="12.75" hidden="1" customHeight="1" outlineLevel="2">
      <c r="A1395" s="1872"/>
      <c r="B1395" s="1831"/>
      <c r="C1395" s="856"/>
      <c r="D1395" s="1059" t="s">
        <v>2487</v>
      </c>
      <c r="E1395" s="1054" t="s">
        <v>1888</v>
      </c>
      <c r="F1395" s="1055">
        <v>1</v>
      </c>
      <c r="G1395" s="1056"/>
      <c r="H1395" s="1056">
        <v>35000</v>
      </c>
      <c r="I1395" s="1057"/>
      <c r="J1395" s="1056">
        <v>35000</v>
      </c>
    </row>
    <row r="1396" spans="1:10" ht="12.75" hidden="1" customHeight="1" outlineLevel="2">
      <c r="A1396" s="1872"/>
      <c r="B1396" s="1831"/>
      <c r="C1396" s="856"/>
      <c r="D1396" s="1059" t="s">
        <v>2488</v>
      </c>
      <c r="E1396" s="1054" t="s">
        <v>1482</v>
      </c>
      <c r="F1396" s="1055">
        <v>0.95996916152692124</v>
      </c>
      <c r="G1396" s="1056"/>
      <c r="H1396" s="1056">
        <v>11998</v>
      </c>
      <c r="I1396" s="1057"/>
      <c r="J1396" s="1056"/>
    </row>
    <row r="1397" spans="1:10" ht="12.75" hidden="1" customHeight="1" outlineLevel="2">
      <c r="A1397" s="1872"/>
      <c r="B1397" s="1831"/>
      <c r="C1397" s="1808" t="s">
        <v>1488</v>
      </c>
      <c r="D1397" s="1808"/>
      <c r="E1397" s="1040" t="s">
        <v>1891</v>
      </c>
      <c r="F1397" s="583">
        <f>'13. Instalaciones Eléctricas'!AU122</f>
        <v>1</v>
      </c>
      <c r="G1397" s="1040"/>
      <c r="H1397" s="1040"/>
      <c r="I1397" s="1040">
        <v>0</v>
      </c>
      <c r="J1397" s="1039">
        <f>SUM(J1395:J1396)</f>
        <v>35000</v>
      </c>
    </row>
    <row r="1398" spans="1:10" ht="12.75" hidden="1" customHeight="1" outlineLevel="1" collapsed="1">
      <c r="A1398" s="1872"/>
      <c r="B1398" s="1831"/>
      <c r="C1398" s="1827" t="s">
        <v>47</v>
      </c>
      <c r="D1398" s="1827"/>
      <c r="E1398" s="1827"/>
      <c r="F1398" s="1827"/>
      <c r="G1398" s="1827"/>
      <c r="H1398" s="1827"/>
      <c r="I1398" s="1827"/>
      <c r="J1398" s="773">
        <f>J1397*F1397</f>
        <v>35000</v>
      </c>
    </row>
    <row r="1399" spans="1:10" ht="12.75" hidden="1" customHeight="1" outlineLevel="1">
      <c r="A1399" s="1872"/>
      <c r="B1399" s="1831" t="s">
        <v>2539</v>
      </c>
      <c r="C1399" s="1873" t="s">
        <v>2131</v>
      </c>
      <c r="D1399" s="1873"/>
      <c r="E1399" s="1873"/>
      <c r="F1399" s="1873"/>
      <c r="G1399" s="1873"/>
      <c r="H1399" s="1873"/>
      <c r="I1399" s="1873"/>
      <c r="J1399" s="1873"/>
    </row>
    <row r="1400" spans="1:10" ht="12.75" hidden="1" customHeight="1" outlineLevel="2">
      <c r="A1400" s="1872"/>
      <c r="B1400" s="1831"/>
      <c r="C1400" s="856"/>
      <c r="D1400" s="856" t="s">
        <v>2493</v>
      </c>
      <c r="E1400" s="861" t="s">
        <v>1891</v>
      </c>
      <c r="F1400" s="858">
        <v>4.8</v>
      </c>
      <c r="G1400" s="859"/>
      <c r="H1400" s="5"/>
      <c r="I1400" s="856"/>
      <c r="J1400" s="860">
        <v>83578</v>
      </c>
    </row>
    <row r="1401" spans="1:10" ht="12.75" hidden="1" customHeight="1" outlineLevel="2">
      <c r="A1401" s="1872"/>
      <c r="B1401" s="1831"/>
      <c r="C1401" s="856"/>
      <c r="D1401" s="856" t="s">
        <v>2494</v>
      </c>
      <c r="E1401" s="861" t="s">
        <v>49</v>
      </c>
      <c r="F1401" s="858">
        <v>0.03</v>
      </c>
      <c r="G1401" s="859"/>
      <c r="H1401" s="5"/>
      <c r="I1401" s="856"/>
      <c r="J1401" s="860">
        <v>1385</v>
      </c>
    </row>
    <row r="1402" spans="1:10" ht="12.75" hidden="1" customHeight="1" outlineLevel="2">
      <c r="A1402" s="1872"/>
      <c r="B1402" s="1831"/>
      <c r="C1402" s="856"/>
      <c r="D1402" s="856" t="s">
        <v>2495</v>
      </c>
      <c r="E1402" s="861" t="s">
        <v>49</v>
      </c>
      <c r="F1402" s="858">
        <v>0.03</v>
      </c>
      <c r="G1402" s="859"/>
      <c r="H1402" s="5"/>
      <c r="I1402" s="856"/>
      <c r="J1402" s="860">
        <v>1149</v>
      </c>
    </row>
    <row r="1403" spans="1:10" ht="12.75" hidden="1" customHeight="1" outlineLevel="2">
      <c r="A1403" s="1872"/>
      <c r="B1403" s="1831"/>
      <c r="C1403" s="856"/>
      <c r="D1403" s="856" t="s">
        <v>2496</v>
      </c>
      <c r="E1403" s="861" t="s">
        <v>49</v>
      </c>
      <c r="F1403" s="858">
        <v>0.72</v>
      </c>
      <c r="G1403" s="859"/>
      <c r="H1403" s="5"/>
      <c r="I1403" s="856"/>
      <c r="J1403" s="860">
        <v>230593</v>
      </c>
    </row>
    <row r="1404" spans="1:10" ht="12.75" hidden="1" customHeight="1" outlineLevel="2">
      <c r="A1404" s="1872"/>
      <c r="B1404" s="1831"/>
      <c r="C1404" s="856"/>
      <c r="D1404" s="856" t="s">
        <v>2089</v>
      </c>
      <c r="E1404" s="862" t="s">
        <v>1897</v>
      </c>
      <c r="F1404" s="858">
        <f>4/2</f>
        <v>2</v>
      </c>
      <c r="G1404" s="859"/>
      <c r="H1404" s="5"/>
      <c r="I1404" s="856"/>
      <c r="J1404" s="860">
        <v>89713</v>
      </c>
    </row>
    <row r="1405" spans="1:10" ht="12.75" hidden="1" customHeight="1" outlineLevel="2">
      <c r="A1405" s="1872"/>
      <c r="B1405" s="1831"/>
      <c r="C1405" s="856"/>
      <c r="D1405" s="856" t="s">
        <v>2090</v>
      </c>
      <c r="E1405" s="862" t="s">
        <v>2091</v>
      </c>
      <c r="F1405" s="858">
        <v>10</v>
      </c>
      <c r="G1405" s="859"/>
      <c r="H1405" s="5"/>
      <c r="I1405" s="856"/>
      <c r="J1405" s="860">
        <v>52577</v>
      </c>
    </row>
    <row r="1406" spans="1:10" ht="12.75" hidden="1" customHeight="1" outlineLevel="2">
      <c r="A1406" s="1872"/>
      <c r="B1406" s="1831"/>
      <c r="C1406" s="856"/>
      <c r="D1406" s="856" t="s">
        <v>2497</v>
      </c>
      <c r="E1406" s="862" t="s">
        <v>55</v>
      </c>
      <c r="F1406" s="858">
        <v>1.08</v>
      </c>
      <c r="G1406" s="859"/>
      <c r="H1406" s="5"/>
      <c r="I1406" s="856"/>
      <c r="J1406" s="860">
        <v>70098</v>
      </c>
    </row>
    <row r="1407" spans="1:10" ht="12.75" hidden="1" customHeight="1" outlineLevel="2">
      <c r="A1407" s="1872"/>
      <c r="B1407" s="1831"/>
      <c r="C1407" s="856"/>
      <c r="D1407" s="856" t="s">
        <v>2498</v>
      </c>
      <c r="E1407" s="862" t="s">
        <v>55</v>
      </c>
      <c r="F1407" s="858">
        <v>0.36</v>
      </c>
      <c r="G1407" s="859"/>
      <c r="H1407" s="5"/>
      <c r="I1407" s="856"/>
      <c r="J1407" s="860">
        <v>49258</v>
      </c>
    </row>
    <row r="1408" spans="1:10" ht="12.75" hidden="1" customHeight="1" outlineLevel="2">
      <c r="A1408" s="1872"/>
      <c r="B1408" s="1831"/>
      <c r="C1408" s="1842" t="s">
        <v>1488</v>
      </c>
      <c r="D1408" s="1835"/>
      <c r="E1408" s="851" t="s">
        <v>1891</v>
      </c>
      <c r="F1408" s="583">
        <f>'13. Instalaciones Eléctricas'!AU124</f>
        <v>7</v>
      </c>
      <c r="G1408" s="851"/>
      <c r="H1408" s="851"/>
      <c r="I1408" s="851">
        <v>0</v>
      </c>
      <c r="J1408" s="850">
        <f>SUM(J1400:J1407)</f>
        <v>578351</v>
      </c>
    </row>
    <row r="1409" spans="1:10" ht="12.75" hidden="1" customHeight="1" outlineLevel="1" collapsed="1">
      <c r="A1409" s="1872"/>
      <c r="B1409" s="1831"/>
      <c r="C1409" s="1827" t="s">
        <v>47</v>
      </c>
      <c r="D1409" s="1827"/>
      <c r="E1409" s="1827"/>
      <c r="F1409" s="1827"/>
      <c r="G1409" s="1827"/>
      <c r="H1409" s="1827"/>
      <c r="I1409" s="1827"/>
      <c r="J1409" s="773">
        <f>J1408*F1408</f>
        <v>4048457</v>
      </c>
    </row>
    <row r="1410" spans="1:10" ht="12.75" hidden="1" customHeight="1" outlineLevel="1">
      <c r="A1410" s="1872"/>
      <c r="B1410" s="1831" t="s">
        <v>2540</v>
      </c>
      <c r="C1410" s="1747" t="s">
        <v>2132</v>
      </c>
      <c r="D1410" s="1747"/>
      <c r="E1410" s="1747"/>
      <c r="F1410" s="1747"/>
      <c r="G1410" s="1747"/>
      <c r="H1410" s="1747"/>
      <c r="I1410" s="1747"/>
      <c r="J1410" s="1747"/>
    </row>
    <row r="1411" spans="1:10" ht="12.75" hidden="1" customHeight="1" outlineLevel="2">
      <c r="A1411" s="1872"/>
      <c r="B1411" s="1831"/>
      <c r="C1411" s="856"/>
      <c r="D1411" s="856" t="s">
        <v>2506</v>
      </c>
      <c r="E1411" s="861" t="s">
        <v>1891</v>
      </c>
      <c r="F1411" s="858">
        <v>1</v>
      </c>
      <c r="G1411" s="859"/>
      <c r="H1411" s="5"/>
      <c r="I1411" s="856"/>
      <c r="J1411" s="860">
        <v>350000</v>
      </c>
    </row>
    <row r="1412" spans="1:10" ht="12.75" hidden="1" customHeight="1" outlineLevel="2">
      <c r="A1412" s="1872"/>
      <c r="B1412" s="1831"/>
      <c r="C1412" s="856"/>
      <c r="D1412" s="856" t="s">
        <v>2089</v>
      </c>
      <c r="E1412" s="862" t="s">
        <v>1897</v>
      </c>
      <c r="F1412" s="858">
        <f>2.5/2</f>
        <v>1.25</v>
      </c>
      <c r="G1412" s="859"/>
      <c r="H1412" s="5"/>
      <c r="I1412" s="856"/>
      <c r="J1412" s="860">
        <v>56071</v>
      </c>
    </row>
    <row r="1413" spans="1:10" ht="12.75" hidden="1" customHeight="1" outlineLevel="2">
      <c r="A1413" s="1872"/>
      <c r="B1413" s="1831"/>
      <c r="C1413" s="1842" t="s">
        <v>1488</v>
      </c>
      <c r="D1413" s="1835"/>
      <c r="E1413" s="851" t="s">
        <v>1891</v>
      </c>
      <c r="F1413" s="583">
        <f>'13. Instalaciones Eléctricas'!BA120</f>
        <v>5</v>
      </c>
      <c r="G1413" s="851"/>
      <c r="H1413" s="851"/>
      <c r="I1413" s="851">
        <v>0</v>
      </c>
      <c r="J1413" s="850">
        <f>SUM(J1411:J1412)</f>
        <v>406071</v>
      </c>
    </row>
    <row r="1414" spans="1:10" ht="12.75" hidden="1" customHeight="1" outlineLevel="1" collapsed="1">
      <c r="A1414" s="1872"/>
      <c r="B1414" s="1831"/>
      <c r="C1414" s="1827" t="s">
        <v>47</v>
      </c>
      <c r="D1414" s="1827"/>
      <c r="E1414" s="1827"/>
      <c r="F1414" s="1827"/>
      <c r="G1414" s="1827"/>
      <c r="H1414" s="1827"/>
      <c r="I1414" s="1827"/>
      <c r="J1414" s="773">
        <f>J1413*F1413</f>
        <v>2030355</v>
      </c>
    </row>
    <row r="1415" spans="1:10" ht="12.75" hidden="1" customHeight="1" outlineLevel="1">
      <c r="A1415" s="1872"/>
      <c r="B1415" s="1831" t="s">
        <v>2541</v>
      </c>
      <c r="C1415" s="1873" t="s">
        <v>2133</v>
      </c>
      <c r="D1415" s="1873"/>
      <c r="E1415" s="1873"/>
      <c r="F1415" s="1873"/>
      <c r="G1415" s="1873"/>
      <c r="H1415" s="1873"/>
      <c r="I1415" s="1873"/>
      <c r="J1415" s="1873"/>
    </row>
    <row r="1416" spans="1:10" ht="12.75" hidden="1" customHeight="1" outlineLevel="2">
      <c r="A1416" s="1872"/>
      <c r="B1416" s="1831"/>
      <c r="C1416" s="856"/>
      <c r="D1416" s="856" t="s">
        <v>2134</v>
      </c>
      <c r="E1416" s="861" t="s">
        <v>1891</v>
      </c>
      <c r="F1416" s="858">
        <v>9</v>
      </c>
      <c r="G1416" s="859"/>
      <c r="H1416" s="5"/>
      <c r="I1416" s="856"/>
      <c r="J1416" s="860">
        <v>110664</v>
      </c>
    </row>
    <row r="1417" spans="1:10" ht="12.75" hidden="1" customHeight="1" outlineLevel="2">
      <c r="A1417" s="1872"/>
      <c r="B1417" s="1831"/>
      <c r="C1417" s="856"/>
      <c r="D1417" s="856" t="s">
        <v>2135</v>
      </c>
      <c r="E1417" s="861" t="s">
        <v>48</v>
      </c>
      <c r="F1417" s="858">
        <v>6</v>
      </c>
      <c r="G1417" s="859"/>
      <c r="H1417" s="5"/>
      <c r="I1417" s="856"/>
      <c r="J1417" s="860">
        <v>453006</v>
      </c>
    </row>
    <row r="1418" spans="1:10" ht="12.75" hidden="1" customHeight="1" outlineLevel="2">
      <c r="A1418" s="1872"/>
      <c r="B1418" s="1831"/>
      <c r="C1418" s="856"/>
      <c r="D1418" s="856" t="s">
        <v>2136</v>
      </c>
      <c r="E1418" s="861" t="s">
        <v>1891</v>
      </c>
      <c r="F1418" s="858">
        <v>3</v>
      </c>
      <c r="G1418" s="859"/>
      <c r="H1418" s="5"/>
      <c r="I1418" s="856"/>
      <c r="J1418" s="860">
        <v>296844</v>
      </c>
    </row>
    <row r="1419" spans="1:10" ht="12.75" hidden="1" customHeight="1" outlineLevel="2">
      <c r="A1419" s="1872"/>
      <c r="B1419" s="1831"/>
      <c r="C1419" s="856"/>
      <c r="D1419" s="856" t="s">
        <v>2137</v>
      </c>
      <c r="E1419" s="861" t="s">
        <v>1891</v>
      </c>
      <c r="F1419" s="858">
        <v>3</v>
      </c>
      <c r="G1419" s="859"/>
      <c r="H1419" s="5"/>
      <c r="I1419" s="856"/>
      <c r="J1419" s="860">
        <v>2250360</v>
      </c>
    </row>
    <row r="1420" spans="1:10" ht="12.75" hidden="1" customHeight="1" outlineLevel="2">
      <c r="A1420" s="1872"/>
      <c r="B1420" s="1831"/>
      <c r="C1420" s="856"/>
      <c r="D1420" s="856" t="s">
        <v>2138</v>
      </c>
      <c r="E1420" s="862" t="s">
        <v>1891</v>
      </c>
      <c r="F1420" s="858">
        <v>3</v>
      </c>
      <c r="G1420" s="859"/>
      <c r="H1420" s="5"/>
      <c r="I1420" s="856"/>
      <c r="J1420" s="860">
        <v>838533</v>
      </c>
    </row>
    <row r="1421" spans="1:10" ht="12.75" hidden="1" customHeight="1" outlineLevel="2">
      <c r="A1421" s="1872"/>
      <c r="B1421" s="1831"/>
      <c r="C1421" s="856"/>
      <c r="D1421" s="856" t="s">
        <v>2139</v>
      </c>
      <c r="E1421" s="862" t="s">
        <v>1897</v>
      </c>
      <c r="F1421" s="858">
        <f>10/2</f>
        <v>5</v>
      </c>
      <c r="G1421" s="859"/>
      <c r="H1421" s="5"/>
      <c r="I1421" s="856"/>
      <c r="J1421" s="860">
        <v>206580</v>
      </c>
    </row>
    <row r="1422" spans="1:10" ht="12.75" hidden="1" customHeight="1" outlineLevel="2">
      <c r="A1422" s="1872"/>
      <c r="B1422" s="1831"/>
      <c r="C1422" s="856"/>
      <c r="D1422" s="856" t="s">
        <v>2140</v>
      </c>
      <c r="E1422" s="862" t="s">
        <v>1891</v>
      </c>
      <c r="F1422" s="858">
        <v>8</v>
      </c>
      <c r="G1422" s="859"/>
      <c r="H1422" s="5"/>
      <c r="I1422" s="856"/>
      <c r="J1422" s="860">
        <v>34800</v>
      </c>
    </row>
    <row r="1423" spans="1:10" ht="12.75" hidden="1" customHeight="1" outlineLevel="2">
      <c r="A1423" s="1872"/>
      <c r="B1423" s="1831"/>
      <c r="C1423" s="856"/>
      <c r="D1423" s="856" t="s">
        <v>2141</v>
      </c>
      <c r="E1423" s="862" t="s">
        <v>48</v>
      </c>
      <c r="F1423" s="858">
        <v>3</v>
      </c>
      <c r="G1423" s="859"/>
      <c r="H1423" s="5"/>
      <c r="I1423" s="856"/>
      <c r="J1423" s="860">
        <v>119823</v>
      </c>
    </row>
    <row r="1424" spans="1:10" ht="12.75" hidden="1" customHeight="1" outlineLevel="2">
      <c r="A1424" s="1872"/>
      <c r="B1424" s="1831"/>
      <c r="C1424" s="856"/>
      <c r="D1424" s="856" t="s">
        <v>2142</v>
      </c>
      <c r="E1424" s="862" t="s">
        <v>1891</v>
      </c>
      <c r="F1424" s="858">
        <v>9</v>
      </c>
      <c r="G1424" s="859"/>
      <c r="H1424" s="5"/>
      <c r="I1424" s="856"/>
      <c r="J1424" s="860">
        <v>69462</v>
      </c>
    </row>
    <row r="1425" spans="1:10" ht="12.75" hidden="1" customHeight="1" outlineLevel="2">
      <c r="A1425" s="1872"/>
      <c r="B1425" s="1831"/>
      <c r="C1425" s="856"/>
      <c r="D1425" s="856" t="s">
        <v>2143</v>
      </c>
      <c r="E1425" s="862" t="s">
        <v>1891</v>
      </c>
      <c r="F1425" s="858">
        <v>3</v>
      </c>
      <c r="G1425" s="859"/>
      <c r="H1425" s="5"/>
      <c r="I1425" s="856"/>
      <c r="J1425" s="860">
        <v>128622</v>
      </c>
    </row>
    <row r="1426" spans="1:10" ht="12.75" hidden="1" customHeight="1" outlineLevel="2">
      <c r="A1426" s="1872"/>
      <c r="B1426" s="1831"/>
      <c r="C1426" s="1842" t="s">
        <v>1488</v>
      </c>
      <c r="D1426" s="1835"/>
      <c r="E1426" s="851" t="s">
        <v>1891</v>
      </c>
      <c r="F1426" s="583">
        <f>'13. Instalaciones Eléctricas'!AO121</f>
        <v>1</v>
      </c>
      <c r="G1426" s="851"/>
      <c r="H1426" s="851"/>
      <c r="I1426" s="851">
        <v>0</v>
      </c>
      <c r="J1426" s="850">
        <f>SUM(J1416:J1425)</f>
        <v>4508694</v>
      </c>
    </row>
    <row r="1427" spans="1:10" ht="12.75" hidden="1" customHeight="1" outlineLevel="1" collapsed="1">
      <c r="A1427" s="1872"/>
      <c r="B1427" s="1831"/>
      <c r="C1427" s="1827" t="s">
        <v>47</v>
      </c>
      <c r="D1427" s="1827"/>
      <c r="E1427" s="1827"/>
      <c r="F1427" s="1827"/>
      <c r="G1427" s="1827"/>
      <c r="H1427" s="1827"/>
      <c r="I1427" s="1827"/>
      <c r="J1427" s="773">
        <f>J1426*F1426</f>
        <v>4508694</v>
      </c>
    </row>
    <row r="1428" spans="1:10" collapsed="1">
      <c r="A1428" s="1844">
        <v>17</v>
      </c>
      <c r="B1428" s="1844"/>
      <c r="C1428" s="1844" t="s">
        <v>1312</v>
      </c>
      <c r="D1428" s="1844"/>
      <c r="E1428" s="1844"/>
      <c r="F1428" s="1844"/>
      <c r="G1428" s="1844"/>
      <c r="H1428" s="1844"/>
      <c r="I1428" s="1844"/>
      <c r="J1428" s="1844"/>
    </row>
    <row r="1429" spans="1:10" ht="12.75" hidden="1" customHeight="1" outlineLevel="1">
      <c r="A1429" s="1864" t="s">
        <v>2348</v>
      </c>
      <c r="B1429" s="1882">
        <v>17.100000000000001</v>
      </c>
      <c r="C1429" s="1808" t="s">
        <v>1293</v>
      </c>
      <c r="D1429" s="1808"/>
      <c r="E1429" s="1808"/>
      <c r="F1429" s="1808"/>
      <c r="G1429" s="1808" t="s">
        <v>1293</v>
      </c>
      <c r="H1429" s="1808"/>
      <c r="I1429" s="1808"/>
      <c r="J1429" s="1808"/>
    </row>
    <row r="1430" spans="1:10" ht="12.75" hidden="1" customHeight="1" outlineLevel="2">
      <c r="A1430" s="1864"/>
      <c r="B1430" s="1882"/>
      <c r="C1430" s="5" t="s">
        <v>2349</v>
      </c>
      <c r="D1430" s="5" t="s">
        <v>2350</v>
      </c>
      <c r="E1430" s="5" t="s">
        <v>48</v>
      </c>
      <c r="F1430" s="5">
        <v>1</v>
      </c>
      <c r="G1430" s="5">
        <v>5</v>
      </c>
      <c r="H1430" s="5">
        <v>10701.72</v>
      </c>
      <c r="I1430" s="5">
        <v>0</v>
      </c>
      <c r="J1430" s="5">
        <f>(F1430*(1+G1430/100)) * (H1430*(1+I1430/100))</f>
        <v>11236.806</v>
      </c>
    </row>
    <row r="1431" spans="1:10" ht="12.75" hidden="1" customHeight="1" outlineLevel="2">
      <c r="A1431" s="1864"/>
      <c r="B1431" s="1882"/>
      <c r="C1431" s="5" t="s">
        <v>1761</v>
      </c>
      <c r="D1431" s="5" t="s">
        <v>1762</v>
      </c>
      <c r="E1431" s="5" t="s">
        <v>1763</v>
      </c>
      <c r="F1431" s="5">
        <v>2E-3</v>
      </c>
      <c r="G1431" s="5">
        <v>5</v>
      </c>
      <c r="H1431" s="5">
        <v>87162.48000000001</v>
      </c>
      <c r="I1431" s="5">
        <v>0</v>
      </c>
      <c r="J1431" s="5">
        <f>(F1431*(1+G1431/100)) * (H1431*(1+I1431/100))</f>
        <v>183.04120800000004</v>
      </c>
    </row>
    <row r="1432" spans="1:10" ht="12.75" hidden="1" customHeight="1" outlineLevel="2">
      <c r="A1432" s="1864"/>
      <c r="B1432" s="1882"/>
      <c r="C1432" s="5" t="s">
        <v>1764</v>
      </c>
      <c r="D1432" s="5" t="s">
        <v>1765</v>
      </c>
      <c r="E1432" s="5" t="s">
        <v>1492</v>
      </c>
      <c r="F1432" s="5">
        <v>2E-3</v>
      </c>
      <c r="G1432" s="5">
        <v>5</v>
      </c>
      <c r="H1432" s="5">
        <v>42064.92</v>
      </c>
      <c r="I1432" s="5">
        <v>0</v>
      </c>
      <c r="J1432" s="5">
        <f>(F1432*(1+G1432/100)) * (H1432*(1+I1432/100))</f>
        <v>88.336332000000013</v>
      </c>
    </row>
    <row r="1433" spans="1:10" ht="12.75" hidden="1" customHeight="1" outlineLevel="2">
      <c r="A1433" s="1864"/>
      <c r="B1433" s="1882"/>
      <c r="C1433" s="5" t="s">
        <v>1510</v>
      </c>
      <c r="D1433" s="5" t="s">
        <v>1511</v>
      </c>
      <c r="E1433" s="5" t="s">
        <v>1482</v>
      </c>
      <c r="F1433" s="5">
        <v>0.12</v>
      </c>
      <c r="G1433" s="5">
        <v>0</v>
      </c>
      <c r="H1433" s="5">
        <v>5527.21</v>
      </c>
      <c r="I1433" s="5">
        <v>0</v>
      </c>
      <c r="J1433" s="5">
        <f>(F1433*(1+G1433/100)) * (H1433*(1+I1433/100))</f>
        <v>663.26519999999994</v>
      </c>
    </row>
    <row r="1434" spans="1:10" ht="12.75" hidden="1" customHeight="1" outlineLevel="2">
      <c r="A1434" s="1864"/>
      <c r="B1434" s="1882"/>
      <c r="C1434" s="5" t="s">
        <v>1747</v>
      </c>
      <c r="D1434" s="5" t="s">
        <v>1748</v>
      </c>
      <c r="E1434" s="5" t="s">
        <v>1482</v>
      </c>
      <c r="F1434" s="5">
        <v>0.15</v>
      </c>
      <c r="G1434" s="5">
        <v>0</v>
      </c>
      <c r="H1434" s="5">
        <v>7237.76</v>
      </c>
      <c r="I1434" s="5">
        <v>0</v>
      </c>
      <c r="J1434" s="5">
        <f>(F1434*(1+G1434/100)) * (H1434*(1+I1434/100))</f>
        <v>1085.664</v>
      </c>
    </row>
    <row r="1435" spans="1:10" ht="12.75" hidden="1" customHeight="1" outlineLevel="2">
      <c r="A1435" s="1864"/>
      <c r="B1435" s="1882"/>
      <c r="C1435" s="5"/>
      <c r="D1435" s="5"/>
      <c r="E1435" s="5"/>
      <c r="F1435" s="5"/>
      <c r="G1435" s="5">
        <v>5</v>
      </c>
      <c r="H1435" s="5" t="s">
        <v>1514</v>
      </c>
      <c r="I1435" s="5"/>
      <c r="J1435" s="5">
        <v>87.45</v>
      </c>
    </row>
    <row r="1436" spans="1:10" ht="12.75" hidden="1" customHeight="1" outlineLevel="2">
      <c r="A1436" s="1864"/>
      <c r="B1436" s="1882"/>
      <c r="C1436" s="1808" t="s">
        <v>1488</v>
      </c>
      <c r="D1436" s="1808"/>
      <c r="E1436" s="942" t="s">
        <v>285</v>
      </c>
      <c r="F1436" s="583">
        <f>'14. Inst. Hidro-Sanitarias'!E51</f>
        <v>10</v>
      </c>
      <c r="G1436" s="942"/>
      <c r="H1436" s="942"/>
      <c r="I1436" s="942">
        <v>0</v>
      </c>
      <c r="J1436" s="943">
        <f>SUM(J1430:J1435)</f>
        <v>13344.562740000003</v>
      </c>
    </row>
    <row r="1437" spans="1:10" ht="12.75" hidden="1" customHeight="1" outlineLevel="1" collapsed="1">
      <c r="A1437" s="1864"/>
      <c r="B1437" s="1882"/>
      <c r="C1437" s="1827" t="s">
        <v>47</v>
      </c>
      <c r="D1437" s="1827"/>
      <c r="E1437" s="1827"/>
      <c r="F1437" s="1827"/>
      <c r="G1437" s="1827"/>
      <c r="H1437" s="1827"/>
      <c r="I1437" s="1827"/>
      <c r="J1437" s="773">
        <f>J1436*F1436</f>
        <v>133445.62740000003</v>
      </c>
    </row>
    <row r="1438" spans="1:10" ht="12.75" hidden="1" customHeight="1" outlineLevel="1">
      <c r="A1438" s="1864">
        <v>112010</v>
      </c>
      <c r="B1438" s="1829">
        <v>17.2</v>
      </c>
      <c r="C1438" s="1808" t="s">
        <v>1294</v>
      </c>
      <c r="D1438" s="1808"/>
      <c r="E1438" s="1808"/>
      <c r="F1438" s="1808"/>
      <c r="G1438" s="1808" t="s">
        <v>1294</v>
      </c>
      <c r="H1438" s="1808"/>
      <c r="I1438" s="1808"/>
      <c r="J1438" s="1808"/>
    </row>
    <row r="1439" spans="1:10" ht="12.75" hidden="1" customHeight="1" outlineLevel="2">
      <c r="A1439" s="1864"/>
      <c r="B1439" s="1829"/>
      <c r="C1439" s="5" t="s">
        <v>2351</v>
      </c>
      <c r="D1439" s="5" t="s">
        <v>2352</v>
      </c>
      <c r="E1439" s="5" t="s">
        <v>48</v>
      </c>
      <c r="F1439" s="5">
        <v>1</v>
      </c>
      <c r="G1439" s="5">
        <v>5</v>
      </c>
      <c r="H1439" s="5">
        <v>15984</v>
      </c>
      <c r="I1439" s="5">
        <v>0</v>
      </c>
      <c r="J1439" s="5">
        <f t="shared" ref="J1439:J1446" si="24">(F1439*(1+G1439/100)) * (H1439*(1+I1439/100))</f>
        <v>16783.2</v>
      </c>
    </row>
    <row r="1440" spans="1:10" ht="12.75" hidden="1" customHeight="1" outlineLevel="2">
      <c r="A1440" s="1864"/>
      <c r="B1440" s="1829"/>
      <c r="C1440" s="5" t="s">
        <v>2353</v>
      </c>
      <c r="D1440" s="5" t="s">
        <v>2354</v>
      </c>
      <c r="E1440" s="5" t="s">
        <v>1492</v>
      </c>
      <c r="F1440" s="5">
        <v>0.25</v>
      </c>
      <c r="G1440" s="5">
        <v>0</v>
      </c>
      <c r="H1440" s="5">
        <v>6671.1600000000008</v>
      </c>
      <c r="I1440" s="5">
        <v>0</v>
      </c>
      <c r="J1440" s="5">
        <f t="shared" si="24"/>
        <v>1667.7900000000002</v>
      </c>
    </row>
    <row r="1441" spans="1:10" ht="12.75" hidden="1" customHeight="1" outlineLevel="2">
      <c r="A1441" s="1864"/>
      <c r="B1441" s="1829"/>
      <c r="C1441" s="5" t="s">
        <v>2355</v>
      </c>
      <c r="D1441" s="5" t="s">
        <v>2356</v>
      </c>
      <c r="E1441" s="5" t="s">
        <v>1492</v>
      </c>
      <c r="F1441" s="5">
        <v>0.25</v>
      </c>
      <c r="G1441" s="5">
        <v>0</v>
      </c>
      <c r="H1441" s="5">
        <v>7371</v>
      </c>
      <c r="I1441" s="5">
        <v>0</v>
      </c>
      <c r="J1441" s="5">
        <f t="shared" si="24"/>
        <v>1842.75</v>
      </c>
    </row>
    <row r="1442" spans="1:10" ht="12.75" hidden="1" customHeight="1" outlineLevel="2">
      <c r="A1442" s="1864"/>
      <c r="B1442" s="1829"/>
      <c r="C1442" s="5" t="s">
        <v>1761</v>
      </c>
      <c r="D1442" s="5" t="s">
        <v>1762</v>
      </c>
      <c r="E1442" s="5" t="s">
        <v>1763</v>
      </c>
      <c r="F1442" s="5">
        <v>2E-3</v>
      </c>
      <c r="G1442" s="5">
        <v>5</v>
      </c>
      <c r="H1442" s="5">
        <v>87162.48000000001</v>
      </c>
      <c r="I1442" s="5">
        <v>0</v>
      </c>
      <c r="J1442" s="5">
        <f t="shared" si="24"/>
        <v>183.04120800000004</v>
      </c>
    </row>
    <row r="1443" spans="1:10" ht="12.75" hidden="1" customHeight="1" outlineLevel="2">
      <c r="A1443" s="1864"/>
      <c r="B1443" s="1829"/>
      <c r="C1443" s="5" t="s">
        <v>1764</v>
      </c>
      <c r="D1443" s="5" t="s">
        <v>1765</v>
      </c>
      <c r="E1443" s="5" t="s">
        <v>1492</v>
      </c>
      <c r="F1443" s="5">
        <v>2E-3</v>
      </c>
      <c r="G1443" s="5">
        <v>5</v>
      </c>
      <c r="H1443" s="5">
        <v>42064.92</v>
      </c>
      <c r="I1443" s="5">
        <v>0</v>
      </c>
      <c r="J1443" s="5">
        <f t="shared" si="24"/>
        <v>88.336332000000013</v>
      </c>
    </row>
    <row r="1444" spans="1:10" ht="12.75" hidden="1" customHeight="1" outlineLevel="2">
      <c r="A1444" s="1864"/>
      <c r="B1444" s="1829"/>
      <c r="C1444" s="5" t="s">
        <v>2357</v>
      </c>
      <c r="D1444" s="5" t="s">
        <v>2358</v>
      </c>
      <c r="E1444" s="5" t="s">
        <v>1492</v>
      </c>
      <c r="F1444" s="5">
        <v>0.2</v>
      </c>
      <c r="G1444" s="5">
        <v>0</v>
      </c>
      <c r="H1444" s="5">
        <v>3351.2400000000002</v>
      </c>
      <c r="I1444" s="5">
        <v>0</v>
      </c>
      <c r="J1444" s="5">
        <f t="shared" si="24"/>
        <v>670.24800000000005</v>
      </c>
    </row>
    <row r="1445" spans="1:10" ht="12.75" hidden="1" customHeight="1" outlineLevel="2">
      <c r="A1445" s="1864"/>
      <c r="B1445" s="1829"/>
      <c r="C1445" s="5" t="s">
        <v>1510</v>
      </c>
      <c r="D1445" s="5" t="s">
        <v>1511</v>
      </c>
      <c r="E1445" s="5" t="s">
        <v>1482</v>
      </c>
      <c r="F1445" s="5">
        <v>0.12</v>
      </c>
      <c r="G1445" s="5">
        <v>0</v>
      </c>
      <c r="H1445" s="5">
        <v>5527.21</v>
      </c>
      <c r="I1445" s="5">
        <v>0</v>
      </c>
      <c r="J1445" s="5">
        <f t="shared" si="24"/>
        <v>663.26519999999994</v>
      </c>
    </row>
    <row r="1446" spans="1:10" ht="12.75" hidden="1" customHeight="1" outlineLevel="2">
      <c r="A1446" s="1864"/>
      <c r="B1446" s="1829"/>
      <c r="C1446" s="5" t="s">
        <v>1747</v>
      </c>
      <c r="D1446" s="5" t="s">
        <v>1748</v>
      </c>
      <c r="E1446" s="5" t="s">
        <v>1482</v>
      </c>
      <c r="F1446" s="5">
        <v>0.15</v>
      </c>
      <c r="G1446" s="5">
        <v>0</v>
      </c>
      <c r="H1446" s="5">
        <v>7237.76</v>
      </c>
      <c r="I1446" s="5">
        <v>0</v>
      </c>
      <c r="J1446" s="5">
        <f t="shared" si="24"/>
        <v>1085.664</v>
      </c>
    </row>
    <row r="1447" spans="1:10" ht="12.75" hidden="1" customHeight="1" outlineLevel="2">
      <c r="A1447" s="1864"/>
      <c r="B1447" s="1829"/>
      <c r="C1447" s="5"/>
      <c r="D1447" s="5"/>
      <c r="E1447" s="5"/>
      <c r="F1447" s="5"/>
      <c r="G1447" s="5">
        <v>5</v>
      </c>
      <c r="H1447" s="5" t="s">
        <v>1514</v>
      </c>
      <c r="I1447" s="5"/>
      <c r="J1447" s="5">
        <v>87.45</v>
      </c>
    </row>
    <row r="1448" spans="1:10" ht="12.75" hidden="1" customHeight="1" outlineLevel="2">
      <c r="A1448" s="1864"/>
      <c r="B1448" s="1829"/>
      <c r="C1448" s="1808" t="s">
        <v>1488</v>
      </c>
      <c r="D1448" s="1808"/>
      <c r="E1448" s="942" t="s">
        <v>285</v>
      </c>
      <c r="F1448" s="583">
        <f>'14. Inst. Hidro-Sanitarias'!E52</f>
        <v>202</v>
      </c>
      <c r="G1448" s="942"/>
      <c r="H1448" s="942"/>
      <c r="I1448" s="942">
        <v>0</v>
      </c>
      <c r="J1448" s="943">
        <f>SUM(J1439:J1447)</f>
        <v>23071.744740000002</v>
      </c>
    </row>
    <row r="1449" spans="1:10" ht="12.75" hidden="1" customHeight="1" outlineLevel="1" collapsed="1">
      <c r="A1449" s="1864"/>
      <c r="B1449" s="1829"/>
      <c r="C1449" s="1827" t="s">
        <v>47</v>
      </c>
      <c r="D1449" s="1827"/>
      <c r="E1449" s="1827"/>
      <c r="F1449" s="1827"/>
      <c r="G1449" s="1827"/>
      <c r="H1449" s="1827"/>
      <c r="I1449" s="1827"/>
      <c r="J1449" s="773">
        <f>J1448*F1448</f>
        <v>4660492.4374800008</v>
      </c>
    </row>
    <row r="1450" spans="1:10" ht="12.75" hidden="1" customHeight="1" outlineLevel="1">
      <c r="A1450" s="1864" t="s">
        <v>2359</v>
      </c>
      <c r="B1450" s="1829">
        <v>17.3</v>
      </c>
      <c r="C1450" s="1808" t="s">
        <v>1295</v>
      </c>
      <c r="D1450" s="1808"/>
      <c r="E1450" s="1808"/>
      <c r="F1450" s="1808"/>
      <c r="G1450" s="1808" t="s">
        <v>1295</v>
      </c>
      <c r="H1450" s="1808"/>
      <c r="I1450" s="1808"/>
      <c r="J1450" s="1808"/>
    </row>
    <row r="1451" spans="1:10" ht="12.75" hidden="1" customHeight="1" outlineLevel="2">
      <c r="A1451" s="1864"/>
      <c r="B1451" s="1829"/>
      <c r="C1451" s="5" t="s">
        <v>2360</v>
      </c>
      <c r="D1451" s="5" t="s">
        <v>2361</v>
      </c>
      <c r="E1451" s="5" t="s">
        <v>48</v>
      </c>
      <c r="F1451" s="5">
        <v>1</v>
      </c>
      <c r="G1451" s="5">
        <v>5</v>
      </c>
      <c r="H1451" s="5">
        <v>22277.16</v>
      </c>
      <c r="I1451" s="5">
        <v>0</v>
      </c>
      <c r="J1451" s="5">
        <f t="shared" ref="J1451:J1458" si="25">(F1451*(1+G1451/100)) * (H1451*(1+I1451/100))</f>
        <v>23391.018</v>
      </c>
    </row>
    <row r="1452" spans="1:10" ht="12.75" hidden="1" customHeight="1" outlineLevel="2">
      <c r="A1452" s="1864"/>
      <c r="B1452" s="1829"/>
      <c r="C1452" s="5" t="s">
        <v>1524</v>
      </c>
      <c r="D1452" s="5" t="s">
        <v>1525</v>
      </c>
      <c r="E1452" s="5" t="s">
        <v>1492</v>
      </c>
      <c r="F1452" s="5">
        <v>0.25</v>
      </c>
      <c r="G1452" s="5">
        <v>0</v>
      </c>
      <c r="H1452" s="5">
        <v>11494.439999999999</v>
      </c>
      <c r="I1452" s="5">
        <v>0</v>
      </c>
      <c r="J1452" s="5">
        <f t="shared" si="25"/>
        <v>2873.6099999999997</v>
      </c>
    </row>
    <row r="1453" spans="1:10" ht="12.75" hidden="1" customHeight="1" outlineLevel="2">
      <c r="A1453" s="1864"/>
      <c r="B1453" s="1829"/>
      <c r="C1453" s="5" t="s">
        <v>2362</v>
      </c>
      <c r="D1453" s="5" t="s">
        <v>2363</v>
      </c>
      <c r="E1453" s="5" t="s">
        <v>1492</v>
      </c>
      <c r="F1453" s="5">
        <v>0.25</v>
      </c>
      <c r="G1453" s="5">
        <v>0</v>
      </c>
      <c r="H1453" s="5">
        <v>15221.52</v>
      </c>
      <c r="I1453" s="5">
        <v>0</v>
      </c>
      <c r="J1453" s="5">
        <f t="shared" si="25"/>
        <v>3805.38</v>
      </c>
    </row>
    <row r="1454" spans="1:10" ht="12.75" hidden="1" customHeight="1" outlineLevel="2">
      <c r="A1454" s="1864"/>
      <c r="B1454" s="1829"/>
      <c r="C1454" s="5" t="s">
        <v>1761</v>
      </c>
      <c r="D1454" s="5" t="s">
        <v>1762</v>
      </c>
      <c r="E1454" s="5" t="s">
        <v>1763</v>
      </c>
      <c r="F1454" s="5">
        <v>3.0000000000000001E-3</v>
      </c>
      <c r="G1454" s="5">
        <v>5</v>
      </c>
      <c r="H1454" s="5">
        <v>87162.48000000001</v>
      </c>
      <c r="I1454" s="5">
        <v>0</v>
      </c>
      <c r="J1454" s="5">
        <f t="shared" si="25"/>
        <v>274.56181200000003</v>
      </c>
    </row>
    <row r="1455" spans="1:10" ht="12.75" hidden="1" customHeight="1" outlineLevel="2">
      <c r="A1455" s="1864"/>
      <c r="B1455" s="1829"/>
      <c r="C1455" s="5" t="s">
        <v>1764</v>
      </c>
      <c r="D1455" s="5" t="s">
        <v>1765</v>
      </c>
      <c r="E1455" s="5" t="s">
        <v>1492</v>
      </c>
      <c r="F1455" s="5">
        <v>3.0000000000000001E-3</v>
      </c>
      <c r="G1455" s="5">
        <v>5</v>
      </c>
      <c r="H1455" s="5">
        <v>42064.92</v>
      </c>
      <c r="I1455" s="5">
        <v>0</v>
      </c>
      <c r="J1455" s="5">
        <f t="shared" si="25"/>
        <v>132.50449799999998</v>
      </c>
    </row>
    <row r="1456" spans="1:10" ht="12.75" hidden="1" customHeight="1" outlineLevel="2">
      <c r="A1456" s="1864"/>
      <c r="B1456" s="1829"/>
      <c r="C1456" s="5" t="s">
        <v>2364</v>
      </c>
      <c r="D1456" s="5" t="s">
        <v>2365</v>
      </c>
      <c r="E1456" s="5" t="s">
        <v>1492</v>
      </c>
      <c r="F1456" s="5">
        <v>0.2</v>
      </c>
      <c r="G1456" s="5">
        <v>0</v>
      </c>
      <c r="H1456" s="5">
        <v>6694.92</v>
      </c>
      <c r="I1456" s="5">
        <v>0</v>
      </c>
      <c r="J1456" s="5">
        <f t="shared" si="25"/>
        <v>1338.9840000000002</v>
      </c>
    </row>
    <row r="1457" spans="1:10" ht="12.75" hidden="1" customHeight="1" outlineLevel="2">
      <c r="A1457" s="1864"/>
      <c r="B1457" s="1829"/>
      <c r="C1457" s="5" t="s">
        <v>1510</v>
      </c>
      <c r="D1457" s="5" t="s">
        <v>1511</v>
      </c>
      <c r="E1457" s="5" t="s">
        <v>1482</v>
      </c>
      <c r="F1457" s="5">
        <v>0.17499999999999999</v>
      </c>
      <c r="G1457" s="5">
        <v>0</v>
      </c>
      <c r="H1457" s="5">
        <v>5527.21</v>
      </c>
      <c r="I1457" s="5">
        <v>0</v>
      </c>
      <c r="J1457" s="5">
        <f t="shared" si="25"/>
        <v>967.26174999999989</v>
      </c>
    </row>
    <row r="1458" spans="1:10" ht="12.75" hidden="1" customHeight="1" outlineLevel="2">
      <c r="A1458" s="1864"/>
      <c r="B1458" s="1829"/>
      <c r="C1458" s="5" t="s">
        <v>1747</v>
      </c>
      <c r="D1458" s="5" t="s">
        <v>1748</v>
      </c>
      <c r="E1458" s="5" t="s">
        <v>1482</v>
      </c>
      <c r="F1458" s="5">
        <v>0.17499999999999999</v>
      </c>
      <c r="G1458" s="5">
        <v>0</v>
      </c>
      <c r="H1458" s="5">
        <v>7237.76</v>
      </c>
      <c r="I1458" s="5">
        <v>0</v>
      </c>
      <c r="J1458" s="5">
        <f t="shared" si="25"/>
        <v>1266.6079999999999</v>
      </c>
    </row>
    <row r="1459" spans="1:10" ht="12.75" hidden="1" customHeight="1" outlineLevel="2">
      <c r="A1459" s="1864"/>
      <c r="B1459" s="1829"/>
      <c r="C1459" s="5"/>
      <c r="D1459" s="5"/>
      <c r="E1459" s="5"/>
      <c r="F1459" s="5"/>
      <c r="G1459" s="5">
        <v>5</v>
      </c>
      <c r="H1459" s="5" t="s">
        <v>1514</v>
      </c>
      <c r="I1459" s="5"/>
      <c r="J1459" s="5">
        <v>111.69000000000001</v>
      </c>
    </row>
    <row r="1460" spans="1:10" ht="12.75" hidden="1" customHeight="1" outlineLevel="2">
      <c r="A1460" s="1864"/>
      <c r="B1460" s="1829"/>
      <c r="C1460" s="1808" t="s">
        <v>1488</v>
      </c>
      <c r="D1460" s="1808"/>
      <c r="E1460" s="942" t="s">
        <v>285</v>
      </c>
      <c r="F1460" s="583">
        <f>'14. Inst. Hidro-Sanitarias'!E53</f>
        <v>88</v>
      </c>
      <c r="G1460" s="942"/>
      <c r="H1460" s="942"/>
      <c r="I1460" s="942">
        <v>0</v>
      </c>
      <c r="J1460" s="943">
        <f>SUM(J1451:J1459)</f>
        <v>34161.618060000001</v>
      </c>
    </row>
    <row r="1461" spans="1:10" ht="12.75" hidden="1" customHeight="1" outlineLevel="1" collapsed="1">
      <c r="A1461" s="1864"/>
      <c r="B1461" s="1829"/>
      <c r="C1461" s="1827" t="s">
        <v>47</v>
      </c>
      <c r="D1461" s="1827"/>
      <c r="E1461" s="1827"/>
      <c r="F1461" s="1827"/>
      <c r="G1461" s="1827"/>
      <c r="H1461" s="1827"/>
      <c r="I1461" s="1827"/>
      <c r="J1461" s="773">
        <f>J1460*F1460</f>
        <v>3006222.3892800002</v>
      </c>
    </row>
    <row r="1462" spans="1:10" ht="12.75" hidden="1" customHeight="1" outlineLevel="1">
      <c r="A1462" s="1864" t="s">
        <v>2366</v>
      </c>
      <c r="B1462" s="1829">
        <v>17.399999999999999</v>
      </c>
      <c r="C1462" s="1808" t="s">
        <v>1296</v>
      </c>
      <c r="D1462" s="1808"/>
      <c r="E1462" s="1808"/>
      <c r="F1462" s="1808"/>
      <c r="G1462" s="1808" t="s">
        <v>1296</v>
      </c>
      <c r="H1462" s="1808"/>
      <c r="I1462" s="1808"/>
      <c r="J1462" s="1808"/>
    </row>
    <row r="1463" spans="1:10" ht="12.75" hidden="1" customHeight="1" outlineLevel="2">
      <c r="A1463" s="1864"/>
      <c r="B1463" s="1829"/>
      <c r="C1463" s="5" t="s">
        <v>1809</v>
      </c>
      <c r="D1463" s="5" t="s">
        <v>1810</v>
      </c>
      <c r="E1463" s="5" t="s">
        <v>1492</v>
      </c>
      <c r="F1463" s="5">
        <v>1</v>
      </c>
      <c r="G1463" s="5">
        <v>0</v>
      </c>
      <c r="H1463" s="5">
        <v>7213</v>
      </c>
      <c r="I1463" s="5">
        <v>0</v>
      </c>
      <c r="J1463" s="5">
        <f t="shared" ref="J1463:J1470" si="26">(F1463*(1+G1463/100)) * (H1463*(1+I1463/100))</f>
        <v>7213</v>
      </c>
    </row>
    <row r="1464" spans="1:10" ht="12.75" hidden="1" customHeight="1" outlineLevel="2">
      <c r="A1464" s="1864"/>
      <c r="B1464" s="1829"/>
      <c r="C1464" s="5" t="s">
        <v>2367</v>
      </c>
      <c r="D1464" s="5" t="s">
        <v>2368</v>
      </c>
      <c r="E1464" s="5" t="s">
        <v>1492</v>
      </c>
      <c r="F1464" s="5">
        <v>0.25</v>
      </c>
      <c r="G1464" s="5">
        <v>0</v>
      </c>
      <c r="H1464" s="5">
        <v>139543.56</v>
      </c>
      <c r="I1464" s="5">
        <v>0</v>
      </c>
      <c r="J1464" s="5">
        <f t="shared" si="26"/>
        <v>34885.89</v>
      </c>
    </row>
    <row r="1465" spans="1:10" ht="12.75" hidden="1" customHeight="1" outlineLevel="2">
      <c r="A1465" s="1864"/>
      <c r="B1465" s="1829"/>
      <c r="C1465" s="5" t="s">
        <v>2369</v>
      </c>
      <c r="D1465" s="5" t="s">
        <v>2370</v>
      </c>
      <c r="E1465" s="5" t="s">
        <v>48</v>
      </c>
      <c r="F1465" s="5">
        <v>1</v>
      </c>
      <c r="G1465" s="5">
        <v>5</v>
      </c>
      <c r="H1465" s="5">
        <v>47172.240000000005</v>
      </c>
      <c r="I1465" s="5">
        <v>0</v>
      </c>
      <c r="J1465" s="5">
        <f t="shared" si="26"/>
        <v>49530.852000000006</v>
      </c>
    </row>
    <row r="1466" spans="1:10" ht="12.75" hidden="1" customHeight="1" outlineLevel="2">
      <c r="A1466" s="1864"/>
      <c r="B1466" s="1829"/>
      <c r="C1466" s="5" t="s">
        <v>1761</v>
      </c>
      <c r="D1466" s="5" t="s">
        <v>1762</v>
      </c>
      <c r="E1466" s="5" t="s">
        <v>1763</v>
      </c>
      <c r="F1466" s="5">
        <v>5.0000000000000001E-3</v>
      </c>
      <c r="G1466" s="5">
        <v>5</v>
      </c>
      <c r="H1466" s="5">
        <v>87162.48000000001</v>
      </c>
      <c r="I1466" s="5">
        <v>0</v>
      </c>
      <c r="J1466" s="5">
        <f t="shared" si="26"/>
        <v>457.60302000000007</v>
      </c>
    </row>
    <row r="1467" spans="1:10" ht="12.75" hidden="1" customHeight="1" outlineLevel="2">
      <c r="A1467" s="1864"/>
      <c r="B1467" s="1829"/>
      <c r="C1467" s="5" t="s">
        <v>1764</v>
      </c>
      <c r="D1467" s="5" t="s">
        <v>1765</v>
      </c>
      <c r="E1467" s="5" t="s">
        <v>1492</v>
      </c>
      <c r="F1467" s="5">
        <v>5.0000000000000001E-3</v>
      </c>
      <c r="G1467" s="5">
        <v>5</v>
      </c>
      <c r="H1467" s="5">
        <v>42064.92</v>
      </c>
      <c r="I1467" s="5">
        <v>0</v>
      </c>
      <c r="J1467" s="5">
        <f t="shared" si="26"/>
        <v>220.84083000000001</v>
      </c>
    </row>
    <row r="1468" spans="1:10" ht="12.75" hidden="1" customHeight="1" outlineLevel="2">
      <c r="A1468" s="1864"/>
      <c r="B1468" s="1829"/>
      <c r="C1468" s="5" t="s">
        <v>2371</v>
      </c>
      <c r="D1468" s="5" t="s">
        <v>2372</v>
      </c>
      <c r="E1468" s="5" t="s">
        <v>1492</v>
      </c>
      <c r="F1468" s="5">
        <v>0.2</v>
      </c>
      <c r="G1468" s="5">
        <v>0</v>
      </c>
      <c r="H1468" s="5">
        <v>29352.240000000002</v>
      </c>
      <c r="I1468" s="5">
        <v>0</v>
      </c>
      <c r="J1468" s="5">
        <f t="shared" si="26"/>
        <v>5870.4480000000003</v>
      </c>
    </row>
    <row r="1469" spans="1:10" ht="12.75" hidden="1" customHeight="1" outlineLevel="2">
      <c r="A1469" s="1864"/>
      <c r="B1469" s="1829"/>
      <c r="C1469" s="5" t="s">
        <v>1510</v>
      </c>
      <c r="D1469" s="5" t="s">
        <v>1511</v>
      </c>
      <c r="E1469" s="5" t="s">
        <v>1482</v>
      </c>
      <c r="F1469" s="5">
        <v>0.26500000000000001</v>
      </c>
      <c r="G1469" s="5">
        <v>0</v>
      </c>
      <c r="H1469" s="5">
        <v>5527.21</v>
      </c>
      <c r="I1469" s="5">
        <v>0</v>
      </c>
      <c r="J1469" s="5">
        <f t="shared" si="26"/>
        <v>1464.71065</v>
      </c>
    </row>
    <row r="1470" spans="1:10" ht="12.75" hidden="1" customHeight="1" outlineLevel="2">
      <c r="A1470" s="1864"/>
      <c r="B1470" s="1829"/>
      <c r="C1470" s="5" t="s">
        <v>1747</v>
      </c>
      <c r="D1470" s="5" t="s">
        <v>1748</v>
      </c>
      <c r="E1470" s="5" t="s">
        <v>1482</v>
      </c>
      <c r="F1470" s="5">
        <v>0.26500000000000001</v>
      </c>
      <c r="G1470" s="5">
        <v>0</v>
      </c>
      <c r="H1470" s="5">
        <v>7237.76</v>
      </c>
      <c r="I1470" s="5">
        <v>0</v>
      </c>
      <c r="J1470" s="5">
        <f t="shared" si="26"/>
        <v>1918.0064000000002</v>
      </c>
    </row>
    <row r="1471" spans="1:10" ht="12.75" hidden="1" customHeight="1" outlineLevel="2">
      <c r="A1471" s="1864"/>
      <c r="B1471" s="1829"/>
      <c r="C1471" s="5"/>
      <c r="D1471" s="5"/>
      <c r="E1471" s="5"/>
      <c r="F1471" s="5"/>
      <c r="G1471" s="5">
        <v>5</v>
      </c>
      <c r="H1471" s="5" t="s">
        <v>1514</v>
      </c>
      <c r="I1471" s="5"/>
      <c r="J1471" s="5">
        <v>169.14000000000001</v>
      </c>
    </row>
    <row r="1472" spans="1:10" ht="12.75" hidden="1" customHeight="1" outlineLevel="2">
      <c r="A1472" s="1864"/>
      <c r="B1472" s="1829"/>
      <c r="C1472" s="1808" t="s">
        <v>1488</v>
      </c>
      <c r="D1472" s="1808"/>
      <c r="E1472" s="942" t="s">
        <v>285</v>
      </c>
      <c r="F1472" s="583">
        <f>'14. Inst. Hidro-Sanitarias'!E54</f>
        <v>13</v>
      </c>
      <c r="G1472" s="942"/>
      <c r="H1472" s="942"/>
      <c r="I1472" s="942">
        <v>0</v>
      </c>
      <c r="J1472" s="943">
        <f>SUM(J1463:J1471)</f>
        <v>101730.49089999999</v>
      </c>
    </row>
    <row r="1473" spans="1:10" ht="12.75" hidden="1" customHeight="1" outlineLevel="1" collapsed="1">
      <c r="A1473" s="1864"/>
      <c r="B1473" s="1829"/>
      <c r="C1473" s="1827" t="s">
        <v>47</v>
      </c>
      <c r="D1473" s="1827"/>
      <c r="E1473" s="1827"/>
      <c r="F1473" s="1827"/>
      <c r="G1473" s="1827"/>
      <c r="H1473" s="1827"/>
      <c r="I1473" s="1827"/>
      <c r="J1473" s="773">
        <f>J1472*F1472</f>
        <v>1322496.3816999998</v>
      </c>
    </row>
    <row r="1474" spans="1:10" ht="12.75" hidden="1" customHeight="1" outlineLevel="1">
      <c r="A1474" s="1864" t="s">
        <v>2373</v>
      </c>
      <c r="B1474" s="1829">
        <v>17.5</v>
      </c>
      <c r="C1474" s="1808" t="s">
        <v>1297</v>
      </c>
      <c r="D1474" s="1808"/>
      <c r="E1474" s="1808"/>
      <c r="F1474" s="1808"/>
      <c r="G1474" s="1808" t="s">
        <v>1296</v>
      </c>
      <c r="H1474" s="1808"/>
      <c r="I1474" s="1808"/>
      <c r="J1474" s="1808"/>
    </row>
    <row r="1475" spans="1:10" ht="12.75" hidden="1" customHeight="1" outlineLevel="2">
      <c r="A1475" s="1864"/>
      <c r="B1475" s="1829"/>
      <c r="C1475" s="5" t="s">
        <v>1761</v>
      </c>
      <c r="D1475" s="5" t="s">
        <v>1762</v>
      </c>
      <c r="E1475" s="5" t="s">
        <v>1763</v>
      </c>
      <c r="F1475" s="5">
        <v>0.06</v>
      </c>
      <c r="G1475" s="5">
        <v>0</v>
      </c>
      <c r="H1475" s="5">
        <v>87162.48000000001</v>
      </c>
      <c r="I1475" s="5">
        <v>0</v>
      </c>
      <c r="J1475" s="5">
        <f>(F1475*(1+G1475/100)) * (H1475*(1+I1475/100))</f>
        <v>5229.7488000000003</v>
      </c>
    </row>
    <row r="1476" spans="1:10" ht="12.75" hidden="1" customHeight="1" outlineLevel="2">
      <c r="A1476" s="1864"/>
      <c r="B1476" s="1829"/>
      <c r="C1476" s="5" t="s">
        <v>1764</v>
      </c>
      <c r="D1476" s="5" t="s">
        <v>1765</v>
      </c>
      <c r="E1476" s="5" t="s">
        <v>1492</v>
      </c>
      <c r="F1476" s="5">
        <v>0.06</v>
      </c>
      <c r="G1476" s="5">
        <v>0</v>
      </c>
      <c r="H1476" s="5">
        <v>42064.92</v>
      </c>
      <c r="I1476" s="5">
        <v>0</v>
      </c>
      <c r="J1476" s="5">
        <f>(F1476*(1+G1476/100)) * (H1476*(1+I1476/100))</f>
        <v>2523.8951999999999</v>
      </c>
    </row>
    <row r="1477" spans="1:10" ht="12.75" hidden="1" customHeight="1" outlineLevel="2">
      <c r="A1477" s="1864"/>
      <c r="B1477" s="1829"/>
      <c r="C1477" s="5" t="s">
        <v>2374</v>
      </c>
      <c r="D1477" s="5" t="s">
        <v>2375</v>
      </c>
      <c r="E1477" s="5" t="s">
        <v>48</v>
      </c>
      <c r="F1477" s="5">
        <v>1</v>
      </c>
      <c r="G1477" s="5">
        <v>5</v>
      </c>
      <c r="H1477" s="5">
        <v>88193.569999999992</v>
      </c>
      <c r="I1477" s="5">
        <v>0</v>
      </c>
      <c r="J1477" s="5">
        <f>(F1477*(1+G1477/100)) * (H1477*(1+I1477/100))</f>
        <v>92603.248500000002</v>
      </c>
    </row>
    <row r="1478" spans="1:10" ht="12.75" hidden="1" customHeight="1" outlineLevel="2">
      <c r="A1478" s="1864"/>
      <c r="B1478" s="1829"/>
      <c r="C1478" s="5" t="s">
        <v>1579</v>
      </c>
      <c r="D1478" s="5" t="s">
        <v>1580</v>
      </c>
      <c r="E1478" s="5" t="s">
        <v>1482</v>
      </c>
      <c r="F1478" s="5">
        <v>0.16</v>
      </c>
      <c r="G1478" s="5">
        <v>0</v>
      </c>
      <c r="H1478" s="5">
        <v>6810.12</v>
      </c>
      <c r="I1478" s="5">
        <v>0</v>
      </c>
      <c r="J1478" s="5">
        <f>(F1478*(1+G1478/100)) * (H1478*(1+I1478/100))</f>
        <v>1089.6192000000001</v>
      </c>
    </row>
    <row r="1479" spans="1:10" ht="12.75" hidden="1" customHeight="1" outlineLevel="2">
      <c r="A1479" s="1864"/>
      <c r="B1479" s="1829"/>
      <c r="C1479" s="5" t="s">
        <v>1545</v>
      </c>
      <c r="D1479" s="5" t="s">
        <v>1546</v>
      </c>
      <c r="E1479" s="5" t="s">
        <v>1482</v>
      </c>
      <c r="F1479" s="5">
        <v>0.16</v>
      </c>
      <c r="G1479" s="5">
        <v>0</v>
      </c>
      <c r="H1479" s="5">
        <v>4671.93</v>
      </c>
      <c r="I1479" s="5">
        <v>0</v>
      </c>
      <c r="J1479" s="5">
        <f>(F1479*(1+G1479/100)) * (H1479*(1+I1479/100))</f>
        <v>747.50880000000006</v>
      </c>
    </row>
    <row r="1480" spans="1:10" ht="12.75" hidden="1" customHeight="1" outlineLevel="2">
      <c r="A1480" s="1864"/>
      <c r="B1480" s="1829"/>
      <c r="C1480" s="5"/>
      <c r="D1480" s="5"/>
      <c r="E1480" s="5"/>
      <c r="F1480" s="5"/>
      <c r="G1480" s="5">
        <v>5</v>
      </c>
      <c r="H1480" s="5" t="s">
        <v>1514</v>
      </c>
      <c r="I1480" s="5"/>
      <c r="J1480" s="5">
        <v>91.86</v>
      </c>
    </row>
    <row r="1481" spans="1:10" ht="12.75" hidden="1" customHeight="1" outlineLevel="2">
      <c r="A1481" s="1864"/>
      <c r="B1481" s="1829"/>
      <c r="C1481" s="1808" t="s">
        <v>1488</v>
      </c>
      <c r="D1481" s="1808"/>
      <c r="E1481" s="942" t="s">
        <v>285</v>
      </c>
      <c r="F1481" s="583">
        <f>'14. Inst. Hidro-Sanitarias'!E55</f>
        <v>4</v>
      </c>
      <c r="G1481" s="942"/>
      <c r="H1481" s="942"/>
      <c r="I1481" s="942">
        <v>0</v>
      </c>
      <c r="J1481" s="943">
        <f>SUM(J1475:J1480)</f>
        <v>102285.8805</v>
      </c>
    </row>
    <row r="1482" spans="1:10" ht="12.75" hidden="1" customHeight="1" outlineLevel="1" collapsed="1">
      <c r="A1482" s="1864"/>
      <c r="B1482" s="1829"/>
      <c r="C1482" s="1827" t="s">
        <v>47</v>
      </c>
      <c r="D1482" s="1827"/>
      <c r="E1482" s="1827"/>
      <c r="F1482" s="1827"/>
      <c r="G1482" s="1827"/>
      <c r="H1482" s="1827"/>
      <c r="I1482" s="1827"/>
      <c r="J1482" s="773">
        <f>J1481*F1481</f>
        <v>409143.522</v>
      </c>
    </row>
    <row r="1483" spans="1:10" ht="12.75" hidden="1" customHeight="1" outlineLevel="1">
      <c r="A1483" s="1830" t="s">
        <v>2376</v>
      </c>
      <c r="B1483" s="1829">
        <v>17.600000000000001</v>
      </c>
      <c r="C1483" s="1808" t="s">
        <v>1298</v>
      </c>
      <c r="D1483" s="1808"/>
      <c r="E1483" s="1808"/>
      <c r="F1483" s="1808"/>
      <c r="G1483" s="1808" t="s">
        <v>1298</v>
      </c>
      <c r="H1483" s="1808"/>
      <c r="I1483" s="1808"/>
      <c r="J1483" s="1808"/>
    </row>
    <row r="1484" spans="1:10" ht="12.75" hidden="1" customHeight="1" outlineLevel="2">
      <c r="A1484" s="1830"/>
      <c r="B1484" s="1829"/>
      <c r="C1484" s="5" t="s">
        <v>2377</v>
      </c>
      <c r="D1484" s="5" t="s">
        <v>2378</v>
      </c>
      <c r="E1484" s="5" t="s">
        <v>48</v>
      </c>
      <c r="F1484" s="5">
        <v>1</v>
      </c>
      <c r="G1484" s="5">
        <v>5</v>
      </c>
      <c r="H1484" s="5">
        <v>7012.44</v>
      </c>
      <c r="I1484" s="5">
        <v>0</v>
      </c>
      <c r="J1484" s="5">
        <f t="shared" ref="J1484:J1490" si="27">(F1484*(1+G1484/100)) * (H1484*(1+I1484/100))</f>
        <v>7363.0619999999999</v>
      </c>
    </row>
    <row r="1485" spans="1:10" ht="12.75" hidden="1" customHeight="1" outlineLevel="2">
      <c r="A1485" s="1830"/>
      <c r="B1485" s="1829"/>
      <c r="C1485" s="5" t="s">
        <v>2379</v>
      </c>
      <c r="D1485" s="5" t="s">
        <v>2380</v>
      </c>
      <c r="E1485" s="5" t="s">
        <v>1492</v>
      </c>
      <c r="F1485" s="5">
        <v>0.2</v>
      </c>
      <c r="G1485" s="5">
        <v>0</v>
      </c>
      <c r="H1485" s="5">
        <v>2880.3599999999997</v>
      </c>
      <c r="I1485" s="5">
        <v>0</v>
      </c>
      <c r="J1485" s="5">
        <f t="shared" si="27"/>
        <v>576.072</v>
      </c>
    </row>
    <row r="1486" spans="1:10" ht="12.75" hidden="1" customHeight="1" outlineLevel="2">
      <c r="A1486" s="1830"/>
      <c r="B1486" s="1829"/>
      <c r="C1486" s="5" t="s">
        <v>1761</v>
      </c>
      <c r="D1486" s="5" t="s">
        <v>1762</v>
      </c>
      <c r="E1486" s="5" t="s">
        <v>1763</v>
      </c>
      <c r="F1486" s="5">
        <v>1E-3</v>
      </c>
      <c r="G1486" s="5">
        <v>5</v>
      </c>
      <c r="H1486" s="5">
        <v>87162.48000000001</v>
      </c>
      <c r="I1486" s="5">
        <v>0</v>
      </c>
      <c r="J1486" s="5">
        <f t="shared" si="27"/>
        <v>91.52060400000002</v>
      </c>
    </row>
    <row r="1487" spans="1:10" ht="12.75" hidden="1" customHeight="1" outlineLevel="2">
      <c r="A1487" s="1830"/>
      <c r="B1487" s="1829"/>
      <c r="C1487" s="5" t="s">
        <v>1764</v>
      </c>
      <c r="D1487" s="5" t="s">
        <v>1765</v>
      </c>
      <c r="E1487" s="5" t="s">
        <v>1492</v>
      </c>
      <c r="F1487" s="5">
        <v>1E-3</v>
      </c>
      <c r="G1487" s="5">
        <v>5</v>
      </c>
      <c r="H1487" s="5">
        <v>42064.92</v>
      </c>
      <c r="I1487" s="5">
        <v>0</v>
      </c>
      <c r="J1487" s="5">
        <f t="shared" si="27"/>
        <v>44.168166000000006</v>
      </c>
    </row>
    <row r="1488" spans="1:10" ht="12.75" hidden="1" customHeight="1" outlineLevel="2">
      <c r="A1488" s="1830"/>
      <c r="B1488" s="1829"/>
      <c r="C1488" s="5" t="s">
        <v>2381</v>
      </c>
      <c r="D1488" s="5" t="s">
        <v>2382</v>
      </c>
      <c r="E1488" s="5" t="s">
        <v>1492</v>
      </c>
      <c r="F1488" s="5">
        <v>0.2</v>
      </c>
      <c r="G1488" s="5">
        <v>0</v>
      </c>
      <c r="H1488" s="5">
        <v>2320.92</v>
      </c>
      <c r="I1488" s="5">
        <v>0</v>
      </c>
      <c r="J1488" s="5">
        <f t="shared" si="27"/>
        <v>464.18400000000003</v>
      </c>
    </row>
    <row r="1489" spans="1:10" ht="12.75" hidden="1" customHeight="1" outlineLevel="2">
      <c r="A1489" s="1830"/>
      <c r="B1489" s="1829"/>
      <c r="C1489" s="5" t="s">
        <v>1510</v>
      </c>
      <c r="D1489" s="5" t="s">
        <v>1511</v>
      </c>
      <c r="E1489" s="5" t="s">
        <v>1482</v>
      </c>
      <c r="F1489" s="5">
        <v>0.09</v>
      </c>
      <c r="G1489" s="5">
        <v>0</v>
      </c>
      <c r="H1489" s="5">
        <v>5527.21</v>
      </c>
      <c r="I1489" s="5">
        <v>0</v>
      </c>
      <c r="J1489" s="5">
        <f t="shared" si="27"/>
        <v>497.44889999999998</v>
      </c>
    </row>
    <row r="1490" spans="1:10" ht="12.75" hidden="1" customHeight="1" outlineLevel="2">
      <c r="A1490" s="1830"/>
      <c r="B1490" s="1829"/>
      <c r="C1490" s="5" t="s">
        <v>1747</v>
      </c>
      <c r="D1490" s="5" t="s">
        <v>1748</v>
      </c>
      <c r="E1490" s="5" t="s">
        <v>1482</v>
      </c>
      <c r="F1490" s="5">
        <v>0.3</v>
      </c>
      <c r="G1490" s="5">
        <v>0</v>
      </c>
      <c r="H1490" s="5">
        <v>7237.76</v>
      </c>
      <c r="I1490" s="5">
        <v>0</v>
      </c>
      <c r="J1490" s="5">
        <f t="shared" si="27"/>
        <v>2171.328</v>
      </c>
    </row>
    <row r="1491" spans="1:10" ht="12.75" hidden="1" customHeight="1" outlineLevel="2">
      <c r="A1491" s="1830"/>
      <c r="B1491" s="1829"/>
      <c r="C1491" s="5"/>
      <c r="D1491" s="5"/>
      <c r="E1491" s="5"/>
      <c r="F1491" s="5"/>
      <c r="G1491" s="5">
        <v>5</v>
      </c>
      <c r="H1491" s="5" t="s">
        <v>1514</v>
      </c>
      <c r="I1491" s="5"/>
      <c r="J1491" s="5">
        <v>133.44</v>
      </c>
    </row>
    <row r="1492" spans="1:10" ht="12.75" hidden="1" customHeight="1" outlineLevel="2">
      <c r="A1492" s="1830"/>
      <c r="B1492" s="1829"/>
      <c r="C1492" s="1808" t="s">
        <v>1488</v>
      </c>
      <c r="D1492" s="1808"/>
      <c r="E1492" s="942" t="s">
        <v>285</v>
      </c>
      <c r="F1492" s="583">
        <f>'14. Inst. Hidro-Sanitarias'!E57</f>
        <v>21</v>
      </c>
      <c r="G1492" s="942"/>
      <c r="H1492" s="942"/>
      <c r="I1492" s="942">
        <v>0</v>
      </c>
      <c r="J1492" s="943">
        <f>SUM(J1484:J1491)</f>
        <v>11341.223669999999</v>
      </c>
    </row>
    <row r="1493" spans="1:10" ht="12.75" hidden="1" customHeight="1" outlineLevel="1" collapsed="1">
      <c r="A1493" s="1830"/>
      <c r="B1493" s="1829"/>
      <c r="C1493" s="1827" t="s">
        <v>47</v>
      </c>
      <c r="D1493" s="1827"/>
      <c r="E1493" s="1827"/>
      <c r="F1493" s="1827"/>
      <c r="G1493" s="1827"/>
      <c r="H1493" s="1827"/>
      <c r="I1493" s="1827"/>
      <c r="J1493" s="773">
        <f>J1492*F1492</f>
        <v>238165.69706999999</v>
      </c>
    </row>
    <row r="1494" spans="1:10" ht="12.75" hidden="1" customHeight="1" outlineLevel="1">
      <c r="A1494" s="1830" t="s">
        <v>2383</v>
      </c>
      <c r="B1494" s="1829">
        <v>17.7</v>
      </c>
      <c r="C1494" s="1808" t="s">
        <v>1299</v>
      </c>
      <c r="D1494" s="1808"/>
      <c r="E1494" s="1808"/>
      <c r="F1494" s="1808"/>
      <c r="G1494" s="1808" t="s">
        <v>1298</v>
      </c>
      <c r="H1494" s="1808"/>
      <c r="I1494" s="1808"/>
      <c r="J1494" s="1808"/>
    </row>
    <row r="1495" spans="1:10" ht="12.75" hidden="1" customHeight="1" outlineLevel="2">
      <c r="A1495" s="1830"/>
      <c r="B1495" s="1829"/>
      <c r="C1495" s="5" t="s">
        <v>2384</v>
      </c>
      <c r="D1495" s="5" t="s">
        <v>2385</v>
      </c>
      <c r="E1495" s="5" t="s">
        <v>48</v>
      </c>
      <c r="F1495" s="5">
        <v>1</v>
      </c>
      <c r="G1495" s="5">
        <v>5</v>
      </c>
      <c r="H1495" s="5">
        <v>9359.2800000000007</v>
      </c>
      <c r="I1495" s="5">
        <v>0</v>
      </c>
      <c r="J1495" s="5">
        <f t="shared" ref="J1495:J1501" si="28">(F1495*(1+G1495/100)) * (H1495*(1+I1495/100))</f>
        <v>9827.2440000000006</v>
      </c>
    </row>
    <row r="1496" spans="1:10" ht="12.75" hidden="1" customHeight="1" outlineLevel="2">
      <c r="A1496" s="1830"/>
      <c r="B1496" s="1829"/>
      <c r="C1496" s="5" t="s">
        <v>2353</v>
      </c>
      <c r="D1496" s="5" t="s">
        <v>2354</v>
      </c>
      <c r="E1496" s="5" t="s">
        <v>1492</v>
      </c>
      <c r="F1496" s="5">
        <v>0.2</v>
      </c>
      <c r="G1496" s="5">
        <v>0</v>
      </c>
      <c r="H1496" s="5">
        <v>6671.1600000000008</v>
      </c>
      <c r="I1496" s="5">
        <v>0</v>
      </c>
      <c r="J1496" s="5">
        <f t="shared" si="28"/>
        <v>1334.2320000000002</v>
      </c>
    </row>
    <row r="1497" spans="1:10" ht="12.75" hidden="1" customHeight="1" outlineLevel="2">
      <c r="A1497" s="1830"/>
      <c r="B1497" s="1829"/>
      <c r="C1497" s="5" t="s">
        <v>1761</v>
      </c>
      <c r="D1497" s="5" t="s">
        <v>1762</v>
      </c>
      <c r="E1497" s="5" t="s">
        <v>1763</v>
      </c>
      <c r="F1497" s="5">
        <v>2E-3</v>
      </c>
      <c r="G1497" s="5">
        <v>5</v>
      </c>
      <c r="H1497" s="5">
        <v>87162.48000000001</v>
      </c>
      <c r="I1497" s="5">
        <v>0</v>
      </c>
      <c r="J1497" s="5">
        <f t="shared" si="28"/>
        <v>183.04120800000004</v>
      </c>
    </row>
    <row r="1498" spans="1:10" ht="12.75" hidden="1" customHeight="1" outlineLevel="2">
      <c r="A1498" s="1830"/>
      <c r="B1498" s="1829"/>
      <c r="C1498" s="5" t="s">
        <v>1764</v>
      </c>
      <c r="D1498" s="5" t="s">
        <v>1765</v>
      </c>
      <c r="E1498" s="5" t="s">
        <v>1492</v>
      </c>
      <c r="F1498" s="5">
        <v>2E-3</v>
      </c>
      <c r="G1498" s="5">
        <v>5</v>
      </c>
      <c r="H1498" s="5">
        <v>42064.92</v>
      </c>
      <c r="I1498" s="5">
        <v>0</v>
      </c>
      <c r="J1498" s="5">
        <f t="shared" si="28"/>
        <v>88.336332000000013</v>
      </c>
    </row>
    <row r="1499" spans="1:10" ht="12.75" hidden="1" customHeight="1" outlineLevel="2">
      <c r="A1499" s="1830"/>
      <c r="B1499" s="1829"/>
      <c r="C1499" s="5" t="s">
        <v>2357</v>
      </c>
      <c r="D1499" s="5" t="s">
        <v>2358</v>
      </c>
      <c r="E1499" s="5" t="s">
        <v>1492</v>
      </c>
      <c r="F1499" s="5">
        <v>0.2</v>
      </c>
      <c r="G1499" s="5">
        <v>0</v>
      </c>
      <c r="H1499" s="5">
        <v>3351.2400000000002</v>
      </c>
      <c r="I1499" s="5">
        <v>0</v>
      </c>
      <c r="J1499" s="5">
        <f t="shared" si="28"/>
        <v>670.24800000000005</v>
      </c>
    </row>
    <row r="1500" spans="1:10" ht="12.75" hidden="1" customHeight="1" outlineLevel="2">
      <c r="A1500" s="1830"/>
      <c r="B1500" s="1829"/>
      <c r="C1500" s="5" t="s">
        <v>1510</v>
      </c>
      <c r="D1500" s="5" t="s">
        <v>1511</v>
      </c>
      <c r="E1500" s="5" t="s">
        <v>1482</v>
      </c>
      <c r="F1500" s="5">
        <v>0.13500000000000001</v>
      </c>
      <c r="G1500" s="5">
        <v>0</v>
      </c>
      <c r="H1500" s="5">
        <v>5527.21</v>
      </c>
      <c r="I1500" s="5">
        <v>0</v>
      </c>
      <c r="J1500" s="5">
        <f t="shared" si="28"/>
        <v>746.17335000000003</v>
      </c>
    </row>
    <row r="1501" spans="1:10" ht="12.75" hidden="1" customHeight="1" outlineLevel="2">
      <c r="A1501" s="1830"/>
      <c r="B1501" s="1829"/>
      <c r="C1501" s="5" t="s">
        <v>1747</v>
      </c>
      <c r="D1501" s="5" t="s">
        <v>1748</v>
      </c>
      <c r="E1501" s="5" t="s">
        <v>1482</v>
      </c>
      <c r="F1501" s="5">
        <v>0.3</v>
      </c>
      <c r="G1501" s="5">
        <v>0</v>
      </c>
      <c r="H1501" s="5">
        <v>7237.76</v>
      </c>
      <c r="I1501" s="5">
        <v>0</v>
      </c>
      <c r="J1501" s="5">
        <f t="shared" si="28"/>
        <v>2171.328</v>
      </c>
    </row>
    <row r="1502" spans="1:10" ht="12.75" hidden="1" customHeight="1" outlineLevel="2">
      <c r="A1502" s="1830"/>
      <c r="B1502" s="1829"/>
      <c r="C1502" s="5"/>
      <c r="D1502" s="5"/>
      <c r="E1502" s="5"/>
      <c r="F1502" s="5"/>
      <c r="G1502" s="5">
        <v>5</v>
      </c>
      <c r="H1502" s="5" t="s">
        <v>1514</v>
      </c>
      <c r="I1502" s="5"/>
      <c r="J1502" s="5">
        <v>145.88</v>
      </c>
    </row>
    <row r="1503" spans="1:10" ht="12.75" hidden="1" customHeight="1" outlineLevel="2">
      <c r="A1503" s="1830"/>
      <c r="B1503" s="1829"/>
      <c r="C1503" s="1808" t="s">
        <v>1488</v>
      </c>
      <c r="D1503" s="1808"/>
      <c r="E1503" s="942" t="s">
        <v>285</v>
      </c>
      <c r="F1503" s="583">
        <f>'14. Inst. Hidro-Sanitarias'!E58</f>
        <v>15</v>
      </c>
      <c r="G1503" s="942"/>
      <c r="H1503" s="942"/>
      <c r="I1503" s="942">
        <v>0</v>
      </c>
      <c r="J1503" s="943">
        <f>SUM(J1495:J1502)</f>
        <v>15166.482889999999</v>
      </c>
    </row>
    <row r="1504" spans="1:10" ht="12.75" hidden="1" customHeight="1" outlineLevel="1" collapsed="1">
      <c r="A1504" s="1830"/>
      <c r="B1504" s="1829"/>
      <c r="C1504" s="1827" t="s">
        <v>47</v>
      </c>
      <c r="D1504" s="1827"/>
      <c r="E1504" s="1827"/>
      <c r="F1504" s="1827"/>
      <c r="G1504" s="1827"/>
      <c r="H1504" s="1827"/>
      <c r="I1504" s="1827"/>
      <c r="J1504" s="773">
        <f>J1503*F1503</f>
        <v>227497.24335</v>
      </c>
    </row>
    <row r="1505" spans="1:10" ht="12.75" hidden="1" customHeight="1" outlineLevel="1">
      <c r="A1505" s="1830" t="s">
        <v>2386</v>
      </c>
      <c r="B1505" s="1829">
        <v>17.8</v>
      </c>
      <c r="C1505" s="1808" t="s">
        <v>1300</v>
      </c>
      <c r="D1505" s="1808"/>
      <c r="E1505" s="1808"/>
      <c r="F1505" s="1808"/>
      <c r="G1505" s="1808" t="s">
        <v>1298</v>
      </c>
      <c r="H1505" s="1808"/>
      <c r="I1505" s="1808"/>
      <c r="J1505" s="1808"/>
    </row>
    <row r="1506" spans="1:10" ht="12.75" hidden="1" customHeight="1" outlineLevel="2">
      <c r="A1506" s="1830"/>
      <c r="B1506" s="1829"/>
      <c r="C1506" s="5" t="s">
        <v>2387</v>
      </c>
      <c r="D1506" s="5" t="s">
        <v>2388</v>
      </c>
      <c r="E1506" s="5" t="s">
        <v>48</v>
      </c>
      <c r="F1506" s="5">
        <v>1</v>
      </c>
      <c r="G1506" s="5">
        <v>5</v>
      </c>
      <c r="H1506" s="5">
        <v>16137.36</v>
      </c>
      <c r="I1506" s="5">
        <v>0</v>
      </c>
      <c r="J1506" s="5">
        <f t="shared" ref="J1506:J1513" si="29">(F1506*(1+G1506/100)) * (H1506*(1+I1506/100))</f>
        <v>16944.228000000003</v>
      </c>
    </row>
    <row r="1507" spans="1:10" ht="12.75" hidden="1" customHeight="1" outlineLevel="2">
      <c r="A1507" s="1830"/>
      <c r="B1507" s="1829"/>
      <c r="C1507" s="5" t="s">
        <v>1524</v>
      </c>
      <c r="D1507" s="5" t="s">
        <v>1525</v>
      </c>
      <c r="E1507" s="5" t="s">
        <v>1492</v>
      </c>
      <c r="F1507" s="5">
        <v>0.25</v>
      </c>
      <c r="G1507" s="5">
        <v>0</v>
      </c>
      <c r="H1507" s="5">
        <v>11494.439999999999</v>
      </c>
      <c r="I1507" s="5">
        <v>0</v>
      </c>
      <c r="J1507" s="5">
        <f t="shared" si="29"/>
        <v>2873.6099999999997</v>
      </c>
    </row>
    <row r="1508" spans="1:10" ht="12.75" hidden="1" customHeight="1" outlineLevel="2">
      <c r="A1508" s="1830"/>
      <c r="B1508" s="1829"/>
      <c r="C1508" s="5" t="s">
        <v>2362</v>
      </c>
      <c r="D1508" s="5" t="s">
        <v>2363</v>
      </c>
      <c r="E1508" s="5" t="s">
        <v>1492</v>
      </c>
      <c r="F1508" s="5">
        <v>0.25</v>
      </c>
      <c r="G1508" s="5">
        <v>0</v>
      </c>
      <c r="H1508" s="5">
        <v>15221.52</v>
      </c>
      <c r="I1508" s="5">
        <v>0</v>
      </c>
      <c r="J1508" s="5">
        <f t="shared" si="29"/>
        <v>3805.38</v>
      </c>
    </row>
    <row r="1509" spans="1:10" ht="12.75" hidden="1" customHeight="1" outlineLevel="2">
      <c r="A1509" s="1830"/>
      <c r="B1509" s="1829"/>
      <c r="C1509" s="5" t="s">
        <v>1761</v>
      </c>
      <c r="D1509" s="5" t="s">
        <v>1762</v>
      </c>
      <c r="E1509" s="5" t="s">
        <v>1763</v>
      </c>
      <c r="F1509" s="5">
        <v>3.0000000000000001E-3</v>
      </c>
      <c r="G1509" s="5">
        <v>5</v>
      </c>
      <c r="H1509" s="5">
        <v>87162.48000000001</v>
      </c>
      <c r="I1509" s="5">
        <v>0</v>
      </c>
      <c r="J1509" s="5">
        <f t="shared" si="29"/>
        <v>274.56181200000003</v>
      </c>
    </row>
    <row r="1510" spans="1:10" ht="12.75" hidden="1" customHeight="1" outlineLevel="2">
      <c r="A1510" s="1830"/>
      <c r="B1510" s="1829"/>
      <c r="C1510" s="5" t="s">
        <v>1764</v>
      </c>
      <c r="D1510" s="5" t="s">
        <v>1765</v>
      </c>
      <c r="E1510" s="5" t="s">
        <v>1492</v>
      </c>
      <c r="F1510" s="5">
        <v>3.0000000000000001E-3</v>
      </c>
      <c r="G1510" s="5">
        <v>5</v>
      </c>
      <c r="H1510" s="5">
        <v>42064.92</v>
      </c>
      <c r="I1510" s="5">
        <v>0</v>
      </c>
      <c r="J1510" s="5">
        <f t="shared" si="29"/>
        <v>132.50449799999998</v>
      </c>
    </row>
    <row r="1511" spans="1:10" ht="12.75" hidden="1" customHeight="1" outlineLevel="2">
      <c r="A1511" s="1830"/>
      <c r="B1511" s="1829"/>
      <c r="C1511" s="5" t="s">
        <v>2364</v>
      </c>
      <c r="D1511" s="5" t="s">
        <v>2365</v>
      </c>
      <c r="E1511" s="5" t="s">
        <v>1492</v>
      </c>
      <c r="F1511" s="5">
        <v>0.2</v>
      </c>
      <c r="G1511" s="5">
        <v>0</v>
      </c>
      <c r="H1511" s="5">
        <v>6694.92</v>
      </c>
      <c r="I1511" s="5">
        <v>0</v>
      </c>
      <c r="J1511" s="5">
        <f t="shared" si="29"/>
        <v>1338.9840000000002</v>
      </c>
    </row>
    <row r="1512" spans="1:10" ht="12.75" hidden="1" customHeight="1" outlineLevel="2">
      <c r="A1512" s="1830"/>
      <c r="B1512" s="1829"/>
      <c r="C1512" s="5" t="s">
        <v>1510</v>
      </c>
      <c r="D1512" s="5" t="s">
        <v>1511</v>
      </c>
      <c r="E1512" s="5" t="s">
        <v>1482</v>
      </c>
      <c r="F1512" s="5">
        <v>0.17499999999999999</v>
      </c>
      <c r="G1512" s="5">
        <v>0</v>
      </c>
      <c r="H1512" s="5">
        <v>5527.21</v>
      </c>
      <c r="I1512" s="5">
        <v>0</v>
      </c>
      <c r="J1512" s="5">
        <f t="shared" si="29"/>
        <v>967.26174999999989</v>
      </c>
    </row>
    <row r="1513" spans="1:10" ht="12.75" hidden="1" customHeight="1" outlineLevel="2">
      <c r="A1513" s="1830"/>
      <c r="B1513" s="1829"/>
      <c r="C1513" s="5" t="s">
        <v>1747</v>
      </c>
      <c r="D1513" s="5" t="s">
        <v>1748</v>
      </c>
      <c r="E1513" s="5" t="s">
        <v>1482</v>
      </c>
      <c r="F1513" s="5">
        <v>0.3</v>
      </c>
      <c r="G1513" s="5">
        <v>0</v>
      </c>
      <c r="H1513" s="5">
        <v>7237.76</v>
      </c>
      <c r="I1513" s="5">
        <v>0</v>
      </c>
      <c r="J1513" s="5">
        <f t="shared" si="29"/>
        <v>2171.328</v>
      </c>
    </row>
    <row r="1514" spans="1:10" ht="12.75" hidden="1" customHeight="1" outlineLevel="2">
      <c r="A1514" s="1830"/>
      <c r="B1514" s="1829"/>
      <c r="C1514" s="5"/>
      <c r="D1514" s="5"/>
      <c r="E1514" s="5"/>
      <c r="F1514" s="5"/>
      <c r="G1514" s="5">
        <v>5</v>
      </c>
      <c r="H1514" s="5" t="s">
        <v>1514</v>
      </c>
      <c r="I1514" s="5"/>
      <c r="J1514" s="5">
        <v>156.93</v>
      </c>
    </row>
    <row r="1515" spans="1:10" ht="12.75" hidden="1" customHeight="1" outlineLevel="2">
      <c r="A1515" s="1830"/>
      <c r="B1515" s="1829"/>
      <c r="C1515" s="1808" t="s">
        <v>1488</v>
      </c>
      <c r="D1515" s="1808"/>
      <c r="E1515" s="942" t="s">
        <v>285</v>
      </c>
      <c r="F1515" s="583">
        <f>'14. Inst. Hidro-Sanitarias'!E59</f>
        <v>10</v>
      </c>
      <c r="G1515" s="942"/>
      <c r="H1515" s="942"/>
      <c r="I1515" s="942">
        <v>0</v>
      </c>
      <c r="J1515" s="943">
        <f>SUM(J1506:J1514)</f>
        <v>28664.788060000006</v>
      </c>
    </row>
    <row r="1516" spans="1:10" ht="12.75" hidden="1" customHeight="1" outlineLevel="1" collapsed="1">
      <c r="A1516" s="1830"/>
      <c r="B1516" s="1829"/>
      <c r="C1516" s="1827" t="s">
        <v>47</v>
      </c>
      <c r="D1516" s="1827"/>
      <c r="E1516" s="1827"/>
      <c r="F1516" s="1827"/>
      <c r="G1516" s="1827"/>
      <c r="H1516" s="1827"/>
      <c r="I1516" s="1827"/>
      <c r="J1516" s="773">
        <f>J1515*F1515</f>
        <v>286647.88060000003</v>
      </c>
    </row>
    <row r="1517" spans="1:10" ht="12.75" hidden="1" customHeight="1" outlineLevel="1">
      <c r="A1517" s="1865" t="s">
        <v>2389</v>
      </c>
      <c r="B1517" s="1829">
        <v>17.899999999999999</v>
      </c>
      <c r="C1517" s="1808" t="s">
        <v>1301</v>
      </c>
      <c r="D1517" s="1808"/>
      <c r="E1517" s="1808"/>
      <c r="F1517" s="1808"/>
      <c r="G1517" s="1808" t="s">
        <v>1298</v>
      </c>
      <c r="H1517" s="1808"/>
      <c r="I1517" s="1808"/>
      <c r="J1517" s="1808"/>
    </row>
    <row r="1518" spans="1:10" ht="12.75" hidden="1" customHeight="1" outlineLevel="2">
      <c r="A1518" s="1865"/>
      <c r="B1518" s="1829"/>
      <c r="C1518" s="5" t="s">
        <v>2390</v>
      </c>
      <c r="D1518" s="5" t="s">
        <v>2391</v>
      </c>
      <c r="E1518" s="5" t="s">
        <v>2392</v>
      </c>
      <c r="F1518" s="5">
        <v>2.2000000000000002E-2</v>
      </c>
      <c r="G1518" s="5">
        <v>5</v>
      </c>
      <c r="H1518" s="5">
        <v>17639.64</v>
      </c>
      <c r="I1518" s="5">
        <v>0</v>
      </c>
      <c r="J1518" s="5">
        <f>(F1518*(1+G1518/100)) * (H1518*(1+I1518/100))</f>
        <v>407.47568400000006</v>
      </c>
    </row>
    <row r="1519" spans="1:10" ht="12.75" hidden="1" customHeight="1" outlineLevel="2">
      <c r="A1519" s="1865"/>
      <c r="B1519" s="1829"/>
      <c r="C1519" s="5" t="s">
        <v>2393</v>
      </c>
      <c r="D1519" s="5" t="s">
        <v>2394</v>
      </c>
      <c r="E1519" s="5" t="s">
        <v>48</v>
      </c>
      <c r="F1519" s="5">
        <v>1</v>
      </c>
      <c r="G1519" s="5">
        <v>5</v>
      </c>
      <c r="H1519" s="5">
        <v>71005.680000000008</v>
      </c>
      <c r="I1519" s="5">
        <v>0</v>
      </c>
      <c r="J1519" s="5">
        <f>(F1519*(1+G1519/100)) * (H1519*(1+I1519/100))</f>
        <v>74555.964000000007</v>
      </c>
    </row>
    <row r="1520" spans="1:10" ht="12.75" hidden="1" customHeight="1" outlineLevel="2">
      <c r="A1520" s="1865"/>
      <c r="B1520" s="1829"/>
      <c r="C1520" s="5" t="s">
        <v>1579</v>
      </c>
      <c r="D1520" s="5" t="s">
        <v>1580</v>
      </c>
      <c r="E1520" s="5" t="s">
        <v>1482</v>
      </c>
      <c r="F1520" s="5">
        <v>0.13330000000000003</v>
      </c>
      <c r="G1520" s="5">
        <v>0</v>
      </c>
      <c r="H1520" s="5">
        <v>6810.12</v>
      </c>
      <c r="I1520" s="5">
        <v>0</v>
      </c>
      <c r="J1520" s="5">
        <f>(F1520*(1+G1520/100)) * (H1520*(1+I1520/100))</f>
        <v>907.78899600000022</v>
      </c>
    </row>
    <row r="1521" spans="1:10" ht="12.75" hidden="1" customHeight="1" outlineLevel="2">
      <c r="A1521" s="1865"/>
      <c r="B1521" s="1829"/>
      <c r="C1521" s="5" t="s">
        <v>1545</v>
      </c>
      <c r="D1521" s="5" t="s">
        <v>1546</v>
      </c>
      <c r="E1521" s="5" t="s">
        <v>1482</v>
      </c>
      <c r="F1521" s="5">
        <v>0.13330000000000003</v>
      </c>
      <c r="G1521" s="5">
        <v>0</v>
      </c>
      <c r="H1521" s="5">
        <v>4671.93</v>
      </c>
      <c r="I1521" s="5">
        <v>0</v>
      </c>
      <c r="J1521" s="5">
        <f>(F1521*(1+G1521/100)) * (H1521*(1+I1521/100))</f>
        <v>622.76826900000015</v>
      </c>
    </row>
    <row r="1522" spans="1:10" ht="12.75" hidden="1" customHeight="1" outlineLevel="2">
      <c r="A1522" s="1865"/>
      <c r="B1522" s="1829"/>
      <c r="C1522" s="5"/>
      <c r="D1522" s="5"/>
      <c r="E1522" s="5"/>
      <c r="F1522" s="5"/>
      <c r="G1522" s="5">
        <v>5</v>
      </c>
      <c r="H1522" s="5" t="s">
        <v>1514</v>
      </c>
      <c r="I1522" s="5"/>
      <c r="J1522" s="5">
        <v>76.53</v>
      </c>
    </row>
    <row r="1523" spans="1:10" ht="12.75" hidden="1" customHeight="1" outlineLevel="2">
      <c r="A1523" s="1865"/>
      <c r="B1523" s="1829"/>
      <c r="C1523" s="1808" t="s">
        <v>1488</v>
      </c>
      <c r="D1523" s="1808"/>
      <c r="E1523" s="942" t="s">
        <v>285</v>
      </c>
      <c r="F1523" s="583">
        <f>'14. Inst. Hidro-Sanitarias'!E60</f>
        <v>32</v>
      </c>
      <c r="G1523" s="942"/>
      <c r="H1523" s="942"/>
      <c r="I1523" s="942">
        <v>0</v>
      </c>
      <c r="J1523" s="943">
        <f>SUM(J1518:J1522)</f>
        <v>76570.526949000021</v>
      </c>
    </row>
    <row r="1524" spans="1:10" ht="12.75" hidden="1" customHeight="1" outlineLevel="1" collapsed="1">
      <c r="A1524" s="1865"/>
      <c r="B1524" s="1829"/>
      <c r="C1524" s="1827" t="s">
        <v>47</v>
      </c>
      <c r="D1524" s="1827"/>
      <c r="E1524" s="1827"/>
      <c r="F1524" s="1827"/>
      <c r="G1524" s="1827"/>
      <c r="H1524" s="1827"/>
      <c r="I1524" s="1827"/>
      <c r="J1524" s="773">
        <f>J1523*F1523</f>
        <v>2450256.8623680007</v>
      </c>
    </row>
    <row r="1525" spans="1:10" ht="12.75" hidden="1" customHeight="1" outlineLevel="1">
      <c r="A1525" s="1865" t="s">
        <v>2395</v>
      </c>
      <c r="B1525" s="1863" t="s">
        <v>2396</v>
      </c>
      <c r="C1525" s="1808" t="s">
        <v>1302</v>
      </c>
      <c r="D1525" s="1808"/>
      <c r="E1525" s="1808"/>
      <c r="F1525" s="1808"/>
      <c r="G1525" s="1808" t="s">
        <v>1298</v>
      </c>
      <c r="H1525" s="1808"/>
      <c r="I1525" s="1808"/>
      <c r="J1525" s="1808"/>
    </row>
    <row r="1526" spans="1:10" ht="12.75" hidden="1" customHeight="1" outlineLevel="2">
      <c r="A1526" s="1865"/>
      <c r="B1526" s="1863"/>
      <c r="C1526" s="5" t="s">
        <v>2390</v>
      </c>
      <c r="D1526" s="5" t="s">
        <v>2391</v>
      </c>
      <c r="E1526" s="5" t="s">
        <v>2392</v>
      </c>
      <c r="F1526" s="5">
        <v>0.03</v>
      </c>
      <c r="G1526" s="5">
        <v>5</v>
      </c>
      <c r="H1526" s="5">
        <v>17639.64</v>
      </c>
      <c r="I1526" s="5">
        <v>0</v>
      </c>
      <c r="J1526" s="5">
        <f>(F1526*(1+G1526/100)) * (H1526*(1+I1526/100))</f>
        <v>555.64865999999995</v>
      </c>
    </row>
    <row r="1527" spans="1:10" ht="12.75" hidden="1" customHeight="1" outlineLevel="2">
      <c r="A1527" s="1865"/>
      <c r="B1527" s="1863"/>
      <c r="C1527" s="5" t="s">
        <v>2397</v>
      </c>
      <c r="D1527" s="5" t="s">
        <v>2398</v>
      </c>
      <c r="E1527" s="5" t="s">
        <v>48</v>
      </c>
      <c r="F1527" s="5">
        <v>1</v>
      </c>
      <c r="G1527" s="5">
        <v>5</v>
      </c>
      <c r="H1527" s="5">
        <v>120193.2</v>
      </c>
      <c r="I1527" s="5">
        <v>0</v>
      </c>
      <c r="J1527" s="5">
        <f>(F1527*(1+G1527/100)) * (H1527*(1+I1527/100))</f>
        <v>126202.86</v>
      </c>
    </row>
    <row r="1528" spans="1:10" ht="12.75" hidden="1" customHeight="1" outlineLevel="2">
      <c r="A1528" s="1865"/>
      <c r="B1528" s="1863"/>
      <c r="C1528" s="5" t="s">
        <v>1579</v>
      </c>
      <c r="D1528" s="5" t="s">
        <v>1580</v>
      </c>
      <c r="E1528" s="5" t="s">
        <v>1482</v>
      </c>
      <c r="F1528" s="5">
        <v>0.16</v>
      </c>
      <c r="G1528" s="5">
        <v>0</v>
      </c>
      <c r="H1528" s="5">
        <v>6810.12</v>
      </c>
      <c r="I1528" s="5">
        <v>0</v>
      </c>
      <c r="J1528" s="5">
        <f>(F1528*(1+G1528/100)) * (H1528*(1+I1528/100))</f>
        <v>1089.6192000000001</v>
      </c>
    </row>
    <row r="1529" spans="1:10" ht="12.75" hidden="1" customHeight="1" outlineLevel="2">
      <c r="A1529" s="1865"/>
      <c r="B1529" s="1863"/>
      <c r="C1529" s="5" t="s">
        <v>1545</v>
      </c>
      <c r="D1529" s="5" t="s">
        <v>1546</v>
      </c>
      <c r="E1529" s="5" t="s">
        <v>1482</v>
      </c>
      <c r="F1529" s="5">
        <v>0.16</v>
      </c>
      <c r="G1529" s="5">
        <v>0</v>
      </c>
      <c r="H1529" s="5">
        <v>4671.93</v>
      </c>
      <c r="I1529" s="5">
        <v>0</v>
      </c>
      <c r="J1529" s="5">
        <f>(F1529*(1+G1529/100)) * (H1529*(1+I1529/100))</f>
        <v>747.50880000000006</v>
      </c>
    </row>
    <row r="1530" spans="1:10" ht="12.75" hidden="1" customHeight="1" outlineLevel="2">
      <c r="A1530" s="1865"/>
      <c r="B1530" s="1863"/>
      <c r="C1530" s="5"/>
      <c r="D1530" s="5"/>
      <c r="E1530" s="5"/>
      <c r="F1530" s="5"/>
      <c r="G1530" s="5">
        <v>5</v>
      </c>
      <c r="H1530" s="5" t="s">
        <v>1514</v>
      </c>
      <c r="I1530" s="5"/>
      <c r="J1530" s="5">
        <v>91.86</v>
      </c>
    </row>
    <row r="1531" spans="1:10" ht="12.75" hidden="1" customHeight="1" outlineLevel="2">
      <c r="A1531" s="1865"/>
      <c r="B1531" s="1863"/>
      <c r="C1531" s="1808" t="s">
        <v>1488</v>
      </c>
      <c r="D1531" s="1808"/>
      <c r="E1531" s="942" t="s">
        <v>285</v>
      </c>
      <c r="F1531" s="583">
        <f>'14. Inst. Hidro-Sanitarias'!E61</f>
        <v>4</v>
      </c>
      <c r="G1531" s="942"/>
      <c r="H1531" s="942"/>
      <c r="I1531" s="942">
        <v>0</v>
      </c>
      <c r="J1531" s="943">
        <f>SUM(J1526:J1530)</f>
        <v>128687.49666</v>
      </c>
    </row>
    <row r="1532" spans="1:10" ht="12.75" hidden="1" customHeight="1" outlineLevel="1" collapsed="1">
      <c r="A1532" s="1865"/>
      <c r="B1532" s="1863"/>
      <c r="C1532" s="1827" t="s">
        <v>47</v>
      </c>
      <c r="D1532" s="1827"/>
      <c r="E1532" s="1827"/>
      <c r="F1532" s="1827"/>
      <c r="G1532" s="1827"/>
      <c r="H1532" s="1827"/>
      <c r="I1532" s="1827"/>
      <c r="J1532" s="773">
        <f>J1531*F1531</f>
        <v>514749.98664000002</v>
      </c>
    </row>
    <row r="1533" spans="1:10" ht="12.75" hidden="1" customHeight="1" outlineLevel="1">
      <c r="A1533" s="1865" t="s">
        <v>2399</v>
      </c>
      <c r="B1533" s="1863">
        <v>17.11</v>
      </c>
      <c r="C1533" s="1808" t="s">
        <v>1303</v>
      </c>
      <c r="D1533" s="1808"/>
      <c r="E1533" s="1808"/>
      <c r="F1533" s="1808"/>
      <c r="G1533" s="1808" t="s">
        <v>1298</v>
      </c>
      <c r="H1533" s="1808"/>
      <c r="I1533" s="1808"/>
      <c r="J1533" s="1808"/>
    </row>
    <row r="1534" spans="1:10" ht="12.75" hidden="1" customHeight="1" outlineLevel="2">
      <c r="A1534" s="1865"/>
      <c r="B1534" s="1863"/>
      <c r="C1534" s="5" t="s">
        <v>2390</v>
      </c>
      <c r="D1534" s="5" t="s">
        <v>2391</v>
      </c>
      <c r="E1534" s="5" t="s">
        <v>2392</v>
      </c>
      <c r="F1534" s="5">
        <v>0.05</v>
      </c>
      <c r="G1534" s="5">
        <v>5</v>
      </c>
      <c r="H1534" s="5">
        <v>17639.64</v>
      </c>
      <c r="I1534" s="5">
        <v>0</v>
      </c>
      <c r="J1534" s="5">
        <f>(F1534*(1+G1534/100)) * (H1534*(1+I1534/100))</f>
        <v>926.08110000000011</v>
      </c>
    </row>
    <row r="1535" spans="1:10" ht="12.75" hidden="1" customHeight="1" outlineLevel="2">
      <c r="A1535" s="1865"/>
      <c r="B1535" s="1863"/>
      <c r="C1535" s="5" t="s">
        <v>2400</v>
      </c>
      <c r="D1535" s="5" t="s">
        <v>2401</v>
      </c>
      <c r="E1535" s="5" t="s">
        <v>48</v>
      </c>
      <c r="F1535" s="5">
        <v>1</v>
      </c>
      <c r="G1535" s="5">
        <v>5</v>
      </c>
      <c r="H1535" s="5">
        <v>189207.36000000002</v>
      </c>
      <c r="I1535" s="5">
        <v>0</v>
      </c>
      <c r="J1535" s="5">
        <f>(F1535*(1+G1535/100)) * (H1535*(1+I1535/100))</f>
        <v>198667.72800000003</v>
      </c>
    </row>
    <row r="1536" spans="1:10" ht="12.75" hidden="1" customHeight="1" outlineLevel="2">
      <c r="A1536" s="1865"/>
      <c r="B1536" s="1863"/>
      <c r="C1536" s="5" t="s">
        <v>1579</v>
      </c>
      <c r="D1536" s="5" t="s">
        <v>1580</v>
      </c>
      <c r="E1536" s="5" t="s">
        <v>1482</v>
      </c>
      <c r="F1536" s="5">
        <v>0.2</v>
      </c>
      <c r="G1536" s="5">
        <v>0</v>
      </c>
      <c r="H1536" s="5">
        <v>6810.12</v>
      </c>
      <c r="I1536" s="5">
        <v>0</v>
      </c>
      <c r="J1536" s="5">
        <f>(F1536*(1+G1536/100)) * (H1536*(1+I1536/100))</f>
        <v>1362.0240000000001</v>
      </c>
    </row>
    <row r="1537" spans="1:10" ht="12.75" hidden="1" customHeight="1" outlineLevel="2">
      <c r="A1537" s="1865"/>
      <c r="B1537" s="1863"/>
      <c r="C1537" s="5" t="s">
        <v>1545</v>
      </c>
      <c r="D1537" s="5" t="s">
        <v>1546</v>
      </c>
      <c r="E1537" s="5" t="s">
        <v>1482</v>
      </c>
      <c r="F1537" s="5">
        <v>0.2</v>
      </c>
      <c r="G1537" s="5">
        <v>0</v>
      </c>
      <c r="H1537" s="5">
        <v>4671.93</v>
      </c>
      <c r="I1537" s="5">
        <v>0</v>
      </c>
      <c r="J1537" s="5">
        <f>(F1537*(1+G1537/100)) * (H1537*(1+I1537/100))</f>
        <v>934.38600000000008</v>
      </c>
    </row>
    <row r="1538" spans="1:10" ht="12.75" hidden="1" customHeight="1" outlineLevel="2">
      <c r="A1538" s="1865"/>
      <c r="B1538" s="1863"/>
      <c r="C1538" s="5"/>
      <c r="D1538" s="5"/>
      <c r="E1538" s="5"/>
      <c r="F1538" s="5"/>
      <c r="G1538" s="5">
        <v>5</v>
      </c>
      <c r="H1538" s="5" t="s">
        <v>1514</v>
      </c>
      <c r="I1538" s="5"/>
      <c r="J1538" s="5">
        <v>114.82000000000001</v>
      </c>
    </row>
    <row r="1539" spans="1:10" ht="12.75" hidden="1" customHeight="1" outlineLevel="2">
      <c r="A1539" s="1865"/>
      <c r="B1539" s="1863"/>
      <c r="C1539" s="1808" t="s">
        <v>1488</v>
      </c>
      <c r="D1539" s="1808"/>
      <c r="E1539" s="942" t="s">
        <v>285</v>
      </c>
      <c r="F1539" s="583">
        <f>'14. Inst. Hidro-Sanitarias'!E62</f>
        <v>6</v>
      </c>
      <c r="G1539" s="942"/>
      <c r="H1539" s="942"/>
      <c r="I1539" s="942">
        <v>0</v>
      </c>
      <c r="J1539" s="943">
        <f>SUM(J1534:J1538)</f>
        <v>202005.03910000005</v>
      </c>
    </row>
    <row r="1540" spans="1:10" ht="12.75" hidden="1" customHeight="1" outlineLevel="1" collapsed="1">
      <c r="A1540" s="1865"/>
      <c r="B1540" s="1863"/>
      <c r="C1540" s="1827" t="s">
        <v>47</v>
      </c>
      <c r="D1540" s="1827"/>
      <c r="E1540" s="1827"/>
      <c r="F1540" s="1827"/>
      <c r="G1540" s="1827"/>
      <c r="H1540" s="1827"/>
      <c r="I1540" s="1827"/>
      <c r="J1540" s="773">
        <f>J1539*F1539</f>
        <v>1212030.2346000003</v>
      </c>
    </row>
    <row r="1541" spans="1:10" ht="12.75" hidden="1" customHeight="1" outlineLevel="1">
      <c r="A1541" s="1830" t="s">
        <v>2376</v>
      </c>
      <c r="B1541" s="1829">
        <v>17.12</v>
      </c>
      <c r="C1541" s="1808" t="s">
        <v>1304</v>
      </c>
      <c r="D1541" s="1808"/>
      <c r="E1541" s="1808"/>
      <c r="F1541" s="1808"/>
      <c r="G1541" s="1808" t="s">
        <v>1304</v>
      </c>
      <c r="H1541" s="1808"/>
      <c r="I1541" s="1808"/>
      <c r="J1541" s="1808"/>
    </row>
    <row r="1542" spans="1:10" ht="12.75" hidden="1" customHeight="1" outlineLevel="2">
      <c r="A1542" s="1830"/>
      <c r="B1542" s="1829"/>
      <c r="C1542" s="5" t="s">
        <v>2377</v>
      </c>
      <c r="D1542" s="5" t="s">
        <v>2378</v>
      </c>
      <c r="E1542" s="5" t="s">
        <v>48</v>
      </c>
      <c r="F1542" s="5">
        <v>1</v>
      </c>
      <c r="G1542" s="5">
        <v>5</v>
      </c>
      <c r="H1542" s="5">
        <v>7012.44</v>
      </c>
      <c r="I1542" s="5">
        <v>0</v>
      </c>
      <c r="J1542" s="5">
        <f t="shared" ref="J1542:J1548" si="30">(F1542*(1+G1542/100)) * (H1542*(1+I1542/100))</f>
        <v>7363.0619999999999</v>
      </c>
    </row>
    <row r="1543" spans="1:10" ht="12.75" hidden="1" customHeight="1" outlineLevel="2">
      <c r="A1543" s="1830"/>
      <c r="B1543" s="1829"/>
      <c r="C1543" s="5" t="s">
        <v>2379</v>
      </c>
      <c r="D1543" s="5" t="s">
        <v>2380</v>
      </c>
      <c r="E1543" s="5" t="s">
        <v>1492</v>
      </c>
      <c r="F1543" s="5">
        <v>0.2</v>
      </c>
      <c r="G1543" s="5">
        <v>0</v>
      </c>
      <c r="H1543" s="5">
        <v>2880.3599999999997</v>
      </c>
      <c r="I1543" s="5">
        <v>0</v>
      </c>
      <c r="J1543" s="5">
        <f t="shared" si="30"/>
        <v>576.072</v>
      </c>
    </row>
    <row r="1544" spans="1:10" ht="12.75" hidden="1" customHeight="1" outlineLevel="2">
      <c r="A1544" s="1830"/>
      <c r="B1544" s="1829"/>
      <c r="C1544" s="5" t="s">
        <v>1761</v>
      </c>
      <c r="D1544" s="5" t="s">
        <v>1762</v>
      </c>
      <c r="E1544" s="5" t="s">
        <v>1763</v>
      </c>
      <c r="F1544" s="5">
        <v>1E-3</v>
      </c>
      <c r="G1544" s="5">
        <v>5</v>
      </c>
      <c r="H1544" s="5">
        <v>87162.48000000001</v>
      </c>
      <c r="I1544" s="5">
        <v>0</v>
      </c>
      <c r="J1544" s="5">
        <f t="shared" si="30"/>
        <v>91.52060400000002</v>
      </c>
    </row>
    <row r="1545" spans="1:10" ht="12.75" hidden="1" customHeight="1" outlineLevel="2">
      <c r="A1545" s="1830"/>
      <c r="B1545" s="1829"/>
      <c r="C1545" s="5" t="s">
        <v>1764</v>
      </c>
      <c r="D1545" s="5" t="s">
        <v>1765</v>
      </c>
      <c r="E1545" s="5" t="s">
        <v>1492</v>
      </c>
      <c r="F1545" s="5">
        <v>1E-3</v>
      </c>
      <c r="G1545" s="5">
        <v>5</v>
      </c>
      <c r="H1545" s="5">
        <v>42064.92</v>
      </c>
      <c r="I1545" s="5">
        <v>0</v>
      </c>
      <c r="J1545" s="5">
        <f t="shared" si="30"/>
        <v>44.168166000000006</v>
      </c>
    </row>
    <row r="1546" spans="1:10" ht="12.75" hidden="1" customHeight="1" outlineLevel="2">
      <c r="A1546" s="1830"/>
      <c r="B1546" s="1829"/>
      <c r="C1546" s="5" t="s">
        <v>2381</v>
      </c>
      <c r="D1546" s="5" t="s">
        <v>2382</v>
      </c>
      <c r="E1546" s="5" t="s">
        <v>1492</v>
      </c>
      <c r="F1546" s="5">
        <v>0.2</v>
      </c>
      <c r="G1546" s="5">
        <v>0</v>
      </c>
      <c r="H1546" s="5">
        <v>2320.92</v>
      </c>
      <c r="I1546" s="5">
        <v>0</v>
      </c>
      <c r="J1546" s="5">
        <f t="shared" si="30"/>
        <v>464.18400000000003</v>
      </c>
    </row>
    <row r="1547" spans="1:10" ht="12.75" hidden="1" customHeight="1" outlineLevel="2">
      <c r="A1547" s="1830"/>
      <c r="B1547" s="1829"/>
      <c r="C1547" s="5" t="s">
        <v>1510</v>
      </c>
      <c r="D1547" s="5" t="s">
        <v>1511</v>
      </c>
      <c r="E1547" s="5" t="s">
        <v>1482</v>
      </c>
      <c r="F1547" s="5">
        <v>0.09</v>
      </c>
      <c r="G1547" s="5">
        <v>0</v>
      </c>
      <c r="H1547" s="5">
        <v>5527.21</v>
      </c>
      <c r="I1547" s="5">
        <v>0</v>
      </c>
      <c r="J1547" s="5">
        <f t="shared" si="30"/>
        <v>497.44889999999998</v>
      </c>
    </row>
    <row r="1548" spans="1:10" ht="12.75" hidden="1" customHeight="1" outlineLevel="2">
      <c r="A1548" s="1830"/>
      <c r="B1548" s="1829"/>
      <c r="C1548" s="5" t="s">
        <v>1747</v>
      </c>
      <c r="D1548" s="5" t="s">
        <v>1748</v>
      </c>
      <c r="E1548" s="5" t="s">
        <v>1482</v>
      </c>
      <c r="F1548" s="5">
        <v>0.3</v>
      </c>
      <c r="G1548" s="5">
        <v>0</v>
      </c>
      <c r="H1548" s="5">
        <v>7237.76</v>
      </c>
      <c r="I1548" s="5">
        <v>0</v>
      </c>
      <c r="J1548" s="5">
        <f t="shared" si="30"/>
        <v>2171.328</v>
      </c>
    </row>
    <row r="1549" spans="1:10" ht="12.75" hidden="1" customHeight="1" outlineLevel="2">
      <c r="A1549" s="1830"/>
      <c r="B1549" s="1829"/>
      <c r="C1549" s="5"/>
      <c r="D1549" s="5"/>
      <c r="E1549" s="5"/>
      <c r="F1549" s="5"/>
      <c r="G1549" s="5">
        <v>5</v>
      </c>
      <c r="H1549" s="5" t="s">
        <v>1514</v>
      </c>
      <c r="I1549" s="5"/>
      <c r="J1549" s="5">
        <v>133.44</v>
      </c>
    </row>
    <row r="1550" spans="1:10" ht="12.75" hidden="1" customHeight="1" outlineLevel="2">
      <c r="A1550" s="1830"/>
      <c r="B1550" s="1829"/>
      <c r="C1550" s="1808" t="s">
        <v>1488</v>
      </c>
      <c r="D1550" s="1808"/>
      <c r="E1550" s="942" t="s">
        <v>285</v>
      </c>
      <c r="F1550" s="583">
        <f>'14. Inst. Hidro-Sanitarias'!E64</f>
        <v>40</v>
      </c>
      <c r="G1550" s="942"/>
      <c r="H1550" s="942"/>
      <c r="I1550" s="942">
        <v>0</v>
      </c>
      <c r="J1550" s="943">
        <f>SUM(J1542:J1549)</f>
        <v>11341.223669999999</v>
      </c>
    </row>
    <row r="1551" spans="1:10" ht="12.75" hidden="1" customHeight="1" outlineLevel="1" collapsed="1">
      <c r="A1551" s="1830"/>
      <c r="B1551" s="1829"/>
      <c r="C1551" s="1827" t="s">
        <v>47</v>
      </c>
      <c r="D1551" s="1827"/>
      <c r="E1551" s="1827"/>
      <c r="F1551" s="1827"/>
      <c r="G1551" s="1827"/>
      <c r="H1551" s="1827"/>
      <c r="I1551" s="1827"/>
      <c r="J1551" s="773">
        <f>J1550*F1550</f>
        <v>453648.94679999998</v>
      </c>
    </row>
    <row r="1552" spans="1:10" ht="12.75" hidden="1" customHeight="1" outlineLevel="1">
      <c r="A1552" s="1830" t="s">
        <v>2383</v>
      </c>
      <c r="B1552" s="1829">
        <v>17.13</v>
      </c>
      <c r="C1552" s="1808" t="s">
        <v>1305</v>
      </c>
      <c r="D1552" s="1808"/>
      <c r="E1552" s="1808"/>
      <c r="F1552" s="1808"/>
      <c r="G1552" s="1808" t="s">
        <v>1304</v>
      </c>
      <c r="H1552" s="1808"/>
      <c r="I1552" s="1808"/>
      <c r="J1552" s="1808"/>
    </row>
    <row r="1553" spans="1:10" ht="12.75" hidden="1" customHeight="1" outlineLevel="2">
      <c r="A1553" s="1830"/>
      <c r="B1553" s="1829"/>
      <c r="C1553" s="5" t="s">
        <v>2384</v>
      </c>
      <c r="D1553" s="5" t="s">
        <v>2385</v>
      </c>
      <c r="E1553" s="5" t="s">
        <v>48</v>
      </c>
      <c r="F1553" s="5">
        <v>1</v>
      </c>
      <c r="G1553" s="5">
        <v>5</v>
      </c>
      <c r="H1553" s="5">
        <v>9359.2800000000007</v>
      </c>
      <c r="I1553" s="5">
        <v>0</v>
      </c>
      <c r="J1553" s="5">
        <f t="shared" ref="J1553:J1559" si="31">(F1553*(1+G1553/100)) * (H1553*(1+I1553/100))</f>
        <v>9827.2440000000006</v>
      </c>
    </row>
    <row r="1554" spans="1:10" ht="12.75" hidden="1" customHeight="1" outlineLevel="2">
      <c r="A1554" s="1830"/>
      <c r="B1554" s="1829"/>
      <c r="C1554" s="5" t="s">
        <v>2353</v>
      </c>
      <c r="D1554" s="5" t="s">
        <v>2354</v>
      </c>
      <c r="E1554" s="5" t="s">
        <v>1492</v>
      </c>
      <c r="F1554" s="5">
        <v>0.2</v>
      </c>
      <c r="G1554" s="5">
        <v>0</v>
      </c>
      <c r="H1554" s="5">
        <v>6671.1600000000008</v>
      </c>
      <c r="I1554" s="5">
        <v>0</v>
      </c>
      <c r="J1554" s="5">
        <f t="shared" si="31"/>
        <v>1334.2320000000002</v>
      </c>
    </row>
    <row r="1555" spans="1:10" ht="12.75" hidden="1" customHeight="1" outlineLevel="2">
      <c r="A1555" s="1830"/>
      <c r="B1555" s="1829"/>
      <c r="C1555" s="5" t="s">
        <v>1761</v>
      </c>
      <c r="D1555" s="5" t="s">
        <v>1762</v>
      </c>
      <c r="E1555" s="5" t="s">
        <v>1763</v>
      </c>
      <c r="F1555" s="5">
        <v>2E-3</v>
      </c>
      <c r="G1555" s="5">
        <v>5</v>
      </c>
      <c r="H1555" s="5">
        <v>87162.48000000001</v>
      </c>
      <c r="I1555" s="5">
        <v>0</v>
      </c>
      <c r="J1555" s="5">
        <f t="shared" si="31"/>
        <v>183.04120800000004</v>
      </c>
    </row>
    <row r="1556" spans="1:10" ht="12.75" hidden="1" customHeight="1" outlineLevel="2">
      <c r="A1556" s="1830"/>
      <c r="B1556" s="1829"/>
      <c r="C1556" s="5" t="s">
        <v>1764</v>
      </c>
      <c r="D1556" s="5" t="s">
        <v>1765</v>
      </c>
      <c r="E1556" s="5" t="s">
        <v>1492</v>
      </c>
      <c r="F1556" s="5">
        <v>2E-3</v>
      </c>
      <c r="G1556" s="5">
        <v>5</v>
      </c>
      <c r="H1556" s="5">
        <v>42064.92</v>
      </c>
      <c r="I1556" s="5">
        <v>0</v>
      </c>
      <c r="J1556" s="5">
        <f t="shared" si="31"/>
        <v>88.336332000000013</v>
      </c>
    </row>
    <row r="1557" spans="1:10" ht="12.75" hidden="1" customHeight="1" outlineLevel="2">
      <c r="A1557" s="1830"/>
      <c r="B1557" s="1829"/>
      <c r="C1557" s="5" t="s">
        <v>2357</v>
      </c>
      <c r="D1557" s="5" t="s">
        <v>2358</v>
      </c>
      <c r="E1557" s="5" t="s">
        <v>1492</v>
      </c>
      <c r="F1557" s="5">
        <v>0.2</v>
      </c>
      <c r="G1557" s="5">
        <v>0</v>
      </c>
      <c r="H1557" s="5">
        <v>3351.2400000000002</v>
      </c>
      <c r="I1557" s="5">
        <v>0</v>
      </c>
      <c r="J1557" s="5">
        <f t="shared" si="31"/>
        <v>670.24800000000005</v>
      </c>
    </row>
    <row r="1558" spans="1:10" ht="12.75" hidden="1" customHeight="1" outlineLevel="2">
      <c r="A1558" s="1830"/>
      <c r="B1558" s="1829"/>
      <c r="C1558" s="5" t="s">
        <v>1510</v>
      </c>
      <c r="D1558" s="5" t="s">
        <v>1511</v>
      </c>
      <c r="E1558" s="5" t="s">
        <v>1482</v>
      </c>
      <c r="F1558" s="5">
        <v>0.13500000000000001</v>
      </c>
      <c r="G1558" s="5">
        <v>0</v>
      </c>
      <c r="H1558" s="5">
        <v>5527.21</v>
      </c>
      <c r="I1558" s="5">
        <v>0</v>
      </c>
      <c r="J1558" s="5">
        <f t="shared" si="31"/>
        <v>746.17335000000003</v>
      </c>
    </row>
    <row r="1559" spans="1:10" ht="12.75" hidden="1" customHeight="1" outlineLevel="2">
      <c r="A1559" s="1830"/>
      <c r="B1559" s="1829"/>
      <c r="C1559" s="5" t="s">
        <v>1747</v>
      </c>
      <c r="D1559" s="5" t="s">
        <v>1748</v>
      </c>
      <c r="E1559" s="5" t="s">
        <v>1482</v>
      </c>
      <c r="F1559" s="5">
        <v>0.3</v>
      </c>
      <c r="G1559" s="5">
        <v>0</v>
      </c>
      <c r="H1559" s="5">
        <v>7237.76</v>
      </c>
      <c r="I1559" s="5">
        <v>0</v>
      </c>
      <c r="J1559" s="5">
        <f t="shared" si="31"/>
        <v>2171.328</v>
      </c>
    </row>
    <row r="1560" spans="1:10" ht="12.75" hidden="1" customHeight="1" outlineLevel="2">
      <c r="A1560" s="1830"/>
      <c r="B1560" s="1829"/>
      <c r="C1560" s="5"/>
      <c r="D1560" s="5"/>
      <c r="E1560" s="5"/>
      <c r="F1560" s="5"/>
      <c r="G1560" s="5">
        <v>5</v>
      </c>
      <c r="H1560" s="5" t="s">
        <v>1514</v>
      </c>
      <c r="I1560" s="5"/>
      <c r="J1560" s="5">
        <v>145.88</v>
      </c>
    </row>
    <row r="1561" spans="1:10" ht="12.75" hidden="1" customHeight="1" outlineLevel="2">
      <c r="A1561" s="1830"/>
      <c r="B1561" s="1829"/>
      <c r="C1561" s="1808" t="s">
        <v>1488</v>
      </c>
      <c r="D1561" s="1808"/>
      <c r="E1561" s="942" t="s">
        <v>285</v>
      </c>
      <c r="F1561" s="583">
        <f>'14. Inst. Hidro-Sanitarias'!E65</f>
        <v>8</v>
      </c>
      <c r="G1561" s="942"/>
      <c r="H1561" s="942"/>
      <c r="I1561" s="942">
        <v>0</v>
      </c>
      <c r="J1561" s="943">
        <f>SUM(J1553:J1560)</f>
        <v>15166.482889999999</v>
      </c>
    </row>
    <row r="1562" spans="1:10" ht="12.75" hidden="1" customHeight="1" outlineLevel="1" collapsed="1">
      <c r="A1562" s="1830"/>
      <c r="B1562" s="1829"/>
      <c r="C1562" s="1827" t="s">
        <v>47</v>
      </c>
      <c r="D1562" s="1827"/>
      <c r="E1562" s="1827"/>
      <c r="F1562" s="1827"/>
      <c r="G1562" s="1827"/>
      <c r="H1562" s="1827"/>
      <c r="I1562" s="1827"/>
      <c r="J1562" s="773">
        <f>J1561*F1561</f>
        <v>121331.86311999999</v>
      </c>
    </row>
    <row r="1563" spans="1:10" ht="12.75" hidden="1" customHeight="1" outlineLevel="1">
      <c r="A1563" s="1830" t="s">
        <v>2386</v>
      </c>
      <c r="B1563" s="1829">
        <v>17.14</v>
      </c>
      <c r="C1563" s="1808" t="s">
        <v>1306</v>
      </c>
      <c r="D1563" s="1808"/>
      <c r="E1563" s="1808"/>
      <c r="F1563" s="1808"/>
      <c r="G1563" s="1808" t="s">
        <v>1304</v>
      </c>
      <c r="H1563" s="1808"/>
      <c r="I1563" s="1808"/>
      <c r="J1563" s="1808"/>
    </row>
    <row r="1564" spans="1:10" ht="12.75" hidden="1" customHeight="1" outlineLevel="2">
      <c r="A1564" s="1830"/>
      <c r="B1564" s="1829"/>
      <c r="C1564" s="5" t="s">
        <v>2387</v>
      </c>
      <c r="D1564" s="5" t="s">
        <v>2388</v>
      </c>
      <c r="E1564" s="5" t="s">
        <v>48</v>
      </c>
      <c r="F1564" s="5">
        <v>1</v>
      </c>
      <c r="G1564" s="5">
        <v>5</v>
      </c>
      <c r="H1564" s="5">
        <v>16137.36</v>
      </c>
      <c r="I1564" s="5">
        <v>0</v>
      </c>
      <c r="J1564" s="5">
        <f t="shared" ref="J1564:J1571" si="32">(F1564*(1+G1564/100)) * (H1564*(1+I1564/100))</f>
        <v>16944.228000000003</v>
      </c>
    </row>
    <row r="1565" spans="1:10" ht="12.75" hidden="1" customHeight="1" outlineLevel="2">
      <c r="A1565" s="1830"/>
      <c r="B1565" s="1829"/>
      <c r="C1565" s="5" t="s">
        <v>1524</v>
      </c>
      <c r="D1565" s="5" t="s">
        <v>1525</v>
      </c>
      <c r="E1565" s="5" t="s">
        <v>1492</v>
      </c>
      <c r="F1565" s="5">
        <v>0.25</v>
      </c>
      <c r="G1565" s="5">
        <v>0</v>
      </c>
      <c r="H1565" s="5">
        <v>11494.439999999999</v>
      </c>
      <c r="I1565" s="5">
        <v>0</v>
      </c>
      <c r="J1565" s="5">
        <f t="shared" si="32"/>
        <v>2873.6099999999997</v>
      </c>
    </row>
    <row r="1566" spans="1:10" ht="12.75" hidden="1" customHeight="1" outlineLevel="2">
      <c r="A1566" s="1830"/>
      <c r="B1566" s="1829"/>
      <c r="C1566" s="5" t="s">
        <v>2362</v>
      </c>
      <c r="D1566" s="5" t="s">
        <v>2363</v>
      </c>
      <c r="E1566" s="5" t="s">
        <v>1492</v>
      </c>
      <c r="F1566" s="5">
        <v>0.25</v>
      </c>
      <c r="G1566" s="5">
        <v>0</v>
      </c>
      <c r="H1566" s="5">
        <v>15221.52</v>
      </c>
      <c r="I1566" s="5">
        <v>0</v>
      </c>
      <c r="J1566" s="5">
        <f t="shared" si="32"/>
        <v>3805.38</v>
      </c>
    </row>
    <row r="1567" spans="1:10" ht="12.75" hidden="1" customHeight="1" outlineLevel="2">
      <c r="A1567" s="1830"/>
      <c r="B1567" s="1829"/>
      <c r="C1567" s="5" t="s">
        <v>1761</v>
      </c>
      <c r="D1567" s="5" t="s">
        <v>1762</v>
      </c>
      <c r="E1567" s="5" t="s">
        <v>1763</v>
      </c>
      <c r="F1567" s="5">
        <v>3.0000000000000001E-3</v>
      </c>
      <c r="G1567" s="5">
        <v>5</v>
      </c>
      <c r="H1567" s="5">
        <v>87162.48000000001</v>
      </c>
      <c r="I1567" s="5">
        <v>0</v>
      </c>
      <c r="J1567" s="5">
        <f t="shared" si="32"/>
        <v>274.56181200000003</v>
      </c>
    </row>
    <row r="1568" spans="1:10" ht="12.75" hidden="1" customHeight="1" outlineLevel="2">
      <c r="A1568" s="1830"/>
      <c r="B1568" s="1829"/>
      <c r="C1568" s="5" t="s">
        <v>1764</v>
      </c>
      <c r="D1568" s="5" t="s">
        <v>1765</v>
      </c>
      <c r="E1568" s="5" t="s">
        <v>1492</v>
      </c>
      <c r="F1568" s="5">
        <v>3.0000000000000001E-3</v>
      </c>
      <c r="G1568" s="5">
        <v>5</v>
      </c>
      <c r="H1568" s="5">
        <v>42064.92</v>
      </c>
      <c r="I1568" s="5">
        <v>0</v>
      </c>
      <c r="J1568" s="5">
        <f t="shared" si="32"/>
        <v>132.50449799999998</v>
      </c>
    </row>
    <row r="1569" spans="1:10" ht="12.75" hidden="1" customHeight="1" outlineLevel="2">
      <c r="A1569" s="1830"/>
      <c r="B1569" s="1829"/>
      <c r="C1569" s="5" t="s">
        <v>2364</v>
      </c>
      <c r="D1569" s="5" t="s">
        <v>2365</v>
      </c>
      <c r="E1569" s="5" t="s">
        <v>1492</v>
      </c>
      <c r="F1569" s="5">
        <v>0.2</v>
      </c>
      <c r="G1569" s="5">
        <v>0</v>
      </c>
      <c r="H1569" s="5">
        <v>6694.92</v>
      </c>
      <c r="I1569" s="5">
        <v>0</v>
      </c>
      <c r="J1569" s="5">
        <f t="shared" si="32"/>
        <v>1338.9840000000002</v>
      </c>
    </row>
    <row r="1570" spans="1:10" ht="12.75" hidden="1" customHeight="1" outlineLevel="2">
      <c r="A1570" s="1830"/>
      <c r="B1570" s="1829"/>
      <c r="C1570" s="5" t="s">
        <v>1510</v>
      </c>
      <c r="D1570" s="5" t="s">
        <v>1511</v>
      </c>
      <c r="E1570" s="5" t="s">
        <v>1482</v>
      </c>
      <c r="F1570" s="5">
        <v>0.17499999999999999</v>
      </c>
      <c r="G1570" s="5">
        <v>0</v>
      </c>
      <c r="H1570" s="5">
        <v>5527.21</v>
      </c>
      <c r="I1570" s="5">
        <v>0</v>
      </c>
      <c r="J1570" s="5">
        <f t="shared" si="32"/>
        <v>967.26174999999989</v>
      </c>
    </row>
    <row r="1571" spans="1:10" ht="12.75" hidden="1" customHeight="1" outlineLevel="2">
      <c r="A1571" s="1830"/>
      <c r="B1571" s="1829"/>
      <c r="C1571" s="5" t="s">
        <v>1747</v>
      </c>
      <c r="D1571" s="5" t="s">
        <v>1748</v>
      </c>
      <c r="E1571" s="5" t="s">
        <v>1482</v>
      </c>
      <c r="F1571" s="5">
        <v>0.3</v>
      </c>
      <c r="G1571" s="5">
        <v>0</v>
      </c>
      <c r="H1571" s="5">
        <v>7237.76</v>
      </c>
      <c r="I1571" s="5">
        <v>0</v>
      </c>
      <c r="J1571" s="5">
        <f t="shared" si="32"/>
        <v>2171.328</v>
      </c>
    </row>
    <row r="1572" spans="1:10" ht="12.75" hidden="1" customHeight="1" outlineLevel="2">
      <c r="A1572" s="1830"/>
      <c r="B1572" s="1829"/>
      <c r="C1572" s="5"/>
      <c r="D1572" s="5"/>
      <c r="E1572" s="5"/>
      <c r="F1572" s="5"/>
      <c r="G1572" s="5">
        <v>5</v>
      </c>
      <c r="H1572" s="5" t="s">
        <v>1514</v>
      </c>
      <c r="I1572" s="5"/>
      <c r="J1572" s="5">
        <v>156.93</v>
      </c>
    </row>
    <row r="1573" spans="1:10" ht="12.75" hidden="1" customHeight="1" outlineLevel="2">
      <c r="A1573" s="1830"/>
      <c r="B1573" s="1829"/>
      <c r="C1573" s="1808" t="s">
        <v>1488</v>
      </c>
      <c r="D1573" s="1808"/>
      <c r="E1573" s="942" t="s">
        <v>285</v>
      </c>
      <c r="F1573" s="583">
        <f>'14. Inst. Hidro-Sanitarias'!E66</f>
        <v>20</v>
      </c>
      <c r="G1573" s="942"/>
      <c r="H1573" s="942"/>
      <c r="I1573" s="942">
        <v>0</v>
      </c>
      <c r="J1573" s="943">
        <f>SUM(J1564:J1572)</f>
        <v>28664.788060000006</v>
      </c>
    </row>
    <row r="1574" spans="1:10" ht="12.75" hidden="1" customHeight="1" outlineLevel="1" collapsed="1">
      <c r="A1574" s="1830"/>
      <c r="B1574" s="1829"/>
      <c r="C1574" s="1827" t="s">
        <v>47</v>
      </c>
      <c r="D1574" s="1827"/>
      <c r="E1574" s="1827"/>
      <c r="F1574" s="1827"/>
      <c r="G1574" s="1827"/>
      <c r="H1574" s="1827"/>
      <c r="I1574" s="1827"/>
      <c r="J1574" s="773">
        <f>J1573*F1573</f>
        <v>573295.76120000007</v>
      </c>
    </row>
    <row r="1575" spans="1:10" ht="12.75" hidden="1" customHeight="1" outlineLevel="1">
      <c r="A1575" s="1864" t="s">
        <v>2402</v>
      </c>
      <c r="B1575" s="1829">
        <v>17.149999999999999</v>
      </c>
      <c r="C1575" s="1842" t="s">
        <v>1307</v>
      </c>
      <c r="D1575" s="1843"/>
      <c r="E1575" s="1843"/>
      <c r="F1575" s="1843"/>
      <c r="G1575" s="1843" t="s">
        <v>1307</v>
      </c>
      <c r="H1575" s="1843"/>
      <c r="I1575" s="1843"/>
      <c r="J1575" s="1835"/>
    </row>
    <row r="1576" spans="1:10" ht="12.75" hidden="1" customHeight="1" outlineLevel="2">
      <c r="A1576" s="1864"/>
      <c r="B1576" s="1829"/>
      <c r="C1576" s="5" t="s">
        <v>2351</v>
      </c>
      <c r="D1576" s="5" t="s">
        <v>2352</v>
      </c>
      <c r="E1576" s="5" t="s">
        <v>48</v>
      </c>
      <c r="F1576" s="5">
        <v>1</v>
      </c>
      <c r="G1576" s="5">
        <v>5</v>
      </c>
      <c r="H1576" s="5">
        <v>15984</v>
      </c>
      <c r="I1576" s="5">
        <v>0</v>
      </c>
      <c r="J1576" s="5">
        <f t="shared" ref="J1576:J1583" si="33">(F1576*(1+G1576/100)) * (H1576*(1+I1576/100))</f>
        <v>16783.2</v>
      </c>
    </row>
    <row r="1577" spans="1:10" ht="12.75" hidden="1" customHeight="1" outlineLevel="2">
      <c r="A1577" s="1864"/>
      <c r="B1577" s="1829"/>
      <c r="C1577" s="5" t="s">
        <v>2353</v>
      </c>
      <c r="D1577" s="5" t="s">
        <v>2354</v>
      </c>
      <c r="E1577" s="5" t="s">
        <v>1492</v>
      </c>
      <c r="F1577" s="5">
        <v>0.25</v>
      </c>
      <c r="G1577" s="5">
        <v>0</v>
      </c>
      <c r="H1577" s="5">
        <v>6671.1600000000008</v>
      </c>
      <c r="I1577" s="5">
        <v>0</v>
      </c>
      <c r="J1577" s="5">
        <f t="shared" si="33"/>
        <v>1667.7900000000002</v>
      </c>
    </row>
    <row r="1578" spans="1:10" ht="12.75" hidden="1" customHeight="1" outlineLevel="2">
      <c r="A1578" s="1864"/>
      <c r="B1578" s="1829"/>
      <c r="C1578" s="5" t="s">
        <v>2355</v>
      </c>
      <c r="D1578" s="5" t="s">
        <v>2356</v>
      </c>
      <c r="E1578" s="5" t="s">
        <v>1492</v>
      </c>
      <c r="F1578" s="5">
        <v>0.25</v>
      </c>
      <c r="G1578" s="5">
        <v>0</v>
      </c>
      <c r="H1578" s="5">
        <v>7371</v>
      </c>
      <c r="I1578" s="5">
        <v>0</v>
      </c>
      <c r="J1578" s="5">
        <f t="shared" si="33"/>
        <v>1842.75</v>
      </c>
    </row>
    <row r="1579" spans="1:10" ht="12.75" hidden="1" customHeight="1" outlineLevel="2">
      <c r="A1579" s="1864"/>
      <c r="B1579" s="1829"/>
      <c r="C1579" s="5" t="s">
        <v>1761</v>
      </c>
      <c r="D1579" s="5" t="s">
        <v>1762</v>
      </c>
      <c r="E1579" s="5" t="s">
        <v>1763</v>
      </c>
      <c r="F1579" s="5">
        <v>2E-3</v>
      </c>
      <c r="G1579" s="5">
        <v>5</v>
      </c>
      <c r="H1579" s="5">
        <v>87162.48000000001</v>
      </c>
      <c r="I1579" s="5">
        <v>0</v>
      </c>
      <c r="J1579" s="5">
        <f t="shared" si="33"/>
        <v>183.04120800000004</v>
      </c>
    </row>
    <row r="1580" spans="1:10" ht="12.75" hidden="1" customHeight="1" outlineLevel="2">
      <c r="A1580" s="1864"/>
      <c r="B1580" s="1829"/>
      <c r="C1580" s="5" t="s">
        <v>1764</v>
      </c>
      <c r="D1580" s="5" t="s">
        <v>1765</v>
      </c>
      <c r="E1580" s="5" t="s">
        <v>1492</v>
      </c>
      <c r="F1580" s="5">
        <v>2E-3</v>
      </c>
      <c r="G1580" s="5">
        <v>5</v>
      </c>
      <c r="H1580" s="5">
        <v>42064.92</v>
      </c>
      <c r="I1580" s="5">
        <v>0</v>
      </c>
      <c r="J1580" s="5">
        <f t="shared" si="33"/>
        <v>88.336332000000013</v>
      </c>
    </row>
    <row r="1581" spans="1:10" ht="12.75" hidden="1" customHeight="1" outlineLevel="2">
      <c r="A1581" s="1864"/>
      <c r="B1581" s="1829"/>
      <c r="C1581" s="5" t="s">
        <v>2357</v>
      </c>
      <c r="D1581" s="5" t="s">
        <v>2358</v>
      </c>
      <c r="E1581" s="5" t="s">
        <v>1492</v>
      </c>
      <c r="F1581" s="5">
        <v>0.2</v>
      </c>
      <c r="G1581" s="5">
        <v>0</v>
      </c>
      <c r="H1581" s="5">
        <v>3351.2400000000002</v>
      </c>
      <c r="I1581" s="5">
        <v>0</v>
      </c>
      <c r="J1581" s="5">
        <f t="shared" si="33"/>
        <v>670.24800000000005</v>
      </c>
    </row>
    <row r="1582" spans="1:10" ht="12.75" hidden="1" customHeight="1" outlineLevel="2">
      <c r="A1582" s="1864"/>
      <c r="B1582" s="1829"/>
      <c r="C1582" s="5" t="s">
        <v>1510</v>
      </c>
      <c r="D1582" s="5" t="s">
        <v>1511</v>
      </c>
      <c r="E1582" s="5" t="s">
        <v>1482</v>
      </c>
      <c r="F1582" s="5">
        <v>0.12</v>
      </c>
      <c r="G1582" s="5">
        <v>0</v>
      </c>
      <c r="H1582" s="5">
        <v>5527.21</v>
      </c>
      <c r="I1582" s="5">
        <v>0</v>
      </c>
      <c r="J1582" s="5">
        <f t="shared" si="33"/>
        <v>663.26519999999994</v>
      </c>
    </row>
    <row r="1583" spans="1:10" ht="12.75" hidden="1" customHeight="1" outlineLevel="2">
      <c r="A1583" s="1864"/>
      <c r="B1583" s="1829"/>
      <c r="C1583" s="5" t="s">
        <v>1747</v>
      </c>
      <c r="D1583" s="5" t="s">
        <v>1748</v>
      </c>
      <c r="E1583" s="5" t="s">
        <v>1482</v>
      </c>
      <c r="F1583" s="5">
        <v>0.15</v>
      </c>
      <c r="G1583" s="5">
        <v>0</v>
      </c>
      <c r="H1583" s="5">
        <v>7237.76</v>
      </c>
      <c r="I1583" s="5">
        <v>0</v>
      </c>
      <c r="J1583" s="5">
        <f t="shared" si="33"/>
        <v>1085.664</v>
      </c>
    </row>
    <row r="1584" spans="1:10" ht="12.75" hidden="1" customHeight="1" outlineLevel="2">
      <c r="A1584" s="1864"/>
      <c r="B1584" s="1829"/>
      <c r="C1584" s="5"/>
      <c r="D1584" s="5"/>
      <c r="E1584" s="5"/>
      <c r="F1584" s="5"/>
      <c r="G1584" s="5">
        <v>5</v>
      </c>
      <c r="H1584" s="5" t="s">
        <v>1514</v>
      </c>
      <c r="I1584" s="5"/>
      <c r="J1584" s="5">
        <v>87.45</v>
      </c>
    </row>
    <row r="1585" spans="1:10" ht="12.75" hidden="1" customHeight="1" outlineLevel="2">
      <c r="A1585" s="1864"/>
      <c r="B1585" s="1829"/>
      <c r="C1585" s="1808" t="s">
        <v>1488</v>
      </c>
      <c r="D1585" s="1808"/>
      <c r="E1585" s="942" t="s">
        <v>345</v>
      </c>
      <c r="F1585" s="583">
        <f>'14. Inst. Hidro-Sanitarias'!M8</f>
        <v>3.24</v>
      </c>
      <c r="G1585" s="942"/>
      <c r="H1585" s="942"/>
      <c r="I1585" s="942">
        <v>0</v>
      </c>
      <c r="J1585" s="943">
        <f>SUM(J1576:J1584)</f>
        <v>23071.744740000002</v>
      </c>
    </row>
    <row r="1586" spans="1:10" ht="12.75" hidden="1" customHeight="1" outlineLevel="1" collapsed="1">
      <c r="A1586" s="1864"/>
      <c r="B1586" s="1829"/>
      <c r="C1586" s="1827" t="s">
        <v>47</v>
      </c>
      <c r="D1586" s="1827"/>
      <c r="E1586" s="1827"/>
      <c r="F1586" s="1827"/>
      <c r="G1586" s="1827"/>
      <c r="H1586" s="1827"/>
      <c r="I1586" s="1827"/>
      <c r="J1586" s="773">
        <f>J1585*F1585</f>
        <v>74752.452957600006</v>
      </c>
    </row>
    <row r="1587" spans="1:10" ht="12.75" hidden="1" customHeight="1" outlineLevel="1">
      <c r="A1587" s="1864" t="s">
        <v>2359</v>
      </c>
      <c r="B1587" s="1829">
        <v>17.16</v>
      </c>
      <c r="C1587" s="1842" t="s">
        <v>1308</v>
      </c>
      <c r="D1587" s="1843"/>
      <c r="E1587" s="1843"/>
      <c r="F1587" s="1843"/>
      <c r="G1587" s="1843" t="s">
        <v>1307</v>
      </c>
      <c r="H1587" s="1843"/>
      <c r="I1587" s="1843"/>
      <c r="J1587" s="1835"/>
    </row>
    <row r="1588" spans="1:10" ht="12.75" hidden="1" customHeight="1" outlineLevel="2">
      <c r="A1588" s="1864"/>
      <c r="B1588" s="1829"/>
      <c r="C1588" s="5" t="s">
        <v>2360</v>
      </c>
      <c r="D1588" s="5" t="s">
        <v>2361</v>
      </c>
      <c r="E1588" s="5" t="s">
        <v>48</v>
      </c>
      <c r="F1588" s="5">
        <v>1</v>
      </c>
      <c r="G1588" s="5">
        <v>5</v>
      </c>
      <c r="H1588" s="5">
        <v>22277.16</v>
      </c>
      <c r="I1588" s="5">
        <v>0</v>
      </c>
      <c r="J1588" s="5">
        <f t="shared" ref="J1588:J1595" si="34">(F1588*(1+G1588/100)) * (H1588*(1+I1588/100))</f>
        <v>23391.018</v>
      </c>
    </row>
    <row r="1589" spans="1:10" ht="12.75" hidden="1" customHeight="1" outlineLevel="2">
      <c r="A1589" s="1864"/>
      <c r="B1589" s="1829"/>
      <c r="C1589" s="5" t="s">
        <v>1524</v>
      </c>
      <c r="D1589" s="5" t="s">
        <v>1525</v>
      </c>
      <c r="E1589" s="5" t="s">
        <v>1492</v>
      </c>
      <c r="F1589" s="5">
        <v>0.25</v>
      </c>
      <c r="G1589" s="5">
        <v>0</v>
      </c>
      <c r="H1589" s="5">
        <v>11494.439999999999</v>
      </c>
      <c r="I1589" s="5">
        <v>0</v>
      </c>
      <c r="J1589" s="5">
        <f t="shared" si="34"/>
        <v>2873.6099999999997</v>
      </c>
    </row>
    <row r="1590" spans="1:10" ht="12.75" hidden="1" customHeight="1" outlineLevel="2">
      <c r="A1590" s="1864"/>
      <c r="B1590" s="1829"/>
      <c r="C1590" s="5" t="s">
        <v>2362</v>
      </c>
      <c r="D1590" s="5" t="s">
        <v>2363</v>
      </c>
      <c r="E1590" s="5" t="s">
        <v>1492</v>
      </c>
      <c r="F1590" s="5">
        <v>0.25</v>
      </c>
      <c r="G1590" s="5">
        <v>0</v>
      </c>
      <c r="H1590" s="5">
        <v>15221.52</v>
      </c>
      <c r="I1590" s="5">
        <v>0</v>
      </c>
      <c r="J1590" s="5">
        <f t="shared" si="34"/>
        <v>3805.38</v>
      </c>
    </row>
    <row r="1591" spans="1:10" ht="12.75" hidden="1" customHeight="1" outlineLevel="2">
      <c r="A1591" s="1864"/>
      <c r="B1591" s="1829"/>
      <c r="C1591" s="5" t="s">
        <v>1761</v>
      </c>
      <c r="D1591" s="5" t="s">
        <v>1762</v>
      </c>
      <c r="E1591" s="5" t="s">
        <v>1763</v>
      </c>
      <c r="F1591" s="5">
        <v>3.0000000000000001E-3</v>
      </c>
      <c r="G1591" s="5">
        <v>5</v>
      </c>
      <c r="H1591" s="5">
        <v>87162.48000000001</v>
      </c>
      <c r="I1591" s="5">
        <v>0</v>
      </c>
      <c r="J1591" s="5">
        <f t="shared" si="34"/>
        <v>274.56181200000003</v>
      </c>
    </row>
    <row r="1592" spans="1:10" ht="12.75" hidden="1" customHeight="1" outlineLevel="2">
      <c r="A1592" s="1864"/>
      <c r="B1592" s="1829"/>
      <c r="C1592" s="5" t="s">
        <v>1764</v>
      </c>
      <c r="D1592" s="5" t="s">
        <v>1765</v>
      </c>
      <c r="E1592" s="5" t="s">
        <v>1492</v>
      </c>
      <c r="F1592" s="5">
        <v>3.0000000000000001E-3</v>
      </c>
      <c r="G1592" s="5">
        <v>5</v>
      </c>
      <c r="H1592" s="5">
        <v>42064.92</v>
      </c>
      <c r="I1592" s="5">
        <v>0</v>
      </c>
      <c r="J1592" s="5">
        <f t="shared" si="34"/>
        <v>132.50449799999998</v>
      </c>
    </row>
    <row r="1593" spans="1:10" ht="12.75" hidden="1" customHeight="1" outlineLevel="2">
      <c r="A1593" s="1864"/>
      <c r="B1593" s="1829"/>
      <c r="C1593" s="5" t="s">
        <v>2364</v>
      </c>
      <c r="D1593" s="5" t="s">
        <v>2365</v>
      </c>
      <c r="E1593" s="5" t="s">
        <v>1492</v>
      </c>
      <c r="F1593" s="5">
        <v>0.2</v>
      </c>
      <c r="G1593" s="5">
        <v>0</v>
      </c>
      <c r="H1593" s="5">
        <v>6694.92</v>
      </c>
      <c r="I1593" s="5">
        <v>0</v>
      </c>
      <c r="J1593" s="5">
        <f t="shared" si="34"/>
        <v>1338.9840000000002</v>
      </c>
    </row>
    <row r="1594" spans="1:10" ht="12.75" hidden="1" customHeight="1" outlineLevel="2">
      <c r="A1594" s="1864"/>
      <c r="B1594" s="1829"/>
      <c r="C1594" s="5" t="s">
        <v>1510</v>
      </c>
      <c r="D1594" s="5" t="s">
        <v>1511</v>
      </c>
      <c r="E1594" s="5" t="s">
        <v>1482</v>
      </c>
      <c r="F1594" s="5">
        <v>0.17499999999999999</v>
      </c>
      <c r="G1594" s="5">
        <v>0</v>
      </c>
      <c r="H1594" s="5">
        <v>5527.21</v>
      </c>
      <c r="I1594" s="5">
        <v>0</v>
      </c>
      <c r="J1594" s="5">
        <f t="shared" si="34"/>
        <v>967.26174999999989</v>
      </c>
    </row>
    <row r="1595" spans="1:10" ht="12.75" hidden="1" customHeight="1" outlineLevel="2">
      <c r="A1595" s="1864"/>
      <c r="B1595" s="1829"/>
      <c r="C1595" s="5" t="s">
        <v>1747</v>
      </c>
      <c r="D1595" s="5" t="s">
        <v>1748</v>
      </c>
      <c r="E1595" s="5" t="s">
        <v>1482</v>
      </c>
      <c r="F1595" s="5">
        <v>0.17499999999999999</v>
      </c>
      <c r="G1595" s="5">
        <v>0</v>
      </c>
      <c r="H1595" s="5">
        <v>7237.76</v>
      </c>
      <c r="I1595" s="5">
        <v>0</v>
      </c>
      <c r="J1595" s="5">
        <f t="shared" si="34"/>
        <v>1266.6079999999999</v>
      </c>
    </row>
    <row r="1596" spans="1:10" ht="12.75" hidden="1" customHeight="1" outlineLevel="2">
      <c r="A1596" s="1864"/>
      <c r="B1596" s="1829"/>
      <c r="C1596" s="5"/>
      <c r="D1596" s="5"/>
      <c r="E1596" s="5"/>
      <c r="F1596" s="5"/>
      <c r="G1596" s="5">
        <v>5</v>
      </c>
      <c r="H1596" s="5" t="s">
        <v>1514</v>
      </c>
      <c r="I1596" s="5"/>
      <c r="J1596" s="5">
        <v>111.69000000000001</v>
      </c>
    </row>
    <row r="1597" spans="1:10" ht="12.75" hidden="1" customHeight="1" outlineLevel="2">
      <c r="A1597" s="1864"/>
      <c r="B1597" s="1829"/>
      <c r="C1597" s="1808" t="s">
        <v>1488</v>
      </c>
      <c r="D1597" s="1808"/>
      <c r="E1597" s="942" t="s">
        <v>345</v>
      </c>
      <c r="F1597" s="583">
        <f>'14. Inst. Hidro-Sanitarias'!M9</f>
        <v>41.760000000000005</v>
      </c>
      <c r="G1597" s="942"/>
      <c r="H1597" s="942"/>
      <c r="I1597" s="942">
        <v>0</v>
      </c>
      <c r="J1597" s="943">
        <f>SUM(J1588:J1596)</f>
        <v>34161.618060000001</v>
      </c>
    </row>
    <row r="1598" spans="1:10" ht="12.75" hidden="1" customHeight="1" outlineLevel="1" collapsed="1">
      <c r="A1598" s="1864"/>
      <c r="B1598" s="1829"/>
      <c r="C1598" s="1827" t="s">
        <v>47</v>
      </c>
      <c r="D1598" s="1827"/>
      <c r="E1598" s="1827"/>
      <c r="F1598" s="1827"/>
      <c r="G1598" s="1827"/>
      <c r="H1598" s="1827"/>
      <c r="I1598" s="1827"/>
      <c r="J1598" s="773">
        <f>J1597*F1597</f>
        <v>1426589.1701856002</v>
      </c>
    </row>
    <row r="1599" spans="1:10" ht="12.75" hidden="1" customHeight="1" outlineLevel="1">
      <c r="A1599" s="1864" t="s">
        <v>2366</v>
      </c>
      <c r="B1599" s="1829">
        <v>17.170000000000002</v>
      </c>
      <c r="C1599" s="1842" t="s">
        <v>1309</v>
      </c>
      <c r="D1599" s="1843"/>
      <c r="E1599" s="1843"/>
      <c r="F1599" s="1843"/>
      <c r="G1599" s="1843" t="s">
        <v>1307</v>
      </c>
      <c r="H1599" s="1843"/>
      <c r="I1599" s="1843"/>
      <c r="J1599" s="1835"/>
    </row>
    <row r="1600" spans="1:10" ht="12.75" hidden="1" customHeight="1" outlineLevel="2">
      <c r="A1600" s="1864"/>
      <c r="B1600" s="1829"/>
      <c r="C1600" s="5" t="s">
        <v>1809</v>
      </c>
      <c r="D1600" s="5" t="s">
        <v>1810</v>
      </c>
      <c r="E1600" s="5" t="s">
        <v>1492</v>
      </c>
      <c r="F1600" s="5">
        <v>1</v>
      </c>
      <c r="G1600" s="5">
        <v>0</v>
      </c>
      <c r="H1600" s="5">
        <v>7213</v>
      </c>
      <c r="I1600" s="5">
        <v>0</v>
      </c>
      <c r="J1600" s="5">
        <f t="shared" ref="J1600:J1607" si="35">(F1600*(1+G1600/100)) * (H1600*(1+I1600/100))</f>
        <v>7213</v>
      </c>
    </row>
    <row r="1601" spans="1:10" ht="12.75" hidden="1" customHeight="1" outlineLevel="2">
      <c r="A1601" s="1864"/>
      <c r="B1601" s="1829"/>
      <c r="C1601" s="5" t="s">
        <v>2367</v>
      </c>
      <c r="D1601" s="5" t="s">
        <v>2368</v>
      </c>
      <c r="E1601" s="5" t="s">
        <v>1492</v>
      </c>
      <c r="F1601" s="5">
        <v>0.25</v>
      </c>
      <c r="G1601" s="5">
        <v>0</v>
      </c>
      <c r="H1601" s="5">
        <v>139543.56</v>
      </c>
      <c r="I1601" s="5">
        <v>0</v>
      </c>
      <c r="J1601" s="5">
        <f t="shared" si="35"/>
        <v>34885.89</v>
      </c>
    </row>
    <row r="1602" spans="1:10" ht="12.75" hidden="1" customHeight="1" outlineLevel="2">
      <c r="A1602" s="1864"/>
      <c r="B1602" s="1829"/>
      <c r="C1602" s="5" t="s">
        <v>2369</v>
      </c>
      <c r="D1602" s="5" t="s">
        <v>2370</v>
      </c>
      <c r="E1602" s="5" t="s">
        <v>48</v>
      </c>
      <c r="F1602" s="5">
        <v>1</v>
      </c>
      <c r="G1602" s="5">
        <v>5</v>
      </c>
      <c r="H1602" s="5">
        <v>47172.240000000005</v>
      </c>
      <c r="I1602" s="5">
        <v>0</v>
      </c>
      <c r="J1602" s="5">
        <f t="shared" si="35"/>
        <v>49530.852000000006</v>
      </c>
    </row>
    <row r="1603" spans="1:10" ht="12.75" hidden="1" customHeight="1" outlineLevel="2">
      <c r="A1603" s="1864"/>
      <c r="B1603" s="1829"/>
      <c r="C1603" s="5" t="s">
        <v>1761</v>
      </c>
      <c r="D1603" s="5" t="s">
        <v>1762</v>
      </c>
      <c r="E1603" s="5" t="s">
        <v>1763</v>
      </c>
      <c r="F1603" s="5">
        <v>5.0000000000000001E-3</v>
      </c>
      <c r="G1603" s="5">
        <v>5</v>
      </c>
      <c r="H1603" s="5">
        <v>87162.48000000001</v>
      </c>
      <c r="I1603" s="5">
        <v>0</v>
      </c>
      <c r="J1603" s="5">
        <f t="shared" si="35"/>
        <v>457.60302000000007</v>
      </c>
    </row>
    <row r="1604" spans="1:10" ht="12.75" hidden="1" customHeight="1" outlineLevel="2">
      <c r="A1604" s="1864"/>
      <c r="B1604" s="1829"/>
      <c r="C1604" s="5" t="s">
        <v>1764</v>
      </c>
      <c r="D1604" s="5" t="s">
        <v>1765</v>
      </c>
      <c r="E1604" s="5" t="s">
        <v>1492</v>
      </c>
      <c r="F1604" s="5">
        <v>5.0000000000000001E-3</v>
      </c>
      <c r="G1604" s="5">
        <v>5</v>
      </c>
      <c r="H1604" s="5">
        <v>42064.92</v>
      </c>
      <c r="I1604" s="5">
        <v>0</v>
      </c>
      <c r="J1604" s="5">
        <f t="shared" si="35"/>
        <v>220.84083000000001</v>
      </c>
    </row>
    <row r="1605" spans="1:10" ht="12.75" hidden="1" customHeight="1" outlineLevel="2">
      <c r="A1605" s="1864"/>
      <c r="B1605" s="1829"/>
      <c r="C1605" s="5" t="s">
        <v>2371</v>
      </c>
      <c r="D1605" s="5" t="s">
        <v>2372</v>
      </c>
      <c r="E1605" s="5" t="s">
        <v>1492</v>
      </c>
      <c r="F1605" s="5">
        <v>0.2</v>
      </c>
      <c r="G1605" s="5">
        <v>0</v>
      </c>
      <c r="H1605" s="5">
        <v>29352.240000000002</v>
      </c>
      <c r="I1605" s="5">
        <v>0</v>
      </c>
      <c r="J1605" s="5">
        <f t="shared" si="35"/>
        <v>5870.4480000000003</v>
      </c>
    </row>
    <row r="1606" spans="1:10" ht="12.75" hidden="1" customHeight="1" outlineLevel="2">
      <c r="A1606" s="1864"/>
      <c r="B1606" s="1829"/>
      <c r="C1606" s="5" t="s">
        <v>1510</v>
      </c>
      <c r="D1606" s="5" t="s">
        <v>1511</v>
      </c>
      <c r="E1606" s="5" t="s">
        <v>1482</v>
      </c>
      <c r="F1606" s="5">
        <v>0.26500000000000001</v>
      </c>
      <c r="G1606" s="5">
        <v>0</v>
      </c>
      <c r="H1606" s="5">
        <v>5527.21</v>
      </c>
      <c r="I1606" s="5">
        <v>0</v>
      </c>
      <c r="J1606" s="5">
        <f t="shared" si="35"/>
        <v>1464.71065</v>
      </c>
    </row>
    <row r="1607" spans="1:10" ht="12.75" hidden="1" customHeight="1" outlineLevel="2">
      <c r="A1607" s="1864"/>
      <c r="B1607" s="1829"/>
      <c r="C1607" s="5" t="s">
        <v>1747</v>
      </c>
      <c r="D1607" s="5" t="s">
        <v>1748</v>
      </c>
      <c r="E1607" s="5" t="s">
        <v>1482</v>
      </c>
      <c r="F1607" s="5">
        <v>0.26500000000000001</v>
      </c>
      <c r="G1607" s="5">
        <v>0</v>
      </c>
      <c r="H1607" s="5">
        <v>7237.76</v>
      </c>
      <c r="I1607" s="5">
        <v>0</v>
      </c>
      <c r="J1607" s="5">
        <f t="shared" si="35"/>
        <v>1918.0064000000002</v>
      </c>
    </row>
    <row r="1608" spans="1:10" ht="12.75" hidden="1" customHeight="1" outlineLevel="2">
      <c r="A1608" s="1864"/>
      <c r="B1608" s="1829"/>
      <c r="C1608" s="5"/>
      <c r="D1608" s="5"/>
      <c r="E1608" s="5"/>
      <c r="F1608" s="5"/>
      <c r="G1608" s="5">
        <v>5</v>
      </c>
      <c r="H1608" s="5" t="s">
        <v>1514</v>
      </c>
      <c r="I1608" s="5"/>
      <c r="J1608" s="5">
        <v>169.14000000000001</v>
      </c>
    </row>
    <row r="1609" spans="1:10" ht="12.75" hidden="1" customHeight="1" outlineLevel="2">
      <c r="A1609" s="1864"/>
      <c r="B1609" s="1829"/>
      <c r="C1609" s="1808" t="s">
        <v>1488</v>
      </c>
      <c r="D1609" s="1808"/>
      <c r="E1609" s="942" t="s">
        <v>345</v>
      </c>
      <c r="F1609" s="583">
        <f>'14. Inst. Hidro-Sanitarias'!M10</f>
        <v>27.36</v>
      </c>
      <c r="G1609" s="942"/>
      <c r="H1609" s="942"/>
      <c r="I1609" s="942">
        <v>0</v>
      </c>
      <c r="J1609" s="943">
        <f>SUM(J1600:J1608)</f>
        <v>101730.49089999999</v>
      </c>
    </row>
    <row r="1610" spans="1:10" ht="12.75" hidden="1" customHeight="1" outlineLevel="1" collapsed="1">
      <c r="A1610" s="1864"/>
      <c r="B1610" s="1829"/>
      <c r="C1610" s="1827" t="s">
        <v>47</v>
      </c>
      <c r="D1610" s="1827"/>
      <c r="E1610" s="1827"/>
      <c r="F1610" s="1827"/>
      <c r="G1610" s="1827"/>
      <c r="H1610" s="1827"/>
      <c r="I1610" s="1827"/>
      <c r="J1610" s="773">
        <f>J1609*F1609</f>
        <v>2783346.2310239999</v>
      </c>
    </row>
    <row r="1611" spans="1:10" ht="12.75" hidden="1" customHeight="1" outlineLevel="1">
      <c r="A1611" s="1830" t="s">
        <v>2376</v>
      </c>
      <c r="B1611" s="1829">
        <v>17.18</v>
      </c>
      <c r="C1611" s="1842" t="s">
        <v>1351</v>
      </c>
      <c r="D1611" s="1843"/>
      <c r="E1611" s="1843"/>
      <c r="F1611" s="1843"/>
      <c r="G1611" s="1843" t="s">
        <v>1351</v>
      </c>
      <c r="H1611" s="1843"/>
      <c r="I1611" s="1843"/>
      <c r="J1611" s="1835"/>
    </row>
    <row r="1612" spans="1:10" ht="12.75" hidden="1" customHeight="1" outlineLevel="2">
      <c r="A1612" s="1830"/>
      <c r="B1612" s="1829"/>
      <c r="C1612" s="5" t="s">
        <v>2377</v>
      </c>
      <c r="D1612" s="5" t="s">
        <v>2378</v>
      </c>
      <c r="E1612" s="5" t="s">
        <v>48</v>
      </c>
      <c r="F1612" s="5">
        <v>1</v>
      </c>
      <c r="G1612" s="5">
        <v>5</v>
      </c>
      <c r="H1612" s="5">
        <v>7012.44</v>
      </c>
      <c r="I1612" s="5">
        <v>0</v>
      </c>
      <c r="J1612" s="5">
        <f t="shared" ref="J1612:J1618" si="36">(F1612*(1+G1612/100)) * (H1612*(1+I1612/100))</f>
        <v>7363.0619999999999</v>
      </c>
    </row>
    <row r="1613" spans="1:10" ht="12.75" hidden="1" customHeight="1" outlineLevel="2">
      <c r="A1613" s="1830"/>
      <c r="B1613" s="1829"/>
      <c r="C1613" s="5" t="s">
        <v>2379</v>
      </c>
      <c r="D1613" s="5" t="s">
        <v>2380</v>
      </c>
      <c r="E1613" s="5" t="s">
        <v>1492</v>
      </c>
      <c r="F1613" s="5">
        <v>0.2</v>
      </c>
      <c r="G1613" s="5">
        <v>0</v>
      </c>
      <c r="H1613" s="5">
        <v>2880.3599999999997</v>
      </c>
      <c r="I1613" s="5">
        <v>0</v>
      </c>
      <c r="J1613" s="5">
        <f t="shared" si="36"/>
        <v>576.072</v>
      </c>
    </row>
    <row r="1614" spans="1:10" ht="12.75" hidden="1" customHeight="1" outlineLevel="2">
      <c r="A1614" s="1830"/>
      <c r="B1614" s="1829"/>
      <c r="C1614" s="5" t="s">
        <v>1761</v>
      </c>
      <c r="D1614" s="5" t="s">
        <v>1762</v>
      </c>
      <c r="E1614" s="5" t="s">
        <v>1763</v>
      </c>
      <c r="F1614" s="5">
        <v>1E-3</v>
      </c>
      <c r="G1614" s="5">
        <v>5</v>
      </c>
      <c r="H1614" s="5">
        <v>87162.48000000001</v>
      </c>
      <c r="I1614" s="5">
        <v>0</v>
      </c>
      <c r="J1614" s="5">
        <f t="shared" si="36"/>
        <v>91.52060400000002</v>
      </c>
    </row>
    <row r="1615" spans="1:10" ht="12.75" hidden="1" customHeight="1" outlineLevel="2">
      <c r="A1615" s="1830"/>
      <c r="B1615" s="1829"/>
      <c r="C1615" s="5" t="s">
        <v>1764</v>
      </c>
      <c r="D1615" s="5" t="s">
        <v>1765</v>
      </c>
      <c r="E1615" s="5" t="s">
        <v>1492</v>
      </c>
      <c r="F1615" s="5">
        <v>1E-3</v>
      </c>
      <c r="G1615" s="5">
        <v>5</v>
      </c>
      <c r="H1615" s="5">
        <v>42064.92</v>
      </c>
      <c r="I1615" s="5">
        <v>0</v>
      </c>
      <c r="J1615" s="5">
        <f t="shared" si="36"/>
        <v>44.168166000000006</v>
      </c>
    </row>
    <row r="1616" spans="1:10" ht="12.75" hidden="1" customHeight="1" outlineLevel="2">
      <c r="A1616" s="1830"/>
      <c r="B1616" s="1829"/>
      <c r="C1616" s="5" t="s">
        <v>2381</v>
      </c>
      <c r="D1616" s="5" t="s">
        <v>2382</v>
      </c>
      <c r="E1616" s="5" t="s">
        <v>1492</v>
      </c>
      <c r="F1616" s="5">
        <v>0.2</v>
      </c>
      <c r="G1616" s="5">
        <v>0</v>
      </c>
      <c r="H1616" s="5">
        <v>2320.92</v>
      </c>
      <c r="I1616" s="5">
        <v>0</v>
      </c>
      <c r="J1616" s="5">
        <f t="shared" si="36"/>
        <v>464.18400000000003</v>
      </c>
    </row>
    <row r="1617" spans="1:10" ht="12.75" hidden="1" customHeight="1" outlineLevel="2">
      <c r="A1617" s="1830"/>
      <c r="B1617" s="1829"/>
      <c r="C1617" s="5" t="s">
        <v>1510</v>
      </c>
      <c r="D1617" s="5" t="s">
        <v>1511</v>
      </c>
      <c r="E1617" s="5" t="s">
        <v>1482</v>
      </c>
      <c r="F1617" s="5">
        <v>0.09</v>
      </c>
      <c r="G1617" s="5">
        <v>0</v>
      </c>
      <c r="H1617" s="5">
        <v>5527.21</v>
      </c>
      <c r="I1617" s="5">
        <v>0</v>
      </c>
      <c r="J1617" s="5">
        <f t="shared" si="36"/>
        <v>497.44889999999998</v>
      </c>
    </row>
    <row r="1618" spans="1:10" ht="12.75" hidden="1" customHeight="1" outlineLevel="2">
      <c r="A1618" s="1830"/>
      <c r="B1618" s="1829"/>
      <c r="C1618" s="5" t="s">
        <v>1747</v>
      </c>
      <c r="D1618" s="5" t="s">
        <v>1748</v>
      </c>
      <c r="E1618" s="5" t="s">
        <v>1482</v>
      </c>
      <c r="F1618" s="5">
        <v>0.3</v>
      </c>
      <c r="G1618" s="5">
        <v>0</v>
      </c>
      <c r="H1618" s="5">
        <v>7237.76</v>
      </c>
      <c r="I1618" s="5">
        <v>0</v>
      </c>
      <c r="J1618" s="5">
        <f t="shared" si="36"/>
        <v>2171.328</v>
      </c>
    </row>
    <row r="1619" spans="1:10" ht="12.75" hidden="1" customHeight="1" outlineLevel="2">
      <c r="A1619" s="1830"/>
      <c r="B1619" s="1829"/>
      <c r="C1619" s="5"/>
      <c r="D1619" s="5"/>
      <c r="E1619" s="5"/>
      <c r="F1619" s="5"/>
      <c r="G1619" s="5">
        <v>5</v>
      </c>
      <c r="H1619" s="5" t="s">
        <v>1514</v>
      </c>
      <c r="I1619" s="5"/>
      <c r="J1619" s="5">
        <v>133.44</v>
      </c>
    </row>
    <row r="1620" spans="1:10" ht="12.75" hidden="1" customHeight="1" outlineLevel="2">
      <c r="A1620" s="1830"/>
      <c r="B1620" s="1829"/>
      <c r="C1620" s="1808" t="s">
        <v>1488</v>
      </c>
      <c r="D1620" s="1808"/>
      <c r="E1620" s="942" t="s">
        <v>345</v>
      </c>
      <c r="F1620" s="583">
        <f>'14. Inst. Hidro-Sanitarias'!M11</f>
        <v>23.76</v>
      </c>
      <c r="G1620" s="942"/>
      <c r="H1620" s="942"/>
      <c r="I1620" s="942">
        <v>0</v>
      </c>
      <c r="J1620" s="943">
        <f>SUM(J1612:J1619)</f>
        <v>11341.223669999999</v>
      </c>
    </row>
    <row r="1621" spans="1:10" ht="12.75" hidden="1" customHeight="1" outlineLevel="1" collapsed="1">
      <c r="A1621" s="1830"/>
      <c r="B1621" s="1829"/>
      <c r="C1621" s="1827" t="s">
        <v>47</v>
      </c>
      <c r="D1621" s="1827"/>
      <c r="E1621" s="1827"/>
      <c r="F1621" s="1827"/>
      <c r="G1621" s="1827"/>
      <c r="H1621" s="1827"/>
      <c r="I1621" s="1827"/>
      <c r="J1621" s="773">
        <f>J1620*F1620</f>
        <v>269467.4743992</v>
      </c>
    </row>
    <row r="1622" spans="1:10" ht="12.75" hidden="1" customHeight="1" outlineLevel="1">
      <c r="A1622" s="1830" t="s">
        <v>2383</v>
      </c>
      <c r="B1622" s="1829">
        <v>17.190000000000001</v>
      </c>
      <c r="C1622" s="1842" t="s">
        <v>1352</v>
      </c>
      <c r="D1622" s="1843"/>
      <c r="E1622" s="1843"/>
      <c r="F1622" s="1843"/>
      <c r="G1622" s="1843" t="s">
        <v>1351</v>
      </c>
      <c r="H1622" s="1843"/>
      <c r="I1622" s="1843"/>
      <c r="J1622" s="1835"/>
    </row>
    <row r="1623" spans="1:10" ht="12.75" hidden="1" customHeight="1" outlineLevel="2">
      <c r="A1623" s="1830"/>
      <c r="B1623" s="1829"/>
      <c r="C1623" s="5" t="s">
        <v>2384</v>
      </c>
      <c r="D1623" s="5" t="s">
        <v>2385</v>
      </c>
      <c r="E1623" s="5" t="s">
        <v>48</v>
      </c>
      <c r="F1623" s="5">
        <v>1</v>
      </c>
      <c r="G1623" s="5">
        <v>5</v>
      </c>
      <c r="H1623" s="5">
        <v>9359.2800000000007</v>
      </c>
      <c r="I1623" s="5">
        <v>0</v>
      </c>
      <c r="J1623" s="5">
        <f t="shared" ref="J1623:J1629" si="37">(F1623*(1+G1623/100)) * (H1623*(1+I1623/100))</f>
        <v>9827.2440000000006</v>
      </c>
    </row>
    <row r="1624" spans="1:10" ht="12.75" hidden="1" customHeight="1" outlineLevel="2">
      <c r="A1624" s="1830"/>
      <c r="B1624" s="1829"/>
      <c r="C1624" s="5" t="s">
        <v>2353</v>
      </c>
      <c r="D1624" s="5" t="s">
        <v>2354</v>
      </c>
      <c r="E1624" s="5" t="s">
        <v>1492</v>
      </c>
      <c r="F1624" s="5">
        <v>0.2</v>
      </c>
      <c r="G1624" s="5">
        <v>0</v>
      </c>
      <c r="H1624" s="5">
        <v>6671.1600000000008</v>
      </c>
      <c r="I1624" s="5">
        <v>0</v>
      </c>
      <c r="J1624" s="5">
        <f t="shared" si="37"/>
        <v>1334.2320000000002</v>
      </c>
    </row>
    <row r="1625" spans="1:10" ht="12.75" hidden="1" customHeight="1" outlineLevel="2">
      <c r="A1625" s="1830"/>
      <c r="B1625" s="1829"/>
      <c r="C1625" s="5" t="s">
        <v>1761</v>
      </c>
      <c r="D1625" s="5" t="s">
        <v>1762</v>
      </c>
      <c r="E1625" s="5" t="s">
        <v>1763</v>
      </c>
      <c r="F1625" s="5">
        <v>2E-3</v>
      </c>
      <c r="G1625" s="5">
        <v>5</v>
      </c>
      <c r="H1625" s="5">
        <v>87162.48000000001</v>
      </c>
      <c r="I1625" s="5">
        <v>0</v>
      </c>
      <c r="J1625" s="5">
        <f t="shared" si="37"/>
        <v>183.04120800000004</v>
      </c>
    </row>
    <row r="1626" spans="1:10" ht="12.75" hidden="1" customHeight="1" outlineLevel="2">
      <c r="A1626" s="1830"/>
      <c r="B1626" s="1829"/>
      <c r="C1626" s="5" t="s">
        <v>1764</v>
      </c>
      <c r="D1626" s="5" t="s">
        <v>1765</v>
      </c>
      <c r="E1626" s="5" t="s">
        <v>1492</v>
      </c>
      <c r="F1626" s="5">
        <v>2E-3</v>
      </c>
      <c r="G1626" s="5">
        <v>5</v>
      </c>
      <c r="H1626" s="5">
        <v>42064.92</v>
      </c>
      <c r="I1626" s="5">
        <v>0</v>
      </c>
      <c r="J1626" s="5">
        <f t="shared" si="37"/>
        <v>88.336332000000013</v>
      </c>
    </row>
    <row r="1627" spans="1:10" ht="12.75" hidden="1" customHeight="1" outlineLevel="2">
      <c r="A1627" s="1830"/>
      <c r="B1627" s="1829"/>
      <c r="C1627" s="5" t="s">
        <v>2357</v>
      </c>
      <c r="D1627" s="5" t="s">
        <v>2358</v>
      </c>
      <c r="E1627" s="5" t="s">
        <v>1492</v>
      </c>
      <c r="F1627" s="5">
        <v>0.2</v>
      </c>
      <c r="G1627" s="5">
        <v>0</v>
      </c>
      <c r="H1627" s="5">
        <v>3351.2400000000002</v>
      </c>
      <c r="I1627" s="5">
        <v>0</v>
      </c>
      <c r="J1627" s="5">
        <f t="shared" si="37"/>
        <v>670.24800000000005</v>
      </c>
    </row>
    <row r="1628" spans="1:10" ht="12.75" hidden="1" customHeight="1" outlineLevel="2">
      <c r="A1628" s="1830"/>
      <c r="B1628" s="1829"/>
      <c r="C1628" s="5" t="s">
        <v>1510</v>
      </c>
      <c r="D1628" s="5" t="s">
        <v>1511</v>
      </c>
      <c r="E1628" s="5" t="s">
        <v>1482</v>
      </c>
      <c r="F1628" s="5">
        <v>0.13500000000000001</v>
      </c>
      <c r="G1628" s="5">
        <v>0</v>
      </c>
      <c r="H1628" s="5">
        <v>5527.21</v>
      </c>
      <c r="I1628" s="5">
        <v>0</v>
      </c>
      <c r="J1628" s="5">
        <f t="shared" si="37"/>
        <v>746.17335000000003</v>
      </c>
    </row>
    <row r="1629" spans="1:10" ht="12.75" hidden="1" customHeight="1" outlineLevel="2">
      <c r="A1629" s="1830"/>
      <c r="B1629" s="1829"/>
      <c r="C1629" s="5" t="s">
        <v>1747</v>
      </c>
      <c r="D1629" s="5" t="s">
        <v>1748</v>
      </c>
      <c r="E1629" s="5" t="s">
        <v>1482</v>
      </c>
      <c r="F1629" s="5">
        <v>0.3</v>
      </c>
      <c r="G1629" s="5">
        <v>0</v>
      </c>
      <c r="H1629" s="5">
        <v>7237.76</v>
      </c>
      <c r="I1629" s="5">
        <v>0</v>
      </c>
      <c r="J1629" s="5">
        <f t="shared" si="37"/>
        <v>2171.328</v>
      </c>
    </row>
    <row r="1630" spans="1:10" ht="12.75" hidden="1" customHeight="1" outlineLevel="2">
      <c r="A1630" s="1830"/>
      <c r="B1630" s="1829"/>
      <c r="C1630" s="5"/>
      <c r="D1630" s="5"/>
      <c r="E1630" s="5"/>
      <c r="F1630" s="5"/>
      <c r="G1630" s="5">
        <v>5</v>
      </c>
      <c r="H1630" s="5" t="s">
        <v>1514</v>
      </c>
      <c r="I1630" s="5"/>
      <c r="J1630" s="5">
        <v>145.88</v>
      </c>
    </row>
    <row r="1631" spans="1:10" ht="12.75" hidden="1" customHeight="1" outlineLevel="2">
      <c r="A1631" s="1830"/>
      <c r="B1631" s="1829"/>
      <c r="C1631" s="1808" t="s">
        <v>1488</v>
      </c>
      <c r="D1631" s="1808"/>
      <c r="E1631" s="942" t="s">
        <v>345</v>
      </c>
      <c r="F1631" s="583">
        <f>'14. Inst. Hidro-Sanitarias'!M12</f>
        <v>19.440000000000001</v>
      </c>
      <c r="G1631" s="942"/>
      <c r="H1631" s="942"/>
      <c r="I1631" s="942">
        <v>0</v>
      </c>
      <c r="J1631" s="943">
        <f>SUM(J1623:J1630)</f>
        <v>15166.482889999999</v>
      </c>
    </row>
    <row r="1632" spans="1:10" ht="12.75" hidden="1" customHeight="1" outlineLevel="1" collapsed="1">
      <c r="A1632" s="1830"/>
      <c r="B1632" s="1829"/>
      <c r="C1632" s="1827" t="s">
        <v>47</v>
      </c>
      <c r="D1632" s="1827"/>
      <c r="E1632" s="1827"/>
      <c r="F1632" s="1827"/>
      <c r="G1632" s="1827"/>
      <c r="H1632" s="1827"/>
      <c r="I1632" s="1827"/>
      <c r="J1632" s="773">
        <f>J1631*F1631</f>
        <v>294836.42738160002</v>
      </c>
    </row>
    <row r="1633" spans="1:10" ht="12.75" hidden="1" customHeight="1" outlineLevel="1">
      <c r="A1633" s="1830" t="s">
        <v>2386</v>
      </c>
      <c r="B1633" s="1863" t="s">
        <v>2403</v>
      </c>
      <c r="C1633" s="1842" t="s">
        <v>1353</v>
      </c>
      <c r="D1633" s="1843"/>
      <c r="E1633" s="1843"/>
      <c r="F1633" s="1843"/>
      <c r="G1633" s="1843" t="s">
        <v>1351</v>
      </c>
      <c r="H1633" s="1843"/>
      <c r="I1633" s="1843"/>
      <c r="J1633" s="1835"/>
    </row>
    <row r="1634" spans="1:10" ht="12.75" hidden="1" customHeight="1" outlineLevel="2">
      <c r="A1634" s="1830"/>
      <c r="B1634" s="1829"/>
      <c r="C1634" s="5" t="s">
        <v>2387</v>
      </c>
      <c r="D1634" s="5" t="s">
        <v>2388</v>
      </c>
      <c r="E1634" s="5" t="s">
        <v>48</v>
      </c>
      <c r="F1634" s="5">
        <v>1</v>
      </c>
      <c r="G1634" s="5">
        <v>5</v>
      </c>
      <c r="H1634" s="5">
        <v>16137.36</v>
      </c>
      <c r="I1634" s="5">
        <v>0</v>
      </c>
      <c r="J1634" s="5">
        <f t="shared" ref="J1634:J1641" si="38">(F1634*(1+G1634/100)) * (H1634*(1+I1634/100))</f>
        <v>16944.228000000003</v>
      </c>
    </row>
    <row r="1635" spans="1:10" ht="12.75" hidden="1" customHeight="1" outlineLevel="2">
      <c r="A1635" s="1830"/>
      <c r="B1635" s="1829"/>
      <c r="C1635" s="5" t="s">
        <v>1524</v>
      </c>
      <c r="D1635" s="5" t="s">
        <v>1525</v>
      </c>
      <c r="E1635" s="5" t="s">
        <v>1492</v>
      </c>
      <c r="F1635" s="5">
        <v>0.25</v>
      </c>
      <c r="G1635" s="5">
        <v>0</v>
      </c>
      <c r="H1635" s="5">
        <v>11494.439999999999</v>
      </c>
      <c r="I1635" s="5">
        <v>0</v>
      </c>
      <c r="J1635" s="5">
        <f t="shared" si="38"/>
        <v>2873.6099999999997</v>
      </c>
    </row>
    <row r="1636" spans="1:10" ht="12.75" hidden="1" customHeight="1" outlineLevel="2">
      <c r="A1636" s="1830"/>
      <c r="B1636" s="1829"/>
      <c r="C1636" s="5" t="s">
        <v>2362</v>
      </c>
      <c r="D1636" s="5" t="s">
        <v>2363</v>
      </c>
      <c r="E1636" s="5" t="s">
        <v>1492</v>
      </c>
      <c r="F1636" s="5">
        <v>0.25</v>
      </c>
      <c r="G1636" s="5">
        <v>0</v>
      </c>
      <c r="H1636" s="5">
        <v>15221.52</v>
      </c>
      <c r="I1636" s="5">
        <v>0</v>
      </c>
      <c r="J1636" s="5">
        <f t="shared" si="38"/>
        <v>3805.38</v>
      </c>
    </row>
    <row r="1637" spans="1:10" ht="12.75" hidden="1" customHeight="1" outlineLevel="2">
      <c r="A1637" s="1830"/>
      <c r="B1637" s="1829"/>
      <c r="C1637" s="5" t="s">
        <v>1761</v>
      </c>
      <c r="D1637" s="5" t="s">
        <v>1762</v>
      </c>
      <c r="E1637" s="5" t="s">
        <v>1763</v>
      </c>
      <c r="F1637" s="5">
        <v>3.0000000000000001E-3</v>
      </c>
      <c r="G1637" s="5">
        <v>5</v>
      </c>
      <c r="H1637" s="5">
        <v>87162.48000000001</v>
      </c>
      <c r="I1637" s="5">
        <v>0</v>
      </c>
      <c r="J1637" s="5">
        <f t="shared" si="38"/>
        <v>274.56181200000003</v>
      </c>
    </row>
    <row r="1638" spans="1:10" ht="12.75" hidden="1" customHeight="1" outlineLevel="2">
      <c r="A1638" s="1830"/>
      <c r="B1638" s="1829"/>
      <c r="C1638" s="5" t="s">
        <v>1764</v>
      </c>
      <c r="D1638" s="5" t="s">
        <v>1765</v>
      </c>
      <c r="E1638" s="5" t="s">
        <v>1492</v>
      </c>
      <c r="F1638" s="5">
        <v>3.0000000000000001E-3</v>
      </c>
      <c r="G1638" s="5">
        <v>5</v>
      </c>
      <c r="H1638" s="5">
        <v>42064.92</v>
      </c>
      <c r="I1638" s="5">
        <v>0</v>
      </c>
      <c r="J1638" s="5">
        <f t="shared" si="38"/>
        <v>132.50449799999998</v>
      </c>
    </row>
    <row r="1639" spans="1:10" ht="12.75" hidden="1" customHeight="1" outlineLevel="2">
      <c r="A1639" s="1830"/>
      <c r="B1639" s="1829"/>
      <c r="C1639" s="5" t="s">
        <v>2364</v>
      </c>
      <c r="D1639" s="5" t="s">
        <v>2365</v>
      </c>
      <c r="E1639" s="5" t="s">
        <v>1492</v>
      </c>
      <c r="F1639" s="5">
        <v>0.2</v>
      </c>
      <c r="G1639" s="5">
        <v>0</v>
      </c>
      <c r="H1639" s="5">
        <v>6694.92</v>
      </c>
      <c r="I1639" s="5">
        <v>0</v>
      </c>
      <c r="J1639" s="5">
        <f t="shared" si="38"/>
        <v>1338.9840000000002</v>
      </c>
    </row>
    <row r="1640" spans="1:10" ht="12.75" hidden="1" customHeight="1" outlineLevel="2">
      <c r="A1640" s="1830"/>
      <c r="B1640" s="1829"/>
      <c r="C1640" s="5" t="s">
        <v>1510</v>
      </c>
      <c r="D1640" s="5" t="s">
        <v>1511</v>
      </c>
      <c r="E1640" s="5" t="s">
        <v>1482</v>
      </c>
      <c r="F1640" s="5">
        <v>0.17499999999999999</v>
      </c>
      <c r="G1640" s="5">
        <v>0</v>
      </c>
      <c r="H1640" s="5">
        <v>5527.21</v>
      </c>
      <c r="I1640" s="5">
        <v>0</v>
      </c>
      <c r="J1640" s="5">
        <f t="shared" si="38"/>
        <v>967.26174999999989</v>
      </c>
    </row>
    <row r="1641" spans="1:10" ht="12.75" hidden="1" customHeight="1" outlineLevel="2">
      <c r="A1641" s="1830"/>
      <c r="B1641" s="1829"/>
      <c r="C1641" s="5" t="s">
        <v>1747</v>
      </c>
      <c r="D1641" s="5" t="s">
        <v>1748</v>
      </c>
      <c r="E1641" s="5" t="s">
        <v>1482</v>
      </c>
      <c r="F1641" s="5">
        <v>0.3</v>
      </c>
      <c r="G1641" s="5">
        <v>0</v>
      </c>
      <c r="H1641" s="5">
        <v>7237.76</v>
      </c>
      <c r="I1641" s="5">
        <v>0</v>
      </c>
      <c r="J1641" s="5">
        <f t="shared" si="38"/>
        <v>2171.328</v>
      </c>
    </row>
    <row r="1642" spans="1:10" ht="12.75" hidden="1" customHeight="1" outlineLevel="2">
      <c r="A1642" s="1830"/>
      <c r="B1642" s="1829"/>
      <c r="C1642" s="5"/>
      <c r="D1642" s="5"/>
      <c r="E1642" s="5"/>
      <c r="F1642" s="5"/>
      <c r="G1642" s="5">
        <v>5</v>
      </c>
      <c r="H1642" s="5" t="s">
        <v>1514</v>
      </c>
      <c r="I1642" s="5"/>
      <c r="J1642" s="5">
        <v>156.93</v>
      </c>
    </row>
    <row r="1643" spans="1:10" ht="12.75" hidden="1" customHeight="1" outlineLevel="2">
      <c r="A1643" s="1830"/>
      <c r="B1643" s="1829"/>
      <c r="C1643" s="1808" t="s">
        <v>1488</v>
      </c>
      <c r="D1643" s="1808"/>
      <c r="E1643" s="942" t="s">
        <v>345</v>
      </c>
      <c r="F1643" s="583">
        <f>'14. Inst. Hidro-Sanitarias'!M13</f>
        <v>6.48</v>
      </c>
      <c r="G1643" s="942"/>
      <c r="H1643" s="942"/>
      <c r="I1643" s="942">
        <v>0</v>
      </c>
      <c r="J1643" s="943">
        <f>SUM(J1634:J1642)</f>
        <v>28664.788060000006</v>
      </c>
    </row>
    <row r="1644" spans="1:10" ht="12.75" hidden="1" customHeight="1" outlineLevel="1" collapsed="1">
      <c r="A1644" s="1830"/>
      <c r="B1644" s="1829"/>
      <c r="C1644" s="1827" t="s">
        <v>47</v>
      </c>
      <c r="D1644" s="1827"/>
      <c r="E1644" s="1827"/>
      <c r="F1644" s="1827"/>
      <c r="G1644" s="1827"/>
      <c r="H1644" s="1827"/>
      <c r="I1644" s="1827"/>
      <c r="J1644" s="773">
        <f>J1643*F1643</f>
        <v>185747.82662880005</v>
      </c>
    </row>
    <row r="1645" spans="1:10" ht="12.75" hidden="1" customHeight="1" outlineLevel="1">
      <c r="A1645" s="1865" t="s">
        <v>2389</v>
      </c>
      <c r="B1645" s="1829">
        <v>17.21</v>
      </c>
      <c r="C1645" s="1842" t="s">
        <v>1350</v>
      </c>
      <c r="D1645" s="1843"/>
      <c r="E1645" s="1843"/>
      <c r="F1645" s="1843"/>
      <c r="G1645" s="1843" t="s">
        <v>1351</v>
      </c>
      <c r="H1645" s="1843"/>
      <c r="I1645" s="1843"/>
      <c r="J1645" s="1835"/>
    </row>
    <row r="1646" spans="1:10" ht="12.75" hidden="1" customHeight="1" outlineLevel="2">
      <c r="A1646" s="1865"/>
      <c r="B1646" s="1829"/>
      <c r="C1646" s="5" t="s">
        <v>2390</v>
      </c>
      <c r="D1646" s="5" t="s">
        <v>2391</v>
      </c>
      <c r="E1646" s="5" t="s">
        <v>2392</v>
      </c>
      <c r="F1646" s="5">
        <v>2.2000000000000002E-2</v>
      </c>
      <c r="G1646" s="5">
        <v>5</v>
      </c>
      <c r="H1646" s="5">
        <v>17639.64</v>
      </c>
      <c r="I1646" s="5">
        <v>0</v>
      </c>
      <c r="J1646" s="5">
        <f>(F1646*(1+G1646/100)) * (H1646*(1+I1646/100))</f>
        <v>407.47568400000006</v>
      </c>
    </row>
    <row r="1647" spans="1:10" ht="12.75" hidden="1" customHeight="1" outlineLevel="2">
      <c r="A1647" s="1865"/>
      <c r="B1647" s="1829"/>
      <c r="C1647" s="5" t="s">
        <v>2393</v>
      </c>
      <c r="D1647" s="5" t="s">
        <v>2394</v>
      </c>
      <c r="E1647" s="5" t="s">
        <v>48</v>
      </c>
      <c r="F1647" s="5">
        <v>1</v>
      </c>
      <c r="G1647" s="5">
        <v>5</v>
      </c>
      <c r="H1647" s="5">
        <v>71005.680000000008</v>
      </c>
      <c r="I1647" s="5">
        <v>0</v>
      </c>
      <c r="J1647" s="5">
        <f>(F1647*(1+G1647/100)) * (H1647*(1+I1647/100))</f>
        <v>74555.964000000007</v>
      </c>
    </row>
    <row r="1648" spans="1:10" ht="12.75" hidden="1" customHeight="1" outlineLevel="2">
      <c r="A1648" s="1865"/>
      <c r="B1648" s="1829"/>
      <c r="C1648" s="5" t="s">
        <v>1579</v>
      </c>
      <c r="D1648" s="5" t="s">
        <v>1580</v>
      </c>
      <c r="E1648" s="5" t="s">
        <v>1482</v>
      </c>
      <c r="F1648" s="5">
        <v>0.13330000000000003</v>
      </c>
      <c r="G1648" s="5">
        <v>0</v>
      </c>
      <c r="H1648" s="5">
        <v>6810.12</v>
      </c>
      <c r="I1648" s="5">
        <v>0</v>
      </c>
      <c r="J1648" s="5">
        <f>(F1648*(1+G1648/100)) * (H1648*(1+I1648/100))</f>
        <v>907.78899600000022</v>
      </c>
    </row>
    <row r="1649" spans="1:10" ht="12.75" hidden="1" customHeight="1" outlineLevel="2">
      <c r="A1649" s="1865"/>
      <c r="B1649" s="1829"/>
      <c r="C1649" s="5" t="s">
        <v>1545</v>
      </c>
      <c r="D1649" s="5" t="s">
        <v>1546</v>
      </c>
      <c r="E1649" s="5" t="s">
        <v>1482</v>
      </c>
      <c r="F1649" s="5">
        <v>0.13330000000000003</v>
      </c>
      <c r="G1649" s="5">
        <v>0</v>
      </c>
      <c r="H1649" s="5">
        <v>4671.93</v>
      </c>
      <c r="I1649" s="5">
        <v>0</v>
      </c>
      <c r="J1649" s="5">
        <f>(F1649*(1+G1649/100)) * (H1649*(1+I1649/100))</f>
        <v>622.76826900000015</v>
      </c>
    </row>
    <row r="1650" spans="1:10" ht="12.75" hidden="1" customHeight="1" outlineLevel="2">
      <c r="A1650" s="1865"/>
      <c r="B1650" s="1829"/>
      <c r="C1650" s="5"/>
      <c r="D1650" s="5"/>
      <c r="E1650" s="5"/>
      <c r="F1650" s="5"/>
      <c r="G1650" s="5">
        <v>5</v>
      </c>
      <c r="H1650" s="5" t="s">
        <v>1514</v>
      </c>
      <c r="I1650" s="5"/>
      <c r="J1650" s="5">
        <v>76.53</v>
      </c>
    </row>
    <row r="1651" spans="1:10" ht="12.75" hidden="1" customHeight="1" outlineLevel="2">
      <c r="A1651" s="1865"/>
      <c r="B1651" s="1829"/>
      <c r="C1651" s="1808" t="s">
        <v>1488</v>
      </c>
      <c r="D1651" s="1808"/>
      <c r="E1651" s="942" t="s">
        <v>345</v>
      </c>
      <c r="F1651" s="583">
        <f>'14. Inst. Hidro-Sanitarias'!M14</f>
        <v>54.000002651473594</v>
      </c>
      <c r="G1651" s="942"/>
      <c r="H1651" s="942"/>
      <c r="I1651" s="942">
        <v>0</v>
      </c>
      <c r="J1651" s="943">
        <f>SUM(J1646:J1650)</f>
        <v>76570.526949000021</v>
      </c>
    </row>
    <row r="1652" spans="1:10" ht="12.75" hidden="1" customHeight="1" outlineLevel="1" collapsed="1">
      <c r="A1652" s="1865"/>
      <c r="B1652" s="1829"/>
      <c r="C1652" s="1827" t="s">
        <v>47</v>
      </c>
      <c r="D1652" s="1827"/>
      <c r="E1652" s="1827"/>
      <c r="F1652" s="1827"/>
      <c r="G1652" s="1827"/>
      <c r="H1652" s="1827"/>
      <c r="I1652" s="1827"/>
      <c r="J1652" s="773">
        <f>J1651*F1651</f>
        <v>4134808.6582707316</v>
      </c>
    </row>
    <row r="1653" spans="1:10" ht="12.75" hidden="1" customHeight="1" outlineLevel="1">
      <c r="A1653" s="1830" t="s">
        <v>2383</v>
      </c>
      <c r="B1653" s="1829">
        <v>17.22</v>
      </c>
      <c r="C1653" s="1842" t="s">
        <v>1310</v>
      </c>
      <c r="D1653" s="1843"/>
      <c r="E1653" s="1843"/>
      <c r="F1653" s="1843"/>
      <c r="G1653" s="1843" t="s">
        <v>1310</v>
      </c>
      <c r="H1653" s="1843"/>
      <c r="I1653" s="1843"/>
      <c r="J1653" s="1835"/>
    </row>
    <row r="1654" spans="1:10" ht="12.75" hidden="1" customHeight="1" outlineLevel="2">
      <c r="A1654" s="1830"/>
      <c r="B1654" s="1829"/>
      <c r="C1654" s="5" t="s">
        <v>2384</v>
      </c>
      <c r="D1654" s="5" t="s">
        <v>2385</v>
      </c>
      <c r="E1654" s="5" t="s">
        <v>48</v>
      </c>
      <c r="F1654" s="5">
        <v>1</v>
      </c>
      <c r="G1654" s="5">
        <v>5</v>
      </c>
      <c r="H1654" s="5">
        <v>9359.2800000000007</v>
      </c>
      <c r="I1654" s="5">
        <v>0</v>
      </c>
      <c r="J1654" s="5">
        <f t="shared" ref="J1654:J1660" si="39">(F1654*(1+G1654/100)) * (H1654*(1+I1654/100))</f>
        <v>9827.2440000000006</v>
      </c>
    </row>
    <row r="1655" spans="1:10" ht="12.75" hidden="1" customHeight="1" outlineLevel="2">
      <c r="A1655" s="1830"/>
      <c r="B1655" s="1829"/>
      <c r="C1655" s="5" t="s">
        <v>2353</v>
      </c>
      <c r="D1655" s="5" t="s">
        <v>2354</v>
      </c>
      <c r="E1655" s="5" t="s">
        <v>1492</v>
      </c>
      <c r="F1655" s="5">
        <v>0.2</v>
      </c>
      <c r="G1655" s="5">
        <v>0</v>
      </c>
      <c r="H1655" s="5">
        <v>6671.1600000000008</v>
      </c>
      <c r="I1655" s="5">
        <v>0</v>
      </c>
      <c r="J1655" s="5">
        <f t="shared" si="39"/>
        <v>1334.2320000000002</v>
      </c>
    </row>
    <row r="1656" spans="1:10" ht="12.75" hidden="1" customHeight="1" outlineLevel="2">
      <c r="A1656" s="1830"/>
      <c r="B1656" s="1829"/>
      <c r="C1656" s="5" t="s">
        <v>1761</v>
      </c>
      <c r="D1656" s="5" t="s">
        <v>1762</v>
      </c>
      <c r="E1656" s="5" t="s">
        <v>1763</v>
      </c>
      <c r="F1656" s="5">
        <v>2E-3</v>
      </c>
      <c r="G1656" s="5">
        <v>5</v>
      </c>
      <c r="H1656" s="5">
        <v>87162.48000000001</v>
      </c>
      <c r="I1656" s="5">
        <v>0</v>
      </c>
      <c r="J1656" s="5">
        <f t="shared" si="39"/>
        <v>183.04120800000004</v>
      </c>
    </row>
    <row r="1657" spans="1:10" ht="12.75" hidden="1" customHeight="1" outlineLevel="2">
      <c r="A1657" s="1830"/>
      <c r="B1657" s="1829"/>
      <c r="C1657" s="5" t="s">
        <v>1764</v>
      </c>
      <c r="D1657" s="5" t="s">
        <v>1765</v>
      </c>
      <c r="E1657" s="5" t="s">
        <v>1492</v>
      </c>
      <c r="F1657" s="5">
        <v>2E-3</v>
      </c>
      <c r="G1657" s="5">
        <v>5</v>
      </c>
      <c r="H1657" s="5">
        <v>42064.92</v>
      </c>
      <c r="I1657" s="5">
        <v>0</v>
      </c>
      <c r="J1657" s="5">
        <f t="shared" si="39"/>
        <v>88.336332000000013</v>
      </c>
    </row>
    <row r="1658" spans="1:10" ht="12.75" hidden="1" customHeight="1" outlineLevel="2">
      <c r="A1658" s="1830"/>
      <c r="B1658" s="1829"/>
      <c r="C1658" s="5" t="s">
        <v>2357</v>
      </c>
      <c r="D1658" s="5" t="s">
        <v>2358</v>
      </c>
      <c r="E1658" s="5" t="s">
        <v>1492</v>
      </c>
      <c r="F1658" s="5">
        <v>0.2</v>
      </c>
      <c r="G1658" s="5">
        <v>0</v>
      </c>
      <c r="H1658" s="5">
        <v>3351.2400000000002</v>
      </c>
      <c r="I1658" s="5">
        <v>0</v>
      </c>
      <c r="J1658" s="5">
        <f t="shared" si="39"/>
        <v>670.24800000000005</v>
      </c>
    </row>
    <row r="1659" spans="1:10" ht="12.75" hidden="1" customHeight="1" outlineLevel="2">
      <c r="A1659" s="1830"/>
      <c r="B1659" s="1829"/>
      <c r="C1659" s="5" t="s">
        <v>1510</v>
      </c>
      <c r="D1659" s="5" t="s">
        <v>1511</v>
      </c>
      <c r="E1659" s="5" t="s">
        <v>1482</v>
      </c>
      <c r="F1659" s="5">
        <v>0.13500000000000001</v>
      </c>
      <c r="G1659" s="5">
        <v>0</v>
      </c>
      <c r="H1659" s="5">
        <v>5527.21</v>
      </c>
      <c r="I1659" s="5">
        <v>0</v>
      </c>
      <c r="J1659" s="5">
        <f t="shared" si="39"/>
        <v>746.17335000000003</v>
      </c>
    </row>
    <row r="1660" spans="1:10" ht="12.75" hidden="1" customHeight="1" outlineLevel="2">
      <c r="A1660" s="1830"/>
      <c r="B1660" s="1829"/>
      <c r="C1660" s="5" t="s">
        <v>1747</v>
      </c>
      <c r="D1660" s="5" t="s">
        <v>1748</v>
      </c>
      <c r="E1660" s="5" t="s">
        <v>1482</v>
      </c>
      <c r="F1660" s="5">
        <v>0.3</v>
      </c>
      <c r="G1660" s="5">
        <v>0</v>
      </c>
      <c r="H1660" s="5">
        <v>7237.76</v>
      </c>
      <c r="I1660" s="5">
        <v>0</v>
      </c>
      <c r="J1660" s="5">
        <f t="shared" si="39"/>
        <v>2171.328</v>
      </c>
    </row>
    <row r="1661" spans="1:10" ht="12.75" hidden="1" customHeight="1" outlineLevel="2">
      <c r="A1661" s="1830"/>
      <c r="B1661" s="1829"/>
      <c r="C1661" s="5"/>
      <c r="D1661" s="5"/>
      <c r="E1661" s="5"/>
      <c r="F1661" s="5"/>
      <c r="G1661" s="5">
        <v>5</v>
      </c>
      <c r="H1661" s="5" t="s">
        <v>1514</v>
      </c>
      <c r="I1661" s="5"/>
      <c r="J1661" s="5">
        <v>145.88</v>
      </c>
    </row>
    <row r="1662" spans="1:10" ht="12.75" hidden="1" customHeight="1" outlineLevel="2">
      <c r="A1662" s="1830"/>
      <c r="B1662" s="1829"/>
      <c r="C1662" s="1808" t="s">
        <v>1488</v>
      </c>
      <c r="D1662" s="1808"/>
      <c r="E1662" s="942" t="s">
        <v>345</v>
      </c>
      <c r="F1662" s="583">
        <f>'14. Inst. Hidro-Sanitarias'!M15</f>
        <v>12.96</v>
      </c>
      <c r="G1662" s="942"/>
      <c r="H1662" s="942"/>
      <c r="I1662" s="942">
        <v>0</v>
      </c>
      <c r="J1662" s="943">
        <f>SUM(J1654:J1661)</f>
        <v>15166.482889999999</v>
      </c>
    </row>
    <row r="1663" spans="1:10" ht="12.75" hidden="1" customHeight="1" outlineLevel="1" collapsed="1">
      <c r="A1663" s="1830"/>
      <c r="B1663" s="1829"/>
      <c r="C1663" s="1827" t="s">
        <v>47</v>
      </c>
      <c r="D1663" s="1827"/>
      <c r="E1663" s="1827"/>
      <c r="F1663" s="1827"/>
      <c r="G1663" s="1827"/>
      <c r="H1663" s="1827"/>
      <c r="I1663" s="1827"/>
      <c r="J1663" s="773">
        <f>J1662*F1662</f>
        <v>196557.6182544</v>
      </c>
    </row>
    <row r="1664" spans="1:10" ht="12.75" hidden="1" customHeight="1" outlineLevel="1">
      <c r="A1664" s="1830" t="s">
        <v>2386</v>
      </c>
      <c r="B1664" s="1863">
        <v>17.23</v>
      </c>
      <c r="C1664" s="1842" t="s">
        <v>1311</v>
      </c>
      <c r="D1664" s="1843"/>
      <c r="E1664" s="1843"/>
      <c r="F1664" s="1843"/>
      <c r="G1664" s="1843" t="s">
        <v>1310</v>
      </c>
      <c r="H1664" s="1843"/>
      <c r="I1664" s="1843"/>
      <c r="J1664" s="1835"/>
    </row>
    <row r="1665" spans="1:10" ht="12.75" hidden="1" customHeight="1" outlineLevel="2">
      <c r="A1665" s="1830"/>
      <c r="B1665" s="1829"/>
      <c r="C1665" s="5" t="s">
        <v>2387</v>
      </c>
      <c r="D1665" s="5" t="s">
        <v>2388</v>
      </c>
      <c r="E1665" s="5" t="s">
        <v>48</v>
      </c>
      <c r="F1665" s="5">
        <v>1</v>
      </c>
      <c r="G1665" s="5">
        <v>5</v>
      </c>
      <c r="H1665" s="5">
        <v>16137.36</v>
      </c>
      <c r="I1665" s="5">
        <v>0</v>
      </c>
      <c r="J1665" s="5">
        <f t="shared" ref="J1665:J1672" si="40">(F1665*(1+G1665/100)) * (H1665*(1+I1665/100))</f>
        <v>16944.228000000003</v>
      </c>
    </row>
    <row r="1666" spans="1:10" ht="12.75" hidden="1" customHeight="1" outlineLevel="2">
      <c r="A1666" s="1830"/>
      <c r="B1666" s="1829"/>
      <c r="C1666" s="5" t="s">
        <v>1524</v>
      </c>
      <c r="D1666" s="5" t="s">
        <v>1525</v>
      </c>
      <c r="E1666" s="5" t="s">
        <v>1492</v>
      </c>
      <c r="F1666" s="5">
        <v>0.25</v>
      </c>
      <c r="G1666" s="5">
        <v>0</v>
      </c>
      <c r="H1666" s="5">
        <v>11494.439999999999</v>
      </c>
      <c r="I1666" s="5">
        <v>0</v>
      </c>
      <c r="J1666" s="5">
        <f t="shared" si="40"/>
        <v>2873.6099999999997</v>
      </c>
    </row>
    <row r="1667" spans="1:10" ht="12.75" hidden="1" customHeight="1" outlineLevel="2">
      <c r="A1667" s="1830"/>
      <c r="B1667" s="1829"/>
      <c r="C1667" s="5" t="s">
        <v>2362</v>
      </c>
      <c r="D1667" s="5" t="s">
        <v>2363</v>
      </c>
      <c r="E1667" s="5" t="s">
        <v>1492</v>
      </c>
      <c r="F1667" s="5">
        <v>0.25</v>
      </c>
      <c r="G1667" s="5">
        <v>0</v>
      </c>
      <c r="H1667" s="5">
        <v>15221.52</v>
      </c>
      <c r="I1667" s="5">
        <v>0</v>
      </c>
      <c r="J1667" s="5">
        <f t="shared" si="40"/>
        <v>3805.38</v>
      </c>
    </row>
    <row r="1668" spans="1:10" ht="12.75" hidden="1" customHeight="1" outlineLevel="2">
      <c r="A1668" s="1830"/>
      <c r="B1668" s="1829"/>
      <c r="C1668" s="5" t="s">
        <v>1761</v>
      </c>
      <c r="D1668" s="5" t="s">
        <v>1762</v>
      </c>
      <c r="E1668" s="5" t="s">
        <v>1763</v>
      </c>
      <c r="F1668" s="5">
        <v>3.0000000000000001E-3</v>
      </c>
      <c r="G1668" s="5">
        <v>5</v>
      </c>
      <c r="H1668" s="5">
        <v>87162.48000000001</v>
      </c>
      <c r="I1668" s="5">
        <v>0</v>
      </c>
      <c r="J1668" s="5">
        <f t="shared" si="40"/>
        <v>274.56181200000003</v>
      </c>
    </row>
    <row r="1669" spans="1:10" ht="12.75" hidden="1" customHeight="1" outlineLevel="2">
      <c r="A1669" s="1830"/>
      <c r="B1669" s="1829"/>
      <c r="C1669" s="5" t="s">
        <v>1764</v>
      </c>
      <c r="D1669" s="5" t="s">
        <v>1765</v>
      </c>
      <c r="E1669" s="5" t="s">
        <v>1492</v>
      </c>
      <c r="F1669" s="5">
        <v>3.0000000000000001E-3</v>
      </c>
      <c r="G1669" s="5">
        <v>5</v>
      </c>
      <c r="H1669" s="5">
        <v>42064.92</v>
      </c>
      <c r="I1669" s="5">
        <v>0</v>
      </c>
      <c r="J1669" s="5">
        <f t="shared" si="40"/>
        <v>132.50449799999998</v>
      </c>
    </row>
    <row r="1670" spans="1:10" ht="12.75" hidden="1" customHeight="1" outlineLevel="2">
      <c r="A1670" s="1830"/>
      <c r="B1670" s="1829"/>
      <c r="C1670" s="5" t="s">
        <v>2364</v>
      </c>
      <c r="D1670" s="5" t="s">
        <v>2365</v>
      </c>
      <c r="E1670" s="5" t="s">
        <v>1492</v>
      </c>
      <c r="F1670" s="5">
        <v>0.2</v>
      </c>
      <c r="G1670" s="5">
        <v>0</v>
      </c>
      <c r="H1670" s="5">
        <v>6694.92</v>
      </c>
      <c r="I1670" s="5">
        <v>0</v>
      </c>
      <c r="J1670" s="5">
        <f t="shared" si="40"/>
        <v>1338.9840000000002</v>
      </c>
    </row>
    <row r="1671" spans="1:10" ht="12.75" hidden="1" customHeight="1" outlineLevel="2">
      <c r="A1671" s="1830"/>
      <c r="B1671" s="1829"/>
      <c r="C1671" s="5" t="s">
        <v>1510</v>
      </c>
      <c r="D1671" s="5" t="s">
        <v>1511</v>
      </c>
      <c r="E1671" s="5" t="s">
        <v>1482</v>
      </c>
      <c r="F1671" s="5">
        <v>0.17499999999999999</v>
      </c>
      <c r="G1671" s="5">
        <v>0</v>
      </c>
      <c r="H1671" s="5">
        <v>5527.21</v>
      </c>
      <c r="I1671" s="5">
        <v>0</v>
      </c>
      <c r="J1671" s="5">
        <f t="shared" si="40"/>
        <v>967.26174999999989</v>
      </c>
    </row>
    <row r="1672" spans="1:10" ht="12.75" hidden="1" customHeight="1" outlineLevel="2">
      <c r="A1672" s="1830"/>
      <c r="B1672" s="1829"/>
      <c r="C1672" s="5" t="s">
        <v>1747</v>
      </c>
      <c r="D1672" s="5" t="s">
        <v>1748</v>
      </c>
      <c r="E1672" s="5" t="s">
        <v>1482</v>
      </c>
      <c r="F1672" s="5">
        <v>0.3</v>
      </c>
      <c r="G1672" s="5">
        <v>0</v>
      </c>
      <c r="H1672" s="5">
        <v>7237.76</v>
      </c>
      <c r="I1672" s="5">
        <v>0</v>
      </c>
      <c r="J1672" s="5">
        <f t="shared" si="40"/>
        <v>2171.328</v>
      </c>
    </row>
    <row r="1673" spans="1:10" ht="12.75" hidden="1" customHeight="1" outlineLevel="2">
      <c r="A1673" s="1830"/>
      <c r="B1673" s="1829"/>
      <c r="C1673" s="5"/>
      <c r="D1673" s="5"/>
      <c r="E1673" s="5"/>
      <c r="F1673" s="5"/>
      <c r="G1673" s="5">
        <v>5</v>
      </c>
      <c r="H1673" s="5" t="s">
        <v>1514</v>
      </c>
      <c r="I1673" s="5"/>
      <c r="J1673" s="5">
        <v>156.93</v>
      </c>
    </row>
    <row r="1674" spans="1:10" ht="12.75" hidden="1" customHeight="1" outlineLevel="2">
      <c r="A1674" s="1830"/>
      <c r="B1674" s="1829"/>
      <c r="C1674" s="1808" t="s">
        <v>1488</v>
      </c>
      <c r="D1674" s="1808"/>
      <c r="E1674" s="942" t="s">
        <v>345</v>
      </c>
      <c r="F1674" s="583">
        <f>'14. Inst. Hidro-Sanitarias'!M16</f>
        <v>12.96</v>
      </c>
      <c r="G1674" s="942"/>
      <c r="H1674" s="942"/>
      <c r="I1674" s="942">
        <v>0</v>
      </c>
      <c r="J1674" s="943">
        <f>SUM(J1665:J1673)</f>
        <v>28664.788060000006</v>
      </c>
    </row>
    <row r="1675" spans="1:10" ht="12.75" hidden="1" customHeight="1" outlineLevel="1" collapsed="1">
      <c r="A1675" s="1830"/>
      <c r="B1675" s="1829"/>
      <c r="C1675" s="1827" t="s">
        <v>47</v>
      </c>
      <c r="D1675" s="1827"/>
      <c r="E1675" s="1827"/>
      <c r="F1675" s="1827"/>
      <c r="G1675" s="1827"/>
      <c r="H1675" s="1827"/>
      <c r="I1675" s="1827"/>
      <c r="J1675" s="773">
        <f>J1674*F1674</f>
        <v>371495.65325760009</v>
      </c>
    </row>
    <row r="1676" spans="1:10" ht="12.75" hidden="1" customHeight="1" outlineLevel="1">
      <c r="A1676" s="1838" t="s">
        <v>2404</v>
      </c>
      <c r="B1676" s="1840">
        <v>17.239999999999998</v>
      </c>
      <c r="C1676" s="1842" t="s">
        <v>2405</v>
      </c>
      <c r="D1676" s="1843"/>
      <c r="E1676" s="1843"/>
      <c r="F1676" s="1843"/>
      <c r="G1676" s="1843" t="s">
        <v>2405</v>
      </c>
      <c r="H1676" s="1843"/>
      <c r="I1676" s="1843"/>
      <c r="J1676" s="1835"/>
    </row>
    <row r="1677" spans="1:10" ht="12.75" hidden="1" customHeight="1" outlineLevel="2">
      <c r="A1677" s="1839"/>
      <c r="B1677" s="1841"/>
      <c r="C1677" t="s">
        <v>2406</v>
      </c>
      <c r="D1677" t="s">
        <v>2407</v>
      </c>
      <c r="E1677" t="s">
        <v>39</v>
      </c>
      <c r="F1677">
        <v>2.56</v>
      </c>
      <c r="G1677">
        <v>5</v>
      </c>
      <c r="H1677">
        <v>2636</v>
      </c>
      <c r="I1677">
        <v>0</v>
      </c>
      <c r="J1677">
        <f t="shared" ref="J1677:J1682" si="41">(F1677*(1+G1677/100)) * (H1677*(1+I1677/100))</f>
        <v>7085.5680000000002</v>
      </c>
    </row>
    <row r="1678" spans="1:10" ht="12.75" hidden="1" customHeight="1" outlineLevel="2">
      <c r="A1678" s="1839"/>
      <c r="B1678" s="1841"/>
      <c r="C1678" t="s">
        <v>1495</v>
      </c>
      <c r="D1678" t="s">
        <v>1496</v>
      </c>
      <c r="E1678" t="s">
        <v>49</v>
      </c>
      <c r="F1678">
        <v>0.16</v>
      </c>
      <c r="G1678">
        <v>8</v>
      </c>
      <c r="H1678">
        <v>494415</v>
      </c>
      <c r="I1678">
        <v>0</v>
      </c>
      <c r="J1678">
        <f t="shared" si="41"/>
        <v>85434.912000000011</v>
      </c>
    </row>
    <row r="1679" spans="1:10" ht="12.75" hidden="1" customHeight="1" outlineLevel="2">
      <c r="A1679" s="1839"/>
      <c r="B1679" s="1841"/>
      <c r="C1679" t="s">
        <v>1677</v>
      </c>
      <c r="D1679" t="s">
        <v>1678</v>
      </c>
      <c r="E1679" t="s">
        <v>49</v>
      </c>
      <c r="F1679">
        <v>3.4999999999999996E-2</v>
      </c>
      <c r="G1679">
        <v>8</v>
      </c>
      <c r="H1679">
        <v>279580.59999999998</v>
      </c>
      <c r="I1679">
        <v>0</v>
      </c>
      <c r="J1679">
        <f t="shared" si="41"/>
        <v>10568.14668</v>
      </c>
    </row>
    <row r="1680" spans="1:10" ht="12.75" hidden="1" customHeight="1" outlineLevel="2">
      <c r="A1680" s="1839"/>
      <c r="B1680" s="1841"/>
      <c r="C1680" t="s">
        <v>2042</v>
      </c>
      <c r="D1680" t="s">
        <v>2043</v>
      </c>
      <c r="E1680" t="s">
        <v>1492</v>
      </c>
      <c r="F1680">
        <v>62.5</v>
      </c>
      <c r="G1680">
        <v>5</v>
      </c>
      <c r="H1680">
        <v>1620</v>
      </c>
      <c r="I1680">
        <v>0</v>
      </c>
      <c r="J1680">
        <f t="shared" si="41"/>
        <v>106312.5</v>
      </c>
    </row>
    <row r="1681" spans="1:10" ht="12.75" hidden="1" customHeight="1" outlineLevel="2">
      <c r="A1681" s="1839"/>
      <c r="B1681" s="1841"/>
      <c r="C1681" t="s">
        <v>1579</v>
      </c>
      <c r="D1681" t="s">
        <v>1580</v>
      </c>
      <c r="E1681" t="s">
        <v>1482</v>
      </c>
      <c r="F1681">
        <v>5</v>
      </c>
      <c r="G1681">
        <v>0</v>
      </c>
      <c r="H1681">
        <v>6810.12</v>
      </c>
      <c r="I1681">
        <v>0</v>
      </c>
      <c r="J1681">
        <f t="shared" si="41"/>
        <v>34050.6</v>
      </c>
    </row>
    <row r="1682" spans="1:10" ht="12.75" hidden="1" customHeight="1" outlineLevel="2">
      <c r="A1682" s="1839"/>
      <c r="B1682" s="1841"/>
      <c r="C1682" t="s">
        <v>1510</v>
      </c>
      <c r="D1682" t="s">
        <v>1511</v>
      </c>
      <c r="E1682" t="s">
        <v>1482</v>
      </c>
      <c r="F1682">
        <v>5</v>
      </c>
      <c r="G1682">
        <v>0</v>
      </c>
      <c r="H1682">
        <v>5527.21</v>
      </c>
      <c r="I1682">
        <v>0</v>
      </c>
      <c r="J1682">
        <f t="shared" si="41"/>
        <v>27636.05</v>
      </c>
    </row>
    <row r="1683" spans="1:10" ht="12.75" hidden="1" customHeight="1" outlineLevel="2">
      <c r="A1683" s="1839"/>
      <c r="B1683" s="1841"/>
      <c r="G1683">
        <v>5</v>
      </c>
      <c r="H1683" t="s">
        <v>1514</v>
      </c>
      <c r="J1683">
        <v>3084.33</v>
      </c>
    </row>
    <row r="1684" spans="1:10" ht="12.75" hidden="1" customHeight="1" outlineLevel="2">
      <c r="A1684" s="1839"/>
      <c r="B1684" s="1841"/>
      <c r="C1684" s="1808" t="s">
        <v>1488</v>
      </c>
      <c r="D1684" s="1808"/>
      <c r="E1684" s="942" t="s">
        <v>285</v>
      </c>
      <c r="F1684" s="583">
        <f>'14. Inst. Hidro-Sanitarias'!H26</f>
        <v>8</v>
      </c>
      <c r="G1684" s="942"/>
      <c r="H1684" s="942"/>
      <c r="I1684" s="942">
        <v>0</v>
      </c>
      <c r="J1684" s="943">
        <f>SUM(J1677:J1683)</f>
        <v>274172.10668000003</v>
      </c>
    </row>
    <row r="1685" spans="1:10" ht="12.75" hidden="1" customHeight="1" outlineLevel="1" collapsed="1">
      <c r="A1685" s="1839"/>
      <c r="B1685" s="1841"/>
      <c r="C1685" s="1827" t="s">
        <v>47</v>
      </c>
      <c r="D1685" s="1827"/>
      <c r="E1685" s="1827"/>
      <c r="F1685" s="1827"/>
      <c r="G1685" s="1827"/>
      <c r="H1685" s="1827"/>
      <c r="I1685" s="1827"/>
      <c r="J1685" s="773">
        <f>J1684*F1684</f>
        <v>2193376.8534400002</v>
      </c>
    </row>
    <row r="1686" spans="1:10" ht="12.75" hidden="1" customHeight="1" outlineLevel="1">
      <c r="A1686" s="1838" t="s">
        <v>2404</v>
      </c>
      <c r="B1686" s="1840">
        <v>17.25</v>
      </c>
      <c r="C1686" s="1842" t="s">
        <v>2408</v>
      </c>
      <c r="D1686" s="1843"/>
      <c r="E1686" s="1843"/>
      <c r="F1686" s="1843"/>
      <c r="G1686" s="1843" t="s">
        <v>2408</v>
      </c>
      <c r="H1686" s="1843"/>
      <c r="I1686" s="1843"/>
      <c r="J1686" s="1835"/>
    </row>
    <row r="1687" spans="1:10" ht="12.75" hidden="1" customHeight="1" outlineLevel="2">
      <c r="A1687" s="1839"/>
      <c r="B1687" s="1841"/>
      <c r="C1687" t="s">
        <v>2406</v>
      </c>
      <c r="D1687" t="s">
        <v>2407</v>
      </c>
      <c r="E1687" t="s">
        <v>39</v>
      </c>
      <c r="F1687">
        <v>2.56</v>
      </c>
      <c r="G1687">
        <v>5</v>
      </c>
      <c r="H1687">
        <v>2636</v>
      </c>
      <c r="I1687">
        <v>0</v>
      </c>
      <c r="J1687">
        <f t="shared" ref="J1687:J1692" si="42">(F1687*(1+G1687/100)) * (H1687*(1+I1687/100))</f>
        <v>7085.5680000000002</v>
      </c>
    </row>
    <row r="1688" spans="1:10" ht="12.75" hidden="1" customHeight="1" outlineLevel="2">
      <c r="A1688" s="1839"/>
      <c r="B1688" s="1841"/>
      <c r="C1688" t="s">
        <v>1495</v>
      </c>
      <c r="D1688" t="s">
        <v>1496</v>
      </c>
      <c r="E1688" t="s">
        <v>49</v>
      </c>
      <c r="F1688">
        <v>0.16</v>
      </c>
      <c r="G1688">
        <v>8</v>
      </c>
      <c r="H1688">
        <v>494415</v>
      </c>
      <c r="I1688">
        <v>0</v>
      </c>
      <c r="J1688">
        <f t="shared" si="42"/>
        <v>85434.912000000011</v>
      </c>
    </row>
    <row r="1689" spans="1:10" ht="12.75" hidden="1" customHeight="1" outlineLevel="2">
      <c r="A1689" s="1839"/>
      <c r="B1689" s="1841"/>
      <c r="C1689" t="s">
        <v>1677</v>
      </c>
      <c r="D1689" t="s">
        <v>1678</v>
      </c>
      <c r="E1689" t="s">
        <v>49</v>
      </c>
      <c r="F1689">
        <v>3.4999999999999996E-2</v>
      </c>
      <c r="G1689">
        <v>8</v>
      </c>
      <c r="H1689">
        <v>279580.59999999998</v>
      </c>
      <c r="I1689">
        <v>0</v>
      </c>
      <c r="J1689">
        <f t="shared" si="42"/>
        <v>10568.14668</v>
      </c>
    </row>
    <row r="1690" spans="1:10" ht="12.75" hidden="1" customHeight="1" outlineLevel="2">
      <c r="A1690" s="1839"/>
      <c r="B1690" s="1841"/>
      <c r="C1690" t="s">
        <v>2042</v>
      </c>
      <c r="D1690" t="s">
        <v>2043</v>
      </c>
      <c r="E1690" t="s">
        <v>1492</v>
      </c>
      <c r="F1690">
        <v>62.5</v>
      </c>
      <c r="G1690">
        <v>5</v>
      </c>
      <c r="H1690">
        <v>1620</v>
      </c>
      <c r="I1690">
        <v>0</v>
      </c>
      <c r="J1690">
        <f t="shared" si="42"/>
        <v>106312.5</v>
      </c>
    </row>
    <row r="1691" spans="1:10" ht="12.75" hidden="1" customHeight="1" outlineLevel="2">
      <c r="A1691" s="1839"/>
      <c r="B1691" s="1841"/>
      <c r="C1691" t="s">
        <v>1579</v>
      </c>
      <c r="D1691" t="s">
        <v>1580</v>
      </c>
      <c r="E1691" t="s">
        <v>1482</v>
      </c>
      <c r="F1691">
        <v>5</v>
      </c>
      <c r="G1691">
        <v>0</v>
      </c>
      <c r="H1691">
        <v>6810.12</v>
      </c>
      <c r="I1691">
        <v>0</v>
      </c>
      <c r="J1691">
        <f t="shared" si="42"/>
        <v>34050.6</v>
      </c>
    </row>
    <row r="1692" spans="1:10" ht="12.75" hidden="1" customHeight="1" outlineLevel="2">
      <c r="A1692" s="1839"/>
      <c r="B1692" s="1841"/>
      <c r="C1692" t="s">
        <v>1510</v>
      </c>
      <c r="D1692" t="s">
        <v>1511</v>
      </c>
      <c r="E1692" t="s">
        <v>1482</v>
      </c>
      <c r="F1692">
        <v>5</v>
      </c>
      <c r="G1692">
        <v>0</v>
      </c>
      <c r="H1692">
        <v>5527.21</v>
      </c>
      <c r="I1692">
        <v>0</v>
      </c>
      <c r="J1692">
        <f t="shared" si="42"/>
        <v>27636.05</v>
      </c>
    </row>
    <row r="1693" spans="1:10" ht="12.75" hidden="1" customHeight="1" outlineLevel="2">
      <c r="A1693" s="1839"/>
      <c r="B1693" s="1841"/>
      <c r="G1693">
        <v>5</v>
      </c>
      <c r="H1693" t="s">
        <v>1514</v>
      </c>
      <c r="J1693">
        <v>3084.33</v>
      </c>
    </row>
    <row r="1694" spans="1:10" ht="12.75" hidden="1" customHeight="1" outlineLevel="2">
      <c r="A1694" s="1839"/>
      <c r="B1694" s="1841"/>
      <c r="C1694" s="1808" t="s">
        <v>1488</v>
      </c>
      <c r="D1694" s="1808"/>
      <c r="E1694" s="942" t="s">
        <v>285</v>
      </c>
      <c r="F1694" s="583">
        <f>'14. Inst. Hidro-Sanitarias'!G26</f>
        <v>8</v>
      </c>
      <c r="G1694" s="942"/>
      <c r="H1694" s="942"/>
      <c r="I1694" s="942">
        <v>0</v>
      </c>
      <c r="J1694" s="943">
        <f>SUM(J1687:J1693)</f>
        <v>274172.10668000003</v>
      </c>
    </row>
    <row r="1695" spans="1:10" ht="12.75" hidden="1" customHeight="1" outlineLevel="1" collapsed="1">
      <c r="A1695" s="1839"/>
      <c r="B1695" s="1841"/>
      <c r="C1695" s="1827" t="s">
        <v>47</v>
      </c>
      <c r="D1695" s="1827"/>
      <c r="E1695" s="1827"/>
      <c r="F1695" s="1827"/>
      <c r="G1695" s="1827"/>
      <c r="H1695" s="1827"/>
      <c r="I1695" s="1827"/>
      <c r="J1695" s="773">
        <f>J1694*F1694</f>
        <v>2193376.8534400002</v>
      </c>
    </row>
    <row r="1696" spans="1:10" ht="12.75" hidden="1" customHeight="1" outlineLevel="1">
      <c r="A1696" s="1845"/>
      <c r="B1696" s="1840"/>
      <c r="C1696" s="1849" t="s">
        <v>2491</v>
      </c>
      <c r="D1696" s="1850"/>
      <c r="E1696" s="1850"/>
      <c r="F1696" s="1850"/>
      <c r="G1696" s="1850"/>
      <c r="H1696" s="1850"/>
      <c r="I1696" s="1850"/>
      <c r="J1696" s="1851"/>
    </row>
    <row r="1697" spans="1:10" ht="12.75" hidden="1" customHeight="1" outlineLevel="2">
      <c r="A1697" s="1846"/>
      <c r="B1697" s="1841"/>
      <c r="C1697" s="915"/>
      <c r="D1697" s="914" t="s">
        <v>2854</v>
      </c>
      <c r="E1697" s="943" t="s">
        <v>48</v>
      </c>
      <c r="F1697" s="943">
        <v>1.05</v>
      </c>
      <c r="G1697" s="943"/>
      <c r="H1697" s="5"/>
      <c r="I1697" s="943"/>
      <c r="J1697" s="943">
        <v>89215</v>
      </c>
    </row>
    <row r="1698" spans="1:10" ht="12.75" hidden="1" customHeight="1" outlineLevel="2">
      <c r="A1698" s="1846"/>
      <c r="B1698" s="1841"/>
      <c r="C1698" s="915"/>
      <c r="D1698" s="914" t="s">
        <v>2492</v>
      </c>
      <c r="E1698" s="943" t="s">
        <v>1897</v>
      </c>
      <c r="F1698" s="943">
        <v>0.1</v>
      </c>
      <c r="G1698" s="943"/>
      <c r="H1698" s="5"/>
      <c r="I1698" s="943"/>
      <c r="J1698" s="943">
        <v>2066</v>
      </c>
    </row>
    <row r="1699" spans="1:10" ht="12.75" hidden="1" customHeight="1" outlineLevel="2">
      <c r="A1699" s="1846"/>
      <c r="B1699" s="1841"/>
      <c r="C1699" s="915"/>
      <c r="D1699" s="914" t="s">
        <v>2090</v>
      </c>
      <c r="E1699" s="943" t="s">
        <v>2091</v>
      </c>
      <c r="F1699" s="943">
        <v>10</v>
      </c>
      <c r="G1699" s="943"/>
      <c r="H1699" s="5"/>
      <c r="I1699" s="943"/>
      <c r="J1699" s="943">
        <v>9128</v>
      </c>
    </row>
    <row r="1700" spans="1:10" ht="12.75" hidden="1" customHeight="1" outlineLevel="2">
      <c r="A1700" s="1846"/>
      <c r="B1700" s="1841"/>
      <c r="C1700" s="1842" t="s">
        <v>1488</v>
      </c>
      <c r="D1700" s="1835"/>
      <c r="E1700" s="942" t="s">
        <v>345</v>
      </c>
      <c r="F1700" s="583">
        <v>30.94</v>
      </c>
      <c r="G1700" s="942"/>
      <c r="H1700" s="942"/>
      <c r="I1700" s="942">
        <v>0</v>
      </c>
      <c r="J1700" s="943">
        <f>SUM(J1697:J1699)</f>
        <v>100409</v>
      </c>
    </row>
    <row r="1701" spans="1:10" ht="12.75" hidden="1" customHeight="1" outlineLevel="1" collapsed="1">
      <c r="A1701" s="1847"/>
      <c r="B1701" s="1848"/>
      <c r="C1701" s="1852" t="s">
        <v>47</v>
      </c>
      <c r="D1701" s="1853"/>
      <c r="E1701" s="1853"/>
      <c r="F1701" s="1853"/>
      <c r="G1701" s="1853"/>
      <c r="H1701" s="1853"/>
      <c r="I1701" s="1836"/>
      <c r="J1701" s="773">
        <f>+J1700*F1700</f>
        <v>3106654.46</v>
      </c>
    </row>
    <row r="1702" spans="1:10" collapsed="1">
      <c r="A1702" s="1869">
        <v>18</v>
      </c>
      <c r="B1702" s="1870"/>
      <c r="C1702" s="1869" t="s">
        <v>2490</v>
      </c>
      <c r="D1702" s="1871"/>
      <c r="E1702" s="1871"/>
      <c r="F1702" s="1871"/>
      <c r="G1702" s="1871"/>
      <c r="H1702" s="1871"/>
      <c r="I1702" s="1871"/>
      <c r="J1702" s="1870"/>
    </row>
    <row r="1703" spans="1:10" ht="12.75" hidden="1" customHeight="1" outlineLevel="1">
      <c r="A1703" s="1830" t="s">
        <v>1738</v>
      </c>
      <c r="B1703" s="1831" t="s">
        <v>1737</v>
      </c>
      <c r="C1703" s="1875" t="s">
        <v>1313</v>
      </c>
      <c r="D1703" s="1832"/>
      <c r="E1703" s="1832"/>
      <c r="F1703" s="1832"/>
      <c r="G1703" s="1832"/>
      <c r="H1703" s="1832"/>
      <c r="I1703" s="1832"/>
      <c r="J1703" s="1832"/>
    </row>
    <row r="1704" spans="1:10" ht="12.75" hidden="1" customHeight="1" outlineLevel="2">
      <c r="A1704" s="1830"/>
      <c r="B1704" s="1831"/>
      <c r="C1704" s="774" t="s">
        <v>1739</v>
      </c>
      <c r="D1704" s="776" t="s">
        <v>1740</v>
      </c>
      <c r="E1704" s="774" t="s">
        <v>48</v>
      </c>
      <c r="F1704" s="774">
        <v>2</v>
      </c>
      <c r="G1704" s="774">
        <v>0</v>
      </c>
      <c r="H1704" s="774">
        <v>9550</v>
      </c>
      <c r="I1704" s="774">
        <v>0</v>
      </c>
      <c r="J1704" s="774">
        <f t="shared" ref="J1704:J1709" si="43">(F1704*(1+G1704/100)) * (H1704*(1+I1704/100))</f>
        <v>19100</v>
      </c>
    </row>
    <row r="1705" spans="1:10" ht="12.75" hidden="1" customHeight="1" outlineLevel="2">
      <c r="A1705" s="1830"/>
      <c r="B1705" s="1831"/>
      <c r="C1705" s="774" t="s">
        <v>1741</v>
      </c>
      <c r="D1705" s="776" t="s">
        <v>1742</v>
      </c>
      <c r="E1705" s="774" t="s">
        <v>1492</v>
      </c>
      <c r="F1705" s="774">
        <v>2</v>
      </c>
      <c r="G1705" s="774">
        <v>0</v>
      </c>
      <c r="H1705" s="774">
        <v>3300</v>
      </c>
      <c r="I1705" s="774">
        <v>0</v>
      </c>
      <c r="J1705" s="774">
        <f t="shared" si="43"/>
        <v>6600</v>
      </c>
    </row>
    <row r="1706" spans="1:10" ht="12.75" hidden="1" customHeight="1" outlineLevel="2">
      <c r="A1706" s="1830"/>
      <c r="B1706" s="1831"/>
      <c r="C1706" s="774" t="s">
        <v>1743</v>
      </c>
      <c r="D1706" s="776" t="s">
        <v>1744</v>
      </c>
      <c r="E1706" s="774" t="s">
        <v>1492</v>
      </c>
      <c r="F1706" s="774">
        <v>1</v>
      </c>
      <c r="G1706" s="774">
        <v>0</v>
      </c>
      <c r="H1706" s="774">
        <v>379300</v>
      </c>
      <c r="I1706" s="774">
        <v>0</v>
      </c>
      <c r="J1706" s="774">
        <f t="shared" si="43"/>
        <v>379300</v>
      </c>
    </row>
    <row r="1707" spans="1:10" ht="12.75" hidden="1" customHeight="1" outlineLevel="2">
      <c r="A1707" s="1830"/>
      <c r="B1707" s="1831"/>
      <c r="C1707" s="774" t="s">
        <v>1745</v>
      </c>
      <c r="D1707" s="776" t="s">
        <v>1746</v>
      </c>
      <c r="E1707" s="774" t="s">
        <v>1492</v>
      </c>
      <c r="F1707" s="774">
        <v>1</v>
      </c>
      <c r="G1707" s="774">
        <v>0</v>
      </c>
      <c r="H1707" s="774">
        <v>82026</v>
      </c>
      <c r="I1707" s="774">
        <v>0</v>
      </c>
      <c r="J1707" s="774">
        <f t="shared" si="43"/>
        <v>82026</v>
      </c>
    </row>
    <row r="1708" spans="1:10" ht="12.75" hidden="1" customHeight="1" outlineLevel="2">
      <c r="A1708" s="1830"/>
      <c r="B1708" s="1831"/>
      <c r="C1708" s="774" t="s">
        <v>1510</v>
      </c>
      <c r="D1708" s="776" t="s">
        <v>1511</v>
      </c>
      <c r="E1708" s="774" t="s">
        <v>1482</v>
      </c>
      <c r="F1708" s="774">
        <v>2.5</v>
      </c>
      <c r="G1708" s="774">
        <v>0</v>
      </c>
      <c r="H1708" s="774">
        <v>5527.21</v>
      </c>
      <c r="I1708" s="774">
        <v>0</v>
      </c>
      <c r="J1708" s="774">
        <f t="shared" si="43"/>
        <v>13818.025</v>
      </c>
    </row>
    <row r="1709" spans="1:10" ht="12.75" hidden="1" customHeight="1" outlineLevel="2">
      <c r="A1709" s="1830"/>
      <c r="B1709" s="1831"/>
      <c r="C1709" s="774" t="s">
        <v>1747</v>
      </c>
      <c r="D1709" s="776" t="s">
        <v>1748</v>
      </c>
      <c r="E1709" s="774" t="s">
        <v>1482</v>
      </c>
      <c r="F1709" s="774">
        <v>2.5</v>
      </c>
      <c r="G1709" s="774">
        <v>0</v>
      </c>
      <c r="H1709" s="774">
        <v>7237.76</v>
      </c>
      <c r="I1709" s="774">
        <v>0</v>
      </c>
      <c r="J1709" s="774">
        <f t="shared" si="43"/>
        <v>18094.400000000001</v>
      </c>
    </row>
    <row r="1710" spans="1:10" ht="12.75" hidden="1" customHeight="1" outlineLevel="2">
      <c r="A1710" s="1830"/>
      <c r="B1710" s="1831"/>
      <c r="C1710" s="774"/>
      <c r="D1710" s="774"/>
      <c r="E1710" s="774"/>
      <c r="F1710" s="774"/>
      <c r="G1710" s="774">
        <v>5</v>
      </c>
      <c r="H1710" s="774" t="s">
        <v>1514</v>
      </c>
      <c r="I1710" s="774"/>
      <c r="J1710" s="774">
        <v>1595.6200000000001</v>
      </c>
    </row>
    <row r="1711" spans="1:10" ht="12.75" hidden="1" customHeight="1" outlineLevel="2">
      <c r="A1711" s="1830"/>
      <c r="B1711" s="1831"/>
      <c r="C1711" s="1808" t="s">
        <v>1488</v>
      </c>
      <c r="D1711" s="1808"/>
      <c r="E1711" s="784" t="s">
        <v>285</v>
      </c>
      <c r="F1711" s="583">
        <f>'14. Inst. Hidro-Sanitarias'!I33</f>
        <v>1</v>
      </c>
      <c r="G1711" s="784"/>
      <c r="H1711" s="784"/>
      <c r="I1711" s="784">
        <v>0</v>
      </c>
      <c r="J1711" s="774">
        <f>SUM(J1704:J1710)</f>
        <v>520534.04500000004</v>
      </c>
    </row>
    <row r="1712" spans="1:10" ht="12.75" hidden="1" customHeight="1" outlineLevel="1">
      <c r="A1712" s="1830"/>
      <c r="B1712" s="1831"/>
      <c r="C1712" s="1827" t="s">
        <v>47</v>
      </c>
      <c r="D1712" s="1827"/>
      <c r="E1712" s="1827"/>
      <c r="F1712" s="1827"/>
      <c r="G1712" s="1827"/>
      <c r="H1712" s="1827"/>
      <c r="I1712" s="1827"/>
      <c r="J1712" s="773">
        <f>J1711*F1711</f>
        <v>520534.04500000004</v>
      </c>
    </row>
    <row r="1713" spans="1:10" ht="12.75" hidden="1" customHeight="1" outlineLevel="1">
      <c r="A1713" s="1830" t="s">
        <v>1738</v>
      </c>
      <c r="B1713" s="1831" t="s">
        <v>1191</v>
      </c>
      <c r="C1713" s="1842" t="s">
        <v>1314</v>
      </c>
      <c r="D1713" s="1843"/>
      <c r="E1713" s="1843"/>
      <c r="F1713" s="1843"/>
      <c r="G1713" s="1843"/>
      <c r="H1713" s="1843"/>
      <c r="I1713" s="1843"/>
      <c r="J1713" s="1835"/>
    </row>
    <row r="1714" spans="1:10" ht="12.75" hidden="1" customHeight="1" outlineLevel="2">
      <c r="A1714" s="1830"/>
      <c r="B1714" s="1831"/>
      <c r="C1714" s="774" t="s">
        <v>1739</v>
      </c>
      <c r="D1714" s="776" t="s">
        <v>1740</v>
      </c>
      <c r="E1714" s="774" t="s">
        <v>48</v>
      </c>
      <c r="F1714" s="774">
        <v>2</v>
      </c>
      <c r="G1714" s="774">
        <v>0</v>
      </c>
      <c r="H1714" s="774">
        <v>9550</v>
      </c>
      <c r="I1714" s="774">
        <v>0</v>
      </c>
      <c r="J1714" s="774">
        <f t="shared" ref="J1714:J1719" si="44">(F1714*(1+G1714/100)) * (H1714*(1+I1714/100))</f>
        <v>19100</v>
      </c>
    </row>
    <row r="1715" spans="1:10" ht="12.75" hidden="1" customHeight="1" outlineLevel="2">
      <c r="A1715" s="1830"/>
      <c r="B1715" s="1831"/>
      <c r="C1715" s="774" t="s">
        <v>1741</v>
      </c>
      <c r="D1715" s="776" t="s">
        <v>1742</v>
      </c>
      <c r="E1715" s="774" t="s">
        <v>1492</v>
      </c>
      <c r="F1715" s="774">
        <v>2</v>
      </c>
      <c r="G1715" s="774">
        <v>0</v>
      </c>
      <c r="H1715" s="774">
        <v>3300</v>
      </c>
      <c r="I1715" s="774">
        <v>0</v>
      </c>
      <c r="J1715" s="774">
        <f t="shared" si="44"/>
        <v>6600</v>
      </c>
    </row>
    <row r="1716" spans="1:10" ht="12.75" hidden="1" customHeight="1" outlineLevel="2">
      <c r="A1716" s="1830"/>
      <c r="B1716" s="1831"/>
      <c r="C1716" s="774" t="s">
        <v>1743</v>
      </c>
      <c r="D1716" s="776" t="s">
        <v>1744</v>
      </c>
      <c r="E1716" s="774" t="s">
        <v>1492</v>
      </c>
      <c r="F1716" s="774">
        <v>1</v>
      </c>
      <c r="G1716" s="774">
        <v>0</v>
      </c>
      <c r="H1716" s="774">
        <v>379300</v>
      </c>
      <c r="I1716" s="774">
        <v>0</v>
      </c>
      <c r="J1716" s="774">
        <f t="shared" si="44"/>
        <v>379300</v>
      </c>
    </row>
    <row r="1717" spans="1:10" ht="12.75" hidden="1" customHeight="1" outlineLevel="2">
      <c r="A1717" s="1830"/>
      <c r="B1717" s="1831"/>
      <c r="C1717" s="774" t="s">
        <v>1745</v>
      </c>
      <c r="D1717" s="776" t="s">
        <v>1746</v>
      </c>
      <c r="E1717" s="774" t="s">
        <v>1492</v>
      </c>
      <c r="F1717" s="774">
        <v>1</v>
      </c>
      <c r="G1717" s="774">
        <v>0</v>
      </c>
      <c r="H1717" s="774">
        <v>82026</v>
      </c>
      <c r="I1717" s="774">
        <v>0</v>
      </c>
      <c r="J1717" s="774">
        <f t="shared" si="44"/>
        <v>82026</v>
      </c>
    </row>
    <row r="1718" spans="1:10" ht="12.75" hidden="1" customHeight="1" outlineLevel="2">
      <c r="A1718" s="1830"/>
      <c r="B1718" s="1831"/>
      <c r="C1718" s="774" t="s">
        <v>1510</v>
      </c>
      <c r="D1718" s="776" t="s">
        <v>1511</v>
      </c>
      <c r="E1718" s="774" t="s">
        <v>1482</v>
      </c>
      <c r="F1718" s="774">
        <v>2.5</v>
      </c>
      <c r="G1718" s="774">
        <v>0</v>
      </c>
      <c r="H1718" s="774">
        <v>5527.21</v>
      </c>
      <c r="I1718" s="774">
        <v>0</v>
      </c>
      <c r="J1718" s="774">
        <f t="shared" si="44"/>
        <v>13818.025</v>
      </c>
    </row>
    <row r="1719" spans="1:10" ht="12.75" hidden="1" customHeight="1" outlineLevel="2">
      <c r="A1719" s="1830"/>
      <c r="B1719" s="1831"/>
      <c r="C1719" s="774" t="s">
        <v>1747</v>
      </c>
      <c r="D1719" s="776" t="s">
        <v>1748</v>
      </c>
      <c r="E1719" s="774" t="s">
        <v>1482</v>
      </c>
      <c r="F1719" s="774">
        <v>2.5</v>
      </c>
      <c r="G1719" s="774">
        <v>0</v>
      </c>
      <c r="H1719" s="774">
        <v>7237.76</v>
      </c>
      <c r="I1719" s="774">
        <v>0</v>
      </c>
      <c r="J1719" s="774">
        <f t="shared" si="44"/>
        <v>18094.400000000001</v>
      </c>
    </row>
    <row r="1720" spans="1:10" ht="12.75" hidden="1" customHeight="1" outlineLevel="2">
      <c r="A1720" s="1830"/>
      <c r="B1720" s="1831"/>
      <c r="C1720" s="774"/>
      <c r="D1720" s="774"/>
      <c r="E1720" s="774"/>
      <c r="F1720" s="774"/>
      <c r="G1720" s="774">
        <v>5</v>
      </c>
      <c r="H1720" s="774" t="s">
        <v>1514</v>
      </c>
      <c r="I1720" s="774"/>
      <c r="J1720" s="774">
        <v>1595.6200000000001</v>
      </c>
    </row>
    <row r="1721" spans="1:10" ht="12.75" hidden="1" customHeight="1" outlineLevel="2">
      <c r="A1721" s="1830"/>
      <c r="B1721" s="1831"/>
      <c r="C1721" s="1808" t="s">
        <v>1488</v>
      </c>
      <c r="D1721" s="1808"/>
      <c r="E1721" s="784" t="s">
        <v>285</v>
      </c>
      <c r="F1721" s="583">
        <f>'14. Inst. Hidro-Sanitarias'!I34</f>
        <v>1</v>
      </c>
      <c r="G1721" s="784"/>
      <c r="H1721" s="784"/>
      <c r="I1721" s="784">
        <v>0</v>
      </c>
      <c r="J1721" s="774">
        <f>SUM(J1714:J1720)</f>
        <v>520534.04500000004</v>
      </c>
    </row>
    <row r="1722" spans="1:10" ht="12.75" hidden="1" customHeight="1" outlineLevel="1" collapsed="1">
      <c r="A1722" s="1830"/>
      <c r="B1722" s="1831"/>
      <c r="C1722" s="1827" t="s">
        <v>47</v>
      </c>
      <c r="D1722" s="1827"/>
      <c r="E1722" s="1827"/>
      <c r="F1722" s="1827"/>
      <c r="G1722" s="1827"/>
      <c r="H1722" s="1827"/>
      <c r="I1722" s="1827"/>
      <c r="J1722" s="773">
        <f>J1721*F1721</f>
        <v>520534.04500000004</v>
      </c>
    </row>
    <row r="1723" spans="1:10" ht="12.75" hidden="1" customHeight="1" outlineLevel="1">
      <c r="A1723" s="1830" t="s">
        <v>1738</v>
      </c>
      <c r="B1723" s="1831" t="s">
        <v>1192</v>
      </c>
      <c r="C1723" s="1842" t="s">
        <v>1315</v>
      </c>
      <c r="D1723" s="1843"/>
      <c r="E1723" s="1843"/>
      <c r="F1723" s="1843"/>
      <c r="G1723" s="1843"/>
      <c r="H1723" s="1843"/>
      <c r="I1723" s="1843"/>
      <c r="J1723" s="1835"/>
    </row>
    <row r="1724" spans="1:10" ht="12.75" hidden="1" customHeight="1" outlineLevel="2">
      <c r="A1724" s="1830"/>
      <c r="B1724" s="1831"/>
      <c r="C1724" s="774" t="s">
        <v>1739</v>
      </c>
      <c r="D1724" s="776" t="s">
        <v>1740</v>
      </c>
      <c r="E1724" s="774" t="s">
        <v>48</v>
      </c>
      <c r="F1724" s="774">
        <v>2</v>
      </c>
      <c r="G1724" s="774">
        <v>0</v>
      </c>
      <c r="H1724" s="774">
        <v>9550</v>
      </c>
      <c r="I1724" s="774">
        <v>0</v>
      </c>
      <c r="J1724" s="774">
        <f t="shared" ref="J1724:J1729" si="45">(F1724*(1+G1724/100)) * (H1724*(1+I1724/100))</f>
        <v>19100</v>
      </c>
    </row>
    <row r="1725" spans="1:10" ht="12.75" hidden="1" customHeight="1" outlineLevel="2">
      <c r="A1725" s="1830"/>
      <c r="B1725" s="1831"/>
      <c r="C1725" s="774" t="s">
        <v>1741</v>
      </c>
      <c r="D1725" s="776" t="s">
        <v>1742</v>
      </c>
      <c r="E1725" s="774" t="s">
        <v>1492</v>
      </c>
      <c r="F1725" s="774">
        <v>2</v>
      </c>
      <c r="G1725" s="774">
        <v>0</v>
      </c>
      <c r="H1725" s="774">
        <v>3300</v>
      </c>
      <c r="I1725" s="774">
        <v>0</v>
      </c>
      <c r="J1725" s="774">
        <f t="shared" si="45"/>
        <v>6600</v>
      </c>
    </row>
    <row r="1726" spans="1:10" ht="12.75" hidden="1" customHeight="1" outlineLevel="2">
      <c r="A1726" s="1830"/>
      <c r="B1726" s="1831"/>
      <c r="C1726" s="774" t="s">
        <v>1743</v>
      </c>
      <c r="D1726" s="776" t="s">
        <v>1744</v>
      </c>
      <c r="E1726" s="774" t="s">
        <v>1492</v>
      </c>
      <c r="F1726" s="774">
        <v>1</v>
      </c>
      <c r="G1726" s="774">
        <v>0</v>
      </c>
      <c r="H1726" s="774">
        <v>379300</v>
      </c>
      <c r="I1726" s="774">
        <v>0</v>
      </c>
      <c r="J1726" s="774">
        <f t="shared" si="45"/>
        <v>379300</v>
      </c>
    </row>
    <row r="1727" spans="1:10" ht="12.75" hidden="1" customHeight="1" outlineLevel="2">
      <c r="A1727" s="1830"/>
      <c r="B1727" s="1831"/>
      <c r="C1727" s="774" t="s">
        <v>1745</v>
      </c>
      <c r="D1727" s="776" t="s">
        <v>1746</v>
      </c>
      <c r="E1727" s="774" t="s">
        <v>1492</v>
      </c>
      <c r="F1727" s="774">
        <v>1</v>
      </c>
      <c r="G1727" s="774">
        <v>0</v>
      </c>
      <c r="H1727" s="774">
        <v>82026</v>
      </c>
      <c r="I1727" s="774">
        <v>0</v>
      </c>
      <c r="J1727" s="774">
        <f t="shared" si="45"/>
        <v>82026</v>
      </c>
    </row>
    <row r="1728" spans="1:10" ht="12.75" hidden="1" customHeight="1" outlineLevel="2">
      <c r="A1728" s="1830"/>
      <c r="B1728" s="1831"/>
      <c r="C1728" s="774" t="s">
        <v>1510</v>
      </c>
      <c r="D1728" s="776" t="s">
        <v>1511</v>
      </c>
      <c r="E1728" s="774" t="s">
        <v>1482</v>
      </c>
      <c r="F1728" s="774">
        <v>2.5</v>
      </c>
      <c r="G1728" s="774">
        <v>0</v>
      </c>
      <c r="H1728" s="774">
        <v>5527.21</v>
      </c>
      <c r="I1728" s="774">
        <v>0</v>
      </c>
      <c r="J1728" s="774">
        <f t="shared" si="45"/>
        <v>13818.025</v>
      </c>
    </row>
    <row r="1729" spans="1:10" ht="12.75" hidden="1" customHeight="1" outlineLevel="2">
      <c r="A1729" s="1830"/>
      <c r="B1729" s="1831"/>
      <c r="C1729" s="774" t="s">
        <v>1747</v>
      </c>
      <c r="D1729" s="776" t="s">
        <v>1748</v>
      </c>
      <c r="E1729" s="774" t="s">
        <v>1482</v>
      </c>
      <c r="F1729" s="774">
        <v>2.5</v>
      </c>
      <c r="G1729" s="774">
        <v>0</v>
      </c>
      <c r="H1729" s="774">
        <v>7237.76</v>
      </c>
      <c r="I1729" s="774">
        <v>0</v>
      </c>
      <c r="J1729" s="774">
        <f t="shared" si="45"/>
        <v>18094.400000000001</v>
      </c>
    </row>
    <row r="1730" spans="1:10" ht="12.75" hidden="1" customHeight="1" outlineLevel="2">
      <c r="A1730" s="1830"/>
      <c r="B1730" s="1831"/>
      <c r="C1730" s="774"/>
      <c r="D1730" s="774"/>
      <c r="E1730" s="774"/>
      <c r="F1730" s="774"/>
      <c r="G1730" s="774">
        <v>5</v>
      </c>
      <c r="H1730" s="774" t="s">
        <v>1514</v>
      </c>
      <c r="I1730" s="774"/>
      <c r="J1730" s="774">
        <v>1595.6200000000001</v>
      </c>
    </row>
    <row r="1731" spans="1:10" ht="12.75" hidden="1" customHeight="1" outlineLevel="2">
      <c r="A1731" s="1830"/>
      <c r="B1731" s="1831"/>
      <c r="C1731" s="1808" t="s">
        <v>1488</v>
      </c>
      <c r="D1731" s="1808"/>
      <c r="E1731" s="784" t="s">
        <v>49</v>
      </c>
      <c r="F1731" s="583">
        <f>'14. Inst. Hidro-Sanitarias'!I35</f>
        <v>1</v>
      </c>
      <c r="G1731" s="784"/>
      <c r="H1731" s="784"/>
      <c r="I1731" s="784">
        <v>0</v>
      </c>
      <c r="J1731" s="774">
        <f>SUM(J1724:J1730)</f>
        <v>520534.04500000004</v>
      </c>
    </row>
    <row r="1732" spans="1:10" ht="12.75" hidden="1" customHeight="1" outlineLevel="1" collapsed="1">
      <c r="A1732" s="1830"/>
      <c r="B1732" s="1831"/>
      <c r="C1732" s="1827" t="s">
        <v>47</v>
      </c>
      <c r="D1732" s="1827"/>
      <c r="E1732" s="1827"/>
      <c r="F1732" s="1827"/>
      <c r="G1732" s="1827"/>
      <c r="H1732" s="1827"/>
      <c r="I1732" s="1827"/>
      <c r="J1732" s="773">
        <f>J1731*F1731</f>
        <v>520534.04500000004</v>
      </c>
    </row>
    <row r="1733" spans="1:10" ht="12.75" hidden="1" customHeight="1" outlineLevel="1">
      <c r="A1733" s="1830" t="s">
        <v>1750</v>
      </c>
      <c r="B1733" s="1831" t="s">
        <v>1193</v>
      </c>
      <c r="C1733" s="1875" t="s">
        <v>1316</v>
      </c>
      <c r="D1733" s="1832"/>
      <c r="E1733" s="1832"/>
      <c r="F1733" s="1832"/>
      <c r="G1733" s="1832"/>
      <c r="H1733" s="1832"/>
      <c r="I1733" s="1832"/>
      <c r="J1733" s="1832"/>
    </row>
    <row r="1734" spans="1:10" ht="12.75" hidden="1" customHeight="1" outlineLevel="2">
      <c r="A1734" s="1830"/>
      <c r="B1734" s="1831"/>
      <c r="C1734" s="774" t="s">
        <v>1751</v>
      </c>
      <c r="D1734" s="776" t="s">
        <v>1752</v>
      </c>
      <c r="E1734" s="774" t="s">
        <v>48</v>
      </c>
      <c r="F1734" s="774">
        <v>1</v>
      </c>
      <c r="G1734" s="774">
        <v>5</v>
      </c>
      <c r="H1734" s="774">
        <v>3441.96</v>
      </c>
      <c r="I1734" s="774">
        <v>0</v>
      </c>
      <c r="J1734" s="774">
        <f t="shared" ref="J1734:J1742" si="46">(F1734*(1+G1734/100)) * (H1734*(1+I1734/100))</f>
        <v>3614.058</v>
      </c>
    </row>
    <row r="1735" spans="1:10" ht="12.75" hidden="1" customHeight="1" outlineLevel="2">
      <c r="A1735" s="1830"/>
      <c r="B1735" s="1831"/>
      <c r="C1735" s="774" t="s">
        <v>1753</v>
      </c>
      <c r="D1735" s="776" t="s">
        <v>1754</v>
      </c>
      <c r="E1735" s="774" t="s">
        <v>1492</v>
      </c>
      <c r="F1735" s="774">
        <v>1</v>
      </c>
      <c r="G1735" s="774">
        <v>0</v>
      </c>
      <c r="H1735" s="774">
        <v>737.64</v>
      </c>
      <c r="I1735" s="774">
        <v>0</v>
      </c>
      <c r="J1735" s="774">
        <f t="shared" si="46"/>
        <v>737.64</v>
      </c>
    </row>
    <row r="1736" spans="1:10" ht="12.75" hidden="1" customHeight="1" outlineLevel="2">
      <c r="A1736" s="1830"/>
      <c r="B1736" s="1831"/>
      <c r="C1736" s="774" t="s">
        <v>1755</v>
      </c>
      <c r="D1736" s="776" t="s">
        <v>1756</v>
      </c>
      <c r="E1736" s="774" t="s">
        <v>1492</v>
      </c>
      <c r="F1736" s="774">
        <v>1</v>
      </c>
      <c r="G1736" s="774">
        <v>0</v>
      </c>
      <c r="H1736" s="774">
        <v>560.52</v>
      </c>
      <c r="I1736" s="774">
        <v>0</v>
      </c>
      <c r="J1736" s="774">
        <f t="shared" si="46"/>
        <v>560.52</v>
      </c>
    </row>
    <row r="1737" spans="1:10" ht="12.75" hidden="1" customHeight="1" outlineLevel="2">
      <c r="A1737" s="1830"/>
      <c r="B1737" s="1831"/>
      <c r="C1737" s="774" t="s">
        <v>1757</v>
      </c>
      <c r="D1737" s="776" t="s">
        <v>1758</v>
      </c>
      <c r="E1737" s="774" t="s">
        <v>1492</v>
      </c>
      <c r="F1737" s="774">
        <v>1</v>
      </c>
      <c r="G1737" s="774">
        <v>0</v>
      </c>
      <c r="H1737" s="774">
        <v>435.23999999999995</v>
      </c>
      <c r="I1737" s="774">
        <v>0</v>
      </c>
      <c r="J1737" s="774">
        <f t="shared" si="46"/>
        <v>435.23999999999995</v>
      </c>
    </row>
    <row r="1738" spans="1:10" ht="12.75" hidden="1" customHeight="1" outlineLevel="2">
      <c r="A1738" s="1830"/>
      <c r="B1738" s="1831"/>
      <c r="C1738" s="774" t="s">
        <v>1759</v>
      </c>
      <c r="D1738" s="776" t="s">
        <v>1760</v>
      </c>
      <c r="E1738" s="774" t="s">
        <v>1492</v>
      </c>
      <c r="F1738" s="774">
        <v>1</v>
      </c>
      <c r="G1738" s="774">
        <v>0</v>
      </c>
      <c r="H1738" s="774">
        <v>434.16</v>
      </c>
      <c r="I1738" s="774">
        <v>0</v>
      </c>
      <c r="J1738" s="774">
        <f t="shared" si="46"/>
        <v>434.16</v>
      </c>
    </row>
    <row r="1739" spans="1:10" ht="12.75" hidden="1" customHeight="1" outlineLevel="2">
      <c r="A1739" s="1830"/>
      <c r="B1739" s="1831"/>
      <c r="C1739" s="774" t="s">
        <v>1761</v>
      </c>
      <c r="D1739" s="776" t="s">
        <v>1762</v>
      </c>
      <c r="E1739" s="774" t="s">
        <v>1763</v>
      </c>
      <c r="F1739" s="774">
        <v>1E-3</v>
      </c>
      <c r="G1739" s="774">
        <v>5</v>
      </c>
      <c r="H1739" s="774">
        <v>87162.48000000001</v>
      </c>
      <c r="I1739" s="774">
        <v>0</v>
      </c>
      <c r="J1739" s="774">
        <f t="shared" si="46"/>
        <v>91.52060400000002</v>
      </c>
    </row>
    <row r="1740" spans="1:10" ht="12.75" hidden="1" customHeight="1" outlineLevel="2">
      <c r="A1740" s="1830"/>
      <c r="B1740" s="1831"/>
      <c r="C1740" s="774" t="s">
        <v>1764</v>
      </c>
      <c r="D1740" s="776" t="s">
        <v>1765</v>
      </c>
      <c r="E1740" s="774" t="s">
        <v>1492</v>
      </c>
      <c r="F1740" s="774">
        <v>1E-3</v>
      </c>
      <c r="G1740" s="774">
        <v>5</v>
      </c>
      <c r="H1740" s="774">
        <v>42064.92</v>
      </c>
      <c r="I1740" s="774">
        <v>0</v>
      </c>
      <c r="J1740" s="774">
        <f t="shared" si="46"/>
        <v>44.168166000000006</v>
      </c>
    </row>
    <row r="1741" spans="1:10" ht="12.75" hidden="1" customHeight="1" outlineLevel="2">
      <c r="A1741" s="1830"/>
      <c r="B1741" s="1831"/>
      <c r="C1741" s="774" t="s">
        <v>1510</v>
      </c>
      <c r="D1741" s="776" t="s">
        <v>1511</v>
      </c>
      <c r="E1741" s="774" t="s">
        <v>1482</v>
      </c>
      <c r="F1741" s="774">
        <v>0.06</v>
      </c>
      <c r="G1741" s="774">
        <v>0</v>
      </c>
      <c r="H1741" s="774">
        <v>5527.21</v>
      </c>
      <c r="I1741" s="774">
        <v>0</v>
      </c>
      <c r="J1741" s="774">
        <f t="shared" si="46"/>
        <v>331.63259999999997</v>
      </c>
    </row>
    <row r="1742" spans="1:10" ht="12.75" hidden="1" customHeight="1" outlineLevel="2">
      <c r="A1742" s="1830"/>
      <c r="B1742" s="1831"/>
      <c r="C1742" s="774" t="s">
        <v>1747</v>
      </c>
      <c r="D1742" s="776" t="s">
        <v>1748</v>
      </c>
      <c r="E1742" s="774" t="s">
        <v>1482</v>
      </c>
      <c r="F1742" s="774">
        <v>0.06</v>
      </c>
      <c r="G1742" s="774">
        <v>0</v>
      </c>
      <c r="H1742" s="774">
        <v>7237.76</v>
      </c>
      <c r="I1742" s="774">
        <v>0</v>
      </c>
      <c r="J1742" s="774">
        <f t="shared" si="46"/>
        <v>434.26560000000001</v>
      </c>
    </row>
    <row r="1743" spans="1:10" ht="12.75" hidden="1" customHeight="1" outlineLevel="2">
      <c r="A1743" s="1830"/>
      <c r="B1743" s="1831"/>
      <c r="C1743" s="774"/>
      <c r="D1743" s="774"/>
      <c r="E1743" s="774"/>
      <c r="F1743" s="774"/>
      <c r="G1743" s="774">
        <v>5</v>
      </c>
      <c r="H1743" s="774" t="s">
        <v>1514</v>
      </c>
      <c r="I1743" s="774"/>
      <c r="J1743" s="774">
        <v>38.29</v>
      </c>
    </row>
    <row r="1744" spans="1:10" ht="12.75" hidden="1" customHeight="1" outlineLevel="2">
      <c r="A1744" s="1830"/>
      <c r="B1744" s="1831"/>
      <c r="C1744" s="1808" t="s">
        <v>1488</v>
      </c>
      <c r="D1744" s="1808"/>
      <c r="E1744" s="784" t="s">
        <v>285</v>
      </c>
      <c r="F1744" s="583">
        <f>'14. Inst. Hidro-Sanitarias'!E112</f>
        <v>118</v>
      </c>
      <c r="G1744" s="784"/>
      <c r="H1744" s="784"/>
      <c r="I1744" s="784">
        <v>0</v>
      </c>
      <c r="J1744" s="774">
        <f>SUM(J1734:J1743)</f>
        <v>6721.4949700000006</v>
      </c>
    </row>
    <row r="1745" spans="1:10" ht="12.75" hidden="1" customHeight="1" outlineLevel="1" collapsed="1">
      <c r="A1745" s="1830"/>
      <c r="B1745" s="1831"/>
      <c r="C1745" s="1827" t="s">
        <v>47</v>
      </c>
      <c r="D1745" s="1827"/>
      <c r="E1745" s="1827"/>
      <c r="F1745" s="1827"/>
      <c r="G1745" s="1827"/>
      <c r="H1745" s="1827"/>
      <c r="I1745" s="1827"/>
      <c r="J1745" s="773">
        <f>J1744*F1744</f>
        <v>793136.40646000009</v>
      </c>
    </row>
    <row r="1746" spans="1:10" ht="12.75" hidden="1" customHeight="1" outlineLevel="1">
      <c r="A1746" s="1830" t="s">
        <v>1766</v>
      </c>
      <c r="B1746" s="1831" t="s">
        <v>1194</v>
      </c>
      <c r="C1746" s="1832" t="s">
        <v>1317</v>
      </c>
      <c r="D1746" s="1832"/>
      <c r="E1746" s="1832"/>
      <c r="F1746" s="1832"/>
      <c r="G1746" s="1832"/>
      <c r="H1746" s="1832"/>
      <c r="I1746" s="1832"/>
      <c r="J1746" s="1832"/>
    </row>
    <row r="1747" spans="1:10" ht="12.75" hidden="1" customHeight="1" outlineLevel="2">
      <c r="A1747" s="1830"/>
      <c r="B1747" s="1831"/>
      <c r="C1747" s="777" t="s">
        <v>1767</v>
      </c>
      <c r="D1747" s="776" t="s">
        <v>1768</v>
      </c>
      <c r="E1747" s="774" t="s">
        <v>1492</v>
      </c>
      <c r="F1747" s="774">
        <v>1</v>
      </c>
      <c r="G1747" s="774">
        <v>0</v>
      </c>
      <c r="H1747" s="774">
        <v>451</v>
      </c>
      <c r="I1747" s="774">
        <v>0</v>
      </c>
      <c r="J1747" s="774">
        <f t="shared" ref="J1747:J1755" si="47">(F1747*(1+G1747/100)) * (H1747*(1+I1747/100))</f>
        <v>451</v>
      </c>
    </row>
    <row r="1748" spans="1:10" ht="12.75" hidden="1" customHeight="1" outlineLevel="2">
      <c r="A1748" s="1830"/>
      <c r="B1748" s="1831"/>
      <c r="C1748" s="777" t="s">
        <v>1769</v>
      </c>
      <c r="D1748" s="776" t="s">
        <v>1770</v>
      </c>
      <c r="E1748" s="774" t="s">
        <v>48</v>
      </c>
      <c r="F1748" s="774">
        <v>1</v>
      </c>
      <c r="G1748" s="774">
        <v>0</v>
      </c>
      <c r="H1748" s="774">
        <v>3042.3599999999997</v>
      </c>
      <c r="I1748" s="774">
        <v>0</v>
      </c>
      <c r="J1748" s="774">
        <f t="shared" si="47"/>
        <v>3042.3599999999997</v>
      </c>
    </row>
    <row r="1749" spans="1:10" ht="12.75" hidden="1" customHeight="1" outlineLevel="2">
      <c r="A1749" s="1830"/>
      <c r="B1749" s="1831"/>
      <c r="C1749" s="777" t="s">
        <v>1771</v>
      </c>
      <c r="D1749" s="776" t="s">
        <v>1772</v>
      </c>
      <c r="E1749" s="774" t="s">
        <v>1492</v>
      </c>
      <c r="F1749" s="774">
        <v>1</v>
      </c>
      <c r="G1749" s="774">
        <v>0</v>
      </c>
      <c r="H1749" s="774">
        <v>1246.3200000000002</v>
      </c>
      <c r="I1749" s="774">
        <v>0</v>
      </c>
      <c r="J1749" s="774">
        <f t="shared" si="47"/>
        <v>1246.3200000000002</v>
      </c>
    </row>
    <row r="1750" spans="1:10" ht="12.75" hidden="1" customHeight="1" outlineLevel="2">
      <c r="A1750" s="1830"/>
      <c r="B1750" s="1831"/>
      <c r="C1750" s="777" t="s">
        <v>1773</v>
      </c>
      <c r="D1750" s="776" t="s">
        <v>1774</v>
      </c>
      <c r="E1750" s="774" t="s">
        <v>1492</v>
      </c>
      <c r="F1750" s="774">
        <v>1</v>
      </c>
      <c r="G1750" s="774">
        <v>0</v>
      </c>
      <c r="H1750" s="774">
        <v>894.24</v>
      </c>
      <c r="I1750" s="774">
        <v>0</v>
      </c>
      <c r="J1750" s="774">
        <f t="shared" si="47"/>
        <v>894.24</v>
      </c>
    </row>
    <row r="1751" spans="1:10" ht="12.75" hidden="1" customHeight="1" outlineLevel="2">
      <c r="A1751" s="1830"/>
      <c r="B1751" s="1831"/>
      <c r="C1751" s="777" t="s">
        <v>1775</v>
      </c>
      <c r="D1751" s="776" t="s">
        <v>1776</v>
      </c>
      <c r="E1751" s="774" t="s">
        <v>1492</v>
      </c>
      <c r="F1751" s="774">
        <v>1</v>
      </c>
      <c r="G1751" s="774">
        <v>0</v>
      </c>
      <c r="H1751" s="774">
        <v>785.16000000000008</v>
      </c>
      <c r="I1751" s="774">
        <v>0</v>
      </c>
      <c r="J1751" s="774">
        <f t="shared" si="47"/>
        <v>785.16000000000008</v>
      </c>
    </row>
    <row r="1752" spans="1:10" ht="12.75" hidden="1" customHeight="1" outlineLevel="2">
      <c r="A1752" s="1830"/>
      <c r="B1752" s="1831"/>
      <c r="C1752" s="777" t="s">
        <v>1761</v>
      </c>
      <c r="D1752" s="776" t="s">
        <v>1762</v>
      </c>
      <c r="E1752" s="774" t="s">
        <v>1763</v>
      </c>
      <c r="F1752" s="774">
        <v>2E-3</v>
      </c>
      <c r="G1752" s="774">
        <v>5</v>
      </c>
      <c r="H1752" s="774">
        <v>87162.48000000001</v>
      </c>
      <c r="I1752" s="774">
        <v>0</v>
      </c>
      <c r="J1752" s="774">
        <f t="shared" si="47"/>
        <v>183.04120800000004</v>
      </c>
    </row>
    <row r="1753" spans="1:10" ht="12.75" hidden="1" customHeight="1" outlineLevel="2">
      <c r="A1753" s="1830"/>
      <c r="B1753" s="1831"/>
      <c r="C1753" s="777" t="s">
        <v>1764</v>
      </c>
      <c r="D1753" s="776" t="s">
        <v>1765</v>
      </c>
      <c r="E1753" s="774" t="s">
        <v>1492</v>
      </c>
      <c r="F1753" s="774">
        <v>2E-3</v>
      </c>
      <c r="G1753" s="774">
        <v>5</v>
      </c>
      <c r="H1753" s="774">
        <v>42064.92</v>
      </c>
      <c r="I1753" s="774">
        <v>0</v>
      </c>
      <c r="J1753" s="774">
        <f t="shared" si="47"/>
        <v>88.336332000000013</v>
      </c>
    </row>
    <row r="1754" spans="1:10" ht="12.75" hidden="1" customHeight="1" outlineLevel="2">
      <c r="A1754" s="1830"/>
      <c r="B1754" s="1831"/>
      <c r="C1754" s="777" t="s">
        <v>1510</v>
      </c>
      <c r="D1754" s="776" t="s">
        <v>1511</v>
      </c>
      <c r="E1754" s="774" t="s">
        <v>1482</v>
      </c>
      <c r="F1754" s="774">
        <v>0.08</v>
      </c>
      <c r="G1754" s="774">
        <v>0</v>
      </c>
      <c r="H1754" s="774">
        <v>5527.21</v>
      </c>
      <c r="I1754" s="774">
        <v>0</v>
      </c>
      <c r="J1754" s="774">
        <f t="shared" si="47"/>
        <v>442.17680000000001</v>
      </c>
    </row>
    <row r="1755" spans="1:10" ht="12.75" hidden="1" customHeight="1" outlineLevel="2">
      <c r="A1755" s="1830"/>
      <c r="B1755" s="1831"/>
      <c r="C1755" s="777" t="s">
        <v>1747</v>
      </c>
      <c r="D1755" s="776" t="s">
        <v>1748</v>
      </c>
      <c r="E1755" s="774" t="s">
        <v>1482</v>
      </c>
      <c r="F1755" s="774">
        <v>0.08</v>
      </c>
      <c r="G1755" s="774">
        <v>0</v>
      </c>
      <c r="H1755" s="774">
        <v>7237.76</v>
      </c>
      <c r="I1755" s="774">
        <v>0</v>
      </c>
      <c r="J1755" s="774">
        <f t="shared" si="47"/>
        <v>579.02080000000001</v>
      </c>
    </row>
    <row r="1756" spans="1:10" ht="12.75" hidden="1" customHeight="1" outlineLevel="2">
      <c r="A1756" s="1830"/>
      <c r="B1756" s="1831"/>
      <c r="C1756" s="777"/>
      <c r="D1756" s="774"/>
      <c r="E1756" s="774"/>
      <c r="F1756" s="774"/>
      <c r="G1756" s="774">
        <v>5</v>
      </c>
      <c r="H1756" s="774" t="s">
        <v>1514</v>
      </c>
      <c r="I1756" s="774"/>
      <c r="J1756" s="774">
        <v>51.06</v>
      </c>
    </row>
    <row r="1757" spans="1:10" ht="12.75" hidden="1" customHeight="1" outlineLevel="2">
      <c r="A1757" s="1830"/>
      <c r="B1757" s="1831"/>
      <c r="C1757" s="1835" t="s">
        <v>1488</v>
      </c>
      <c r="D1757" s="1808"/>
      <c r="E1757" s="784" t="s">
        <v>285</v>
      </c>
      <c r="F1757" s="583">
        <f>'14. Inst. Hidro-Sanitarias'!E113</f>
        <v>9</v>
      </c>
      <c r="G1757" s="784"/>
      <c r="H1757" s="784"/>
      <c r="I1757" s="784">
        <v>0</v>
      </c>
      <c r="J1757" s="774">
        <f>SUM(J1747:J1756)</f>
        <v>7762.7151400000002</v>
      </c>
    </row>
    <row r="1758" spans="1:10" ht="12.75" hidden="1" customHeight="1" outlineLevel="1" collapsed="1">
      <c r="A1758" s="1830"/>
      <c r="B1758" s="1831"/>
      <c r="C1758" s="1836" t="s">
        <v>47</v>
      </c>
      <c r="D1758" s="1827"/>
      <c r="E1758" s="1827"/>
      <c r="F1758" s="1827"/>
      <c r="G1758" s="1827"/>
      <c r="H1758" s="1827"/>
      <c r="I1758" s="1827"/>
      <c r="J1758" s="773">
        <f>J1757*F1757</f>
        <v>69864.436260000002</v>
      </c>
    </row>
    <row r="1759" spans="1:10" ht="12.75" hidden="1" customHeight="1" outlineLevel="1">
      <c r="A1759" s="1830" t="s">
        <v>1777</v>
      </c>
      <c r="B1759" s="1831" t="s">
        <v>1195</v>
      </c>
      <c r="C1759" s="1832" t="s">
        <v>1318</v>
      </c>
      <c r="D1759" s="1832"/>
      <c r="E1759" s="1832"/>
      <c r="F1759" s="1832"/>
      <c r="G1759" s="1832"/>
      <c r="H1759" s="1832"/>
      <c r="I1759" s="1832"/>
      <c r="J1759" s="1832"/>
    </row>
    <row r="1760" spans="1:10" ht="12.75" hidden="1" customHeight="1" outlineLevel="2">
      <c r="A1760" s="1830"/>
      <c r="B1760" s="1831"/>
      <c r="C1760" s="777" t="s">
        <v>1778</v>
      </c>
      <c r="D1760" s="776" t="s">
        <v>1779</v>
      </c>
      <c r="E1760" s="774" t="s">
        <v>48</v>
      </c>
      <c r="F1760" s="774">
        <v>1</v>
      </c>
      <c r="G1760" s="774">
        <v>5</v>
      </c>
      <c r="H1760" s="774">
        <v>4270.32</v>
      </c>
      <c r="I1760" s="774">
        <v>0</v>
      </c>
      <c r="J1760" s="774">
        <f t="shared" ref="J1760:J1768" si="48">(F1760*(1+G1760/100)) * (H1760*(1+I1760/100))</f>
        <v>4483.8360000000002</v>
      </c>
    </row>
    <row r="1761" spans="1:10" ht="12.75" hidden="1" customHeight="1" outlineLevel="2">
      <c r="A1761" s="1830"/>
      <c r="B1761" s="1831"/>
      <c r="C1761" s="777" t="s">
        <v>1780</v>
      </c>
      <c r="D1761" s="776" t="s">
        <v>1781</v>
      </c>
      <c r="E1761" s="774" t="s">
        <v>1492</v>
      </c>
      <c r="F1761" s="774">
        <v>1</v>
      </c>
      <c r="G1761" s="774">
        <v>0</v>
      </c>
      <c r="H1761" s="774">
        <v>2437.56</v>
      </c>
      <c r="I1761" s="774">
        <v>0</v>
      </c>
      <c r="J1761" s="774">
        <f t="shared" si="48"/>
        <v>2437.56</v>
      </c>
    </row>
    <row r="1762" spans="1:10" ht="12.75" hidden="1" customHeight="1" outlineLevel="2">
      <c r="A1762" s="1830"/>
      <c r="B1762" s="1831"/>
      <c r="C1762" s="777" t="s">
        <v>1782</v>
      </c>
      <c r="D1762" s="776" t="s">
        <v>1783</v>
      </c>
      <c r="E1762" s="774" t="s">
        <v>1492</v>
      </c>
      <c r="F1762" s="774">
        <v>1</v>
      </c>
      <c r="G1762" s="774">
        <v>0</v>
      </c>
      <c r="H1762" s="774">
        <v>1749.6</v>
      </c>
      <c r="I1762" s="774">
        <v>0</v>
      </c>
      <c r="J1762" s="774">
        <f t="shared" si="48"/>
        <v>1749.6</v>
      </c>
    </row>
    <row r="1763" spans="1:10" ht="12.75" hidden="1" customHeight="1" outlineLevel="2">
      <c r="A1763" s="1830"/>
      <c r="B1763" s="1831"/>
      <c r="C1763" s="777" t="s">
        <v>1761</v>
      </c>
      <c r="D1763" s="776" t="s">
        <v>1762</v>
      </c>
      <c r="E1763" s="774" t="s">
        <v>1763</v>
      </c>
      <c r="F1763" s="774">
        <v>2E-3</v>
      </c>
      <c r="G1763" s="774">
        <v>5</v>
      </c>
      <c r="H1763" s="774">
        <v>87162.48000000001</v>
      </c>
      <c r="I1763" s="774">
        <v>0</v>
      </c>
      <c r="J1763" s="774">
        <f t="shared" si="48"/>
        <v>183.04120800000004</v>
      </c>
    </row>
    <row r="1764" spans="1:10" ht="12.75" hidden="1" customHeight="1" outlineLevel="2">
      <c r="A1764" s="1830"/>
      <c r="B1764" s="1831"/>
      <c r="C1764" s="777" t="s">
        <v>1764</v>
      </c>
      <c r="D1764" s="776" t="s">
        <v>1765</v>
      </c>
      <c r="E1764" s="774" t="s">
        <v>1492</v>
      </c>
      <c r="F1764" s="774">
        <v>2E-3</v>
      </c>
      <c r="G1764" s="774">
        <v>5</v>
      </c>
      <c r="H1764" s="774">
        <v>42064.92</v>
      </c>
      <c r="I1764" s="774">
        <v>0</v>
      </c>
      <c r="J1764" s="774">
        <f t="shared" si="48"/>
        <v>88.336332000000013</v>
      </c>
    </row>
    <row r="1765" spans="1:10" ht="12.75" hidden="1" customHeight="1" outlineLevel="2">
      <c r="A1765" s="1830"/>
      <c r="B1765" s="1831"/>
      <c r="C1765" s="777" t="s">
        <v>1784</v>
      </c>
      <c r="D1765" s="776" t="s">
        <v>1785</v>
      </c>
      <c r="E1765" s="774" t="s">
        <v>1492</v>
      </c>
      <c r="F1765" s="774">
        <v>0.75</v>
      </c>
      <c r="G1765" s="774">
        <v>0</v>
      </c>
      <c r="H1765" s="774">
        <v>923.4</v>
      </c>
      <c r="I1765" s="774">
        <v>0</v>
      </c>
      <c r="J1765" s="774">
        <f t="shared" si="48"/>
        <v>692.55</v>
      </c>
    </row>
    <row r="1766" spans="1:10" ht="12.75" hidden="1" customHeight="1" outlineLevel="2">
      <c r="A1766" s="1830"/>
      <c r="B1766" s="1831"/>
      <c r="C1766" s="777" t="s">
        <v>1786</v>
      </c>
      <c r="D1766" s="776" t="s">
        <v>1787</v>
      </c>
      <c r="E1766" s="774" t="s">
        <v>1492</v>
      </c>
      <c r="F1766" s="774">
        <v>0.5</v>
      </c>
      <c r="G1766" s="774">
        <v>0</v>
      </c>
      <c r="H1766" s="774">
        <v>1747.44</v>
      </c>
      <c r="I1766" s="774">
        <v>0</v>
      </c>
      <c r="J1766" s="774">
        <f t="shared" si="48"/>
        <v>873.72</v>
      </c>
    </row>
    <row r="1767" spans="1:10" ht="12.75" hidden="1" customHeight="1" outlineLevel="2">
      <c r="A1767" s="1830"/>
      <c r="B1767" s="1831"/>
      <c r="C1767" s="777" t="s">
        <v>1510</v>
      </c>
      <c r="D1767" s="776" t="s">
        <v>1511</v>
      </c>
      <c r="E1767" s="774" t="s">
        <v>1482</v>
      </c>
      <c r="F1767" s="774">
        <v>0.1</v>
      </c>
      <c r="G1767" s="774">
        <v>0</v>
      </c>
      <c r="H1767" s="774">
        <v>5527.21</v>
      </c>
      <c r="I1767" s="774">
        <v>0</v>
      </c>
      <c r="J1767" s="774">
        <f t="shared" si="48"/>
        <v>552.721</v>
      </c>
    </row>
    <row r="1768" spans="1:10" ht="12.75" hidden="1" customHeight="1" outlineLevel="2">
      <c r="A1768" s="1830"/>
      <c r="B1768" s="1831"/>
      <c r="C1768" s="777" t="s">
        <v>1747</v>
      </c>
      <c r="D1768" s="776" t="s">
        <v>1748</v>
      </c>
      <c r="E1768" s="774" t="s">
        <v>1482</v>
      </c>
      <c r="F1768" s="774">
        <v>0.1</v>
      </c>
      <c r="G1768" s="774">
        <v>0</v>
      </c>
      <c r="H1768" s="774">
        <v>7237.76</v>
      </c>
      <c r="I1768" s="774">
        <v>0</v>
      </c>
      <c r="J1768" s="774">
        <f t="shared" si="48"/>
        <v>723.77600000000007</v>
      </c>
    </row>
    <row r="1769" spans="1:10" ht="12.75" hidden="1" customHeight="1" outlineLevel="2">
      <c r="A1769" s="1830"/>
      <c r="B1769" s="1831"/>
      <c r="C1769" s="777"/>
      <c r="D1769" s="774"/>
      <c r="E1769" s="774"/>
      <c r="F1769" s="774"/>
      <c r="G1769" s="774">
        <v>5</v>
      </c>
      <c r="H1769" s="774" t="s">
        <v>1514</v>
      </c>
      <c r="I1769" s="774"/>
      <c r="J1769" s="774">
        <v>63.820000000000007</v>
      </c>
    </row>
    <row r="1770" spans="1:10" ht="12.75" hidden="1" customHeight="1" outlineLevel="2">
      <c r="A1770" s="1830"/>
      <c r="B1770" s="1831"/>
      <c r="C1770" s="1835" t="s">
        <v>1488</v>
      </c>
      <c r="D1770" s="1808"/>
      <c r="E1770" s="784" t="s">
        <v>285</v>
      </c>
      <c r="F1770" s="583">
        <f>'14. Inst. Hidro-Sanitarias'!E114</f>
        <v>3</v>
      </c>
      <c r="G1770" s="784"/>
      <c r="H1770" s="784"/>
      <c r="I1770" s="784">
        <v>0</v>
      </c>
      <c r="J1770" s="774">
        <f>SUM(J1760:J1769)</f>
        <v>11848.96054</v>
      </c>
    </row>
    <row r="1771" spans="1:10" ht="12.75" hidden="1" customHeight="1" outlineLevel="1" collapsed="1">
      <c r="A1771" s="1830"/>
      <c r="B1771" s="1831"/>
      <c r="C1771" s="1836" t="s">
        <v>47</v>
      </c>
      <c r="D1771" s="1827"/>
      <c r="E1771" s="1827"/>
      <c r="F1771" s="1827"/>
      <c r="G1771" s="1827"/>
      <c r="H1771" s="1827"/>
      <c r="I1771" s="1827"/>
      <c r="J1771" s="773">
        <f>J1770*F1770</f>
        <v>35546.88162</v>
      </c>
    </row>
    <row r="1772" spans="1:10" ht="12.75" hidden="1" customHeight="1" outlineLevel="1">
      <c r="A1772" s="1830" t="s">
        <v>1788</v>
      </c>
      <c r="B1772" s="1831" t="s">
        <v>1196</v>
      </c>
      <c r="C1772" s="1832" t="s">
        <v>1319</v>
      </c>
      <c r="D1772" s="1832"/>
      <c r="E1772" s="1832"/>
      <c r="F1772" s="1832"/>
      <c r="G1772" s="1832"/>
      <c r="H1772" s="1832"/>
      <c r="I1772" s="1832"/>
      <c r="J1772" s="1832"/>
    </row>
    <row r="1773" spans="1:10" ht="12.75" hidden="1" customHeight="1" outlineLevel="2">
      <c r="A1773" s="1830"/>
      <c r="B1773" s="1831"/>
      <c r="C1773" s="777" t="s">
        <v>1789</v>
      </c>
      <c r="D1773" s="776" t="s">
        <v>1790</v>
      </c>
      <c r="E1773" s="774" t="s">
        <v>1492</v>
      </c>
      <c r="F1773" s="774">
        <v>0.5</v>
      </c>
      <c r="G1773" s="774">
        <v>0</v>
      </c>
      <c r="H1773" s="774">
        <v>739</v>
      </c>
      <c r="I1773" s="774">
        <v>0</v>
      </c>
      <c r="J1773" s="774">
        <f t="shared" ref="J1773:J1781" si="49">(F1773*(1+G1773/100)) * (H1773*(1+I1773/100))</f>
        <v>369.5</v>
      </c>
    </row>
    <row r="1774" spans="1:10" ht="12.75" hidden="1" customHeight="1" outlineLevel="2">
      <c r="A1774" s="1830"/>
      <c r="B1774" s="1831"/>
      <c r="C1774" s="777" t="s">
        <v>1791</v>
      </c>
      <c r="D1774" s="776" t="s">
        <v>1792</v>
      </c>
      <c r="E1774" s="774" t="s">
        <v>48</v>
      </c>
      <c r="F1774" s="774">
        <v>1</v>
      </c>
      <c r="G1774" s="774">
        <v>5</v>
      </c>
      <c r="H1774" s="774">
        <v>7692.8399999999992</v>
      </c>
      <c r="I1774" s="774">
        <v>0</v>
      </c>
      <c r="J1774" s="774">
        <f t="shared" si="49"/>
        <v>8077.482</v>
      </c>
    </row>
    <row r="1775" spans="1:10" ht="12.75" hidden="1" customHeight="1" outlineLevel="2">
      <c r="A1775" s="1830"/>
      <c r="B1775" s="1831"/>
      <c r="C1775" s="777" t="s">
        <v>1793</v>
      </c>
      <c r="D1775" s="776" t="s">
        <v>1794</v>
      </c>
      <c r="E1775" s="774" t="s">
        <v>1492</v>
      </c>
      <c r="F1775" s="774">
        <v>1</v>
      </c>
      <c r="G1775" s="774">
        <v>0</v>
      </c>
      <c r="H1775" s="774">
        <v>6294.24</v>
      </c>
      <c r="I1775" s="774">
        <v>0</v>
      </c>
      <c r="J1775" s="774">
        <f t="shared" si="49"/>
        <v>6294.24</v>
      </c>
    </row>
    <row r="1776" spans="1:10" ht="12.75" hidden="1" customHeight="1" outlineLevel="2">
      <c r="A1776" s="1830"/>
      <c r="B1776" s="1831"/>
      <c r="C1776" s="777" t="s">
        <v>1795</v>
      </c>
      <c r="D1776" s="776" t="s">
        <v>1796</v>
      </c>
      <c r="E1776" s="774" t="s">
        <v>1492</v>
      </c>
      <c r="F1776" s="774">
        <v>1</v>
      </c>
      <c r="G1776" s="774">
        <v>5</v>
      </c>
      <c r="H1776" s="774">
        <v>3366.3599999999997</v>
      </c>
      <c r="I1776" s="774">
        <v>0</v>
      </c>
      <c r="J1776" s="774">
        <f t="shared" si="49"/>
        <v>3534.6779999999999</v>
      </c>
    </row>
    <row r="1777" spans="1:10" ht="12.75" hidden="1" customHeight="1" outlineLevel="2">
      <c r="A1777" s="1830"/>
      <c r="B1777" s="1831"/>
      <c r="C1777" s="777" t="s">
        <v>1797</v>
      </c>
      <c r="D1777" s="776" t="s">
        <v>1798</v>
      </c>
      <c r="E1777" s="774" t="s">
        <v>1492</v>
      </c>
      <c r="F1777" s="774">
        <v>0.5</v>
      </c>
      <c r="G1777" s="774">
        <v>0</v>
      </c>
      <c r="H1777" s="774">
        <v>1747.44</v>
      </c>
      <c r="I1777" s="774">
        <v>0</v>
      </c>
      <c r="J1777" s="774">
        <f t="shared" si="49"/>
        <v>873.72</v>
      </c>
    </row>
    <row r="1778" spans="1:10" ht="12.75" hidden="1" customHeight="1" outlineLevel="2">
      <c r="A1778" s="1830"/>
      <c r="B1778" s="1831"/>
      <c r="C1778" s="777" t="s">
        <v>1761</v>
      </c>
      <c r="D1778" s="776" t="s">
        <v>1762</v>
      </c>
      <c r="E1778" s="774" t="s">
        <v>1763</v>
      </c>
      <c r="F1778" s="774">
        <v>2E-3</v>
      </c>
      <c r="G1778" s="774">
        <v>5</v>
      </c>
      <c r="H1778" s="774">
        <v>87162.48000000001</v>
      </c>
      <c r="I1778" s="774">
        <v>0</v>
      </c>
      <c r="J1778" s="774">
        <f t="shared" si="49"/>
        <v>183.04120800000004</v>
      </c>
    </row>
    <row r="1779" spans="1:10" ht="12.75" hidden="1" customHeight="1" outlineLevel="2">
      <c r="A1779" s="1830"/>
      <c r="B1779" s="1831"/>
      <c r="C1779" s="777" t="s">
        <v>1764</v>
      </c>
      <c r="D1779" s="776" t="s">
        <v>1765</v>
      </c>
      <c r="E1779" s="774" t="s">
        <v>1492</v>
      </c>
      <c r="F1779" s="774">
        <v>2E-3</v>
      </c>
      <c r="G1779" s="774">
        <v>5</v>
      </c>
      <c r="H1779" s="774">
        <v>42064.92</v>
      </c>
      <c r="I1779" s="774">
        <v>0</v>
      </c>
      <c r="J1779" s="774">
        <f t="shared" si="49"/>
        <v>88.336332000000013</v>
      </c>
    </row>
    <row r="1780" spans="1:10" ht="12.75" hidden="1" customHeight="1" outlineLevel="2">
      <c r="A1780" s="1830"/>
      <c r="B1780" s="1831"/>
      <c r="C1780" s="777" t="s">
        <v>1510</v>
      </c>
      <c r="D1780" s="776" t="s">
        <v>1511</v>
      </c>
      <c r="E1780" s="774" t="s">
        <v>1482</v>
      </c>
      <c r="F1780" s="774">
        <v>0.12</v>
      </c>
      <c r="G1780" s="774">
        <v>0</v>
      </c>
      <c r="H1780" s="774">
        <v>5527.21</v>
      </c>
      <c r="I1780" s="774">
        <v>0</v>
      </c>
      <c r="J1780" s="774">
        <f t="shared" si="49"/>
        <v>663.26519999999994</v>
      </c>
    </row>
    <row r="1781" spans="1:10" ht="12.75" hidden="1" customHeight="1" outlineLevel="2">
      <c r="A1781" s="1830"/>
      <c r="B1781" s="1831"/>
      <c r="C1781" s="777" t="s">
        <v>1747</v>
      </c>
      <c r="D1781" s="776" t="s">
        <v>1748</v>
      </c>
      <c r="E1781" s="774" t="s">
        <v>1482</v>
      </c>
      <c r="F1781" s="774">
        <v>0.12</v>
      </c>
      <c r="G1781" s="774">
        <v>0</v>
      </c>
      <c r="H1781" s="774">
        <v>7237.76</v>
      </c>
      <c r="I1781" s="774">
        <v>0</v>
      </c>
      <c r="J1781" s="774">
        <f t="shared" si="49"/>
        <v>868.53120000000001</v>
      </c>
    </row>
    <row r="1782" spans="1:10" ht="12.75" hidden="1" customHeight="1" outlineLevel="2">
      <c r="A1782" s="1830"/>
      <c r="B1782" s="1831"/>
      <c r="C1782" s="777"/>
      <c r="D1782" s="774"/>
      <c r="E1782" s="774"/>
      <c r="F1782" s="774"/>
      <c r="G1782" s="774">
        <v>5</v>
      </c>
      <c r="H1782" s="774" t="s">
        <v>1514</v>
      </c>
      <c r="I1782" s="774"/>
      <c r="J1782" s="774">
        <v>76.59</v>
      </c>
    </row>
    <row r="1783" spans="1:10" ht="12.75" hidden="1" customHeight="1" outlineLevel="2">
      <c r="A1783" s="1830"/>
      <c r="B1783" s="1831"/>
      <c r="C1783" s="1835" t="s">
        <v>1488</v>
      </c>
      <c r="D1783" s="1808"/>
      <c r="E1783" s="784" t="s">
        <v>285</v>
      </c>
      <c r="F1783" s="583">
        <f>'14. Inst. Hidro-Sanitarias'!E115</f>
        <v>3</v>
      </c>
      <c r="G1783" s="784"/>
      <c r="H1783" s="784"/>
      <c r="I1783" s="784">
        <v>0</v>
      </c>
      <c r="J1783" s="774">
        <f>SUM(J1773:J1782)</f>
        <v>21029.383940000003</v>
      </c>
    </row>
    <row r="1784" spans="1:10" ht="12.75" hidden="1" customHeight="1" outlineLevel="1" collapsed="1">
      <c r="A1784" s="1830"/>
      <c r="B1784" s="1831"/>
      <c r="C1784" s="1836" t="s">
        <v>47</v>
      </c>
      <c r="D1784" s="1827"/>
      <c r="E1784" s="1827"/>
      <c r="F1784" s="1827"/>
      <c r="G1784" s="1827"/>
      <c r="H1784" s="1827"/>
      <c r="I1784" s="1827"/>
      <c r="J1784" s="773">
        <f>J1783*F1783</f>
        <v>63088.151820000014</v>
      </c>
    </row>
    <row r="1785" spans="1:10" ht="12.75" hidden="1" customHeight="1" outlineLevel="1">
      <c r="A1785" s="1830" t="s">
        <v>1799</v>
      </c>
      <c r="B1785" s="1831" t="s">
        <v>1197</v>
      </c>
      <c r="C1785" s="1832" t="s">
        <v>1320</v>
      </c>
      <c r="D1785" s="1832"/>
      <c r="E1785" s="1832"/>
      <c r="F1785" s="1832"/>
      <c r="G1785" s="1832"/>
      <c r="H1785" s="1832"/>
      <c r="I1785" s="1832"/>
      <c r="J1785" s="1832"/>
    </row>
    <row r="1786" spans="1:10" ht="12.75" hidden="1" customHeight="1" outlineLevel="2">
      <c r="A1786" s="1830"/>
      <c r="B1786" s="1831"/>
      <c r="C1786" s="777" t="s">
        <v>1800</v>
      </c>
      <c r="D1786" s="776" t="s">
        <v>1801</v>
      </c>
      <c r="E1786" s="774" t="s">
        <v>1492</v>
      </c>
      <c r="F1786" s="774">
        <v>0.32999999999999996</v>
      </c>
      <c r="G1786" s="774">
        <v>0</v>
      </c>
      <c r="H1786" s="774">
        <v>1843</v>
      </c>
      <c r="I1786" s="774">
        <v>0</v>
      </c>
      <c r="J1786" s="774">
        <f t="shared" ref="J1786:J1793" si="50">(F1786*(1+G1786/100)) * (H1786*(1+I1786/100))</f>
        <v>608.18999999999994</v>
      </c>
    </row>
    <row r="1787" spans="1:10" ht="12.75" hidden="1" customHeight="1" outlineLevel="2">
      <c r="A1787" s="1830"/>
      <c r="B1787" s="1831"/>
      <c r="C1787" s="777" t="s">
        <v>1802</v>
      </c>
      <c r="D1787" s="776" t="s">
        <v>1803</v>
      </c>
      <c r="E1787" s="774" t="s">
        <v>48</v>
      </c>
      <c r="F1787" s="774">
        <v>1</v>
      </c>
      <c r="G1787" s="774">
        <v>5</v>
      </c>
      <c r="H1787" s="774">
        <v>10045.08</v>
      </c>
      <c r="I1787" s="774">
        <v>0</v>
      </c>
      <c r="J1787" s="774">
        <f t="shared" si="50"/>
        <v>10547.334000000001</v>
      </c>
    </row>
    <row r="1788" spans="1:10" ht="12.75" hidden="1" customHeight="1" outlineLevel="2">
      <c r="A1788" s="1830"/>
      <c r="B1788" s="1831"/>
      <c r="C1788" s="777" t="s">
        <v>1804</v>
      </c>
      <c r="D1788" s="776" t="s">
        <v>1805</v>
      </c>
      <c r="E1788" s="774" t="s">
        <v>1492</v>
      </c>
      <c r="F1788" s="774">
        <v>1</v>
      </c>
      <c r="G1788" s="774">
        <v>0</v>
      </c>
      <c r="H1788" s="774">
        <v>8267.4</v>
      </c>
      <c r="I1788" s="774">
        <v>0</v>
      </c>
      <c r="J1788" s="774">
        <f t="shared" si="50"/>
        <v>8267.4</v>
      </c>
    </row>
    <row r="1789" spans="1:10" ht="12.75" hidden="1" customHeight="1" outlineLevel="2">
      <c r="A1789" s="1830"/>
      <c r="B1789" s="1831"/>
      <c r="C1789" s="777" t="s">
        <v>1806</v>
      </c>
      <c r="D1789" s="776" t="s">
        <v>1807</v>
      </c>
      <c r="E1789" s="774" t="s">
        <v>1492</v>
      </c>
      <c r="F1789" s="774">
        <v>1</v>
      </c>
      <c r="G1789" s="774">
        <v>0</v>
      </c>
      <c r="H1789" s="774">
        <v>6284.5199999999995</v>
      </c>
      <c r="I1789" s="774">
        <v>0</v>
      </c>
      <c r="J1789" s="774">
        <f t="shared" si="50"/>
        <v>6284.5199999999995</v>
      </c>
    </row>
    <row r="1790" spans="1:10" ht="12.75" hidden="1" customHeight="1" outlineLevel="2">
      <c r="A1790" s="1830"/>
      <c r="B1790" s="1831"/>
      <c r="C1790" s="777" t="s">
        <v>1761</v>
      </c>
      <c r="D1790" s="776" t="s">
        <v>1762</v>
      </c>
      <c r="E1790" s="774" t="s">
        <v>1763</v>
      </c>
      <c r="F1790" s="774">
        <v>3.0000000000000001E-3</v>
      </c>
      <c r="G1790" s="774">
        <v>5</v>
      </c>
      <c r="H1790" s="774">
        <v>87162.48000000001</v>
      </c>
      <c r="I1790" s="774">
        <v>0</v>
      </c>
      <c r="J1790" s="774">
        <f t="shared" si="50"/>
        <v>274.56181200000003</v>
      </c>
    </row>
    <row r="1791" spans="1:10" ht="12.75" hidden="1" customHeight="1" outlineLevel="2">
      <c r="A1791" s="1830"/>
      <c r="B1791" s="1831"/>
      <c r="C1791" s="777" t="s">
        <v>1764</v>
      </c>
      <c r="D1791" s="776" t="s">
        <v>1765</v>
      </c>
      <c r="E1791" s="774" t="s">
        <v>1492</v>
      </c>
      <c r="F1791" s="774">
        <v>3.0000000000000001E-3</v>
      </c>
      <c r="G1791" s="774">
        <v>5</v>
      </c>
      <c r="H1791" s="774">
        <v>42064.92</v>
      </c>
      <c r="I1791" s="774">
        <v>0</v>
      </c>
      <c r="J1791" s="774">
        <f t="shared" si="50"/>
        <v>132.50449799999998</v>
      </c>
    </row>
    <row r="1792" spans="1:10" ht="12.75" hidden="1" customHeight="1" outlineLevel="2">
      <c r="A1792" s="1830"/>
      <c r="B1792" s="1831"/>
      <c r="C1792" s="777" t="s">
        <v>1510</v>
      </c>
      <c r="D1792" s="776" t="s">
        <v>1511</v>
      </c>
      <c r="E1792" s="774" t="s">
        <v>1482</v>
      </c>
      <c r="F1792" s="774">
        <v>0.13999999999999999</v>
      </c>
      <c r="G1792" s="774">
        <v>0</v>
      </c>
      <c r="H1792" s="774">
        <v>5527.21</v>
      </c>
      <c r="I1792" s="774">
        <v>0</v>
      </c>
      <c r="J1792" s="774">
        <f t="shared" si="50"/>
        <v>773.80939999999987</v>
      </c>
    </row>
    <row r="1793" spans="1:10" ht="12.75" hidden="1" customHeight="1" outlineLevel="2">
      <c r="A1793" s="1830"/>
      <c r="B1793" s="1831"/>
      <c r="C1793" s="777" t="s">
        <v>1747</v>
      </c>
      <c r="D1793" s="776" t="s">
        <v>1748</v>
      </c>
      <c r="E1793" s="774" t="s">
        <v>1482</v>
      </c>
      <c r="F1793" s="774">
        <v>0.13999999999999999</v>
      </c>
      <c r="G1793" s="774">
        <v>0</v>
      </c>
      <c r="H1793" s="774">
        <v>7237.76</v>
      </c>
      <c r="I1793" s="774">
        <v>0</v>
      </c>
      <c r="J1793" s="774">
        <f t="shared" si="50"/>
        <v>1013.2864</v>
      </c>
    </row>
    <row r="1794" spans="1:10" ht="12.75" hidden="1" customHeight="1" outlineLevel="2">
      <c r="A1794" s="1830"/>
      <c r="B1794" s="1831"/>
      <c r="C1794" s="777"/>
      <c r="D1794" s="774"/>
      <c r="E1794" s="774"/>
      <c r="F1794" s="774"/>
      <c r="G1794" s="774">
        <v>5</v>
      </c>
      <c r="H1794" s="774" t="s">
        <v>1514</v>
      </c>
      <c r="I1794" s="774"/>
      <c r="J1794" s="774">
        <v>89.35</v>
      </c>
    </row>
    <row r="1795" spans="1:10" ht="12.75" hidden="1" customHeight="1" outlineLevel="2">
      <c r="A1795" s="1830"/>
      <c r="B1795" s="1831"/>
      <c r="C1795" s="1835" t="s">
        <v>1488</v>
      </c>
      <c r="D1795" s="1808"/>
      <c r="E1795" s="784" t="s">
        <v>285</v>
      </c>
      <c r="F1795" s="583">
        <f>'14. Inst. Hidro-Sanitarias'!E116</f>
        <v>4</v>
      </c>
      <c r="G1795" s="784"/>
      <c r="H1795" s="784"/>
      <c r="I1795" s="784">
        <v>0</v>
      </c>
      <c r="J1795" s="774">
        <f>SUM(J1786:J1794)</f>
        <v>27990.956109999996</v>
      </c>
    </row>
    <row r="1796" spans="1:10" ht="12.75" hidden="1" customHeight="1" outlineLevel="1" collapsed="1">
      <c r="A1796" s="1830"/>
      <c r="B1796" s="1831"/>
      <c r="C1796" s="1836" t="s">
        <v>47</v>
      </c>
      <c r="D1796" s="1827"/>
      <c r="E1796" s="1827"/>
      <c r="F1796" s="1827"/>
      <c r="G1796" s="1827"/>
      <c r="H1796" s="1827"/>
      <c r="I1796" s="1827"/>
      <c r="J1796" s="773">
        <f>J1795*F1795</f>
        <v>111963.82443999998</v>
      </c>
    </row>
    <row r="1797" spans="1:10" ht="12.75" hidden="1" customHeight="1" outlineLevel="1">
      <c r="A1797" s="1830" t="s">
        <v>1808</v>
      </c>
      <c r="B1797" s="1831" t="s">
        <v>1198</v>
      </c>
      <c r="C1797" s="1832" t="s">
        <v>1321</v>
      </c>
      <c r="D1797" s="1832"/>
      <c r="E1797" s="1832"/>
      <c r="F1797" s="1832"/>
      <c r="G1797" s="1832"/>
      <c r="H1797" s="1832"/>
      <c r="I1797" s="1832"/>
      <c r="J1797" s="1832"/>
    </row>
    <row r="1798" spans="1:10" ht="12.75" hidden="1" customHeight="1" outlineLevel="2">
      <c r="A1798" s="1830"/>
      <c r="B1798" s="1831"/>
      <c r="C1798" s="777" t="s">
        <v>1809</v>
      </c>
      <c r="D1798" s="776" t="s">
        <v>1810</v>
      </c>
      <c r="E1798" s="774" t="s">
        <v>1492</v>
      </c>
      <c r="F1798" s="774">
        <v>1</v>
      </c>
      <c r="G1798" s="774">
        <v>0</v>
      </c>
      <c r="H1798" s="774">
        <v>7213</v>
      </c>
      <c r="I1798" s="774">
        <v>0</v>
      </c>
      <c r="J1798" s="774">
        <f t="shared" ref="J1798:J1806" si="51">(F1798*(1+G1798/100)) * (H1798*(1+I1798/100))</f>
        <v>7213</v>
      </c>
    </row>
    <row r="1799" spans="1:10" ht="12.75" hidden="1" customHeight="1" outlineLevel="2">
      <c r="A1799" s="1830"/>
      <c r="B1799" s="1831"/>
      <c r="C1799" s="777" t="s">
        <v>1811</v>
      </c>
      <c r="D1799" s="776" t="s">
        <v>1812</v>
      </c>
      <c r="E1799" s="774" t="s">
        <v>48</v>
      </c>
      <c r="F1799" s="774">
        <v>1</v>
      </c>
      <c r="G1799" s="774">
        <v>5</v>
      </c>
      <c r="H1799" s="774">
        <v>15404.039999999999</v>
      </c>
      <c r="I1799" s="774">
        <v>0</v>
      </c>
      <c r="J1799" s="774">
        <f t="shared" si="51"/>
        <v>16174.242</v>
      </c>
    </row>
    <row r="1800" spans="1:10" ht="12.75" hidden="1" customHeight="1" outlineLevel="2">
      <c r="A1800" s="1830"/>
      <c r="B1800" s="1831"/>
      <c r="C1800" s="777" t="s">
        <v>1813</v>
      </c>
      <c r="D1800" s="776" t="s">
        <v>1814</v>
      </c>
      <c r="E1800" s="774" t="s">
        <v>1492</v>
      </c>
      <c r="F1800" s="774">
        <v>1</v>
      </c>
      <c r="G1800" s="774">
        <v>0</v>
      </c>
      <c r="H1800" s="774">
        <v>13161.960000000001</v>
      </c>
      <c r="I1800" s="774">
        <v>0</v>
      </c>
      <c r="J1800" s="774">
        <f t="shared" si="51"/>
        <v>13161.960000000001</v>
      </c>
    </row>
    <row r="1801" spans="1:10" ht="12.75" hidden="1" customHeight="1" outlineLevel="2">
      <c r="A1801" s="1830"/>
      <c r="B1801" s="1831"/>
      <c r="C1801" s="777" t="s">
        <v>1815</v>
      </c>
      <c r="D1801" s="776" t="s">
        <v>1816</v>
      </c>
      <c r="E1801" s="774" t="s">
        <v>1492</v>
      </c>
      <c r="F1801" s="774">
        <v>1</v>
      </c>
      <c r="G1801" s="774">
        <v>0</v>
      </c>
      <c r="H1801" s="774">
        <v>10301.039999999999</v>
      </c>
      <c r="I1801" s="774">
        <v>0</v>
      </c>
      <c r="J1801" s="774">
        <f t="shared" si="51"/>
        <v>10301.039999999999</v>
      </c>
    </row>
    <row r="1802" spans="1:10" ht="12.75" hidden="1" customHeight="1" outlineLevel="2">
      <c r="A1802" s="1830"/>
      <c r="B1802" s="1831"/>
      <c r="C1802" s="777" t="s">
        <v>1761</v>
      </c>
      <c r="D1802" s="776" t="s">
        <v>1762</v>
      </c>
      <c r="E1802" s="774" t="s">
        <v>1763</v>
      </c>
      <c r="F1802" s="774">
        <v>3.0000000000000001E-3</v>
      </c>
      <c r="G1802" s="774">
        <v>5</v>
      </c>
      <c r="H1802" s="774">
        <v>87162.48000000001</v>
      </c>
      <c r="I1802" s="774">
        <v>0</v>
      </c>
      <c r="J1802" s="774">
        <f t="shared" si="51"/>
        <v>274.56181200000003</v>
      </c>
    </row>
    <row r="1803" spans="1:10" ht="12.75" hidden="1" customHeight="1" outlineLevel="2">
      <c r="A1803" s="1830"/>
      <c r="B1803" s="1831"/>
      <c r="C1803" s="777" t="s">
        <v>1764</v>
      </c>
      <c r="D1803" s="776" t="s">
        <v>1765</v>
      </c>
      <c r="E1803" s="774" t="s">
        <v>1492</v>
      </c>
      <c r="F1803" s="774">
        <v>3.0000000000000001E-3</v>
      </c>
      <c r="G1803" s="774">
        <v>5</v>
      </c>
      <c r="H1803" s="774">
        <v>42064.92</v>
      </c>
      <c r="I1803" s="774">
        <v>0</v>
      </c>
      <c r="J1803" s="774">
        <f t="shared" si="51"/>
        <v>132.50449799999998</v>
      </c>
    </row>
    <row r="1804" spans="1:10" ht="12.75" hidden="1" customHeight="1" outlineLevel="2">
      <c r="A1804" s="1830"/>
      <c r="B1804" s="1831"/>
      <c r="C1804" s="777" t="s">
        <v>1817</v>
      </c>
      <c r="D1804" s="776" t="s">
        <v>1818</v>
      </c>
      <c r="E1804" s="774" t="s">
        <v>1492</v>
      </c>
      <c r="F1804" s="774">
        <v>0.25</v>
      </c>
      <c r="G1804" s="774">
        <v>0</v>
      </c>
      <c r="H1804" s="774">
        <v>3789.72</v>
      </c>
      <c r="I1804" s="774">
        <v>0</v>
      </c>
      <c r="J1804" s="774">
        <f t="shared" si="51"/>
        <v>947.43</v>
      </c>
    </row>
    <row r="1805" spans="1:10" ht="12.75" hidden="1" customHeight="1" outlineLevel="2">
      <c r="A1805" s="1830"/>
      <c r="B1805" s="1831"/>
      <c r="C1805" s="777" t="s">
        <v>1510</v>
      </c>
      <c r="D1805" s="776" t="s">
        <v>1511</v>
      </c>
      <c r="E1805" s="774" t="s">
        <v>1482</v>
      </c>
      <c r="F1805" s="774">
        <v>0.16</v>
      </c>
      <c r="G1805" s="774">
        <v>0</v>
      </c>
      <c r="H1805" s="774">
        <v>5527.21</v>
      </c>
      <c r="I1805" s="774">
        <v>0</v>
      </c>
      <c r="J1805" s="774">
        <f t="shared" si="51"/>
        <v>884.35360000000003</v>
      </c>
    </row>
    <row r="1806" spans="1:10" ht="12.75" hidden="1" customHeight="1" outlineLevel="2">
      <c r="A1806" s="1830"/>
      <c r="B1806" s="1831"/>
      <c r="C1806" s="777" t="s">
        <v>1747</v>
      </c>
      <c r="D1806" s="776" t="s">
        <v>1748</v>
      </c>
      <c r="E1806" s="774" t="s">
        <v>1482</v>
      </c>
      <c r="F1806" s="774">
        <v>0.16</v>
      </c>
      <c r="G1806" s="774">
        <v>0</v>
      </c>
      <c r="H1806" s="774">
        <v>7237.76</v>
      </c>
      <c r="I1806" s="774">
        <v>0</v>
      </c>
      <c r="J1806" s="774">
        <f t="shared" si="51"/>
        <v>1158.0416</v>
      </c>
    </row>
    <row r="1807" spans="1:10" ht="12.75" hidden="1" customHeight="1" outlineLevel="2">
      <c r="A1807" s="1830"/>
      <c r="B1807" s="1831"/>
      <c r="C1807" s="777"/>
      <c r="D1807" s="774"/>
      <c r="E1807" s="774"/>
      <c r="F1807" s="774"/>
      <c r="G1807" s="774">
        <v>5</v>
      </c>
      <c r="H1807" s="774" t="s">
        <v>1514</v>
      </c>
      <c r="I1807" s="774"/>
      <c r="J1807" s="774">
        <v>102.12</v>
      </c>
    </row>
    <row r="1808" spans="1:10" ht="12.75" hidden="1" customHeight="1" outlineLevel="2">
      <c r="A1808" s="1830"/>
      <c r="B1808" s="1831"/>
      <c r="C1808" s="1835" t="s">
        <v>1488</v>
      </c>
      <c r="D1808" s="1808"/>
      <c r="E1808" s="784" t="s">
        <v>285</v>
      </c>
      <c r="F1808" s="583">
        <f>'14. Inst. Hidro-Sanitarias'!E117</f>
        <v>2</v>
      </c>
      <c r="G1808" s="784"/>
      <c r="H1808" s="784"/>
      <c r="I1808" s="784">
        <v>0</v>
      </c>
      <c r="J1808" s="774">
        <f>SUM(J1798:J1807)</f>
        <v>50349.253510000002</v>
      </c>
    </row>
    <row r="1809" spans="1:10" ht="12.75" hidden="1" customHeight="1" outlineLevel="1" collapsed="1">
      <c r="A1809" s="1830"/>
      <c r="B1809" s="1831"/>
      <c r="C1809" s="1836" t="s">
        <v>47</v>
      </c>
      <c r="D1809" s="1827"/>
      <c r="E1809" s="1827"/>
      <c r="F1809" s="1827"/>
      <c r="G1809" s="1827"/>
      <c r="H1809" s="1827"/>
      <c r="I1809" s="1827"/>
      <c r="J1809" s="773">
        <f>J1808*F1808</f>
        <v>100698.50702</v>
      </c>
    </row>
    <row r="1810" spans="1:10" ht="12.75" hidden="1" customHeight="1" outlineLevel="1">
      <c r="A1810" s="1830" t="s">
        <v>1750</v>
      </c>
      <c r="B1810" s="1831" t="s">
        <v>1199</v>
      </c>
      <c r="C1810" s="1875" t="s">
        <v>1322</v>
      </c>
      <c r="D1810" s="1832"/>
      <c r="E1810" s="1832"/>
      <c r="F1810" s="1832"/>
      <c r="G1810" s="1832"/>
      <c r="H1810" s="1832"/>
      <c r="I1810" s="1832"/>
      <c r="J1810" s="1832"/>
    </row>
    <row r="1811" spans="1:10" ht="12.75" hidden="1" customHeight="1" outlineLevel="2">
      <c r="A1811" s="1830"/>
      <c r="B1811" s="1831"/>
      <c r="C1811" s="774" t="s">
        <v>1751</v>
      </c>
      <c r="D1811" s="776" t="s">
        <v>1752</v>
      </c>
      <c r="E1811" s="774" t="s">
        <v>48</v>
      </c>
      <c r="F1811" s="774">
        <v>1</v>
      </c>
      <c r="G1811" s="774">
        <v>5</v>
      </c>
      <c r="H1811" s="774">
        <v>3441.96</v>
      </c>
      <c r="I1811" s="774">
        <v>0</v>
      </c>
      <c r="J1811" s="774">
        <f t="shared" ref="J1811:J1819" si="52">(F1811*(1+G1811/100)) * (H1811*(1+I1811/100))</f>
        <v>3614.058</v>
      </c>
    </row>
    <row r="1812" spans="1:10" ht="12.75" hidden="1" customHeight="1" outlineLevel="2">
      <c r="A1812" s="1830"/>
      <c r="B1812" s="1831"/>
      <c r="C1812" s="774" t="s">
        <v>1753</v>
      </c>
      <c r="D1812" s="776" t="s">
        <v>1754</v>
      </c>
      <c r="E1812" s="774" t="s">
        <v>1492</v>
      </c>
      <c r="F1812" s="774">
        <v>1</v>
      </c>
      <c r="G1812" s="774">
        <v>0</v>
      </c>
      <c r="H1812" s="774">
        <v>737.64</v>
      </c>
      <c r="I1812" s="774">
        <v>0</v>
      </c>
      <c r="J1812" s="774">
        <f t="shared" si="52"/>
        <v>737.64</v>
      </c>
    </row>
    <row r="1813" spans="1:10" ht="12.75" hidden="1" customHeight="1" outlineLevel="2">
      <c r="A1813" s="1830"/>
      <c r="B1813" s="1831"/>
      <c r="C1813" s="774" t="s">
        <v>1755</v>
      </c>
      <c r="D1813" s="776" t="s">
        <v>1756</v>
      </c>
      <c r="E1813" s="774" t="s">
        <v>1492</v>
      </c>
      <c r="F1813" s="774">
        <v>1</v>
      </c>
      <c r="G1813" s="774">
        <v>0</v>
      </c>
      <c r="H1813" s="774">
        <v>560.52</v>
      </c>
      <c r="I1813" s="774">
        <v>0</v>
      </c>
      <c r="J1813" s="774">
        <f t="shared" si="52"/>
        <v>560.52</v>
      </c>
    </row>
    <row r="1814" spans="1:10" ht="12.75" hidden="1" customHeight="1" outlineLevel="2">
      <c r="A1814" s="1830"/>
      <c r="B1814" s="1831"/>
      <c r="C1814" s="774" t="s">
        <v>1757</v>
      </c>
      <c r="D1814" s="776" t="s">
        <v>1758</v>
      </c>
      <c r="E1814" s="774" t="s">
        <v>1492</v>
      </c>
      <c r="F1814" s="774">
        <v>1</v>
      </c>
      <c r="G1814" s="774">
        <v>0</v>
      </c>
      <c r="H1814" s="774">
        <v>435.23999999999995</v>
      </c>
      <c r="I1814" s="774">
        <v>0</v>
      </c>
      <c r="J1814" s="774">
        <f t="shared" si="52"/>
        <v>435.23999999999995</v>
      </c>
    </row>
    <row r="1815" spans="1:10" ht="12.75" hidden="1" customHeight="1" outlineLevel="2">
      <c r="A1815" s="1830"/>
      <c r="B1815" s="1831"/>
      <c r="C1815" s="774" t="s">
        <v>1759</v>
      </c>
      <c r="D1815" s="776" t="s">
        <v>1760</v>
      </c>
      <c r="E1815" s="774" t="s">
        <v>1492</v>
      </c>
      <c r="F1815" s="774">
        <v>1</v>
      </c>
      <c r="G1815" s="774">
        <v>0</v>
      </c>
      <c r="H1815" s="774">
        <v>434.16</v>
      </c>
      <c r="I1815" s="774">
        <v>0</v>
      </c>
      <c r="J1815" s="774">
        <f t="shared" si="52"/>
        <v>434.16</v>
      </c>
    </row>
    <row r="1816" spans="1:10" ht="12.75" hidden="1" customHeight="1" outlineLevel="2">
      <c r="A1816" s="1830"/>
      <c r="B1816" s="1831"/>
      <c r="C1816" s="774" t="s">
        <v>1761</v>
      </c>
      <c r="D1816" s="776" t="s">
        <v>1762</v>
      </c>
      <c r="E1816" s="774" t="s">
        <v>1763</v>
      </c>
      <c r="F1816" s="774">
        <v>1E-3</v>
      </c>
      <c r="G1816" s="774">
        <v>5</v>
      </c>
      <c r="H1816" s="774">
        <v>87162.48000000001</v>
      </c>
      <c r="I1816" s="774">
        <v>0</v>
      </c>
      <c r="J1816" s="774">
        <f t="shared" si="52"/>
        <v>91.52060400000002</v>
      </c>
    </row>
    <row r="1817" spans="1:10" ht="12.75" hidden="1" customHeight="1" outlineLevel="2">
      <c r="A1817" s="1830"/>
      <c r="B1817" s="1831"/>
      <c r="C1817" s="774" t="s">
        <v>1764</v>
      </c>
      <c r="D1817" s="776" t="s">
        <v>1765</v>
      </c>
      <c r="E1817" s="774" t="s">
        <v>1492</v>
      </c>
      <c r="F1817" s="774">
        <v>1E-3</v>
      </c>
      <c r="G1817" s="774">
        <v>5</v>
      </c>
      <c r="H1817" s="774">
        <v>42064.92</v>
      </c>
      <c r="I1817" s="774">
        <v>0</v>
      </c>
      <c r="J1817" s="774">
        <f t="shared" si="52"/>
        <v>44.168166000000006</v>
      </c>
    </row>
    <row r="1818" spans="1:10" ht="12.75" hidden="1" customHeight="1" outlineLevel="2">
      <c r="A1818" s="1830"/>
      <c r="B1818" s="1831"/>
      <c r="C1818" s="774" t="s">
        <v>1510</v>
      </c>
      <c r="D1818" s="776" t="s">
        <v>1511</v>
      </c>
      <c r="E1818" s="774" t="s">
        <v>1482</v>
      </c>
      <c r="F1818" s="774">
        <v>0.06</v>
      </c>
      <c r="G1818" s="774">
        <v>0</v>
      </c>
      <c r="H1818" s="774">
        <v>5527.21</v>
      </c>
      <c r="I1818" s="774">
        <v>0</v>
      </c>
      <c r="J1818" s="774">
        <f t="shared" si="52"/>
        <v>331.63259999999997</v>
      </c>
    </row>
    <row r="1819" spans="1:10" ht="12.75" hidden="1" customHeight="1" outlineLevel="2">
      <c r="A1819" s="1830"/>
      <c r="B1819" s="1831"/>
      <c r="C1819" s="774" t="s">
        <v>1747</v>
      </c>
      <c r="D1819" s="776" t="s">
        <v>1748</v>
      </c>
      <c r="E1819" s="774" t="s">
        <v>1482</v>
      </c>
      <c r="F1819" s="774">
        <v>0.06</v>
      </c>
      <c r="G1819" s="774">
        <v>0</v>
      </c>
      <c r="H1819" s="774">
        <v>7237.76</v>
      </c>
      <c r="I1819" s="774">
        <v>0</v>
      </c>
      <c r="J1819" s="774">
        <f t="shared" si="52"/>
        <v>434.26560000000001</v>
      </c>
    </row>
    <row r="1820" spans="1:10" ht="12.75" hidden="1" customHeight="1" outlineLevel="2">
      <c r="A1820" s="1830"/>
      <c r="B1820" s="1831"/>
      <c r="C1820" s="774"/>
      <c r="D1820" s="774"/>
      <c r="E1820" s="774"/>
      <c r="F1820" s="774"/>
      <c r="G1820" s="774">
        <v>5</v>
      </c>
      <c r="H1820" s="774" t="s">
        <v>1514</v>
      </c>
      <c r="I1820" s="774"/>
      <c r="J1820" s="774">
        <v>38.29</v>
      </c>
    </row>
    <row r="1821" spans="1:10" ht="12.75" hidden="1" customHeight="1" outlineLevel="2">
      <c r="A1821" s="1830"/>
      <c r="B1821" s="1831"/>
      <c r="C1821" s="1808" t="s">
        <v>1488</v>
      </c>
      <c r="D1821" s="1808"/>
      <c r="E1821" s="784" t="s">
        <v>285</v>
      </c>
      <c r="F1821" s="583">
        <f>'14. Inst. Hidro-Sanitarias'!E119</f>
        <v>3</v>
      </c>
      <c r="G1821" s="784"/>
      <c r="H1821" s="784"/>
      <c r="I1821" s="784">
        <v>0</v>
      </c>
      <c r="J1821" s="774">
        <f>SUM(J1811:J1820)</f>
        <v>6721.4949700000006</v>
      </c>
    </row>
    <row r="1822" spans="1:10" ht="12.75" hidden="1" customHeight="1" outlineLevel="1" collapsed="1">
      <c r="A1822" s="1830"/>
      <c r="B1822" s="1831"/>
      <c r="C1822" s="1827" t="s">
        <v>47</v>
      </c>
      <c r="D1822" s="1827"/>
      <c r="E1822" s="1827"/>
      <c r="F1822" s="1827"/>
      <c r="G1822" s="1827"/>
      <c r="H1822" s="1827"/>
      <c r="I1822" s="1827"/>
      <c r="J1822" s="773">
        <f>J1821*F1821</f>
        <v>20164.484910000003</v>
      </c>
    </row>
    <row r="1823" spans="1:10" ht="12.75" hidden="1" customHeight="1" outlineLevel="1">
      <c r="A1823" s="1830" t="s">
        <v>1766</v>
      </c>
      <c r="B1823" s="1831" t="s">
        <v>1200</v>
      </c>
      <c r="C1823" s="1875" t="s">
        <v>1323</v>
      </c>
      <c r="D1823" s="1832"/>
      <c r="E1823" s="1832"/>
      <c r="F1823" s="1832"/>
      <c r="G1823" s="1832"/>
      <c r="H1823" s="1832"/>
      <c r="I1823" s="1832"/>
      <c r="J1823" s="1832"/>
    </row>
    <row r="1824" spans="1:10" ht="12.75" hidden="1" customHeight="1" outlineLevel="2">
      <c r="A1824" s="1830"/>
      <c r="B1824" s="1831"/>
      <c r="C1824" s="777" t="s">
        <v>1767</v>
      </c>
      <c r="D1824" s="776" t="s">
        <v>1768</v>
      </c>
      <c r="E1824" s="774" t="s">
        <v>1492</v>
      </c>
      <c r="F1824" s="774">
        <v>1</v>
      </c>
      <c r="G1824" s="774">
        <v>0</v>
      </c>
      <c r="H1824" s="774">
        <v>451</v>
      </c>
      <c r="I1824" s="774">
        <v>0</v>
      </c>
      <c r="J1824" s="774">
        <f t="shared" ref="J1824:J1832" si="53">(F1824*(1+G1824/100)) * (H1824*(1+I1824/100))</f>
        <v>451</v>
      </c>
    </row>
    <row r="1825" spans="1:10" ht="12.75" hidden="1" customHeight="1" outlineLevel="2">
      <c r="A1825" s="1830"/>
      <c r="B1825" s="1831"/>
      <c r="C1825" s="777" t="s">
        <v>1769</v>
      </c>
      <c r="D1825" s="776" t="s">
        <v>1770</v>
      </c>
      <c r="E1825" s="774" t="s">
        <v>48</v>
      </c>
      <c r="F1825" s="774">
        <v>1</v>
      </c>
      <c r="G1825" s="774">
        <v>0</v>
      </c>
      <c r="H1825" s="774">
        <v>3042.3599999999997</v>
      </c>
      <c r="I1825" s="774">
        <v>0</v>
      </c>
      <c r="J1825" s="774">
        <f t="shared" si="53"/>
        <v>3042.3599999999997</v>
      </c>
    </row>
    <row r="1826" spans="1:10" ht="12.75" hidden="1" customHeight="1" outlineLevel="2">
      <c r="A1826" s="1830"/>
      <c r="B1826" s="1831"/>
      <c r="C1826" s="777" t="s">
        <v>1771</v>
      </c>
      <c r="D1826" s="776" t="s">
        <v>1772</v>
      </c>
      <c r="E1826" s="774" t="s">
        <v>1492</v>
      </c>
      <c r="F1826" s="774">
        <v>1</v>
      </c>
      <c r="G1826" s="774">
        <v>0</v>
      </c>
      <c r="H1826" s="774">
        <v>1246.3200000000002</v>
      </c>
      <c r="I1826" s="774">
        <v>0</v>
      </c>
      <c r="J1826" s="774">
        <f t="shared" si="53"/>
        <v>1246.3200000000002</v>
      </c>
    </row>
    <row r="1827" spans="1:10" ht="12.75" hidden="1" customHeight="1" outlineLevel="2">
      <c r="A1827" s="1830"/>
      <c r="B1827" s="1831"/>
      <c r="C1827" s="777" t="s">
        <v>1773</v>
      </c>
      <c r="D1827" s="776" t="s">
        <v>1774</v>
      </c>
      <c r="E1827" s="774" t="s">
        <v>1492</v>
      </c>
      <c r="F1827" s="774">
        <v>1</v>
      </c>
      <c r="G1827" s="774">
        <v>0</v>
      </c>
      <c r="H1827" s="774">
        <v>894.24</v>
      </c>
      <c r="I1827" s="774">
        <v>0</v>
      </c>
      <c r="J1827" s="774">
        <f t="shared" si="53"/>
        <v>894.24</v>
      </c>
    </row>
    <row r="1828" spans="1:10" ht="12.75" hidden="1" customHeight="1" outlineLevel="2">
      <c r="A1828" s="1830"/>
      <c r="B1828" s="1831"/>
      <c r="C1828" s="777" t="s">
        <v>1775</v>
      </c>
      <c r="D1828" s="776" t="s">
        <v>1776</v>
      </c>
      <c r="E1828" s="774" t="s">
        <v>1492</v>
      </c>
      <c r="F1828" s="774">
        <v>1</v>
      </c>
      <c r="G1828" s="774">
        <v>0</v>
      </c>
      <c r="H1828" s="774">
        <v>785.16000000000008</v>
      </c>
      <c r="I1828" s="774">
        <v>0</v>
      </c>
      <c r="J1828" s="774">
        <f t="shared" si="53"/>
        <v>785.16000000000008</v>
      </c>
    </row>
    <row r="1829" spans="1:10" ht="12.75" hidden="1" customHeight="1" outlineLevel="2">
      <c r="A1829" s="1830"/>
      <c r="B1829" s="1831"/>
      <c r="C1829" s="777" t="s">
        <v>1761</v>
      </c>
      <c r="D1829" s="776" t="s">
        <v>1762</v>
      </c>
      <c r="E1829" s="774" t="s">
        <v>1763</v>
      </c>
      <c r="F1829" s="774">
        <v>2E-3</v>
      </c>
      <c r="G1829" s="774">
        <v>5</v>
      </c>
      <c r="H1829" s="774">
        <v>87162.48000000001</v>
      </c>
      <c r="I1829" s="774">
        <v>0</v>
      </c>
      <c r="J1829" s="774">
        <f t="shared" si="53"/>
        <v>183.04120800000004</v>
      </c>
    </row>
    <row r="1830" spans="1:10" ht="12.75" hidden="1" customHeight="1" outlineLevel="2">
      <c r="A1830" s="1830"/>
      <c r="B1830" s="1831"/>
      <c r="C1830" s="777" t="s">
        <v>1764</v>
      </c>
      <c r="D1830" s="776" t="s">
        <v>1765</v>
      </c>
      <c r="E1830" s="774" t="s">
        <v>1492</v>
      </c>
      <c r="F1830" s="774">
        <v>2E-3</v>
      </c>
      <c r="G1830" s="774">
        <v>5</v>
      </c>
      <c r="H1830" s="774">
        <v>42064.92</v>
      </c>
      <c r="I1830" s="774">
        <v>0</v>
      </c>
      <c r="J1830" s="774">
        <f t="shared" si="53"/>
        <v>88.336332000000013</v>
      </c>
    </row>
    <row r="1831" spans="1:10" ht="12.75" hidden="1" customHeight="1" outlineLevel="2">
      <c r="A1831" s="1830"/>
      <c r="B1831" s="1831"/>
      <c r="C1831" s="777" t="s">
        <v>1510</v>
      </c>
      <c r="D1831" s="776" t="s">
        <v>1511</v>
      </c>
      <c r="E1831" s="774" t="s">
        <v>1482</v>
      </c>
      <c r="F1831" s="774">
        <v>0.08</v>
      </c>
      <c r="G1831" s="774">
        <v>0</v>
      </c>
      <c r="H1831" s="774">
        <v>5527.21</v>
      </c>
      <c r="I1831" s="774">
        <v>0</v>
      </c>
      <c r="J1831" s="774">
        <f t="shared" si="53"/>
        <v>442.17680000000001</v>
      </c>
    </row>
    <row r="1832" spans="1:10" ht="12.75" hidden="1" customHeight="1" outlineLevel="2">
      <c r="A1832" s="1830"/>
      <c r="B1832" s="1831"/>
      <c r="C1832" s="777" t="s">
        <v>1747</v>
      </c>
      <c r="D1832" s="776" t="s">
        <v>1748</v>
      </c>
      <c r="E1832" s="774" t="s">
        <v>1482</v>
      </c>
      <c r="F1832" s="774">
        <v>0.08</v>
      </c>
      <c r="G1832" s="774">
        <v>0</v>
      </c>
      <c r="H1832" s="774">
        <v>7237.76</v>
      </c>
      <c r="I1832" s="774">
        <v>0</v>
      </c>
      <c r="J1832" s="774">
        <f t="shared" si="53"/>
        <v>579.02080000000001</v>
      </c>
    </row>
    <row r="1833" spans="1:10" ht="12.75" hidden="1" customHeight="1" outlineLevel="2">
      <c r="A1833" s="1830"/>
      <c r="B1833" s="1831"/>
      <c r="C1833" s="777"/>
      <c r="D1833" s="774"/>
      <c r="E1833" s="774"/>
      <c r="F1833" s="774"/>
      <c r="G1833" s="774">
        <v>5</v>
      </c>
      <c r="H1833" s="774" t="s">
        <v>1514</v>
      </c>
      <c r="I1833" s="774"/>
      <c r="J1833" s="774">
        <v>51.06</v>
      </c>
    </row>
    <row r="1834" spans="1:10" ht="12.75" hidden="1" customHeight="1" outlineLevel="2">
      <c r="A1834" s="1830"/>
      <c r="B1834" s="1831"/>
      <c r="C1834" s="1835" t="s">
        <v>1488</v>
      </c>
      <c r="D1834" s="1808"/>
      <c r="E1834" s="784" t="s">
        <v>285</v>
      </c>
      <c r="F1834" s="583">
        <f>'14. Inst. Hidro-Sanitarias'!E120</f>
        <v>28</v>
      </c>
      <c r="G1834" s="784"/>
      <c r="H1834" s="784"/>
      <c r="I1834" s="784">
        <v>0</v>
      </c>
      <c r="J1834" s="774">
        <f>SUM(J1824:J1833)</f>
        <v>7762.7151400000002</v>
      </c>
    </row>
    <row r="1835" spans="1:10" ht="12.75" hidden="1" customHeight="1" outlineLevel="1" collapsed="1">
      <c r="A1835" s="1830"/>
      <c r="B1835" s="1831"/>
      <c r="C1835" s="1836" t="s">
        <v>47</v>
      </c>
      <c r="D1835" s="1827"/>
      <c r="E1835" s="1827"/>
      <c r="F1835" s="1827"/>
      <c r="G1835" s="1827"/>
      <c r="H1835" s="1827"/>
      <c r="I1835" s="1827"/>
      <c r="J1835" s="773">
        <f>J1834*F1834</f>
        <v>217356.02392000001</v>
      </c>
    </row>
    <row r="1836" spans="1:10" ht="12.75" hidden="1" customHeight="1" outlineLevel="1">
      <c r="A1836" s="1830" t="s">
        <v>1788</v>
      </c>
      <c r="B1836" s="1831" t="s">
        <v>1201</v>
      </c>
      <c r="C1836" s="1875" t="s">
        <v>1324</v>
      </c>
      <c r="D1836" s="1832"/>
      <c r="E1836" s="1832"/>
      <c r="F1836" s="1832"/>
      <c r="G1836" s="1832"/>
      <c r="H1836" s="1832"/>
      <c r="I1836" s="1832"/>
      <c r="J1836" s="1832"/>
    </row>
    <row r="1837" spans="1:10" ht="12.75" hidden="1" customHeight="1" outlineLevel="2">
      <c r="A1837" s="1830"/>
      <c r="B1837" s="1831"/>
      <c r="C1837" s="777" t="s">
        <v>1789</v>
      </c>
      <c r="D1837" s="776" t="s">
        <v>1790</v>
      </c>
      <c r="E1837" s="774" t="s">
        <v>1492</v>
      </c>
      <c r="F1837" s="774">
        <v>0.5</v>
      </c>
      <c r="G1837" s="774">
        <v>0</v>
      </c>
      <c r="H1837" s="774">
        <v>739</v>
      </c>
      <c r="I1837" s="774">
        <v>0</v>
      </c>
      <c r="J1837" s="774">
        <f t="shared" ref="J1837:J1845" si="54">(F1837*(1+G1837/100)) * (H1837*(1+I1837/100))</f>
        <v>369.5</v>
      </c>
    </row>
    <row r="1838" spans="1:10" ht="12.75" hidden="1" customHeight="1" outlineLevel="2">
      <c r="A1838" s="1830"/>
      <c r="B1838" s="1831"/>
      <c r="C1838" s="777" t="s">
        <v>1791</v>
      </c>
      <c r="D1838" s="776" t="s">
        <v>1792</v>
      </c>
      <c r="E1838" s="774" t="s">
        <v>48</v>
      </c>
      <c r="F1838" s="774">
        <v>1</v>
      </c>
      <c r="G1838" s="774">
        <v>5</v>
      </c>
      <c r="H1838" s="774">
        <v>7692.8399999999992</v>
      </c>
      <c r="I1838" s="774">
        <v>0</v>
      </c>
      <c r="J1838" s="774">
        <f t="shared" si="54"/>
        <v>8077.482</v>
      </c>
    </row>
    <row r="1839" spans="1:10" ht="12.75" hidden="1" customHeight="1" outlineLevel="2">
      <c r="A1839" s="1830"/>
      <c r="B1839" s="1831"/>
      <c r="C1839" s="777" t="s">
        <v>1793</v>
      </c>
      <c r="D1839" s="776" t="s">
        <v>1794</v>
      </c>
      <c r="E1839" s="774" t="s">
        <v>1492</v>
      </c>
      <c r="F1839" s="774">
        <v>1</v>
      </c>
      <c r="G1839" s="774">
        <v>0</v>
      </c>
      <c r="H1839" s="774">
        <v>6294.24</v>
      </c>
      <c r="I1839" s="774">
        <v>0</v>
      </c>
      <c r="J1839" s="774">
        <f t="shared" si="54"/>
        <v>6294.24</v>
      </c>
    </row>
    <row r="1840" spans="1:10" ht="12.75" hidden="1" customHeight="1" outlineLevel="2">
      <c r="A1840" s="1830"/>
      <c r="B1840" s="1831"/>
      <c r="C1840" s="777" t="s">
        <v>1795</v>
      </c>
      <c r="D1840" s="776" t="s">
        <v>1796</v>
      </c>
      <c r="E1840" s="774" t="s">
        <v>1492</v>
      </c>
      <c r="F1840" s="774">
        <v>1</v>
      </c>
      <c r="G1840" s="774">
        <v>5</v>
      </c>
      <c r="H1840" s="774">
        <v>3366.3599999999997</v>
      </c>
      <c r="I1840" s="774">
        <v>0</v>
      </c>
      <c r="J1840" s="774">
        <f t="shared" si="54"/>
        <v>3534.6779999999999</v>
      </c>
    </row>
    <row r="1841" spans="1:10" ht="12.75" hidden="1" customHeight="1" outlineLevel="2">
      <c r="A1841" s="1830"/>
      <c r="B1841" s="1831"/>
      <c r="C1841" s="777" t="s">
        <v>1797</v>
      </c>
      <c r="D1841" s="776" t="s">
        <v>1798</v>
      </c>
      <c r="E1841" s="774" t="s">
        <v>1492</v>
      </c>
      <c r="F1841" s="774">
        <v>0.5</v>
      </c>
      <c r="G1841" s="774">
        <v>0</v>
      </c>
      <c r="H1841" s="774">
        <v>1747.44</v>
      </c>
      <c r="I1841" s="774">
        <v>0</v>
      </c>
      <c r="J1841" s="774">
        <f t="shared" si="54"/>
        <v>873.72</v>
      </c>
    </row>
    <row r="1842" spans="1:10" ht="12.75" hidden="1" customHeight="1" outlineLevel="2">
      <c r="A1842" s="1830"/>
      <c r="B1842" s="1831"/>
      <c r="C1842" s="777" t="s">
        <v>1761</v>
      </c>
      <c r="D1842" s="776" t="s">
        <v>1762</v>
      </c>
      <c r="E1842" s="774" t="s">
        <v>1763</v>
      </c>
      <c r="F1842" s="774">
        <v>2E-3</v>
      </c>
      <c r="G1842" s="774">
        <v>5</v>
      </c>
      <c r="H1842" s="774">
        <v>87162.48000000001</v>
      </c>
      <c r="I1842" s="774">
        <v>0</v>
      </c>
      <c r="J1842" s="774">
        <f t="shared" si="54"/>
        <v>183.04120800000004</v>
      </c>
    </row>
    <row r="1843" spans="1:10" ht="12.75" hidden="1" customHeight="1" outlineLevel="2">
      <c r="A1843" s="1830"/>
      <c r="B1843" s="1831"/>
      <c r="C1843" s="777" t="s">
        <v>1764</v>
      </c>
      <c r="D1843" s="776" t="s">
        <v>1765</v>
      </c>
      <c r="E1843" s="774" t="s">
        <v>1492</v>
      </c>
      <c r="F1843" s="774">
        <v>2E-3</v>
      </c>
      <c r="G1843" s="774">
        <v>5</v>
      </c>
      <c r="H1843" s="774">
        <v>42064.92</v>
      </c>
      <c r="I1843" s="774">
        <v>0</v>
      </c>
      <c r="J1843" s="774">
        <f t="shared" si="54"/>
        <v>88.336332000000013</v>
      </c>
    </row>
    <row r="1844" spans="1:10" ht="12.75" hidden="1" customHeight="1" outlineLevel="2">
      <c r="A1844" s="1830"/>
      <c r="B1844" s="1831"/>
      <c r="C1844" s="777" t="s">
        <v>1510</v>
      </c>
      <c r="D1844" s="776" t="s">
        <v>1511</v>
      </c>
      <c r="E1844" s="774" t="s">
        <v>1482</v>
      </c>
      <c r="F1844" s="774">
        <v>0.12</v>
      </c>
      <c r="G1844" s="774">
        <v>0</v>
      </c>
      <c r="H1844" s="774">
        <v>5527.21</v>
      </c>
      <c r="I1844" s="774">
        <v>0</v>
      </c>
      <c r="J1844" s="774">
        <f t="shared" si="54"/>
        <v>663.26519999999994</v>
      </c>
    </row>
    <row r="1845" spans="1:10" ht="12.75" hidden="1" customHeight="1" outlineLevel="2">
      <c r="A1845" s="1830"/>
      <c r="B1845" s="1831"/>
      <c r="C1845" s="777" t="s">
        <v>1747</v>
      </c>
      <c r="D1845" s="776" t="s">
        <v>1748</v>
      </c>
      <c r="E1845" s="774" t="s">
        <v>1482</v>
      </c>
      <c r="F1845" s="774">
        <v>0.12</v>
      </c>
      <c r="G1845" s="774">
        <v>0</v>
      </c>
      <c r="H1845" s="774">
        <v>7237.76</v>
      </c>
      <c r="I1845" s="774">
        <v>0</v>
      </c>
      <c r="J1845" s="774">
        <f t="shared" si="54"/>
        <v>868.53120000000001</v>
      </c>
    </row>
    <row r="1846" spans="1:10" ht="12.75" hidden="1" customHeight="1" outlineLevel="2">
      <c r="A1846" s="1830"/>
      <c r="B1846" s="1831"/>
      <c r="C1846" s="777"/>
      <c r="D1846" s="774"/>
      <c r="E1846" s="774"/>
      <c r="F1846" s="774"/>
      <c r="G1846" s="774">
        <v>5</v>
      </c>
      <c r="H1846" s="774" t="s">
        <v>1514</v>
      </c>
      <c r="I1846" s="774"/>
      <c r="J1846" s="774">
        <v>76.59</v>
      </c>
    </row>
    <row r="1847" spans="1:10" ht="12.75" hidden="1" customHeight="1" outlineLevel="2">
      <c r="A1847" s="1830"/>
      <c r="B1847" s="1831"/>
      <c r="C1847" s="1835" t="s">
        <v>1488</v>
      </c>
      <c r="D1847" s="1808"/>
      <c r="E1847" s="784" t="s">
        <v>285</v>
      </c>
      <c r="F1847" s="583">
        <f>'14. Inst. Hidro-Sanitarias'!E121</f>
        <v>66</v>
      </c>
      <c r="G1847" s="784"/>
      <c r="H1847" s="784"/>
      <c r="I1847" s="784">
        <v>0</v>
      </c>
      <c r="J1847" s="774">
        <f>SUM(J1837:J1846)</f>
        <v>21029.383940000003</v>
      </c>
    </row>
    <row r="1848" spans="1:10" ht="12.75" hidden="1" customHeight="1" outlineLevel="1" collapsed="1">
      <c r="A1848" s="1830"/>
      <c r="B1848" s="1831"/>
      <c r="C1848" s="1836" t="s">
        <v>47</v>
      </c>
      <c r="D1848" s="1827"/>
      <c r="E1848" s="1827"/>
      <c r="F1848" s="1827"/>
      <c r="G1848" s="1827"/>
      <c r="H1848" s="1827"/>
      <c r="I1848" s="1827"/>
      <c r="J1848" s="773">
        <f>J1847*F1847</f>
        <v>1387939.3400400002</v>
      </c>
    </row>
    <row r="1849" spans="1:10" ht="12.75" hidden="1" customHeight="1" outlineLevel="1">
      <c r="A1849" s="1830" t="s">
        <v>1808</v>
      </c>
      <c r="B1849" s="1831" t="s">
        <v>1202</v>
      </c>
      <c r="C1849" s="1875" t="s">
        <v>1325</v>
      </c>
      <c r="D1849" s="1832"/>
      <c r="E1849" s="1832"/>
      <c r="F1849" s="1832"/>
      <c r="G1849" s="1832"/>
      <c r="H1849" s="1832"/>
      <c r="I1849" s="1832"/>
      <c r="J1849" s="1832"/>
    </row>
    <row r="1850" spans="1:10" ht="12.75" hidden="1" customHeight="1" outlineLevel="2">
      <c r="A1850" s="1830"/>
      <c r="B1850" s="1831"/>
      <c r="C1850" s="777" t="s">
        <v>1809</v>
      </c>
      <c r="D1850" s="776" t="s">
        <v>1810</v>
      </c>
      <c r="E1850" s="774" t="s">
        <v>1492</v>
      </c>
      <c r="F1850" s="774">
        <v>1</v>
      </c>
      <c r="G1850" s="774">
        <v>0</v>
      </c>
      <c r="H1850" s="774">
        <v>7213</v>
      </c>
      <c r="I1850" s="774">
        <v>0</v>
      </c>
      <c r="J1850" s="774">
        <f t="shared" ref="J1850:J1858" si="55">(F1850*(1+G1850/100)) * (H1850*(1+I1850/100))</f>
        <v>7213</v>
      </c>
    </row>
    <row r="1851" spans="1:10" ht="12.75" hidden="1" customHeight="1" outlineLevel="2">
      <c r="A1851" s="1830"/>
      <c r="B1851" s="1831"/>
      <c r="C1851" s="777" t="s">
        <v>1811</v>
      </c>
      <c r="D1851" s="776" t="s">
        <v>1812</v>
      </c>
      <c r="E1851" s="774" t="s">
        <v>48</v>
      </c>
      <c r="F1851" s="774">
        <v>1</v>
      </c>
      <c r="G1851" s="774">
        <v>5</v>
      </c>
      <c r="H1851" s="774">
        <v>15404.039999999999</v>
      </c>
      <c r="I1851" s="774">
        <v>0</v>
      </c>
      <c r="J1851" s="774">
        <f t="shared" si="55"/>
        <v>16174.242</v>
      </c>
    </row>
    <row r="1852" spans="1:10" ht="12.75" hidden="1" customHeight="1" outlineLevel="2">
      <c r="A1852" s="1830"/>
      <c r="B1852" s="1831"/>
      <c r="C1852" s="777" t="s">
        <v>1813</v>
      </c>
      <c r="D1852" s="776" t="s">
        <v>1814</v>
      </c>
      <c r="E1852" s="774" t="s">
        <v>1492</v>
      </c>
      <c r="F1852" s="774">
        <v>1</v>
      </c>
      <c r="G1852" s="774">
        <v>0</v>
      </c>
      <c r="H1852" s="774">
        <v>13161.960000000001</v>
      </c>
      <c r="I1852" s="774">
        <v>0</v>
      </c>
      <c r="J1852" s="774">
        <f t="shared" si="55"/>
        <v>13161.960000000001</v>
      </c>
    </row>
    <row r="1853" spans="1:10" ht="12.75" hidden="1" customHeight="1" outlineLevel="2">
      <c r="A1853" s="1830"/>
      <c r="B1853" s="1831"/>
      <c r="C1853" s="777" t="s">
        <v>1815</v>
      </c>
      <c r="D1853" s="776" t="s">
        <v>1816</v>
      </c>
      <c r="E1853" s="774" t="s">
        <v>1492</v>
      </c>
      <c r="F1853" s="774">
        <v>1</v>
      </c>
      <c r="G1853" s="774">
        <v>0</v>
      </c>
      <c r="H1853" s="774">
        <v>10301.039999999999</v>
      </c>
      <c r="I1853" s="774">
        <v>0</v>
      </c>
      <c r="J1853" s="774">
        <f t="shared" si="55"/>
        <v>10301.039999999999</v>
      </c>
    </row>
    <row r="1854" spans="1:10" ht="12.75" hidden="1" customHeight="1" outlineLevel="2">
      <c r="A1854" s="1830"/>
      <c r="B1854" s="1831"/>
      <c r="C1854" s="777" t="s">
        <v>1761</v>
      </c>
      <c r="D1854" s="776" t="s">
        <v>1762</v>
      </c>
      <c r="E1854" s="774" t="s">
        <v>1763</v>
      </c>
      <c r="F1854" s="774">
        <v>3.0000000000000001E-3</v>
      </c>
      <c r="G1854" s="774">
        <v>5</v>
      </c>
      <c r="H1854" s="774">
        <v>87162.48000000001</v>
      </c>
      <c r="I1854" s="774">
        <v>0</v>
      </c>
      <c r="J1854" s="774">
        <f t="shared" si="55"/>
        <v>274.56181200000003</v>
      </c>
    </row>
    <row r="1855" spans="1:10" ht="12.75" hidden="1" customHeight="1" outlineLevel="2">
      <c r="A1855" s="1830"/>
      <c r="B1855" s="1831"/>
      <c r="C1855" s="777" t="s">
        <v>1764</v>
      </c>
      <c r="D1855" s="776" t="s">
        <v>1765</v>
      </c>
      <c r="E1855" s="774" t="s">
        <v>1492</v>
      </c>
      <c r="F1855" s="774">
        <v>3.0000000000000001E-3</v>
      </c>
      <c r="G1855" s="774">
        <v>5</v>
      </c>
      <c r="H1855" s="774">
        <v>42064.92</v>
      </c>
      <c r="I1855" s="774">
        <v>0</v>
      </c>
      <c r="J1855" s="774">
        <f t="shared" si="55"/>
        <v>132.50449799999998</v>
      </c>
    </row>
    <row r="1856" spans="1:10" ht="12.75" hidden="1" customHeight="1" outlineLevel="2">
      <c r="A1856" s="1830"/>
      <c r="B1856" s="1831"/>
      <c r="C1856" s="777" t="s">
        <v>1817</v>
      </c>
      <c r="D1856" s="776" t="s">
        <v>1818</v>
      </c>
      <c r="E1856" s="774" t="s">
        <v>1492</v>
      </c>
      <c r="F1856" s="774">
        <v>0.25</v>
      </c>
      <c r="G1856" s="774">
        <v>0</v>
      </c>
      <c r="H1856" s="774">
        <v>3789.72</v>
      </c>
      <c r="I1856" s="774">
        <v>0</v>
      </c>
      <c r="J1856" s="774">
        <f t="shared" si="55"/>
        <v>947.43</v>
      </c>
    </row>
    <row r="1857" spans="1:10" ht="12.75" hidden="1" customHeight="1" outlineLevel="2">
      <c r="A1857" s="1830"/>
      <c r="B1857" s="1831"/>
      <c r="C1857" s="777" t="s">
        <v>1510</v>
      </c>
      <c r="D1857" s="776" t="s">
        <v>1511</v>
      </c>
      <c r="E1857" s="774" t="s">
        <v>1482</v>
      </c>
      <c r="F1857" s="774">
        <v>0.16</v>
      </c>
      <c r="G1857" s="774">
        <v>0</v>
      </c>
      <c r="H1857" s="774">
        <v>5527.21</v>
      </c>
      <c r="I1857" s="774">
        <v>0</v>
      </c>
      <c r="J1857" s="774">
        <f t="shared" si="55"/>
        <v>884.35360000000003</v>
      </c>
    </row>
    <row r="1858" spans="1:10" ht="12.75" hidden="1" customHeight="1" outlineLevel="2">
      <c r="A1858" s="1830"/>
      <c r="B1858" s="1831"/>
      <c r="C1858" s="777" t="s">
        <v>1747</v>
      </c>
      <c r="D1858" s="776" t="s">
        <v>1748</v>
      </c>
      <c r="E1858" s="774" t="s">
        <v>1482</v>
      </c>
      <c r="F1858" s="774">
        <v>0.16</v>
      </c>
      <c r="G1858" s="774">
        <v>0</v>
      </c>
      <c r="H1858" s="774">
        <v>7237.76</v>
      </c>
      <c r="I1858" s="774">
        <v>0</v>
      </c>
      <c r="J1858" s="774">
        <f t="shared" si="55"/>
        <v>1158.0416</v>
      </c>
    </row>
    <row r="1859" spans="1:10" ht="12.75" hidden="1" customHeight="1" outlineLevel="2">
      <c r="A1859" s="1830"/>
      <c r="B1859" s="1831"/>
      <c r="C1859" s="777"/>
      <c r="D1859" s="774"/>
      <c r="E1859" s="774"/>
      <c r="F1859" s="774"/>
      <c r="G1859" s="774">
        <v>5</v>
      </c>
      <c r="H1859" s="774" t="s">
        <v>1514</v>
      </c>
      <c r="I1859" s="774"/>
      <c r="J1859" s="774">
        <v>102.12</v>
      </c>
    </row>
    <row r="1860" spans="1:10" ht="12.75" hidden="1" customHeight="1" outlineLevel="2">
      <c r="A1860" s="1830"/>
      <c r="B1860" s="1831"/>
      <c r="C1860" s="1835" t="s">
        <v>1488</v>
      </c>
      <c r="D1860" s="1808"/>
      <c r="E1860" s="784" t="s">
        <v>285</v>
      </c>
      <c r="F1860" s="583">
        <f>'14. Inst. Hidro-Sanitarias'!E122</f>
        <v>5</v>
      </c>
      <c r="G1860" s="784"/>
      <c r="H1860" s="784"/>
      <c r="I1860" s="784">
        <v>0</v>
      </c>
      <c r="J1860" s="774">
        <f>SUM(J1850:J1859)</f>
        <v>50349.253510000002</v>
      </c>
    </row>
    <row r="1861" spans="1:10" ht="12.75" hidden="1" customHeight="1" outlineLevel="1" collapsed="1">
      <c r="A1861" s="1830"/>
      <c r="B1861" s="1831"/>
      <c r="C1861" s="1836" t="s">
        <v>47</v>
      </c>
      <c r="D1861" s="1827"/>
      <c r="E1861" s="1827"/>
      <c r="F1861" s="1827"/>
      <c r="G1861" s="1827"/>
      <c r="H1861" s="1827"/>
      <c r="I1861" s="1827"/>
      <c r="J1861" s="773">
        <f>J1860*F1860</f>
        <v>251746.26755000002</v>
      </c>
    </row>
    <row r="1862" spans="1:10" ht="12.75" hidden="1" customHeight="1" outlineLevel="1">
      <c r="A1862" s="1830" t="s">
        <v>1819</v>
      </c>
      <c r="B1862" s="1831" t="s">
        <v>1203</v>
      </c>
      <c r="C1862" s="1832" t="s">
        <v>1326</v>
      </c>
      <c r="D1862" s="1832"/>
      <c r="E1862" s="1832"/>
      <c r="F1862" s="1832"/>
      <c r="G1862" s="1832"/>
      <c r="H1862" s="1832"/>
      <c r="I1862" s="1832"/>
      <c r="J1862" s="1832"/>
    </row>
    <row r="1863" spans="1:10" ht="12.75" hidden="1" customHeight="1" outlineLevel="2">
      <c r="A1863" s="1830"/>
      <c r="B1863" s="1831"/>
      <c r="C1863" s="777" t="s">
        <v>1809</v>
      </c>
      <c r="D1863" s="776" t="s">
        <v>1810</v>
      </c>
      <c r="E1863" s="774" t="s">
        <v>1492</v>
      </c>
      <c r="F1863" s="774">
        <v>1</v>
      </c>
      <c r="G1863" s="774">
        <v>0</v>
      </c>
      <c r="H1863" s="774">
        <v>7213</v>
      </c>
      <c r="I1863" s="774">
        <v>0</v>
      </c>
      <c r="J1863" s="774">
        <f t="shared" ref="J1863:J1871" si="56">(F1863*(1+G1863/100)) * (H1863*(1+I1863/100))</f>
        <v>7213</v>
      </c>
    </row>
    <row r="1864" spans="1:10" ht="12.75" hidden="1" customHeight="1" outlineLevel="2">
      <c r="A1864" s="1830"/>
      <c r="B1864" s="1831"/>
      <c r="C1864" s="777" t="s">
        <v>1820</v>
      </c>
      <c r="D1864" s="776" t="s">
        <v>1821</v>
      </c>
      <c r="E1864" s="774" t="s">
        <v>1492</v>
      </c>
      <c r="F1864" s="774">
        <v>0.25</v>
      </c>
      <c r="G1864" s="774">
        <v>0</v>
      </c>
      <c r="H1864" s="774">
        <v>11965</v>
      </c>
      <c r="I1864" s="774">
        <v>0</v>
      </c>
      <c r="J1864" s="774">
        <f t="shared" si="56"/>
        <v>2991.25</v>
      </c>
    </row>
    <row r="1865" spans="1:10" ht="12.75" hidden="1" customHeight="1" outlineLevel="2">
      <c r="A1865" s="1830"/>
      <c r="B1865" s="1831"/>
      <c r="C1865" s="777" t="s">
        <v>1822</v>
      </c>
      <c r="D1865" s="776" t="s">
        <v>1823</v>
      </c>
      <c r="E1865" s="774" t="s">
        <v>48</v>
      </c>
      <c r="F1865" s="774">
        <v>1</v>
      </c>
      <c r="G1865" s="774">
        <v>5</v>
      </c>
      <c r="H1865" s="774">
        <v>24964.2</v>
      </c>
      <c r="I1865" s="774">
        <v>0</v>
      </c>
      <c r="J1865" s="774">
        <f t="shared" si="56"/>
        <v>26212.410000000003</v>
      </c>
    </row>
    <row r="1866" spans="1:10" ht="12.75" hidden="1" customHeight="1" outlineLevel="2">
      <c r="A1866" s="1830"/>
      <c r="B1866" s="1831"/>
      <c r="C1866" s="777" t="s">
        <v>1824</v>
      </c>
      <c r="D1866" s="776" t="s">
        <v>1825</v>
      </c>
      <c r="E1866" s="774" t="s">
        <v>1492</v>
      </c>
      <c r="F1866" s="774">
        <v>1</v>
      </c>
      <c r="G1866" s="774">
        <v>0</v>
      </c>
      <c r="H1866" s="774">
        <v>31217.4</v>
      </c>
      <c r="I1866" s="774">
        <v>0</v>
      </c>
      <c r="J1866" s="774">
        <f t="shared" si="56"/>
        <v>31217.4</v>
      </c>
    </row>
    <row r="1867" spans="1:10" ht="12.75" hidden="1" customHeight="1" outlineLevel="2">
      <c r="A1867" s="1830"/>
      <c r="B1867" s="1831"/>
      <c r="C1867" s="777" t="s">
        <v>1826</v>
      </c>
      <c r="D1867" s="776" t="s">
        <v>1827</v>
      </c>
      <c r="E1867" s="774" t="s">
        <v>1492</v>
      </c>
      <c r="F1867" s="774">
        <v>1</v>
      </c>
      <c r="G1867" s="774">
        <v>0</v>
      </c>
      <c r="H1867" s="774">
        <v>29666.52</v>
      </c>
      <c r="I1867" s="774">
        <v>0</v>
      </c>
      <c r="J1867" s="774">
        <f t="shared" si="56"/>
        <v>29666.52</v>
      </c>
    </row>
    <row r="1868" spans="1:10" ht="12.75" hidden="1" customHeight="1" outlineLevel="2">
      <c r="A1868" s="1830"/>
      <c r="B1868" s="1831"/>
      <c r="C1868" s="777" t="s">
        <v>1761</v>
      </c>
      <c r="D1868" s="776" t="s">
        <v>1762</v>
      </c>
      <c r="E1868" s="774" t="s">
        <v>1763</v>
      </c>
      <c r="F1868" s="774">
        <v>3.0000000000000001E-3</v>
      </c>
      <c r="G1868" s="774">
        <v>5</v>
      </c>
      <c r="H1868" s="774">
        <v>87162.48000000001</v>
      </c>
      <c r="I1868" s="774">
        <v>0</v>
      </c>
      <c r="J1868" s="774">
        <f t="shared" si="56"/>
        <v>274.56181200000003</v>
      </c>
    </row>
    <row r="1869" spans="1:10" ht="12.75" hidden="1" customHeight="1" outlineLevel="2">
      <c r="A1869" s="1830"/>
      <c r="B1869" s="1831"/>
      <c r="C1869" s="777" t="s">
        <v>1764</v>
      </c>
      <c r="D1869" s="776" t="s">
        <v>1765</v>
      </c>
      <c r="E1869" s="774" t="s">
        <v>1492</v>
      </c>
      <c r="F1869" s="774">
        <v>3.0000000000000001E-3</v>
      </c>
      <c r="G1869" s="774">
        <v>5</v>
      </c>
      <c r="H1869" s="774">
        <v>42064.92</v>
      </c>
      <c r="I1869" s="774">
        <v>0</v>
      </c>
      <c r="J1869" s="774">
        <f t="shared" si="56"/>
        <v>132.50449799999998</v>
      </c>
    </row>
    <row r="1870" spans="1:10" ht="12.75" hidden="1" customHeight="1" outlineLevel="2">
      <c r="A1870" s="1830"/>
      <c r="B1870" s="1831"/>
      <c r="C1870" s="777" t="s">
        <v>1510</v>
      </c>
      <c r="D1870" s="776" t="s">
        <v>1511</v>
      </c>
      <c r="E1870" s="774" t="s">
        <v>1482</v>
      </c>
      <c r="F1870" s="774">
        <v>0.18</v>
      </c>
      <c r="G1870" s="774">
        <v>0</v>
      </c>
      <c r="H1870" s="774">
        <v>5527.21</v>
      </c>
      <c r="I1870" s="774">
        <v>0</v>
      </c>
      <c r="J1870" s="774">
        <f t="shared" si="56"/>
        <v>994.89779999999996</v>
      </c>
    </row>
    <row r="1871" spans="1:10" ht="12.75" hidden="1" customHeight="1" outlineLevel="2">
      <c r="A1871" s="1830"/>
      <c r="B1871" s="1831"/>
      <c r="C1871" s="777" t="s">
        <v>1747</v>
      </c>
      <c r="D1871" s="776" t="s">
        <v>1748</v>
      </c>
      <c r="E1871" s="774" t="s">
        <v>1482</v>
      </c>
      <c r="F1871" s="774">
        <v>0.18</v>
      </c>
      <c r="G1871" s="774">
        <v>0</v>
      </c>
      <c r="H1871" s="774">
        <v>7237.76</v>
      </c>
      <c r="I1871" s="774">
        <v>0</v>
      </c>
      <c r="J1871" s="774">
        <f t="shared" si="56"/>
        <v>1302.7968000000001</v>
      </c>
    </row>
    <row r="1872" spans="1:10" ht="12.75" hidden="1" customHeight="1" outlineLevel="2">
      <c r="A1872" s="1830"/>
      <c r="B1872" s="1831"/>
      <c r="C1872" s="777"/>
      <c r="D1872" s="774"/>
      <c r="E1872" s="774"/>
      <c r="F1872" s="774"/>
      <c r="G1872" s="774">
        <v>5</v>
      </c>
      <c r="H1872" s="774" t="s">
        <v>1514</v>
      </c>
      <c r="I1872" s="774"/>
      <c r="J1872" s="774">
        <v>114.88</v>
      </c>
    </row>
    <row r="1873" spans="1:10" ht="12.75" hidden="1" customHeight="1" outlineLevel="2">
      <c r="A1873" s="1830"/>
      <c r="B1873" s="1831"/>
      <c r="C1873" s="1835" t="s">
        <v>1488</v>
      </c>
      <c r="D1873" s="1808"/>
      <c r="E1873" s="784" t="s">
        <v>285</v>
      </c>
      <c r="F1873" s="583">
        <f>'14. Inst. Hidro-Sanitarias'!E123</f>
        <v>3</v>
      </c>
      <c r="G1873" s="784"/>
      <c r="H1873" s="784"/>
      <c r="I1873" s="784">
        <v>0</v>
      </c>
      <c r="J1873" s="774">
        <f>SUM(J1863:J1872)</f>
        <v>100120.22091</v>
      </c>
    </row>
    <row r="1874" spans="1:10" ht="12.75" hidden="1" customHeight="1" outlineLevel="1" collapsed="1">
      <c r="A1874" s="1830"/>
      <c r="B1874" s="1831"/>
      <c r="C1874" s="1836" t="s">
        <v>47</v>
      </c>
      <c r="D1874" s="1827"/>
      <c r="E1874" s="1827"/>
      <c r="F1874" s="1827"/>
      <c r="G1874" s="1827"/>
      <c r="H1874" s="1827"/>
      <c r="I1874" s="1827"/>
      <c r="J1874" s="773">
        <f>J1873*F1873</f>
        <v>300360.66272999998</v>
      </c>
    </row>
    <row r="1875" spans="1:10" ht="12.75" hidden="1" customHeight="1" outlineLevel="1">
      <c r="A1875" s="1830" t="s">
        <v>1828</v>
      </c>
      <c r="B1875" s="1831" t="s">
        <v>1204</v>
      </c>
      <c r="C1875" s="1832" t="s">
        <v>1327</v>
      </c>
      <c r="D1875" s="1832"/>
      <c r="E1875" s="1832"/>
      <c r="F1875" s="1832"/>
      <c r="G1875" s="1832"/>
      <c r="H1875" s="1832"/>
      <c r="I1875" s="1832"/>
      <c r="J1875" s="1832"/>
    </row>
    <row r="1876" spans="1:10" ht="12.75" hidden="1" customHeight="1" outlineLevel="2">
      <c r="A1876" s="1830"/>
      <c r="B1876" s="1831"/>
      <c r="C1876" s="777" t="s">
        <v>1809</v>
      </c>
      <c r="D1876" s="776" t="s">
        <v>1810</v>
      </c>
      <c r="E1876" s="774" t="s">
        <v>1492</v>
      </c>
      <c r="F1876" s="774">
        <v>1</v>
      </c>
      <c r="G1876" s="774">
        <v>0</v>
      </c>
      <c r="H1876" s="774">
        <v>7213</v>
      </c>
      <c r="I1876" s="774">
        <v>0</v>
      </c>
      <c r="J1876" s="774">
        <f t="shared" ref="J1876:J1884" si="57">(F1876*(1+G1876/100)) * (H1876*(1+I1876/100))</f>
        <v>7213</v>
      </c>
    </row>
    <row r="1877" spans="1:10" ht="12.75" hidden="1" customHeight="1" outlineLevel="2">
      <c r="A1877" s="1830"/>
      <c r="B1877" s="1831"/>
      <c r="C1877" s="777" t="s">
        <v>1829</v>
      </c>
      <c r="D1877" s="776" t="s">
        <v>1830</v>
      </c>
      <c r="E1877" s="774" t="s">
        <v>1492</v>
      </c>
      <c r="F1877" s="774">
        <v>0.2</v>
      </c>
      <c r="G1877" s="774">
        <v>0</v>
      </c>
      <c r="H1877" s="774">
        <v>14828</v>
      </c>
      <c r="I1877" s="774">
        <v>0</v>
      </c>
      <c r="J1877" s="774">
        <f t="shared" si="57"/>
        <v>2965.6000000000004</v>
      </c>
    </row>
    <row r="1878" spans="1:10" ht="12.75" hidden="1" customHeight="1" outlineLevel="2">
      <c r="A1878" s="1830"/>
      <c r="B1878" s="1831"/>
      <c r="C1878" s="777" t="s">
        <v>1831</v>
      </c>
      <c r="D1878" s="776" t="s">
        <v>1832</v>
      </c>
      <c r="E1878" s="774" t="s">
        <v>48</v>
      </c>
      <c r="F1878" s="774">
        <v>1</v>
      </c>
      <c r="G1878" s="774">
        <v>5</v>
      </c>
      <c r="H1878" s="774">
        <v>33330.959999999999</v>
      </c>
      <c r="I1878" s="774">
        <v>0</v>
      </c>
      <c r="J1878" s="774">
        <f t="shared" si="57"/>
        <v>34997.508000000002</v>
      </c>
    </row>
    <row r="1879" spans="1:10" ht="12.75" hidden="1" customHeight="1" outlineLevel="2">
      <c r="A1879" s="1830"/>
      <c r="B1879" s="1831"/>
      <c r="C1879" s="777" t="s">
        <v>1833</v>
      </c>
      <c r="D1879" s="776" t="s">
        <v>1834</v>
      </c>
      <c r="E1879" s="774" t="s">
        <v>1492</v>
      </c>
      <c r="F1879" s="774">
        <v>0.25</v>
      </c>
      <c r="G1879" s="774">
        <v>0</v>
      </c>
      <c r="H1879" s="774">
        <v>38392.92</v>
      </c>
      <c r="I1879" s="774">
        <v>0</v>
      </c>
      <c r="J1879" s="774">
        <f t="shared" si="57"/>
        <v>9598.23</v>
      </c>
    </row>
    <row r="1880" spans="1:10" ht="12.75" hidden="1" customHeight="1" outlineLevel="2">
      <c r="A1880" s="1830"/>
      <c r="B1880" s="1831"/>
      <c r="C1880" s="777" t="s">
        <v>1835</v>
      </c>
      <c r="D1880" s="776" t="s">
        <v>1836</v>
      </c>
      <c r="E1880" s="774" t="s">
        <v>1492</v>
      </c>
      <c r="F1880" s="774">
        <v>0.25</v>
      </c>
      <c r="G1880" s="774">
        <v>0</v>
      </c>
      <c r="H1880" s="774">
        <v>49657.32</v>
      </c>
      <c r="I1880" s="774">
        <v>0</v>
      </c>
      <c r="J1880" s="774">
        <f t="shared" si="57"/>
        <v>12414.33</v>
      </c>
    </row>
    <row r="1881" spans="1:10" ht="12.75" hidden="1" customHeight="1" outlineLevel="2">
      <c r="A1881" s="1830"/>
      <c r="B1881" s="1831"/>
      <c r="C1881" s="777" t="s">
        <v>1761</v>
      </c>
      <c r="D1881" s="776" t="s">
        <v>1762</v>
      </c>
      <c r="E1881" s="774" t="s">
        <v>1763</v>
      </c>
      <c r="F1881" s="774">
        <v>3.0000000000000001E-3</v>
      </c>
      <c r="G1881" s="774">
        <v>5</v>
      </c>
      <c r="H1881" s="774">
        <v>87162.48000000001</v>
      </c>
      <c r="I1881" s="774">
        <v>0</v>
      </c>
      <c r="J1881" s="774">
        <f t="shared" si="57"/>
        <v>274.56181200000003</v>
      </c>
    </row>
    <row r="1882" spans="1:10" ht="12.75" hidden="1" customHeight="1" outlineLevel="2">
      <c r="A1882" s="1830"/>
      <c r="B1882" s="1831"/>
      <c r="C1882" s="777" t="s">
        <v>1764</v>
      </c>
      <c r="D1882" s="776" t="s">
        <v>1765</v>
      </c>
      <c r="E1882" s="774" t="s">
        <v>1492</v>
      </c>
      <c r="F1882" s="774">
        <v>3.0000000000000001E-3</v>
      </c>
      <c r="G1882" s="774">
        <v>5</v>
      </c>
      <c r="H1882" s="774">
        <v>42064.92</v>
      </c>
      <c r="I1882" s="774">
        <v>0</v>
      </c>
      <c r="J1882" s="774">
        <f t="shared" si="57"/>
        <v>132.50449799999998</v>
      </c>
    </row>
    <row r="1883" spans="1:10" ht="12.75" hidden="1" customHeight="1" outlineLevel="2">
      <c r="A1883" s="1830"/>
      <c r="B1883" s="1831"/>
      <c r="C1883" s="777" t="s">
        <v>1510</v>
      </c>
      <c r="D1883" s="776" t="s">
        <v>1511</v>
      </c>
      <c r="E1883" s="774" t="s">
        <v>1482</v>
      </c>
      <c r="F1883" s="774">
        <v>0.2</v>
      </c>
      <c r="G1883" s="774">
        <v>0</v>
      </c>
      <c r="H1883" s="774">
        <v>5527.21</v>
      </c>
      <c r="I1883" s="774">
        <v>0</v>
      </c>
      <c r="J1883" s="774">
        <f t="shared" si="57"/>
        <v>1105.442</v>
      </c>
    </row>
    <row r="1884" spans="1:10" ht="12.75" hidden="1" customHeight="1" outlineLevel="2">
      <c r="A1884" s="1830"/>
      <c r="B1884" s="1831"/>
      <c r="C1884" s="777" t="s">
        <v>1747</v>
      </c>
      <c r="D1884" s="776" t="s">
        <v>1748</v>
      </c>
      <c r="E1884" s="774" t="s">
        <v>1482</v>
      </c>
      <c r="F1884" s="774">
        <v>0.2</v>
      </c>
      <c r="G1884" s="774">
        <v>0</v>
      </c>
      <c r="H1884" s="774">
        <v>7237.76</v>
      </c>
      <c r="I1884" s="774">
        <v>0</v>
      </c>
      <c r="J1884" s="774">
        <f t="shared" si="57"/>
        <v>1447.5520000000001</v>
      </c>
    </row>
    <row r="1885" spans="1:10" ht="12.75" hidden="1" customHeight="1" outlineLevel="2">
      <c r="A1885" s="1830"/>
      <c r="B1885" s="1831"/>
      <c r="C1885" s="777"/>
      <c r="D1885" s="774"/>
      <c r="E1885" s="774"/>
      <c r="F1885" s="774"/>
      <c r="G1885" s="774">
        <v>5</v>
      </c>
      <c r="H1885" s="774" t="s">
        <v>1514</v>
      </c>
      <c r="I1885" s="774"/>
      <c r="J1885" s="774">
        <v>127.65</v>
      </c>
    </row>
    <row r="1886" spans="1:10" ht="12.75" hidden="1" customHeight="1" outlineLevel="2">
      <c r="A1886" s="1830"/>
      <c r="B1886" s="1831"/>
      <c r="C1886" s="1835" t="s">
        <v>1488</v>
      </c>
      <c r="D1886" s="1808"/>
      <c r="E1886" s="784" t="s">
        <v>285</v>
      </c>
      <c r="F1886" s="583">
        <f>'14. Inst. Hidro-Sanitarias'!E124</f>
        <v>1</v>
      </c>
      <c r="G1886" s="784"/>
      <c r="H1886" s="784"/>
      <c r="I1886" s="784">
        <v>0</v>
      </c>
      <c r="J1886" s="774">
        <f>SUM(J1876:J1885)</f>
        <v>70276.378309999986</v>
      </c>
    </row>
    <row r="1887" spans="1:10" ht="12.75" hidden="1" customHeight="1" outlineLevel="1" collapsed="1">
      <c r="A1887" s="1830"/>
      <c r="B1887" s="1831"/>
      <c r="C1887" s="1836" t="s">
        <v>47</v>
      </c>
      <c r="D1887" s="1827"/>
      <c r="E1887" s="1827"/>
      <c r="F1887" s="1827"/>
      <c r="G1887" s="1827"/>
      <c r="H1887" s="1827"/>
      <c r="I1887" s="1827"/>
      <c r="J1887" s="773">
        <f>J1886*F1886</f>
        <v>70276.378309999986</v>
      </c>
    </row>
    <row r="1888" spans="1:10" ht="12.75" hidden="1" customHeight="1" outlineLevel="1">
      <c r="A1888" s="1830" t="s">
        <v>1837</v>
      </c>
      <c r="B1888" s="1831" t="s">
        <v>1205</v>
      </c>
      <c r="C1888" s="1832" t="s">
        <v>1328</v>
      </c>
      <c r="D1888" s="1832"/>
      <c r="E1888" s="1832"/>
      <c r="F1888" s="1832"/>
      <c r="G1888" s="1832"/>
      <c r="H1888" s="1832"/>
      <c r="I1888" s="1832"/>
      <c r="J1888" s="1832"/>
    </row>
    <row r="1889" spans="1:11" ht="12.75" hidden="1" customHeight="1" outlineLevel="2">
      <c r="A1889" s="1830"/>
      <c r="B1889" s="1831"/>
      <c r="C1889" s="777" t="s">
        <v>1809</v>
      </c>
      <c r="D1889" s="776" t="s">
        <v>1810</v>
      </c>
      <c r="E1889" s="774" t="s">
        <v>1492</v>
      </c>
      <c r="F1889" s="774">
        <v>1</v>
      </c>
      <c r="G1889" s="774">
        <v>0</v>
      </c>
      <c r="H1889" s="774">
        <v>7213</v>
      </c>
      <c r="I1889" s="774">
        <v>0</v>
      </c>
      <c r="J1889" s="774">
        <f t="shared" ref="J1889:J1897" si="58">(F1889*(1+G1889/100)) * (H1889*(1+I1889/100))</f>
        <v>7213</v>
      </c>
    </row>
    <row r="1890" spans="1:11" ht="12.75" hidden="1" customHeight="1" outlineLevel="2">
      <c r="A1890" s="1830"/>
      <c r="B1890" s="1831"/>
      <c r="C1890" s="777" t="s">
        <v>1838</v>
      </c>
      <c r="D1890" s="776" t="s">
        <v>1839</v>
      </c>
      <c r="E1890" s="774" t="s">
        <v>1492</v>
      </c>
      <c r="F1890" s="774">
        <v>0.2</v>
      </c>
      <c r="G1890" s="774">
        <v>0</v>
      </c>
      <c r="H1890" s="774">
        <v>32200</v>
      </c>
      <c r="I1890" s="774">
        <v>0</v>
      </c>
      <c r="J1890" s="774">
        <f t="shared" si="58"/>
        <v>6440</v>
      </c>
    </row>
    <row r="1891" spans="1:11" ht="12.75" hidden="1" customHeight="1" outlineLevel="2">
      <c r="A1891" s="1830"/>
      <c r="B1891" s="1831"/>
      <c r="C1891" s="777" t="s">
        <v>1840</v>
      </c>
      <c r="D1891" s="776" t="s">
        <v>1841</v>
      </c>
      <c r="E1891" s="774" t="s">
        <v>48</v>
      </c>
      <c r="F1891" s="774">
        <v>1</v>
      </c>
      <c r="G1891" s="774">
        <v>5</v>
      </c>
      <c r="H1891" s="774">
        <v>56847.96</v>
      </c>
      <c r="I1891" s="774">
        <v>0</v>
      </c>
      <c r="J1891" s="774">
        <f t="shared" si="58"/>
        <v>59690.358</v>
      </c>
    </row>
    <row r="1892" spans="1:11" ht="12.75" hidden="1" customHeight="1" outlineLevel="2">
      <c r="A1892" s="1830"/>
      <c r="B1892" s="1831"/>
      <c r="C1892" s="777" t="s">
        <v>1842</v>
      </c>
      <c r="D1892" s="776" t="s">
        <v>1843</v>
      </c>
      <c r="E1892" s="774" t="s">
        <v>1492</v>
      </c>
      <c r="F1892" s="774">
        <v>0.25</v>
      </c>
      <c r="G1892" s="774">
        <v>0</v>
      </c>
      <c r="H1892" s="774">
        <v>83282.040000000008</v>
      </c>
      <c r="I1892" s="774">
        <v>0</v>
      </c>
      <c r="J1892" s="774">
        <f t="shared" si="58"/>
        <v>20820.510000000002</v>
      </c>
    </row>
    <row r="1893" spans="1:11" ht="12.75" hidden="1" customHeight="1" outlineLevel="2">
      <c r="A1893" s="1830"/>
      <c r="B1893" s="1831"/>
      <c r="C1893" s="777" t="s">
        <v>1844</v>
      </c>
      <c r="D1893" s="776" t="s">
        <v>1845</v>
      </c>
      <c r="E1893" s="774" t="s">
        <v>1492</v>
      </c>
      <c r="F1893" s="774">
        <v>0.25</v>
      </c>
      <c r="G1893" s="774">
        <v>0</v>
      </c>
      <c r="H1893" s="774">
        <v>108360.72</v>
      </c>
      <c r="I1893" s="774">
        <v>0</v>
      </c>
      <c r="J1893" s="774">
        <f t="shared" si="58"/>
        <v>27090.18</v>
      </c>
    </row>
    <row r="1894" spans="1:11" ht="12.75" hidden="1" customHeight="1" outlineLevel="2">
      <c r="A1894" s="1830"/>
      <c r="B1894" s="1831"/>
      <c r="C1894" s="777" t="s">
        <v>1761</v>
      </c>
      <c r="D1894" s="776" t="s">
        <v>1762</v>
      </c>
      <c r="E1894" s="774" t="s">
        <v>1763</v>
      </c>
      <c r="F1894" s="774">
        <v>6.0000000000000001E-3</v>
      </c>
      <c r="G1894" s="774">
        <v>5</v>
      </c>
      <c r="H1894" s="774">
        <v>87162.48000000001</v>
      </c>
      <c r="I1894" s="774">
        <v>0</v>
      </c>
      <c r="J1894" s="774">
        <f t="shared" si="58"/>
        <v>549.12362400000006</v>
      </c>
    </row>
    <row r="1895" spans="1:11" ht="12.75" hidden="1" customHeight="1" outlineLevel="2">
      <c r="A1895" s="1830"/>
      <c r="B1895" s="1831"/>
      <c r="C1895" s="777" t="s">
        <v>1764</v>
      </c>
      <c r="D1895" s="776" t="s">
        <v>1765</v>
      </c>
      <c r="E1895" s="774" t="s">
        <v>1492</v>
      </c>
      <c r="F1895" s="774">
        <v>6.0000000000000001E-3</v>
      </c>
      <c r="G1895" s="774">
        <v>5</v>
      </c>
      <c r="H1895" s="774">
        <v>42064.92</v>
      </c>
      <c r="I1895" s="774">
        <v>0</v>
      </c>
      <c r="J1895" s="774">
        <f t="shared" si="58"/>
        <v>265.00899599999997</v>
      </c>
    </row>
    <row r="1896" spans="1:11" ht="12.75" hidden="1" customHeight="1" outlineLevel="2">
      <c r="A1896" s="1830"/>
      <c r="B1896" s="1831"/>
      <c r="C1896" s="777" t="s">
        <v>1510</v>
      </c>
      <c r="D1896" s="776" t="s">
        <v>1511</v>
      </c>
      <c r="E1896" s="774" t="s">
        <v>1482</v>
      </c>
      <c r="F1896" s="774">
        <v>0.22000000000000003</v>
      </c>
      <c r="G1896" s="774">
        <v>0</v>
      </c>
      <c r="H1896" s="774">
        <v>5527.21</v>
      </c>
      <c r="I1896" s="774">
        <v>0</v>
      </c>
      <c r="J1896" s="774">
        <f t="shared" si="58"/>
        <v>1215.9862000000003</v>
      </c>
      <c r="K1896" s="778">
        <f>SUM(J1896:J1897)</f>
        <v>2808.2934000000005</v>
      </c>
    </row>
    <row r="1897" spans="1:11" ht="12.75" hidden="1" customHeight="1" outlineLevel="2">
      <c r="A1897" s="1830"/>
      <c r="B1897" s="1831"/>
      <c r="C1897" s="777" t="s">
        <v>1747</v>
      </c>
      <c r="D1897" s="776" t="s">
        <v>1748</v>
      </c>
      <c r="E1897" s="774" t="s">
        <v>1482</v>
      </c>
      <c r="F1897" s="774">
        <v>0.22000000000000003</v>
      </c>
      <c r="G1897" s="774">
        <v>0</v>
      </c>
      <c r="H1897" s="774">
        <v>7237.76</v>
      </c>
      <c r="I1897" s="774">
        <v>0</v>
      </c>
      <c r="J1897" s="774">
        <f t="shared" si="58"/>
        <v>1592.3072000000002</v>
      </c>
      <c r="K1897" s="778">
        <f>0.05*K1896</f>
        <v>140.41467000000003</v>
      </c>
    </row>
    <row r="1898" spans="1:11" ht="12.75" hidden="1" customHeight="1" outlineLevel="2">
      <c r="A1898" s="1830"/>
      <c r="B1898" s="1831"/>
      <c r="C1898" s="777"/>
      <c r="D1898" s="774"/>
      <c r="E1898" s="774"/>
      <c r="F1898" s="774"/>
      <c r="G1898" s="774">
        <v>5</v>
      </c>
      <c r="H1898" s="774" t="s">
        <v>1514</v>
      </c>
      <c r="I1898" s="774"/>
      <c r="J1898" s="774">
        <v>140.41</v>
      </c>
    </row>
    <row r="1899" spans="1:11" ht="12.75" hidden="1" customHeight="1" outlineLevel="2">
      <c r="A1899" s="1830"/>
      <c r="B1899" s="1831"/>
      <c r="C1899" s="1835" t="s">
        <v>1488</v>
      </c>
      <c r="D1899" s="1808"/>
      <c r="E1899" s="784" t="s">
        <v>285</v>
      </c>
      <c r="F1899" s="583">
        <f>'14. Inst. Hidro-Sanitarias'!E125</f>
        <v>2</v>
      </c>
      <c r="G1899" s="784"/>
      <c r="H1899" s="784"/>
      <c r="I1899" s="784">
        <v>0</v>
      </c>
      <c r="J1899" s="774">
        <f>SUM(J1889:J1898)</f>
        <v>125016.88402000001</v>
      </c>
    </row>
    <row r="1900" spans="1:11" ht="12.75" hidden="1" customHeight="1" outlineLevel="1" collapsed="1">
      <c r="A1900" s="1838"/>
      <c r="B1900" s="1855"/>
      <c r="C1900" s="1836" t="s">
        <v>47</v>
      </c>
      <c r="D1900" s="1827"/>
      <c r="E1900" s="1827"/>
      <c r="F1900" s="1827"/>
      <c r="G1900" s="1827"/>
      <c r="H1900" s="1827"/>
      <c r="I1900" s="1827"/>
      <c r="J1900" s="773">
        <f>J1899*F1899</f>
        <v>250033.76804000002</v>
      </c>
      <c r="K1900" s="809"/>
    </row>
    <row r="1901" spans="1:11" ht="12.75" hidden="1" customHeight="1" outlineLevel="1">
      <c r="A1901" s="1861" t="s">
        <v>1533</v>
      </c>
      <c r="B1901" s="1831" t="s">
        <v>1206</v>
      </c>
      <c r="C1901" s="1832" t="s">
        <v>1329</v>
      </c>
      <c r="D1901" s="1832"/>
      <c r="E1901" s="1832"/>
      <c r="F1901" s="1832"/>
      <c r="G1901" s="1832"/>
      <c r="H1901" s="1832"/>
      <c r="I1901" s="1832"/>
      <c r="J1901" s="1832"/>
    </row>
    <row r="1902" spans="1:11" ht="12.75" hidden="1" customHeight="1" outlineLevel="2">
      <c r="A1902" s="1861"/>
      <c r="B1902" s="1831"/>
      <c r="C1902" s="1833" t="s">
        <v>1870</v>
      </c>
      <c r="D1902" s="1834"/>
      <c r="E1902" s="774" t="s">
        <v>1871</v>
      </c>
      <c r="F1902" s="774">
        <v>1</v>
      </c>
      <c r="G1902" s="774"/>
      <c r="H1902" s="774">
        <v>460537.31</v>
      </c>
      <c r="I1902" s="774"/>
      <c r="J1902" s="774">
        <v>649900</v>
      </c>
    </row>
    <row r="1903" spans="1:11" ht="12.75" hidden="1" customHeight="1" outlineLevel="2">
      <c r="A1903" s="1861"/>
      <c r="B1903" s="1831"/>
      <c r="C1903" s="1833" t="s">
        <v>1872</v>
      </c>
      <c r="D1903" s="1834"/>
      <c r="E1903" s="774" t="s">
        <v>1871</v>
      </c>
      <c r="F1903" s="774">
        <v>2</v>
      </c>
      <c r="G1903" s="774"/>
      <c r="H1903" s="774">
        <v>22734.07</v>
      </c>
      <c r="I1903" s="774"/>
      <c r="J1903" s="774">
        <v>45468.14</v>
      </c>
    </row>
    <row r="1904" spans="1:11" ht="12.75" hidden="1" customHeight="1" outlineLevel="2">
      <c r="A1904" s="1861"/>
      <c r="B1904" s="1831"/>
      <c r="C1904" s="1833" t="s">
        <v>1873</v>
      </c>
      <c r="D1904" s="1834"/>
      <c r="E1904" s="774" t="s">
        <v>1871</v>
      </c>
      <c r="F1904" s="774">
        <v>1</v>
      </c>
      <c r="G1904" s="774"/>
      <c r="H1904" s="774">
        <v>12008.37</v>
      </c>
      <c r="I1904" s="774"/>
      <c r="J1904" s="774">
        <v>12008.37</v>
      </c>
    </row>
    <row r="1905" spans="1:10" ht="12.75" hidden="1" customHeight="1" outlineLevel="2">
      <c r="A1905" s="1861"/>
      <c r="B1905" s="1831"/>
      <c r="C1905" s="1833" t="s">
        <v>1874</v>
      </c>
      <c r="D1905" s="1834"/>
      <c r="E1905" s="774" t="s">
        <v>1871</v>
      </c>
      <c r="F1905" s="774">
        <v>1</v>
      </c>
      <c r="G1905" s="774"/>
      <c r="H1905" s="774">
        <v>38474.78</v>
      </c>
      <c r="I1905" s="774"/>
      <c r="J1905" s="774">
        <v>38474.78</v>
      </c>
    </row>
    <row r="1906" spans="1:10" ht="12.75" hidden="1" customHeight="1" outlineLevel="2">
      <c r="A1906" s="1861"/>
      <c r="B1906" s="1831"/>
      <c r="C1906" s="1833" t="s">
        <v>1875</v>
      </c>
      <c r="D1906" s="1834"/>
      <c r="E1906" s="774" t="s">
        <v>1871</v>
      </c>
      <c r="F1906" s="774">
        <v>1</v>
      </c>
      <c r="G1906" s="774"/>
      <c r="H1906" s="774">
        <v>3245.51</v>
      </c>
      <c r="I1906" s="774"/>
      <c r="J1906" s="774">
        <v>3245.51</v>
      </c>
    </row>
    <row r="1907" spans="1:10" ht="12.75" hidden="1" customHeight="1" outlineLevel="2">
      <c r="A1907" s="1861"/>
      <c r="B1907" s="1831"/>
      <c r="C1907" s="1833" t="s">
        <v>1876</v>
      </c>
      <c r="D1907" s="1834"/>
      <c r="E1907" s="774" t="s">
        <v>1482</v>
      </c>
      <c r="F1907" s="774">
        <v>4.1120000000000001</v>
      </c>
      <c r="G1907" s="774"/>
      <c r="H1907" s="774">
        <v>11654.21</v>
      </c>
      <c r="I1907" s="774"/>
      <c r="J1907" s="774">
        <v>47922.111519999999</v>
      </c>
    </row>
    <row r="1908" spans="1:10" ht="12.75" hidden="1" customHeight="1" outlineLevel="2">
      <c r="A1908" s="1861"/>
      <c r="B1908" s="1831"/>
      <c r="C1908" s="1833" t="s">
        <v>1877</v>
      </c>
      <c r="D1908" s="1834"/>
      <c r="E1908" s="774" t="s">
        <v>1482</v>
      </c>
      <c r="F1908" s="774">
        <v>2.056</v>
      </c>
      <c r="G1908" s="774"/>
      <c r="H1908" s="774">
        <v>7644.3</v>
      </c>
      <c r="I1908" s="774"/>
      <c r="J1908" s="774">
        <v>15716.6808</v>
      </c>
    </row>
    <row r="1909" spans="1:10" ht="12.75" hidden="1" customHeight="1" outlineLevel="2">
      <c r="A1909" s="1861"/>
      <c r="B1909" s="1831"/>
      <c r="C1909" s="777"/>
      <c r="D1909" s="774"/>
      <c r="E1909" s="774"/>
      <c r="F1909" s="774"/>
      <c r="G1909" s="774">
        <v>5</v>
      </c>
      <c r="H1909" s="774" t="s">
        <v>1514</v>
      </c>
      <c r="I1909" s="774"/>
      <c r="J1909" s="774">
        <f>(J1907+J1908)*0.05</f>
        <v>3181.9396160000001</v>
      </c>
    </row>
    <row r="1910" spans="1:10" ht="12.75" hidden="1" customHeight="1" outlineLevel="2">
      <c r="A1910" s="1861"/>
      <c r="B1910" s="1831"/>
      <c r="C1910" s="1835" t="s">
        <v>1488</v>
      </c>
      <c r="D1910" s="1808"/>
      <c r="E1910" s="799" t="s">
        <v>285</v>
      </c>
      <c r="F1910" s="583">
        <f>'14. Inst. Hidro-Sanitarias'!I43</f>
        <v>3</v>
      </c>
      <c r="G1910" s="799"/>
      <c r="H1910" s="799"/>
      <c r="I1910" s="799">
        <v>0</v>
      </c>
      <c r="J1910" s="774">
        <f>SUM(J1900:J1909)</f>
        <v>1065951.2999760001</v>
      </c>
    </row>
    <row r="1911" spans="1:10" ht="12.75" hidden="1" customHeight="1" outlineLevel="1" collapsed="1">
      <c r="A1911" s="1861"/>
      <c r="B1911" s="1831"/>
      <c r="C1911" s="1836" t="s">
        <v>47</v>
      </c>
      <c r="D1911" s="1827"/>
      <c r="E1911" s="1827"/>
      <c r="F1911" s="1827"/>
      <c r="G1911" s="1827"/>
      <c r="H1911" s="1827"/>
      <c r="I1911" s="1827"/>
      <c r="J1911" s="773">
        <f>J1910*F1910</f>
        <v>3197853.8999280003</v>
      </c>
    </row>
    <row r="1912" spans="1:10" ht="12.75" hidden="1" customHeight="1" outlineLevel="1">
      <c r="A1912" s="1861" t="s">
        <v>1533</v>
      </c>
      <c r="B1912" s="1831" t="s">
        <v>1207</v>
      </c>
      <c r="C1912" s="1888" t="s">
        <v>1330</v>
      </c>
      <c r="D1912" s="1888"/>
      <c r="E1912" s="1888"/>
      <c r="F1912" s="1888"/>
      <c r="G1912" s="1888"/>
      <c r="H1912" s="1888"/>
      <c r="I1912" s="1888"/>
      <c r="J1912" s="1888"/>
    </row>
    <row r="1913" spans="1:10" ht="12.75" hidden="1" customHeight="1" outlineLevel="2">
      <c r="A1913" s="1861"/>
      <c r="B1913" s="1831"/>
      <c r="C1913" s="1833" t="s">
        <v>1870</v>
      </c>
      <c r="D1913" s="1834"/>
      <c r="E1913" s="774" t="s">
        <v>1871</v>
      </c>
      <c r="F1913" s="774">
        <v>1</v>
      </c>
      <c r="G1913" s="774"/>
      <c r="H1913" s="774">
        <v>460537.31</v>
      </c>
      <c r="I1913" s="774"/>
      <c r="J1913" s="774">
        <v>578600</v>
      </c>
    </row>
    <row r="1914" spans="1:10" ht="12.75" hidden="1" customHeight="1" outlineLevel="2">
      <c r="A1914" s="1861"/>
      <c r="B1914" s="1831"/>
      <c r="C1914" s="1833" t="s">
        <v>1872</v>
      </c>
      <c r="D1914" s="1834"/>
      <c r="E1914" s="774" t="s">
        <v>1871</v>
      </c>
      <c r="F1914" s="774">
        <v>2</v>
      </c>
      <c r="G1914" s="774"/>
      <c r="H1914" s="774">
        <v>22734.07</v>
      </c>
      <c r="I1914" s="774"/>
      <c r="J1914" s="774">
        <v>45468.14</v>
      </c>
    </row>
    <row r="1915" spans="1:10" ht="12.75" hidden="1" customHeight="1" outlineLevel="2">
      <c r="A1915" s="1861"/>
      <c r="B1915" s="1831"/>
      <c r="C1915" s="1833" t="s">
        <v>1873</v>
      </c>
      <c r="D1915" s="1834"/>
      <c r="E1915" s="774" t="s">
        <v>1871</v>
      </c>
      <c r="F1915" s="774">
        <v>1</v>
      </c>
      <c r="G1915" s="774"/>
      <c r="H1915" s="774">
        <v>12008.37</v>
      </c>
      <c r="I1915" s="774"/>
      <c r="J1915" s="774">
        <v>12008.37</v>
      </c>
    </row>
    <row r="1916" spans="1:10" ht="12.75" hidden="1" customHeight="1" outlineLevel="2">
      <c r="A1916" s="1861"/>
      <c r="B1916" s="1831"/>
      <c r="C1916" s="1833" t="s">
        <v>1874</v>
      </c>
      <c r="D1916" s="1834"/>
      <c r="E1916" s="774" t="s">
        <v>1871</v>
      </c>
      <c r="F1916" s="774">
        <v>1</v>
      </c>
      <c r="G1916" s="774"/>
      <c r="H1916" s="774">
        <v>38474.78</v>
      </c>
      <c r="I1916" s="774"/>
      <c r="J1916" s="774">
        <v>38474.78</v>
      </c>
    </row>
    <row r="1917" spans="1:10" ht="12.75" hidden="1" customHeight="1" outlineLevel="2">
      <c r="A1917" s="1861"/>
      <c r="B1917" s="1831"/>
      <c r="C1917" s="1833" t="s">
        <v>1875</v>
      </c>
      <c r="D1917" s="1834"/>
      <c r="E1917" s="774" t="s">
        <v>1871</v>
      </c>
      <c r="F1917" s="774">
        <v>1</v>
      </c>
      <c r="G1917" s="774"/>
      <c r="H1917" s="774">
        <v>3245.51</v>
      </c>
      <c r="I1917" s="774"/>
      <c r="J1917" s="774">
        <v>3245.51</v>
      </c>
    </row>
    <row r="1918" spans="1:10" ht="12.75" hidden="1" customHeight="1" outlineLevel="2">
      <c r="A1918" s="1861"/>
      <c r="B1918" s="1831"/>
      <c r="C1918" s="1833" t="s">
        <v>1876</v>
      </c>
      <c r="D1918" s="1834"/>
      <c r="E1918" s="774" t="s">
        <v>1482</v>
      </c>
      <c r="F1918" s="774">
        <v>4.1120000000000001</v>
      </c>
      <c r="G1918" s="774"/>
      <c r="H1918" s="774">
        <v>11654.21</v>
      </c>
      <c r="I1918" s="774"/>
      <c r="J1918" s="774">
        <v>47922.111519999999</v>
      </c>
    </row>
    <row r="1919" spans="1:10" ht="12.75" hidden="1" customHeight="1" outlineLevel="2">
      <c r="A1919" s="1861"/>
      <c r="B1919" s="1831"/>
      <c r="C1919" s="1833" t="s">
        <v>1877</v>
      </c>
      <c r="D1919" s="1834"/>
      <c r="E1919" s="774" t="s">
        <v>1482</v>
      </c>
      <c r="F1919" s="774">
        <v>2.056</v>
      </c>
      <c r="G1919" s="774"/>
      <c r="H1919" s="774">
        <v>7644.3</v>
      </c>
      <c r="I1919" s="774"/>
      <c r="J1919" s="774">
        <v>15716.6808</v>
      </c>
    </row>
    <row r="1920" spans="1:10" ht="12.75" hidden="1" customHeight="1" outlineLevel="2">
      <c r="A1920" s="1861"/>
      <c r="B1920" s="1831"/>
      <c r="C1920" s="777"/>
      <c r="D1920" s="774"/>
      <c r="E1920" s="774"/>
      <c r="F1920" s="774"/>
      <c r="G1920" s="774">
        <v>5</v>
      </c>
      <c r="H1920" s="774" t="s">
        <v>1514</v>
      </c>
      <c r="I1920" s="774"/>
      <c r="J1920" s="774">
        <f>(J1918+J1919)*0.05</f>
        <v>3181.9396160000001</v>
      </c>
    </row>
    <row r="1921" spans="1:10" ht="12.75" hidden="1" customHeight="1" outlineLevel="2">
      <c r="A1921" s="1861"/>
      <c r="B1921" s="1831"/>
      <c r="C1921" s="1835" t="s">
        <v>1488</v>
      </c>
      <c r="D1921" s="1808"/>
      <c r="E1921" s="799" t="s">
        <v>285</v>
      </c>
      <c r="F1921" s="583">
        <f>'14. Inst. Hidro-Sanitarias'!I44</f>
        <v>2</v>
      </c>
      <c r="G1921" s="799"/>
      <c r="H1921" s="799"/>
      <c r="I1921" s="799">
        <v>0</v>
      </c>
      <c r="J1921" s="774">
        <f>SUM(J1913:J1920)</f>
        <v>744617.5319360001</v>
      </c>
    </row>
    <row r="1922" spans="1:10" ht="12.75" hidden="1" customHeight="1" outlineLevel="1" collapsed="1">
      <c r="A1922" s="1861"/>
      <c r="B1922" s="1831"/>
      <c r="C1922" s="1836" t="s">
        <v>47</v>
      </c>
      <c r="D1922" s="1827"/>
      <c r="E1922" s="1827"/>
      <c r="F1922" s="1827"/>
      <c r="G1922" s="1827"/>
      <c r="H1922" s="1827"/>
      <c r="I1922" s="1827"/>
      <c r="J1922" s="773">
        <f>J1921*F1921</f>
        <v>1489235.0638720002</v>
      </c>
    </row>
    <row r="1923" spans="1:10" ht="12.75" hidden="1" customHeight="1" outlineLevel="1">
      <c r="A1923" s="1861" t="s">
        <v>1533</v>
      </c>
      <c r="B1923" s="1831" t="s">
        <v>1208</v>
      </c>
      <c r="C1923" s="1888" t="s">
        <v>1331</v>
      </c>
      <c r="D1923" s="1888"/>
      <c r="E1923" s="1888"/>
      <c r="F1923" s="1888"/>
      <c r="G1923" s="1888"/>
      <c r="H1923" s="1888"/>
      <c r="I1923" s="1888"/>
      <c r="J1923" s="1888"/>
    </row>
    <row r="1924" spans="1:10" ht="12.75" hidden="1" customHeight="1" outlineLevel="2">
      <c r="A1924" s="1861"/>
      <c r="B1924" s="1831"/>
      <c r="C1924" s="1833" t="s">
        <v>1870</v>
      </c>
      <c r="D1924" s="1834"/>
      <c r="E1924" s="774" t="s">
        <v>1871</v>
      </c>
      <c r="F1924" s="774">
        <v>1</v>
      </c>
      <c r="G1924" s="774"/>
      <c r="H1924" s="774">
        <v>460537.31</v>
      </c>
      <c r="I1924" s="774"/>
      <c r="J1924" s="774">
        <v>583000</v>
      </c>
    </row>
    <row r="1925" spans="1:10" ht="12.75" hidden="1" customHeight="1" outlineLevel="2">
      <c r="A1925" s="1861"/>
      <c r="B1925" s="1831"/>
      <c r="C1925" s="1833" t="s">
        <v>1872</v>
      </c>
      <c r="D1925" s="1834"/>
      <c r="E1925" s="774" t="s">
        <v>1871</v>
      </c>
      <c r="F1925" s="774">
        <v>2</v>
      </c>
      <c r="G1925" s="774"/>
      <c r="H1925" s="774">
        <v>22734.07</v>
      </c>
      <c r="I1925" s="774"/>
      <c r="J1925" s="774">
        <v>45468.14</v>
      </c>
    </row>
    <row r="1926" spans="1:10" ht="12.75" hidden="1" customHeight="1" outlineLevel="2">
      <c r="A1926" s="1861"/>
      <c r="B1926" s="1831"/>
      <c r="C1926" s="1833" t="s">
        <v>1873</v>
      </c>
      <c r="D1926" s="1834"/>
      <c r="E1926" s="774" t="s">
        <v>1871</v>
      </c>
      <c r="F1926" s="774">
        <v>1</v>
      </c>
      <c r="G1926" s="774"/>
      <c r="H1926" s="774">
        <v>12008.37</v>
      </c>
      <c r="I1926" s="774"/>
      <c r="J1926" s="774">
        <v>12008.37</v>
      </c>
    </row>
    <row r="1927" spans="1:10" ht="12.75" hidden="1" customHeight="1" outlineLevel="2">
      <c r="A1927" s="1861"/>
      <c r="B1927" s="1831"/>
      <c r="C1927" s="1833" t="s">
        <v>1874</v>
      </c>
      <c r="D1927" s="1834"/>
      <c r="E1927" s="774" t="s">
        <v>1871</v>
      </c>
      <c r="F1927" s="774">
        <v>1</v>
      </c>
      <c r="G1927" s="774"/>
      <c r="H1927" s="774">
        <v>38474.78</v>
      </c>
      <c r="I1927" s="774"/>
      <c r="J1927" s="774">
        <v>38474.78</v>
      </c>
    </row>
    <row r="1928" spans="1:10" ht="12.75" hidden="1" customHeight="1" outlineLevel="2">
      <c r="A1928" s="1861"/>
      <c r="B1928" s="1831"/>
      <c r="C1928" s="1833" t="s">
        <v>1875</v>
      </c>
      <c r="D1928" s="1834"/>
      <c r="E1928" s="774" t="s">
        <v>1871</v>
      </c>
      <c r="F1928" s="774">
        <v>1</v>
      </c>
      <c r="G1928" s="774"/>
      <c r="H1928" s="774">
        <v>3245.51</v>
      </c>
      <c r="I1928" s="774"/>
      <c r="J1928" s="774">
        <v>3245.51</v>
      </c>
    </row>
    <row r="1929" spans="1:10" ht="12.75" hidden="1" customHeight="1" outlineLevel="2">
      <c r="A1929" s="1861"/>
      <c r="B1929" s="1831"/>
      <c r="C1929" s="1833" t="s">
        <v>1876</v>
      </c>
      <c r="D1929" s="1834"/>
      <c r="E1929" s="774" t="s">
        <v>1482</v>
      </c>
      <c r="F1929" s="774">
        <v>4.1120000000000001</v>
      </c>
      <c r="G1929" s="774"/>
      <c r="H1929" s="774">
        <v>11654.21</v>
      </c>
      <c r="I1929" s="774"/>
      <c r="J1929" s="774">
        <v>47922.111519999999</v>
      </c>
    </row>
    <row r="1930" spans="1:10" ht="12.75" hidden="1" customHeight="1" outlineLevel="2">
      <c r="A1930" s="1861"/>
      <c r="B1930" s="1831"/>
      <c r="C1930" s="1833" t="s">
        <v>1877</v>
      </c>
      <c r="D1930" s="1834"/>
      <c r="E1930" s="774" t="s">
        <v>1482</v>
      </c>
      <c r="F1930" s="774">
        <v>2.056</v>
      </c>
      <c r="G1930" s="774"/>
      <c r="H1930" s="774">
        <v>7644.3</v>
      </c>
      <c r="I1930" s="774"/>
      <c r="J1930" s="774">
        <v>15716.6808</v>
      </c>
    </row>
    <row r="1931" spans="1:10" ht="12.75" hidden="1" customHeight="1" outlineLevel="2">
      <c r="A1931" s="1861"/>
      <c r="B1931" s="1831"/>
      <c r="C1931" s="777"/>
      <c r="D1931" s="774"/>
      <c r="E1931" s="774"/>
      <c r="F1931" s="774"/>
      <c r="G1931" s="774">
        <v>5</v>
      </c>
      <c r="H1931" s="774" t="s">
        <v>1514</v>
      </c>
      <c r="I1931" s="774"/>
      <c r="J1931" s="774">
        <f>(J1929+J1930)*0.05</f>
        <v>3181.9396160000001</v>
      </c>
    </row>
    <row r="1932" spans="1:10" ht="12.75" hidden="1" customHeight="1" outlineLevel="2">
      <c r="A1932" s="1861"/>
      <c r="B1932" s="1831"/>
      <c r="C1932" s="1835" t="s">
        <v>1488</v>
      </c>
      <c r="D1932" s="1808"/>
      <c r="E1932" s="799" t="s">
        <v>285</v>
      </c>
      <c r="F1932" s="583">
        <f>'14. Inst. Hidro-Sanitarias'!I45</f>
        <v>1</v>
      </c>
      <c r="G1932" s="799"/>
      <c r="H1932" s="799"/>
      <c r="I1932" s="799">
        <v>0</v>
      </c>
      <c r="J1932" s="774">
        <f>SUM(J1924:J1931)</f>
        <v>749017.5319360001</v>
      </c>
    </row>
    <row r="1933" spans="1:10" ht="12.75" hidden="1" customHeight="1" outlineLevel="1" collapsed="1">
      <c r="A1933" s="1861"/>
      <c r="B1933" s="1831"/>
      <c r="C1933" s="1836" t="s">
        <v>47</v>
      </c>
      <c r="D1933" s="1827"/>
      <c r="E1933" s="1827"/>
      <c r="F1933" s="1827"/>
      <c r="G1933" s="1827"/>
      <c r="H1933" s="1827"/>
      <c r="I1933" s="1827"/>
      <c r="J1933" s="773">
        <f>J1932*F1932</f>
        <v>749017.5319360001</v>
      </c>
    </row>
    <row r="1934" spans="1:10" ht="12.75" hidden="1" customHeight="1" outlineLevel="1">
      <c r="A1934" s="1861" t="s">
        <v>1846</v>
      </c>
      <c r="B1934" s="1831" t="s">
        <v>1209</v>
      </c>
      <c r="C1934" s="1808" t="s">
        <v>1332</v>
      </c>
      <c r="D1934" s="1808"/>
      <c r="E1934" s="1808"/>
      <c r="F1934" s="1808"/>
      <c r="G1934" s="1808"/>
      <c r="H1934" s="1808"/>
      <c r="I1934" s="1808"/>
      <c r="J1934" s="1808"/>
    </row>
    <row r="1935" spans="1:10" ht="12.75" hidden="1" customHeight="1" outlineLevel="2">
      <c r="A1935" s="1861"/>
      <c r="B1935" s="1831"/>
      <c r="C1935" s="1911" t="s">
        <v>1881</v>
      </c>
      <c r="D1935" s="1834"/>
      <c r="E1935" s="774" t="s">
        <v>1492</v>
      </c>
      <c r="F1935" s="774">
        <v>1</v>
      </c>
      <c r="G1935" s="774"/>
      <c r="H1935" s="774">
        <v>100920</v>
      </c>
      <c r="I1935" s="774"/>
      <c r="J1935" s="774">
        <v>100920</v>
      </c>
    </row>
    <row r="1936" spans="1:10" ht="12.75" hidden="1" customHeight="1" outlineLevel="2">
      <c r="A1936" s="1861"/>
      <c r="B1936" s="1831"/>
      <c r="C1936" s="1912" t="s">
        <v>1878</v>
      </c>
      <c r="D1936" s="1890"/>
      <c r="E1936" s="774" t="s">
        <v>1492</v>
      </c>
      <c r="F1936" s="774">
        <v>1</v>
      </c>
      <c r="G1936" s="774"/>
      <c r="H1936" s="774">
        <v>6146.86</v>
      </c>
      <c r="I1936" s="774"/>
      <c r="J1936" s="774">
        <v>6146.86</v>
      </c>
    </row>
    <row r="1937" spans="1:10" ht="12.75" hidden="1" customHeight="1" outlineLevel="2">
      <c r="A1937" s="1861"/>
      <c r="B1937" s="1831"/>
      <c r="C1937" s="1912" t="s">
        <v>1879</v>
      </c>
      <c r="D1937" s="1890"/>
      <c r="E1937" s="774" t="s">
        <v>1482</v>
      </c>
      <c r="F1937" s="774">
        <v>0.44600000000000001</v>
      </c>
      <c r="G1937" s="774"/>
      <c r="H1937" s="774">
        <v>11654.21</v>
      </c>
      <c r="I1937" s="774"/>
      <c r="J1937" s="774">
        <v>5197.7776599999997</v>
      </c>
    </row>
    <row r="1938" spans="1:10" ht="12.75" hidden="1" customHeight="1" outlineLevel="2">
      <c r="A1938" s="1861"/>
      <c r="B1938" s="1831"/>
      <c r="C1938" s="5"/>
      <c r="D1938" s="5"/>
      <c r="E1938" s="5"/>
      <c r="F1938" s="774"/>
      <c r="G1938" s="774">
        <v>5</v>
      </c>
      <c r="H1938" s="774" t="s">
        <v>1514</v>
      </c>
      <c r="I1938" s="774"/>
      <c r="J1938" s="774">
        <f>0.05*J1937</f>
        <v>259.88888300000002</v>
      </c>
    </row>
    <row r="1939" spans="1:10" ht="12.75" hidden="1" customHeight="1" outlineLevel="2">
      <c r="A1939" s="1861"/>
      <c r="B1939" s="1831"/>
      <c r="C1939" s="1808" t="s">
        <v>1488</v>
      </c>
      <c r="D1939" s="1808"/>
      <c r="E1939" s="784" t="s">
        <v>285</v>
      </c>
      <c r="F1939" s="583">
        <f>'14. Inst. Hidro-Sanitarias'!I57</f>
        <v>2</v>
      </c>
      <c r="G1939" s="784"/>
      <c r="H1939" s="784"/>
      <c r="I1939" s="784">
        <v>0</v>
      </c>
      <c r="J1939" s="774">
        <f>SUM(J1935:J1938)</f>
        <v>112524.52654300001</v>
      </c>
    </row>
    <row r="1940" spans="1:10" ht="12.75" hidden="1" customHeight="1" outlineLevel="1" collapsed="1">
      <c r="A1940" s="1861"/>
      <c r="B1940" s="1831"/>
      <c r="C1940" s="1827" t="s">
        <v>47</v>
      </c>
      <c r="D1940" s="1827"/>
      <c r="E1940" s="1827"/>
      <c r="F1940" s="1827"/>
      <c r="G1940" s="1827"/>
      <c r="H1940" s="1827"/>
      <c r="I1940" s="1827"/>
      <c r="J1940" s="773">
        <f>J1939*F1939</f>
        <v>225049.05308600003</v>
      </c>
    </row>
    <row r="1941" spans="1:10" ht="12.75" hidden="1" customHeight="1" outlineLevel="1">
      <c r="A1941" s="1861" t="s">
        <v>1846</v>
      </c>
      <c r="B1941" s="1831" t="s">
        <v>1210</v>
      </c>
      <c r="C1941" s="1875" t="s">
        <v>1333</v>
      </c>
      <c r="D1941" s="1832"/>
      <c r="E1941" s="1832"/>
      <c r="F1941" s="1832"/>
      <c r="G1941" s="1832"/>
      <c r="H1941" s="1832"/>
      <c r="I1941" s="1832"/>
      <c r="J1941" s="1832"/>
    </row>
    <row r="1942" spans="1:10" ht="12.75" hidden="1" customHeight="1" outlineLevel="2">
      <c r="A1942" s="1861"/>
      <c r="B1942" s="1831"/>
      <c r="C1942" s="1911" t="s">
        <v>1880</v>
      </c>
      <c r="D1942" s="1834"/>
      <c r="E1942" s="774" t="s">
        <v>1492</v>
      </c>
      <c r="F1942" s="774">
        <v>1</v>
      </c>
      <c r="G1942" s="774"/>
      <c r="H1942" s="774">
        <v>100920</v>
      </c>
      <c r="I1942" s="774"/>
      <c r="J1942" s="774">
        <v>100920</v>
      </c>
    </row>
    <row r="1943" spans="1:10" ht="12.75" hidden="1" customHeight="1" outlineLevel="2">
      <c r="A1943" s="1861"/>
      <c r="B1943" s="1831"/>
      <c r="C1943" s="1912" t="s">
        <v>1878</v>
      </c>
      <c r="D1943" s="1890"/>
      <c r="E1943" s="774" t="s">
        <v>1492</v>
      </c>
      <c r="F1943" s="774">
        <v>1</v>
      </c>
      <c r="G1943" s="774"/>
      <c r="H1943" s="774">
        <v>6146.86</v>
      </c>
      <c r="I1943" s="774"/>
      <c r="J1943" s="774">
        <v>6146.86</v>
      </c>
    </row>
    <row r="1944" spans="1:10" ht="12.75" hidden="1" customHeight="1" outlineLevel="2">
      <c r="A1944" s="1861"/>
      <c r="B1944" s="1831"/>
      <c r="C1944" s="1912" t="s">
        <v>1879</v>
      </c>
      <c r="D1944" s="1890"/>
      <c r="E1944" s="774" t="s">
        <v>1482</v>
      </c>
      <c r="F1944" s="774">
        <v>0.44600000000000001</v>
      </c>
      <c r="G1944" s="774"/>
      <c r="H1944" s="774">
        <v>11654.21</v>
      </c>
      <c r="I1944" s="774"/>
      <c r="J1944" s="774">
        <v>5197.7776599999997</v>
      </c>
    </row>
    <row r="1945" spans="1:10" ht="12.75" hidden="1" customHeight="1" outlineLevel="2">
      <c r="A1945" s="1861"/>
      <c r="B1945" s="1831"/>
      <c r="C1945" s="5"/>
      <c r="D1945" s="5"/>
      <c r="E1945" s="5"/>
      <c r="F1945" s="774"/>
      <c r="G1945" s="774">
        <v>5</v>
      </c>
      <c r="H1945" s="774" t="s">
        <v>1514</v>
      </c>
      <c r="I1945" s="774"/>
      <c r="J1945" s="774">
        <f>0.05*J1944</f>
        <v>259.88888300000002</v>
      </c>
    </row>
    <row r="1946" spans="1:10" ht="12.75" hidden="1" customHeight="1" outlineLevel="2">
      <c r="A1946" s="1861"/>
      <c r="B1946" s="1831"/>
      <c r="C1946" s="1808" t="s">
        <v>1488</v>
      </c>
      <c r="D1946" s="1808"/>
      <c r="E1946" s="799" t="s">
        <v>285</v>
      </c>
      <c r="F1946" s="583">
        <f>'14. Inst. Hidro-Sanitarias'!I53</f>
        <v>1</v>
      </c>
      <c r="G1946" s="799"/>
      <c r="H1946" s="799"/>
      <c r="I1946" s="799">
        <v>0</v>
      </c>
      <c r="J1946" s="774">
        <f>SUM(J1942:J1945)</f>
        <v>112524.52654300001</v>
      </c>
    </row>
    <row r="1947" spans="1:10" ht="12.75" hidden="1" customHeight="1" outlineLevel="1" collapsed="1">
      <c r="A1947" s="1861"/>
      <c r="B1947" s="1831"/>
      <c r="C1947" s="1827" t="s">
        <v>47</v>
      </c>
      <c r="D1947" s="1827"/>
      <c r="E1947" s="1827"/>
      <c r="F1947" s="1827"/>
      <c r="G1947" s="1827"/>
      <c r="H1947" s="1827"/>
      <c r="I1947" s="1827"/>
      <c r="J1947" s="773">
        <f>J1946*F1946</f>
        <v>112524.52654300001</v>
      </c>
    </row>
    <row r="1948" spans="1:10" ht="12.75" hidden="1" customHeight="1" outlineLevel="1">
      <c r="A1948" s="1861" t="s">
        <v>1846</v>
      </c>
      <c r="B1948" s="1831" t="s">
        <v>1211</v>
      </c>
      <c r="C1948" s="1875" t="s">
        <v>1334</v>
      </c>
      <c r="D1948" s="1832"/>
      <c r="E1948" s="1832"/>
      <c r="F1948" s="1832"/>
      <c r="G1948" s="1832"/>
      <c r="H1948" s="1832"/>
      <c r="I1948" s="1832"/>
      <c r="J1948" s="1832"/>
    </row>
    <row r="1949" spans="1:10" ht="12.75" hidden="1" customHeight="1" outlineLevel="2">
      <c r="A1949" s="1861"/>
      <c r="B1949" s="1831"/>
      <c r="C1949" s="1911" t="s">
        <v>1882</v>
      </c>
      <c r="D1949" s="1834"/>
      <c r="E1949" s="774" t="s">
        <v>1492</v>
      </c>
      <c r="F1949" s="774">
        <v>1</v>
      </c>
      <c r="G1949" s="774"/>
      <c r="H1949" s="774">
        <v>100920</v>
      </c>
      <c r="I1949" s="774"/>
      <c r="J1949" s="774">
        <v>100920</v>
      </c>
    </row>
    <row r="1950" spans="1:10" ht="12.75" hidden="1" customHeight="1" outlineLevel="2">
      <c r="A1950" s="1861"/>
      <c r="B1950" s="1831"/>
      <c r="C1950" s="1912" t="s">
        <v>1878</v>
      </c>
      <c r="D1950" s="1890"/>
      <c r="E1950" s="774" t="s">
        <v>1492</v>
      </c>
      <c r="F1950" s="774">
        <v>1</v>
      </c>
      <c r="G1950" s="774"/>
      <c r="H1950" s="774">
        <v>6146.86</v>
      </c>
      <c r="I1950" s="774"/>
      <c r="J1950" s="774">
        <v>6146.86</v>
      </c>
    </row>
    <row r="1951" spans="1:10" ht="12.75" hidden="1" customHeight="1" outlineLevel="2">
      <c r="A1951" s="1861"/>
      <c r="B1951" s="1831"/>
      <c r="C1951" s="1912" t="s">
        <v>1879</v>
      </c>
      <c r="D1951" s="1890"/>
      <c r="E1951" s="774" t="s">
        <v>1482</v>
      </c>
      <c r="F1951" s="774">
        <v>0.44600000000000001</v>
      </c>
      <c r="G1951" s="774"/>
      <c r="H1951" s="774">
        <v>11654.21</v>
      </c>
      <c r="I1951" s="774"/>
      <c r="J1951" s="774">
        <v>5197.7776599999997</v>
      </c>
    </row>
    <row r="1952" spans="1:10" ht="12.75" hidden="1" customHeight="1" outlineLevel="2">
      <c r="A1952" s="1861"/>
      <c r="B1952" s="1831"/>
      <c r="C1952" s="5"/>
      <c r="D1952" s="5"/>
      <c r="E1952" s="5"/>
      <c r="F1952" s="774"/>
      <c r="G1952" s="774">
        <v>5</v>
      </c>
      <c r="H1952" s="774" t="s">
        <v>1514</v>
      </c>
      <c r="I1952" s="774"/>
      <c r="J1952" s="774">
        <f>0.05*J1951</f>
        <v>259.88888300000002</v>
      </c>
    </row>
    <row r="1953" spans="1:10" ht="12.75" hidden="1" customHeight="1" outlineLevel="2">
      <c r="A1953" s="1861"/>
      <c r="B1953" s="1831"/>
      <c r="C1953" s="1808" t="s">
        <v>1488</v>
      </c>
      <c r="D1953" s="1808"/>
      <c r="E1953" s="799" t="s">
        <v>285</v>
      </c>
      <c r="F1953" s="583">
        <f>'14. Inst. Hidro-Sanitarias'!I54</f>
        <v>1</v>
      </c>
      <c r="G1953" s="799"/>
      <c r="H1953" s="799"/>
      <c r="I1953" s="799">
        <v>0</v>
      </c>
      <c r="J1953" s="774">
        <f>SUM(J1949:J1952)</f>
        <v>112524.52654300001</v>
      </c>
    </row>
    <row r="1954" spans="1:10" ht="12.75" hidden="1" customHeight="1" outlineLevel="1" collapsed="1">
      <c r="A1954" s="1861"/>
      <c r="B1954" s="1831"/>
      <c r="C1954" s="1827" t="s">
        <v>47</v>
      </c>
      <c r="D1954" s="1827"/>
      <c r="E1954" s="1827"/>
      <c r="F1954" s="1827"/>
      <c r="G1954" s="1827"/>
      <c r="H1954" s="1827"/>
      <c r="I1954" s="1827"/>
      <c r="J1954" s="773">
        <f>J1953*F1953</f>
        <v>112524.52654300001</v>
      </c>
    </row>
    <row r="1955" spans="1:10" ht="12.75" hidden="1" customHeight="1" outlineLevel="1">
      <c r="A1955" s="1861" t="s">
        <v>1846</v>
      </c>
      <c r="B1955" s="1831" t="s">
        <v>1426</v>
      </c>
      <c r="C1955" s="1875" t="s">
        <v>1335</v>
      </c>
      <c r="D1955" s="1832"/>
      <c r="E1955" s="1832"/>
      <c r="F1955" s="1832"/>
      <c r="G1955" s="1832"/>
      <c r="H1955" s="1832"/>
      <c r="I1955" s="1832"/>
      <c r="J1955" s="1832"/>
    </row>
    <row r="1956" spans="1:10" ht="12.75" hidden="1" customHeight="1" outlineLevel="2">
      <c r="A1956" s="1861"/>
      <c r="B1956" s="1831"/>
      <c r="C1956" s="1911" t="s">
        <v>1883</v>
      </c>
      <c r="D1956" s="1834"/>
      <c r="E1956" s="774" t="s">
        <v>1492</v>
      </c>
      <c r="F1956" s="774">
        <v>1</v>
      </c>
      <c r="G1956" s="774"/>
      <c r="H1956" s="774">
        <v>100920</v>
      </c>
      <c r="I1956" s="774"/>
      <c r="J1956" s="774">
        <v>100920</v>
      </c>
    </row>
    <row r="1957" spans="1:10" ht="12.75" hidden="1" customHeight="1" outlineLevel="2">
      <c r="A1957" s="1861"/>
      <c r="B1957" s="1831"/>
      <c r="C1957" s="1912" t="s">
        <v>1878</v>
      </c>
      <c r="D1957" s="1890"/>
      <c r="E1957" s="774" t="s">
        <v>1492</v>
      </c>
      <c r="F1957" s="774">
        <v>1</v>
      </c>
      <c r="G1957" s="774"/>
      <c r="H1957" s="774">
        <v>6146.86</v>
      </c>
      <c r="I1957" s="774"/>
      <c r="J1957" s="774">
        <v>6146.86</v>
      </c>
    </row>
    <row r="1958" spans="1:10" ht="12.75" hidden="1" customHeight="1" outlineLevel="2">
      <c r="A1958" s="1861"/>
      <c r="B1958" s="1831"/>
      <c r="C1958" s="1912" t="s">
        <v>1879</v>
      </c>
      <c r="D1958" s="1890"/>
      <c r="E1958" s="774" t="s">
        <v>1482</v>
      </c>
      <c r="F1958" s="774">
        <v>0.44600000000000001</v>
      </c>
      <c r="G1958" s="774"/>
      <c r="H1958" s="774">
        <v>11654.21</v>
      </c>
      <c r="I1958" s="774"/>
      <c r="J1958" s="774">
        <v>5197.7776599999997</v>
      </c>
    </row>
    <row r="1959" spans="1:10" ht="12.75" hidden="1" customHeight="1" outlineLevel="2">
      <c r="A1959" s="1861"/>
      <c r="B1959" s="1831"/>
      <c r="C1959" s="5"/>
      <c r="D1959" s="5"/>
      <c r="E1959" s="5"/>
      <c r="F1959" s="774"/>
      <c r="G1959" s="774">
        <v>5</v>
      </c>
      <c r="H1959" s="774" t="s">
        <v>1514</v>
      </c>
      <c r="I1959" s="774"/>
      <c r="J1959" s="774">
        <f>0.05*J1958</f>
        <v>259.88888300000002</v>
      </c>
    </row>
    <row r="1960" spans="1:10" ht="12.75" hidden="1" customHeight="1" outlineLevel="2">
      <c r="A1960" s="1861"/>
      <c r="B1960" s="1831"/>
      <c r="C1960" s="1808" t="s">
        <v>1488</v>
      </c>
      <c r="D1960" s="1808"/>
      <c r="E1960" s="799" t="s">
        <v>285</v>
      </c>
      <c r="F1960" s="583">
        <f>'14. Inst. Hidro-Sanitarias'!I55</f>
        <v>1</v>
      </c>
      <c r="G1960" s="799"/>
      <c r="H1960" s="799"/>
      <c r="I1960" s="799">
        <v>0</v>
      </c>
      <c r="J1960" s="774">
        <f>SUM(J1956:J1959)</f>
        <v>112524.52654300001</v>
      </c>
    </row>
    <row r="1961" spans="1:10" ht="12.75" hidden="1" customHeight="1" outlineLevel="1" collapsed="1">
      <c r="A1961" s="1861"/>
      <c r="B1961" s="1831"/>
      <c r="C1961" s="1827" t="s">
        <v>47</v>
      </c>
      <c r="D1961" s="1827"/>
      <c r="E1961" s="1827"/>
      <c r="F1961" s="1827"/>
      <c r="G1961" s="1827"/>
      <c r="H1961" s="1827"/>
      <c r="I1961" s="1827"/>
      <c r="J1961" s="773">
        <f>J1960*F1960</f>
        <v>112524.52654300001</v>
      </c>
    </row>
    <row r="1962" spans="1:10" ht="12.75" hidden="1" customHeight="1" outlineLevel="1">
      <c r="A1962" s="1861" t="s">
        <v>1846</v>
      </c>
      <c r="B1962" s="1831" t="s">
        <v>1427</v>
      </c>
      <c r="C1962" s="1875" t="s">
        <v>1336</v>
      </c>
      <c r="D1962" s="1832"/>
      <c r="E1962" s="1832"/>
      <c r="F1962" s="1832"/>
      <c r="G1962" s="1832"/>
      <c r="H1962" s="1832"/>
      <c r="I1962" s="1832"/>
      <c r="J1962" s="1832"/>
    </row>
    <row r="1963" spans="1:10" ht="12.75" hidden="1" customHeight="1" outlineLevel="2">
      <c r="A1963" s="1861"/>
      <c r="B1963" s="1831"/>
      <c r="C1963" s="1911" t="s">
        <v>1883</v>
      </c>
      <c r="D1963" s="1834"/>
      <c r="E1963" s="774" t="s">
        <v>1492</v>
      </c>
      <c r="F1963" s="774">
        <v>1</v>
      </c>
      <c r="G1963" s="774"/>
      <c r="H1963" s="774">
        <v>100920</v>
      </c>
      <c r="I1963" s="774"/>
      <c r="J1963" s="774">
        <v>100920</v>
      </c>
    </row>
    <row r="1964" spans="1:10" ht="12.75" hidden="1" customHeight="1" outlineLevel="2">
      <c r="A1964" s="1861"/>
      <c r="B1964" s="1831"/>
      <c r="C1964" s="1912" t="s">
        <v>1878</v>
      </c>
      <c r="D1964" s="1890"/>
      <c r="E1964" s="774" t="s">
        <v>1492</v>
      </c>
      <c r="F1964" s="774">
        <v>1</v>
      </c>
      <c r="G1964" s="774"/>
      <c r="H1964" s="774">
        <v>6146.86</v>
      </c>
      <c r="I1964" s="774"/>
      <c r="J1964" s="774">
        <v>6146.86</v>
      </c>
    </row>
    <row r="1965" spans="1:10" ht="12.75" hidden="1" customHeight="1" outlineLevel="2">
      <c r="A1965" s="1861"/>
      <c r="B1965" s="1831"/>
      <c r="C1965" s="1912" t="s">
        <v>1879</v>
      </c>
      <c r="D1965" s="1890"/>
      <c r="E1965" s="774" t="s">
        <v>1482</v>
      </c>
      <c r="F1965" s="774">
        <v>0.44600000000000001</v>
      </c>
      <c r="G1965" s="774"/>
      <c r="H1965" s="774">
        <v>11654.21</v>
      </c>
      <c r="I1965" s="774"/>
      <c r="J1965" s="774">
        <v>5197.7776599999997</v>
      </c>
    </row>
    <row r="1966" spans="1:10" ht="12.75" hidden="1" customHeight="1" outlineLevel="2">
      <c r="A1966" s="1861"/>
      <c r="B1966" s="1831"/>
      <c r="C1966" s="5"/>
      <c r="D1966" s="5"/>
      <c r="E1966" s="5"/>
      <c r="F1966" s="774"/>
      <c r="G1966" s="774">
        <v>5</v>
      </c>
      <c r="H1966" s="774" t="s">
        <v>1514</v>
      </c>
      <c r="I1966" s="774"/>
      <c r="J1966" s="774">
        <f>0.05*J1965</f>
        <v>259.88888300000002</v>
      </c>
    </row>
    <row r="1967" spans="1:10" ht="12.75" hidden="1" customHeight="1" outlineLevel="2">
      <c r="A1967" s="1861"/>
      <c r="B1967" s="1831"/>
      <c r="C1967" s="1808" t="s">
        <v>1488</v>
      </c>
      <c r="D1967" s="1808"/>
      <c r="E1967" s="799" t="s">
        <v>285</v>
      </c>
      <c r="F1967" s="583">
        <f>'14. Inst. Hidro-Sanitarias'!I56</f>
        <v>4</v>
      </c>
      <c r="G1967" s="799"/>
      <c r="H1967" s="799"/>
      <c r="I1967" s="799">
        <v>0</v>
      </c>
      <c r="J1967" s="774">
        <f>SUM(J1963:J1966)</f>
        <v>112524.52654300001</v>
      </c>
    </row>
    <row r="1968" spans="1:10" ht="12.75" hidden="1" customHeight="1" outlineLevel="1" collapsed="1">
      <c r="A1968" s="1861"/>
      <c r="B1968" s="1831"/>
      <c r="C1968" s="1827" t="s">
        <v>47</v>
      </c>
      <c r="D1968" s="1827"/>
      <c r="E1968" s="1827"/>
      <c r="F1968" s="1827"/>
      <c r="G1968" s="1827"/>
      <c r="H1968" s="1827"/>
      <c r="I1968" s="1827"/>
      <c r="J1968" s="773">
        <f>J1967*F1967</f>
        <v>450098.10617200006</v>
      </c>
    </row>
    <row r="1969" spans="1:10" ht="12.75" hidden="1" customHeight="1" outlineLevel="1">
      <c r="A1969" s="1830" t="s">
        <v>1777</v>
      </c>
      <c r="B1969" s="1831" t="s">
        <v>1428</v>
      </c>
      <c r="C1969" s="1875" t="s">
        <v>1337</v>
      </c>
      <c r="D1969" s="1832"/>
      <c r="E1969" s="1832"/>
      <c r="F1969" s="1832"/>
      <c r="G1969" s="1832"/>
      <c r="H1969" s="1832"/>
      <c r="I1969" s="1832"/>
      <c r="J1969" s="1832"/>
    </row>
    <row r="1970" spans="1:10" ht="12.75" hidden="1" customHeight="1" outlineLevel="2">
      <c r="A1970" s="1830"/>
      <c r="B1970" s="1831"/>
      <c r="C1970" s="774" t="s">
        <v>1778</v>
      </c>
      <c r="D1970" s="776" t="s">
        <v>1779</v>
      </c>
      <c r="E1970" s="774" t="s">
        <v>48</v>
      </c>
      <c r="F1970" s="774">
        <v>1</v>
      </c>
      <c r="G1970" s="774">
        <v>5</v>
      </c>
      <c r="H1970" s="774">
        <v>4270.32</v>
      </c>
      <c r="I1970" s="774">
        <v>0</v>
      </c>
      <c r="J1970" s="774">
        <f t="shared" ref="J1970:J1978" si="59">(F1970*(1+G1970/100)) * (H1970*(1+I1970/100))</f>
        <v>4483.8360000000002</v>
      </c>
    </row>
    <row r="1971" spans="1:10" ht="12.75" hidden="1" customHeight="1" outlineLevel="2">
      <c r="A1971" s="1830"/>
      <c r="B1971" s="1831"/>
      <c r="C1971" s="774" t="s">
        <v>1780</v>
      </c>
      <c r="D1971" s="776" t="s">
        <v>1781</v>
      </c>
      <c r="E1971" s="774" t="s">
        <v>1492</v>
      </c>
      <c r="F1971" s="774">
        <v>1</v>
      </c>
      <c r="G1971" s="774"/>
      <c r="H1971" s="774">
        <v>2437.56</v>
      </c>
      <c r="I1971" s="774">
        <v>0</v>
      </c>
      <c r="J1971" s="774">
        <f t="shared" si="59"/>
        <v>2437.56</v>
      </c>
    </row>
    <row r="1972" spans="1:10" ht="12.75" hidden="1" customHeight="1" outlineLevel="2">
      <c r="A1972" s="1830"/>
      <c r="B1972" s="1831"/>
      <c r="C1972" s="774" t="s">
        <v>1782</v>
      </c>
      <c r="D1972" s="776" t="s">
        <v>1783</v>
      </c>
      <c r="E1972" s="774" t="s">
        <v>1492</v>
      </c>
      <c r="F1972" s="774">
        <v>1</v>
      </c>
      <c r="G1972" s="774"/>
      <c r="H1972" s="774">
        <v>1749.6</v>
      </c>
      <c r="I1972" s="774">
        <v>0</v>
      </c>
      <c r="J1972" s="774">
        <f t="shared" si="59"/>
        <v>1749.6</v>
      </c>
    </row>
    <row r="1973" spans="1:10" ht="12.75" hidden="1" customHeight="1" outlineLevel="2">
      <c r="A1973" s="1830"/>
      <c r="B1973" s="1831"/>
      <c r="C1973" s="774" t="s">
        <v>1761</v>
      </c>
      <c r="D1973" s="776" t="s">
        <v>1762</v>
      </c>
      <c r="E1973" s="774" t="s">
        <v>1763</v>
      </c>
      <c r="F1973" s="774">
        <v>2E-3</v>
      </c>
      <c r="G1973" s="774">
        <v>5</v>
      </c>
      <c r="H1973" s="774">
        <v>87162.48000000001</v>
      </c>
      <c r="I1973" s="774">
        <v>0</v>
      </c>
      <c r="J1973" s="774">
        <f t="shared" si="59"/>
        <v>183.04120800000004</v>
      </c>
    </row>
    <row r="1974" spans="1:10" ht="12.75" hidden="1" customHeight="1" outlineLevel="2">
      <c r="A1974" s="1830"/>
      <c r="B1974" s="1831"/>
      <c r="C1974" s="774" t="s">
        <v>1764</v>
      </c>
      <c r="D1974" s="776" t="s">
        <v>1765</v>
      </c>
      <c r="E1974" s="774" t="s">
        <v>1492</v>
      </c>
      <c r="F1974" s="774">
        <v>2E-3</v>
      </c>
      <c r="G1974" s="774">
        <v>5</v>
      </c>
      <c r="H1974" s="774">
        <v>42064.92</v>
      </c>
      <c r="I1974" s="774">
        <v>0</v>
      </c>
      <c r="J1974" s="774">
        <f t="shared" si="59"/>
        <v>88.336332000000013</v>
      </c>
    </row>
    <row r="1975" spans="1:10" ht="12.75" hidden="1" customHeight="1" outlineLevel="2">
      <c r="A1975" s="1830"/>
      <c r="B1975" s="1831"/>
      <c r="C1975" s="774" t="s">
        <v>1784</v>
      </c>
      <c r="D1975" s="776" t="s">
        <v>1785</v>
      </c>
      <c r="E1975" s="774" t="s">
        <v>1492</v>
      </c>
      <c r="F1975" s="774">
        <v>0.75</v>
      </c>
      <c r="G1975" s="774"/>
      <c r="H1975" s="774">
        <v>923.4</v>
      </c>
      <c r="I1975" s="774">
        <v>0</v>
      </c>
      <c r="J1975" s="774">
        <f t="shared" si="59"/>
        <v>692.55</v>
      </c>
    </row>
    <row r="1976" spans="1:10" ht="12.75" hidden="1" customHeight="1" outlineLevel="2">
      <c r="A1976" s="1830"/>
      <c r="B1976" s="1831"/>
      <c r="C1976" s="774" t="s">
        <v>1786</v>
      </c>
      <c r="D1976" s="776" t="s">
        <v>1787</v>
      </c>
      <c r="E1976" s="774" t="s">
        <v>1492</v>
      </c>
      <c r="F1976" s="774">
        <v>0.5</v>
      </c>
      <c r="G1976" s="774"/>
      <c r="H1976" s="774">
        <v>1747.44</v>
      </c>
      <c r="I1976" s="774">
        <v>0</v>
      </c>
      <c r="J1976" s="774">
        <f t="shared" si="59"/>
        <v>873.72</v>
      </c>
    </row>
    <row r="1977" spans="1:10" ht="12.75" hidden="1" customHeight="1" outlineLevel="2">
      <c r="A1977" s="1830"/>
      <c r="B1977" s="1831"/>
      <c r="C1977" s="774" t="s">
        <v>1510</v>
      </c>
      <c r="D1977" s="776" t="s">
        <v>1511</v>
      </c>
      <c r="E1977" s="774" t="s">
        <v>1482</v>
      </c>
      <c r="F1977" s="774">
        <v>0.1</v>
      </c>
      <c r="G1977" s="774"/>
      <c r="H1977" s="774">
        <v>5527.21</v>
      </c>
      <c r="I1977" s="774">
        <v>0</v>
      </c>
      <c r="J1977" s="774">
        <f t="shared" si="59"/>
        <v>552.721</v>
      </c>
    </row>
    <row r="1978" spans="1:10" ht="12.75" hidden="1" customHeight="1" outlineLevel="2">
      <c r="A1978" s="1830"/>
      <c r="B1978" s="1831"/>
      <c r="C1978" s="774" t="s">
        <v>1747</v>
      </c>
      <c r="D1978" s="776" t="s">
        <v>1748</v>
      </c>
      <c r="E1978" s="774" t="s">
        <v>1482</v>
      </c>
      <c r="F1978" s="774">
        <v>0.1</v>
      </c>
      <c r="G1978" s="774"/>
      <c r="H1978" s="774">
        <v>7237.76</v>
      </c>
      <c r="I1978" s="774">
        <v>0</v>
      </c>
      <c r="J1978" s="774">
        <f t="shared" si="59"/>
        <v>723.77600000000007</v>
      </c>
    </row>
    <row r="1979" spans="1:10" ht="12.75" hidden="1" customHeight="1" outlineLevel="2">
      <c r="A1979" s="1830"/>
      <c r="B1979" s="1831"/>
      <c r="C1979" s="774"/>
      <c r="D1979" s="774"/>
      <c r="E1979" s="774"/>
      <c r="F1979" s="774"/>
      <c r="G1979" s="774">
        <v>5</v>
      </c>
      <c r="H1979" s="774" t="s">
        <v>1514</v>
      </c>
      <c r="I1979" s="774"/>
      <c r="J1979" s="774">
        <v>63.820000000000007</v>
      </c>
    </row>
    <row r="1980" spans="1:10" ht="12.75" hidden="1" customHeight="1" outlineLevel="2">
      <c r="A1980" s="1830"/>
      <c r="B1980" s="1831"/>
      <c r="C1980" s="1808" t="s">
        <v>1488</v>
      </c>
      <c r="D1980" s="1808"/>
      <c r="E1980" s="799" t="s">
        <v>48</v>
      </c>
      <c r="F1980" s="583">
        <f>'14. Inst. Hidro-Sanitarias'!J83</f>
        <v>110.12833000000001</v>
      </c>
      <c r="G1980" s="799"/>
      <c r="H1980" s="799"/>
      <c r="I1980" s="799">
        <v>0</v>
      </c>
      <c r="J1980" s="774">
        <f>SUM(J1970:J1979)</f>
        <v>11848.96054</v>
      </c>
    </row>
    <row r="1981" spans="1:10" ht="12.75" hidden="1" customHeight="1" outlineLevel="1" collapsed="1">
      <c r="A1981" s="1830"/>
      <c r="B1981" s="1831"/>
      <c r="C1981" s="1827" t="s">
        <v>47</v>
      </c>
      <c r="D1981" s="1827"/>
      <c r="E1981" s="1827"/>
      <c r="F1981" s="1827"/>
      <c r="G1981" s="1827"/>
      <c r="H1981" s="1827"/>
      <c r="I1981" s="1827"/>
      <c r="J1981" s="773">
        <f>J1980*F1980</f>
        <v>1304906.2365060982</v>
      </c>
    </row>
    <row r="1982" spans="1:10" ht="12.75" hidden="1" customHeight="1" outlineLevel="1">
      <c r="A1982" s="1830" t="s">
        <v>1799</v>
      </c>
      <c r="B1982" s="1831" t="s">
        <v>1429</v>
      </c>
      <c r="C1982" s="1875" t="s">
        <v>1338</v>
      </c>
      <c r="D1982" s="1832"/>
      <c r="E1982" s="1832"/>
      <c r="F1982" s="1832"/>
      <c r="G1982" s="1832"/>
      <c r="H1982" s="1832"/>
      <c r="I1982" s="1832"/>
      <c r="J1982" s="1832"/>
    </row>
    <row r="1983" spans="1:10" ht="12.75" hidden="1" customHeight="1" outlineLevel="2">
      <c r="A1983" s="1830"/>
      <c r="B1983" s="1831"/>
      <c r="C1983" s="774" t="s">
        <v>1800</v>
      </c>
      <c r="D1983" s="776" t="s">
        <v>1801</v>
      </c>
      <c r="E1983" s="774" t="s">
        <v>1492</v>
      </c>
      <c r="F1983" s="774">
        <v>0.32999999999999996</v>
      </c>
      <c r="G1983" s="774"/>
      <c r="H1983" s="774">
        <v>1843</v>
      </c>
      <c r="I1983" s="774">
        <v>0</v>
      </c>
      <c r="J1983" s="774">
        <f t="shared" ref="J1983:J1990" si="60">(F1983*(1+G1983/100)) * (H1983*(1+I1983/100))</f>
        <v>608.18999999999994</v>
      </c>
    </row>
    <row r="1984" spans="1:10" ht="12.75" hidden="1" customHeight="1" outlineLevel="2">
      <c r="A1984" s="1830"/>
      <c r="B1984" s="1831"/>
      <c r="C1984" s="774" t="s">
        <v>1802</v>
      </c>
      <c r="D1984" s="776" t="s">
        <v>1803</v>
      </c>
      <c r="E1984" s="774" t="s">
        <v>48</v>
      </c>
      <c r="F1984" s="774">
        <v>1</v>
      </c>
      <c r="G1984" s="774">
        <v>5</v>
      </c>
      <c r="H1984" s="774">
        <v>10045.08</v>
      </c>
      <c r="I1984" s="774">
        <v>0</v>
      </c>
      <c r="J1984" s="774">
        <f t="shared" si="60"/>
        <v>10547.334000000001</v>
      </c>
    </row>
    <row r="1985" spans="1:10" ht="12.75" hidden="1" customHeight="1" outlineLevel="2">
      <c r="A1985" s="1830"/>
      <c r="B1985" s="1831"/>
      <c r="C1985" s="774" t="s">
        <v>1804</v>
      </c>
      <c r="D1985" s="776" t="s">
        <v>1805</v>
      </c>
      <c r="E1985" s="774" t="s">
        <v>1492</v>
      </c>
      <c r="F1985" s="774">
        <v>1</v>
      </c>
      <c r="G1985" s="774"/>
      <c r="H1985" s="774">
        <v>8267.4</v>
      </c>
      <c r="I1985" s="774">
        <v>0</v>
      </c>
      <c r="J1985" s="774">
        <f t="shared" si="60"/>
        <v>8267.4</v>
      </c>
    </row>
    <row r="1986" spans="1:10" ht="12.75" hidden="1" customHeight="1" outlineLevel="2">
      <c r="A1986" s="1830"/>
      <c r="B1986" s="1831"/>
      <c r="C1986" s="774" t="s">
        <v>1806</v>
      </c>
      <c r="D1986" s="776" t="s">
        <v>1807</v>
      </c>
      <c r="E1986" s="774" t="s">
        <v>1492</v>
      </c>
      <c r="F1986" s="774">
        <v>1</v>
      </c>
      <c r="G1986" s="774"/>
      <c r="H1986" s="774">
        <v>6284.5199999999995</v>
      </c>
      <c r="I1986" s="774">
        <v>0</v>
      </c>
      <c r="J1986" s="774">
        <f t="shared" si="60"/>
        <v>6284.5199999999995</v>
      </c>
    </row>
    <row r="1987" spans="1:10" ht="12.75" hidden="1" customHeight="1" outlineLevel="2">
      <c r="A1987" s="1830"/>
      <c r="B1987" s="1831"/>
      <c r="C1987" s="774" t="s">
        <v>1761</v>
      </c>
      <c r="D1987" s="776" t="s">
        <v>1762</v>
      </c>
      <c r="E1987" s="774" t="s">
        <v>1763</v>
      </c>
      <c r="F1987" s="774">
        <v>3.0000000000000001E-3</v>
      </c>
      <c r="G1987" s="774">
        <v>5</v>
      </c>
      <c r="H1987" s="774">
        <v>87162.48000000001</v>
      </c>
      <c r="I1987" s="774">
        <v>0</v>
      </c>
      <c r="J1987" s="774">
        <f t="shared" si="60"/>
        <v>274.56181200000003</v>
      </c>
    </row>
    <row r="1988" spans="1:10" ht="12.75" hidden="1" customHeight="1" outlineLevel="2">
      <c r="A1988" s="1830"/>
      <c r="B1988" s="1831"/>
      <c r="C1988" s="774" t="s">
        <v>1764</v>
      </c>
      <c r="D1988" s="776" t="s">
        <v>1765</v>
      </c>
      <c r="E1988" s="774" t="s">
        <v>1492</v>
      </c>
      <c r="F1988" s="774">
        <v>3.0000000000000001E-3</v>
      </c>
      <c r="G1988" s="774">
        <v>5</v>
      </c>
      <c r="H1988" s="774">
        <v>42064.92</v>
      </c>
      <c r="I1988" s="774">
        <v>0</v>
      </c>
      <c r="J1988" s="774">
        <f t="shared" si="60"/>
        <v>132.50449799999998</v>
      </c>
    </row>
    <row r="1989" spans="1:10" ht="12.75" hidden="1" customHeight="1" outlineLevel="2">
      <c r="A1989" s="1830"/>
      <c r="B1989" s="1831"/>
      <c r="C1989" s="774" t="s">
        <v>1510</v>
      </c>
      <c r="D1989" s="776" t="s">
        <v>1511</v>
      </c>
      <c r="E1989" s="774" t="s">
        <v>1482</v>
      </c>
      <c r="F1989" s="774">
        <v>0.13999999999999999</v>
      </c>
      <c r="G1989" s="774"/>
      <c r="H1989" s="774">
        <v>5527.21</v>
      </c>
      <c r="I1989" s="774">
        <v>0</v>
      </c>
      <c r="J1989" s="774">
        <f t="shared" si="60"/>
        <v>773.80939999999987</v>
      </c>
    </row>
    <row r="1990" spans="1:10" ht="12.75" hidden="1" customHeight="1" outlineLevel="2">
      <c r="A1990" s="1830"/>
      <c r="B1990" s="1831"/>
      <c r="C1990" s="774" t="s">
        <v>1747</v>
      </c>
      <c r="D1990" s="776" t="s">
        <v>1748</v>
      </c>
      <c r="E1990" s="774" t="s">
        <v>1482</v>
      </c>
      <c r="F1990" s="774">
        <v>0.13999999999999999</v>
      </c>
      <c r="G1990" s="774"/>
      <c r="H1990" s="774">
        <v>7237.76</v>
      </c>
      <c r="I1990" s="774">
        <v>0</v>
      </c>
      <c r="J1990" s="774">
        <f t="shared" si="60"/>
        <v>1013.2864</v>
      </c>
    </row>
    <row r="1991" spans="1:10" ht="12.75" hidden="1" customHeight="1" outlineLevel="2">
      <c r="A1991" s="1830"/>
      <c r="B1991" s="1831"/>
      <c r="C1991" s="774"/>
      <c r="D1991" s="774"/>
      <c r="E1991" s="774"/>
      <c r="F1991" s="774"/>
      <c r="G1991" s="774">
        <v>5</v>
      </c>
      <c r="H1991" s="774" t="s">
        <v>1514</v>
      </c>
      <c r="I1991" s="774"/>
      <c r="J1991" s="774">
        <v>89.35</v>
      </c>
    </row>
    <row r="1992" spans="1:10" ht="12.75" hidden="1" customHeight="1" outlineLevel="2">
      <c r="A1992" s="1830"/>
      <c r="B1992" s="1831"/>
      <c r="C1992" s="1808" t="s">
        <v>1488</v>
      </c>
      <c r="D1992" s="1808"/>
      <c r="E1992" s="799" t="s">
        <v>48</v>
      </c>
      <c r="F1992" s="583">
        <f>'14. Inst. Hidro-Sanitarias'!J84</f>
        <v>37.202199999999998</v>
      </c>
      <c r="G1992" s="799"/>
      <c r="H1992" s="799"/>
      <c r="I1992" s="799">
        <v>0</v>
      </c>
      <c r="J1992" s="774">
        <f>SUM(J1983:J1991)</f>
        <v>27990.956109999996</v>
      </c>
    </row>
    <row r="1993" spans="1:10" ht="12.75" hidden="1" customHeight="1" outlineLevel="1" collapsed="1">
      <c r="A1993" s="1830"/>
      <c r="B1993" s="1831"/>
      <c r="C1993" s="1827" t="s">
        <v>47</v>
      </c>
      <c r="D1993" s="1827"/>
      <c r="E1993" s="1827"/>
      <c r="F1993" s="1827"/>
      <c r="G1993" s="1827"/>
      <c r="H1993" s="1827"/>
      <c r="I1993" s="1827"/>
      <c r="J1993" s="773">
        <f>J1992*F1992</f>
        <v>1041325.1473954418</v>
      </c>
    </row>
    <row r="1994" spans="1:10" ht="12.75" hidden="1" customHeight="1" outlineLevel="1">
      <c r="A1994" s="1830" t="s">
        <v>1788</v>
      </c>
      <c r="B1994" s="1831" t="s">
        <v>1430</v>
      </c>
      <c r="C1994" s="1875" t="s">
        <v>1339</v>
      </c>
      <c r="D1994" s="1832"/>
      <c r="E1994" s="1832"/>
      <c r="F1994" s="1832"/>
      <c r="G1994" s="1832"/>
      <c r="H1994" s="1832"/>
      <c r="I1994" s="1832"/>
      <c r="J1994" s="1832"/>
    </row>
    <row r="1995" spans="1:10" ht="12.75" hidden="1" customHeight="1" outlineLevel="2">
      <c r="A1995" s="1830"/>
      <c r="B1995" s="1831"/>
      <c r="C1995" s="774" t="s">
        <v>1789</v>
      </c>
      <c r="D1995" s="776" t="s">
        <v>1790</v>
      </c>
      <c r="E1995" s="774" t="s">
        <v>1492</v>
      </c>
      <c r="F1995" s="774">
        <v>0.5</v>
      </c>
      <c r="G1995" s="774"/>
      <c r="H1995" s="774">
        <v>739</v>
      </c>
      <c r="I1995" s="774">
        <v>0</v>
      </c>
      <c r="J1995" s="774">
        <f t="shared" ref="J1995:J2003" si="61">(F1995*(1+G1995/100)) * (H1995*(1+I1995/100))</f>
        <v>369.5</v>
      </c>
    </row>
    <row r="1996" spans="1:10" ht="12.75" hidden="1" customHeight="1" outlineLevel="2">
      <c r="A1996" s="1830"/>
      <c r="B1996" s="1831"/>
      <c r="C1996" s="774" t="s">
        <v>1791</v>
      </c>
      <c r="D1996" s="776" t="s">
        <v>1792</v>
      </c>
      <c r="E1996" s="774" t="s">
        <v>48</v>
      </c>
      <c r="F1996" s="774">
        <v>1</v>
      </c>
      <c r="G1996" s="774">
        <v>5</v>
      </c>
      <c r="H1996" s="774">
        <v>7692.8399999999992</v>
      </c>
      <c r="I1996" s="774">
        <v>0</v>
      </c>
      <c r="J1996" s="774">
        <f t="shared" si="61"/>
        <v>8077.482</v>
      </c>
    </row>
    <row r="1997" spans="1:10" ht="12.75" hidden="1" customHeight="1" outlineLevel="2">
      <c r="A1997" s="1830"/>
      <c r="B1997" s="1831"/>
      <c r="C1997" s="774" t="s">
        <v>1793</v>
      </c>
      <c r="D1997" s="776" t="s">
        <v>1794</v>
      </c>
      <c r="E1997" s="774" t="s">
        <v>1492</v>
      </c>
      <c r="F1997" s="774">
        <v>1</v>
      </c>
      <c r="G1997" s="774"/>
      <c r="H1997" s="774">
        <v>6294.24</v>
      </c>
      <c r="I1997" s="774">
        <v>0</v>
      </c>
      <c r="J1997" s="774">
        <f t="shared" si="61"/>
        <v>6294.24</v>
      </c>
    </row>
    <row r="1998" spans="1:10" ht="12.75" hidden="1" customHeight="1" outlineLevel="2">
      <c r="A1998" s="1830"/>
      <c r="B1998" s="1831"/>
      <c r="C1998" s="774" t="s">
        <v>1795</v>
      </c>
      <c r="D1998" s="776" t="s">
        <v>1796</v>
      </c>
      <c r="E1998" s="774" t="s">
        <v>1492</v>
      </c>
      <c r="F1998" s="774">
        <v>1</v>
      </c>
      <c r="G1998" s="774">
        <v>5</v>
      </c>
      <c r="H1998" s="774">
        <v>3366.3599999999997</v>
      </c>
      <c r="I1998" s="774">
        <v>0</v>
      </c>
      <c r="J1998" s="774">
        <f t="shared" si="61"/>
        <v>3534.6779999999999</v>
      </c>
    </row>
    <row r="1999" spans="1:10" ht="12.75" hidden="1" customHeight="1" outlineLevel="2">
      <c r="A1999" s="1830"/>
      <c r="B1999" s="1831"/>
      <c r="C1999" s="774" t="s">
        <v>1797</v>
      </c>
      <c r="D1999" s="776" t="s">
        <v>1798</v>
      </c>
      <c r="E1999" s="774" t="s">
        <v>1492</v>
      </c>
      <c r="F1999" s="774">
        <v>0.5</v>
      </c>
      <c r="G1999" s="774"/>
      <c r="H1999" s="774">
        <v>1747.44</v>
      </c>
      <c r="I1999" s="774">
        <v>0</v>
      </c>
      <c r="J1999" s="774">
        <f t="shared" si="61"/>
        <v>873.72</v>
      </c>
    </row>
    <row r="2000" spans="1:10" ht="12.75" hidden="1" customHeight="1" outlineLevel="2">
      <c r="A2000" s="1830"/>
      <c r="B2000" s="1831"/>
      <c r="C2000" s="774" t="s">
        <v>1761</v>
      </c>
      <c r="D2000" s="776" t="s">
        <v>1762</v>
      </c>
      <c r="E2000" s="774" t="s">
        <v>1763</v>
      </c>
      <c r="F2000" s="774">
        <v>2E-3</v>
      </c>
      <c r="G2000" s="774">
        <v>5</v>
      </c>
      <c r="H2000" s="774">
        <v>87162.48000000001</v>
      </c>
      <c r="I2000" s="774">
        <v>0</v>
      </c>
      <c r="J2000" s="774">
        <f t="shared" si="61"/>
        <v>183.04120800000004</v>
      </c>
    </row>
    <row r="2001" spans="1:10" ht="12.75" hidden="1" customHeight="1" outlineLevel="2">
      <c r="A2001" s="1830"/>
      <c r="B2001" s="1831"/>
      <c r="C2001" s="774" t="s">
        <v>1764</v>
      </c>
      <c r="D2001" s="776" t="s">
        <v>1765</v>
      </c>
      <c r="E2001" s="774" t="s">
        <v>1492</v>
      </c>
      <c r="F2001" s="774">
        <v>2E-3</v>
      </c>
      <c r="G2001" s="774">
        <v>5</v>
      </c>
      <c r="H2001" s="774">
        <v>42064.92</v>
      </c>
      <c r="I2001" s="774">
        <v>0</v>
      </c>
      <c r="J2001" s="774">
        <f t="shared" si="61"/>
        <v>88.336332000000013</v>
      </c>
    </row>
    <row r="2002" spans="1:10" ht="12.75" hidden="1" customHeight="1" outlineLevel="2">
      <c r="A2002" s="1830"/>
      <c r="B2002" s="1831"/>
      <c r="C2002" s="774" t="s">
        <v>1510</v>
      </c>
      <c r="D2002" s="776" t="s">
        <v>1511</v>
      </c>
      <c r="E2002" s="774" t="s">
        <v>1482</v>
      </c>
      <c r="F2002" s="774">
        <v>0.12</v>
      </c>
      <c r="G2002" s="774"/>
      <c r="H2002" s="774">
        <v>5527.21</v>
      </c>
      <c r="I2002" s="774">
        <v>0</v>
      </c>
      <c r="J2002" s="774">
        <f t="shared" si="61"/>
        <v>663.26519999999994</v>
      </c>
    </row>
    <row r="2003" spans="1:10" ht="12.75" hidden="1" customHeight="1" outlineLevel="2">
      <c r="A2003" s="1830"/>
      <c r="B2003" s="1831"/>
      <c r="C2003" s="774" t="s">
        <v>1747</v>
      </c>
      <c r="D2003" s="776" t="s">
        <v>1748</v>
      </c>
      <c r="E2003" s="774" t="s">
        <v>1482</v>
      </c>
      <c r="F2003" s="774">
        <v>0.12</v>
      </c>
      <c r="G2003" s="774"/>
      <c r="H2003" s="774">
        <v>7237.76</v>
      </c>
      <c r="I2003" s="774">
        <v>0</v>
      </c>
      <c r="J2003" s="774">
        <f t="shared" si="61"/>
        <v>868.53120000000001</v>
      </c>
    </row>
    <row r="2004" spans="1:10" ht="12.75" hidden="1" customHeight="1" outlineLevel="2">
      <c r="A2004" s="1830"/>
      <c r="B2004" s="1831"/>
      <c r="C2004" s="774"/>
      <c r="D2004" s="774"/>
      <c r="E2004" s="774"/>
      <c r="F2004" s="774"/>
      <c r="G2004" s="774">
        <v>5</v>
      </c>
      <c r="H2004" s="774" t="s">
        <v>1514</v>
      </c>
      <c r="I2004" s="774"/>
      <c r="J2004" s="774">
        <v>76.59</v>
      </c>
    </row>
    <row r="2005" spans="1:10" ht="12.75" hidden="1" customHeight="1" outlineLevel="2">
      <c r="A2005" s="1830"/>
      <c r="B2005" s="1831"/>
      <c r="C2005" s="1808" t="s">
        <v>1488</v>
      </c>
      <c r="D2005" s="1808"/>
      <c r="E2005" s="799" t="s">
        <v>48</v>
      </c>
      <c r="F2005" s="583">
        <f>'14. Inst. Hidro-Sanitarias'!J86</f>
        <v>46.02</v>
      </c>
      <c r="G2005" s="799"/>
      <c r="H2005" s="799"/>
      <c r="I2005" s="799">
        <v>0</v>
      </c>
      <c r="J2005" s="774">
        <f>SUM(J1995:J2004)</f>
        <v>21029.383940000003</v>
      </c>
    </row>
    <row r="2006" spans="1:10" ht="12.75" hidden="1" customHeight="1" outlineLevel="1" collapsed="1">
      <c r="A2006" s="1830"/>
      <c r="B2006" s="1831"/>
      <c r="C2006" s="1827" t="s">
        <v>47</v>
      </c>
      <c r="D2006" s="1827"/>
      <c r="E2006" s="1827"/>
      <c r="F2006" s="1827"/>
      <c r="G2006" s="1827"/>
      <c r="H2006" s="1827"/>
      <c r="I2006" s="1827"/>
      <c r="J2006" s="773">
        <f>J2005*F2005</f>
        <v>967772.24891880027</v>
      </c>
    </row>
    <row r="2007" spans="1:10" ht="12.75" hidden="1" customHeight="1" outlineLevel="1">
      <c r="A2007" s="1830" t="s">
        <v>1808</v>
      </c>
      <c r="B2007" s="1831" t="s">
        <v>1431</v>
      </c>
      <c r="C2007" s="1875" t="s">
        <v>1340</v>
      </c>
      <c r="D2007" s="1832"/>
      <c r="E2007" s="1832"/>
      <c r="F2007" s="1832"/>
      <c r="G2007" s="1832"/>
      <c r="H2007" s="1832"/>
      <c r="I2007" s="1832"/>
      <c r="J2007" s="1832"/>
    </row>
    <row r="2008" spans="1:10" ht="12.75" hidden="1" customHeight="1" outlineLevel="2">
      <c r="A2008" s="1830"/>
      <c r="B2008" s="1831"/>
      <c r="C2008" s="774" t="s">
        <v>1809</v>
      </c>
      <c r="D2008" s="776" t="s">
        <v>1810</v>
      </c>
      <c r="E2008" s="774" t="s">
        <v>1492</v>
      </c>
      <c r="F2008" s="774">
        <v>1</v>
      </c>
      <c r="G2008" s="774"/>
      <c r="H2008" s="774">
        <v>7213</v>
      </c>
      <c r="I2008" s="774">
        <v>0</v>
      </c>
      <c r="J2008" s="774">
        <f t="shared" ref="J2008:J2016" si="62">(F2008*(1+G2008/100)) * (H2008*(1+I2008/100))</f>
        <v>7213</v>
      </c>
    </row>
    <row r="2009" spans="1:10" ht="12.75" hidden="1" customHeight="1" outlineLevel="2">
      <c r="A2009" s="1830"/>
      <c r="B2009" s="1831"/>
      <c r="C2009" s="774" t="s">
        <v>1811</v>
      </c>
      <c r="D2009" s="776" t="s">
        <v>1812</v>
      </c>
      <c r="E2009" s="774" t="s">
        <v>48</v>
      </c>
      <c r="F2009" s="774">
        <v>1</v>
      </c>
      <c r="G2009" s="774">
        <v>5</v>
      </c>
      <c r="H2009" s="774">
        <v>15404.039999999999</v>
      </c>
      <c r="I2009" s="774">
        <v>0</v>
      </c>
      <c r="J2009" s="774">
        <f t="shared" si="62"/>
        <v>16174.242</v>
      </c>
    </row>
    <row r="2010" spans="1:10" ht="12.75" hidden="1" customHeight="1" outlineLevel="2">
      <c r="A2010" s="1830"/>
      <c r="B2010" s="1831"/>
      <c r="C2010" s="774" t="s">
        <v>1813</v>
      </c>
      <c r="D2010" s="776" t="s">
        <v>1814</v>
      </c>
      <c r="E2010" s="774" t="s">
        <v>1492</v>
      </c>
      <c r="F2010" s="774">
        <v>1</v>
      </c>
      <c r="G2010" s="774"/>
      <c r="H2010" s="774">
        <v>13161.960000000001</v>
      </c>
      <c r="I2010" s="774">
        <v>0</v>
      </c>
      <c r="J2010" s="774">
        <f t="shared" si="62"/>
        <v>13161.960000000001</v>
      </c>
    </row>
    <row r="2011" spans="1:10" ht="12.75" hidden="1" customHeight="1" outlineLevel="2">
      <c r="A2011" s="1830"/>
      <c r="B2011" s="1831"/>
      <c r="C2011" s="774" t="s">
        <v>1815</v>
      </c>
      <c r="D2011" s="776" t="s">
        <v>1816</v>
      </c>
      <c r="E2011" s="774" t="s">
        <v>1492</v>
      </c>
      <c r="F2011" s="774">
        <v>1</v>
      </c>
      <c r="G2011" s="774"/>
      <c r="H2011" s="774">
        <v>10301.039999999999</v>
      </c>
      <c r="I2011" s="774">
        <v>0</v>
      </c>
      <c r="J2011" s="774">
        <f t="shared" si="62"/>
        <v>10301.039999999999</v>
      </c>
    </row>
    <row r="2012" spans="1:10" ht="12.75" hidden="1" customHeight="1" outlineLevel="2">
      <c r="A2012" s="1830"/>
      <c r="B2012" s="1831"/>
      <c r="C2012" s="774" t="s">
        <v>1761</v>
      </c>
      <c r="D2012" s="776" t="s">
        <v>1762</v>
      </c>
      <c r="E2012" s="774" t="s">
        <v>1763</v>
      </c>
      <c r="F2012" s="774">
        <v>3.0000000000000001E-3</v>
      </c>
      <c r="G2012" s="774">
        <v>5</v>
      </c>
      <c r="H2012" s="774">
        <v>87162.48000000001</v>
      </c>
      <c r="I2012" s="774">
        <v>0</v>
      </c>
      <c r="J2012" s="774">
        <f t="shared" si="62"/>
        <v>274.56181200000003</v>
      </c>
    </row>
    <row r="2013" spans="1:10" ht="12.75" hidden="1" customHeight="1" outlineLevel="2">
      <c r="A2013" s="1830"/>
      <c r="B2013" s="1831"/>
      <c r="C2013" s="774" t="s">
        <v>1764</v>
      </c>
      <c r="D2013" s="776" t="s">
        <v>1765</v>
      </c>
      <c r="E2013" s="774" t="s">
        <v>1492</v>
      </c>
      <c r="F2013" s="774">
        <v>3.0000000000000001E-3</v>
      </c>
      <c r="G2013" s="774">
        <v>5</v>
      </c>
      <c r="H2013" s="774">
        <v>42064.92</v>
      </c>
      <c r="I2013" s="774">
        <v>0</v>
      </c>
      <c r="J2013" s="774">
        <f t="shared" si="62"/>
        <v>132.50449799999998</v>
      </c>
    </row>
    <row r="2014" spans="1:10" ht="12.75" hidden="1" customHeight="1" outlineLevel="2">
      <c r="A2014" s="1830"/>
      <c r="B2014" s="1831"/>
      <c r="C2014" s="774" t="s">
        <v>1817</v>
      </c>
      <c r="D2014" s="776" t="s">
        <v>1818</v>
      </c>
      <c r="E2014" s="774" t="s">
        <v>1492</v>
      </c>
      <c r="F2014" s="774">
        <v>0.25</v>
      </c>
      <c r="G2014" s="774"/>
      <c r="H2014" s="774">
        <v>3789.72</v>
      </c>
      <c r="I2014" s="774">
        <v>0</v>
      </c>
      <c r="J2014" s="774">
        <f t="shared" si="62"/>
        <v>947.43</v>
      </c>
    </row>
    <row r="2015" spans="1:10" ht="12.75" hidden="1" customHeight="1" outlineLevel="2">
      <c r="A2015" s="1830"/>
      <c r="B2015" s="1831"/>
      <c r="C2015" s="774" t="s">
        <v>1510</v>
      </c>
      <c r="D2015" s="776" t="s">
        <v>1511</v>
      </c>
      <c r="E2015" s="774" t="s">
        <v>1482</v>
      </c>
      <c r="F2015" s="774">
        <v>0.16</v>
      </c>
      <c r="G2015" s="774"/>
      <c r="H2015" s="774">
        <v>5527.21</v>
      </c>
      <c r="I2015" s="774">
        <v>0</v>
      </c>
      <c r="J2015" s="774">
        <f t="shared" si="62"/>
        <v>884.35360000000003</v>
      </c>
    </row>
    <row r="2016" spans="1:10" ht="12.75" hidden="1" customHeight="1" outlineLevel="2">
      <c r="A2016" s="1830"/>
      <c r="B2016" s="1831"/>
      <c r="C2016" s="774" t="s">
        <v>1747</v>
      </c>
      <c r="D2016" s="776" t="s">
        <v>1748</v>
      </c>
      <c r="E2016" s="774" t="s">
        <v>1482</v>
      </c>
      <c r="F2016" s="774">
        <v>0.16</v>
      </c>
      <c r="G2016" s="774"/>
      <c r="H2016" s="774">
        <v>7237.76</v>
      </c>
      <c r="I2016" s="774">
        <v>0</v>
      </c>
      <c r="J2016" s="774">
        <f t="shared" si="62"/>
        <v>1158.0416</v>
      </c>
    </row>
    <row r="2017" spans="1:10" ht="12.75" hidden="1" customHeight="1" outlineLevel="2">
      <c r="A2017" s="1830"/>
      <c r="B2017" s="1831"/>
      <c r="C2017" s="774"/>
      <c r="D2017" s="774"/>
      <c r="E2017" s="774"/>
      <c r="F2017" s="774"/>
      <c r="G2017" s="774">
        <v>5</v>
      </c>
      <c r="H2017" s="774" t="s">
        <v>1514</v>
      </c>
      <c r="I2017" s="774"/>
      <c r="J2017" s="774">
        <v>102.12</v>
      </c>
    </row>
    <row r="2018" spans="1:10" ht="12.75" hidden="1" customHeight="1" outlineLevel="2">
      <c r="A2018" s="1830"/>
      <c r="B2018" s="1831"/>
      <c r="C2018" s="1808" t="s">
        <v>1488</v>
      </c>
      <c r="D2018" s="1808"/>
      <c r="E2018" s="799" t="s">
        <v>48</v>
      </c>
      <c r="F2018" s="583">
        <f>'14. Inst. Hidro-Sanitarias'!I85</f>
        <v>2</v>
      </c>
      <c r="G2018" s="799"/>
      <c r="H2018" s="799"/>
      <c r="I2018" s="799">
        <v>0</v>
      </c>
      <c r="J2018" s="774">
        <f>SUM(J2008:J2017)</f>
        <v>50349.253510000002</v>
      </c>
    </row>
    <row r="2019" spans="1:10" ht="12.75" hidden="1" customHeight="1" outlineLevel="1" collapsed="1">
      <c r="A2019" s="1830"/>
      <c r="B2019" s="1831"/>
      <c r="C2019" s="1827" t="s">
        <v>47</v>
      </c>
      <c r="D2019" s="1827"/>
      <c r="E2019" s="1827"/>
      <c r="F2019" s="1827"/>
      <c r="G2019" s="1827"/>
      <c r="H2019" s="1827"/>
      <c r="I2019" s="1827"/>
      <c r="J2019" s="773">
        <f>J2018*F2018</f>
        <v>100698.50702</v>
      </c>
    </row>
    <row r="2020" spans="1:10" ht="12.75" hidden="1" customHeight="1" outlineLevel="1">
      <c r="A2020" s="1873" t="s">
        <v>1533</v>
      </c>
      <c r="B2020" s="1831" t="s">
        <v>1432</v>
      </c>
      <c r="C2020" s="1875" t="s">
        <v>1341</v>
      </c>
      <c r="D2020" s="1832"/>
      <c r="E2020" s="1832"/>
      <c r="F2020" s="1832"/>
      <c r="G2020" s="1832"/>
      <c r="H2020" s="1832"/>
      <c r="I2020" s="1832"/>
      <c r="J2020" s="1832"/>
    </row>
    <row r="2021" spans="1:10" ht="12.75" hidden="1" customHeight="1" outlineLevel="2">
      <c r="A2021" s="1873"/>
      <c r="B2021" s="1831"/>
      <c r="C2021" s="1911" t="s">
        <v>1884</v>
      </c>
      <c r="D2021" s="1834"/>
      <c r="E2021" s="774" t="s">
        <v>48</v>
      </c>
      <c r="F2021" s="774">
        <v>1</v>
      </c>
      <c r="G2021" s="774"/>
      <c r="H2021" s="774">
        <v>26235</v>
      </c>
      <c r="I2021" s="774"/>
      <c r="J2021" s="774">
        <v>26235</v>
      </c>
    </row>
    <row r="2022" spans="1:10" ht="12.75" hidden="1" customHeight="1" outlineLevel="2">
      <c r="A2022" s="1873"/>
      <c r="B2022" s="1831"/>
      <c r="C2022" s="1911" t="s">
        <v>1885</v>
      </c>
      <c r="D2022" s="1834"/>
      <c r="E2022" s="774" t="s">
        <v>39</v>
      </c>
      <c r="F2022" s="774">
        <v>1.4E-2</v>
      </c>
      <c r="G2022" s="774"/>
      <c r="H2022" s="774">
        <v>21748.82</v>
      </c>
      <c r="I2022" s="774"/>
      <c r="J2022" s="774">
        <v>304.48347999999999</v>
      </c>
    </row>
    <row r="2023" spans="1:10" ht="12.75" hidden="1" customHeight="1" outlineLevel="2">
      <c r="A2023" s="1873"/>
      <c r="B2023" s="1831"/>
      <c r="C2023" s="1911" t="s">
        <v>1886</v>
      </c>
      <c r="D2023" s="1834"/>
      <c r="E2023" s="774" t="s">
        <v>39</v>
      </c>
      <c r="F2023" s="774">
        <v>2.9000000000000001E-2</v>
      </c>
      <c r="G2023" s="774"/>
      <c r="H2023" s="774">
        <v>16561.669999999998</v>
      </c>
      <c r="I2023" s="774"/>
      <c r="J2023" s="774">
        <v>480.28842999999995</v>
      </c>
    </row>
    <row r="2024" spans="1:10" ht="12.75" hidden="1" customHeight="1" outlineLevel="2">
      <c r="A2024" s="1873"/>
      <c r="B2024" s="1831"/>
      <c r="C2024" s="1911" t="s">
        <v>1887</v>
      </c>
      <c r="D2024" s="1834"/>
      <c r="E2024" s="774" t="s">
        <v>1888</v>
      </c>
      <c r="F2024" s="774">
        <v>0.1</v>
      </c>
      <c r="G2024" s="774"/>
      <c r="H2024" s="774">
        <v>4085.94</v>
      </c>
      <c r="I2024" s="774"/>
      <c r="J2024" s="774">
        <v>408.59400000000005</v>
      </c>
    </row>
    <row r="2025" spans="1:10" ht="12.75" hidden="1" customHeight="1" outlineLevel="2">
      <c r="A2025" s="1873"/>
      <c r="B2025" s="1831"/>
      <c r="C2025" s="1911" t="s">
        <v>1876</v>
      </c>
      <c r="D2025" s="1834"/>
      <c r="E2025" s="774" t="s">
        <v>1482</v>
      </c>
      <c r="F2025" s="774">
        <v>0.312</v>
      </c>
      <c r="G2025" s="774"/>
      <c r="H2025" s="774">
        <v>11654.21</v>
      </c>
      <c r="I2025" s="774"/>
      <c r="J2025" s="774">
        <v>3636.1135199999999</v>
      </c>
    </row>
    <row r="2026" spans="1:10" ht="12.75" hidden="1" customHeight="1" outlineLevel="2">
      <c r="A2026" s="1873"/>
      <c r="B2026" s="1831"/>
      <c r="C2026" s="1911" t="s">
        <v>1877</v>
      </c>
      <c r="D2026" s="1834"/>
      <c r="E2026" s="774" t="s">
        <v>1482</v>
      </c>
      <c r="F2026" s="774">
        <v>0.33900000000000002</v>
      </c>
      <c r="G2026" s="774"/>
      <c r="H2026" s="774">
        <v>7644.3</v>
      </c>
      <c r="I2026" s="774"/>
      <c r="J2026" s="774">
        <v>2591.4177000000004</v>
      </c>
    </row>
    <row r="2027" spans="1:10" ht="12.75" hidden="1" customHeight="1" outlineLevel="2">
      <c r="A2027" s="1873"/>
      <c r="B2027" s="1831"/>
      <c r="C2027" s="1911" t="s">
        <v>1889</v>
      </c>
      <c r="D2027" s="1834"/>
      <c r="E2027" s="774" t="s">
        <v>1482</v>
      </c>
      <c r="F2027" s="774">
        <v>5.5E-2</v>
      </c>
      <c r="G2027" s="774"/>
      <c r="H2027" s="774">
        <v>11274.89</v>
      </c>
      <c r="I2027" s="774"/>
      <c r="J2027" s="774">
        <v>620.11894999999993</v>
      </c>
    </row>
    <row r="2028" spans="1:10" ht="12.75" hidden="1" customHeight="1" outlineLevel="2">
      <c r="A2028" s="1873"/>
      <c r="B2028" s="1831"/>
      <c r="C2028" s="1165"/>
      <c r="D2028" s="1165"/>
      <c r="E2028" s="1165"/>
      <c r="F2028" s="1165"/>
      <c r="G2028" s="1165">
        <v>5</v>
      </c>
      <c r="H2028" s="1165" t="s">
        <v>1514</v>
      </c>
      <c r="I2028" s="1165"/>
      <c r="J2028" s="1165">
        <f>0.05*(J2027+J2026+J2025)</f>
        <v>342.38250850000009</v>
      </c>
    </row>
    <row r="2029" spans="1:10" ht="12.75" hidden="1" customHeight="1" outlineLevel="2">
      <c r="A2029" s="1873"/>
      <c r="B2029" s="1831"/>
      <c r="C2029" s="1808" t="s">
        <v>1488</v>
      </c>
      <c r="D2029" s="1808"/>
      <c r="E2029" s="799" t="s">
        <v>48</v>
      </c>
      <c r="F2029" s="583">
        <f>'14. Inst. Hidro-Sanitarias'!P86</f>
        <v>126.43</v>
      </c>
      <c r="G2029" s="799"/>
      <c r="H2029" s="799"/>
      <c r="I2029" s="799">
        <v>0</v>
      </c>
      <c r="J2029" s="774">
        <f>SUM(J2021:J2028)</f>
        <v>34618.398588499993</v>
      </c>
    </row>
    <row r="2030" spans="1:10" ht="12.75" hidden="1" customHeight="1" outlineLevel="1" collapsed="1">
      <c r="A2030" s="1873"/>
      <c r="B2030" s="1831"/>
      <c r="C2030" s="1827" t="s">
        <v>47</v>
      </c>
      <c r="D2030" s="1827"/>
      <c r="E2030" s="1827"/>
      <c r="F2030" s="1827"/>
      <c r="G2030" s="1827"/>
      <c r="H2030" s="1827"/>
      <c r="I2030" s="1827"/>
      <c r="J2030" s="773">
        <f>J2029*F2029</f>
        <v>4376804.1335440539</v>
      </c>
    </row>
    <row r="2031" spans="1:10" ht="12.75" hidden="1" customHeight="1" outlineLevel="1">
      <c r="A2031" s="1873" t="s">
        <v>1533</v>
      </c>
      <c r="B2031" s="1831" t="s">
        <v>1433</v>
      </c>
      <c r="C2031" s="1875" t="s">
        <v>1342</v>
      </c>
      <c r="D2031" s="1832"/>
      <c r="E2031" s="1832"/>
      <c r="F2031" s="1832"/>
      <c r="G2031" s="1832"/>
      <c r="H2031" s="1832"/>
      <c r="I2031" s="1832"/>
      <c r="J2031" s="1832"/>
    </row>
    <row r="2032" spans="1:10" ht="12.75" hidden="1" customHeight="1" outlineLevel="2">
      <c r="A2032" s="1873"/>
      <c r="B2032" s="1831"/>
      <c r="C2032" s="1911" t="s">
        <v>1884</v>
      </c>
      <c r="D2032" s="1834"/>
      <c r="E2032" s="774" t="s">
        <v>48</v>
      </c>
      <c r="F2032" s="774">
        <v>1</v>
      </c>
      <c r="G2032" s="774"/>
      <c r="H2032" s="774">
        <v>26235</v>
      </c>
      <c r="I2032" s="774"/>
      <c r="J2032" s="774">
        <v>26235</v>
      </c>
    </row>
    <row r="2033" spans="1:10" ht="12.75" hidden="1" customHeight="1" outlineLevel="2">
      <c r="A2033" s="1873"/>
      <c r="B2033" s="1831"/>
      <c r="C2033" s="1911" t="s">
        <v>1885</v>
      </c>
      <c r="D2033" s="1834"/>
      <c r="E2033" s="774" t="s">
        <v>39</v>
      </c>
      <c r="F2033" s="774">
        <v>1.4E-2</v>
      </c>
      <c r="G2033" s="774"/>
      <c r="H2033" s="774">
        <v>21748.82</v>
      </c>
      <c r="I2033" s="774"/>
      <c r="J2033" s="774">
        <v>304.48347999999999</v>
      </c>
    </row>
    <row r="2034" spans="1:10" ht="12.75" hidden="1" customHeight="1" outlineLevel="2">
      <c r="A2034" s="1873"/>
      <c r="B2034" s="1831"/>
      <c r="C2034" s="1911" t="s">
        <v>1886</v>
      </c>
      <c r="D2034" s="1834"/>
      <c r="E2034" s="774" t="s">
        <v>39</v>
      </c>
      <c r="F2034" s="774">
        <v>2.9000000000000001E-2</v>
      </c>
      <c r="G2034" s="774"/>
      <c r="H2034" s="774">
        <v>16561.669999999998</v>
      </c>
      <c r="I2034" s="774"/>
      <c r="J2034" s="774">
        <v>480.28842999999995</v>
      </c>
    </row>
    <row r="2035" spans="1:10" ht="12.75" hidden="1" customHeight="1" outlineLevel="2">
      <c r="A2035" s="1873"/>
      <c r="B2035" s="1831"/>
      <c r="C2035" s="1911" t="s">
        <v>1887</v>
      </c>
      <c r="D2035" s="1834"/>
      <c r="E2035" s="774" t="s">
        <v>1888</v>
      </c>
      <c r="F2035" s="774">
        <v>0.1</v>
      </c>
      <c r="G2035" s="774"/>
      <c r="H2035" s="774">
        <v>4085.94</v>
      </c>
      <c r="I2035" s="774"/>
      <c r="J2035" s="774">
        <v>408.59400000000005</v>
      </c>
    </row>
    <row r="2036" spans="1:10" ht="12.75" hidden="1" customHeight="1" outlineLevel="2">
      <c r="A2036" s="1873"/>
      <c r="B2036" s="1831"/>
      <c r="C2036" s="1911" t="s">
        <v>1876</v>
      </c>
      <c r="D2036" s="1834"/>
      <c r="E2036" s="774" t="s">
        <v>1482</v>
      </c>
      <c r="F2036" s="774">
        <v>0.312</v>
      </c>
      <c r="G2036" s="774"/>
      <c r="H2036" s="774">
        <v>11654.21</v>
      </c>
      <c r="I2036" s="774"/>
      <c r="J2036" s="774">
        <v>3636.1135199999999</v>
      </c>
    </row>
    <row r="2037" spans="1:10" ht="12.75" hidden="1" customHeight="1" outlineLevel="2">
      <c r="A2037" s="1873"/>
      <c r="B2037" s="1831"/>
      <c r="C2037" s="1911" t="s">
        <v>1877</v>
      </c>
      <c r="D2037" s="1834"/>
      <c r="E2037" s="774" t="s">
        <v>1482</v>
      </c>
      <c r="F2037" s="774">
        <v>0.33900000000000002</v>
      </c>
      <c r="G2037" s="774"/>
      <c r="H2037" s="774">
        <v>7644.3</v>
      </c>
      <c r="I2037" s="774"/>
      <c r="J2037" s="774">
        <v>2591.4177000000004</v>
      </c>
    </row>
    <row r="2038" spans="1:10" ht="12.75" hidden="1" customHeight="1" outlineLevel="2">
      <c r="A2038" s="1873"/>
      <c r="B2038" s="1831"/>
      <c r="C2038" s="1911" t="s">
        <v>1889</v>
      </c>
      <c r="D2038" s="1834"/>
      <c r="E2038" s="774" t="s">
        <v>1482</v>
      </c>
      <c r="F2038" s="774">
        <v>5.5E-2</v>
      </c>
      <c r="G2038" s="774"/>
      <c r="H2038" s="774">
        <v>11274.89</v>
      </c>
      <c r="I2038" s="774"/>
      <c r="J2038" s="774">
        <v>620.11894999999993</v>
      </c>
    </row>
    <row r="2039" spans="1:10" ht="12.75" hidden="1" customHeight="1" outlineLevel="2">
      <c r="A2039" s="1873"/>
      <c r="B2039" s="1831"/>
      <c r="C2039" s="1165"/>
      <c r="D2039" s="1165"/>
      <c r="E2039" s="1165"/>
      <c r="F2039" s="1165"/>
      <c r="G2039" s="1165">
        <v>5</v>
      </c>
      <c r="H2039" s="1165" t="s">
        <v>1514</v>
      </c>
      <c r="I2039" s="1165"/>
      <c r="J2039" s="1165">
        <f>0.05*(J2038+J2037+J2036)</f>
        <v>342.38250850000009</v>
      </c>
    </row>
    <row r="2040" spans="1:10" ht="12.75" hidden="1" customHeight="1" outlineLevel="2">
      <c r="A2040" s="1873"/>
      <c r="B2040" s="1831"/>
      <c r="C2040" s="1808" t="s">
        <v>1488</v>
      </c>
      <c r="D2040" s="1808"/>
      <c r="E2040" s="799" t="s">
        <v>48</v>
      </c>
      <c r="F2040" s="583">
        <f>'14. Inst. Hidro-Sanitarias'!P87</f>
        <v>161.16999999999999</v>
      </c>
      <c r="G2040" s="799"/>
      <c r="H2040" s="799"/>
      <c r="I2040" s="799">
        <v>0</v>
      </c>
      <c r="J2040" s="774">
        <f>SUM(J2032:J2039)</f>
        <v>34618.398588499993</v>
      </c>
    </row>
    <row r="2041" spans="1:10" ht="12.75" hidden="1" customHeight="1" outlineLevel="1" collapsed="1">
      <c r="A2041" s="1873"/>
      <c r="B2041" s="1831"/>
      <c r="C2041" s="1827" t="s">
        <v>47</v>
      </c>
      <c r="D2041" s="1827"/>
      <c r="E2041" s="1827"/>
      <c r="F2041" s="1827"/>
      <c r="G2041" s="1827"/>
      <c r="H2041" s="1827"/>
      <c r="I2041" s="1827"/>
      <c r="J2041" s="773">
        <f>J2040*F2040</f>
        <v>5579447.3005085438</v>
      </c>
    </row>
    <row r="2042" spans="1:10" ht="12.75" hidden="1" customHeight="1" outlineLevel="1">
      <c r="A2042" s="1868"/>
      <c r="B2042" s="1863"/>
      <c r="C2042" s="1874" t="s">
        <v>2489</v>
      </c>
      <c r="D2042" s="1874"/>
      <c r="E2042" s="1874"/>
      <c r="F2042" s="1874"/>
      <c r="G2042" s="1874"/>
      <c r="H2042" s="1874"/>
      <c r="I2042" s="1874"/>
      <c r="J2042" s="1874"/>
    </row>
    <row r="2043" spans="1:10" ht="12.75" hidden="1" customHeight="1" outlineLevel="2">
      <c r="A2043" s="1868"/>
      <c r="B2043" s="1863"/>
      <c r="C2043" s="1912" t="s">
        <v>2855</v>
      </c>
      <c r="D2043" s="1890"/>
      <c r="E2043" s="943" t="s">
        <v>345</v>
      </c>
      <c r="F2043" s="943">
        <v>1.1000000000000001</v>
      </c>
      <c r="G2043" s="943"/>
      <c r="H2043" s="5"/>
      <c r="I2043" s="5"/>
      <c r="J2043" s="943">
        <v>22171</v>
      </c>
    </row>
    <row r="2044" spans="1:10" ht="12.75" hidden="1" customHeight="1" outlineLevel="2">
      <c r="A2044" s="1868"/>
      <c r="B2044" s="1863"/>
      <c r="C2044" s="1912" t="s">
        <v>2856</v>
      </c>
      <c r="D2044" s="1890"/>
      <c r="E2044" s="943" t="s">
        <v>285</v>
      </c>
      <c r="F2044" s="943">
        <v>0.5</v>
      </c>
      <c r="G2044" s="943"/>
      <c r="H2044" s="5"/>
      <c r="I2044" s="5"/>
      <c r="J2044" s="943">
        <v>1164</v>
      </c>
    </row>
    <row r="2045" spans="1:10" ht="12.75" hidden="1" customHeight="1" outlineLevel="2">
      <c r="A2045" s="1868"/>
      <c r="B2045" s="1863"/>
      <c r="C2045" s="1912" t="s">
        <v>2857</v>
      </c>
      <c r="D2045" s="1890"/>
      <c r="E2045" s="943" t="s">
        <v>1897</v>
      </c>
      <c r="F2045" s="943">
        <v>0.15</v>
      </c>
      <c r="G2045" s="943"/>
      <c r="H2045" s="5"/>
      <c r="I2045" s="5"/>
      <c r="J2045" s="943">
        <v>3099</v>
      </c>
    </row>
    <row r="2046" spans="1:10" ht="12.75" hidden="1" customHeight="1" outlineLevel="2">
      <c r="A2046" s="1868"/>
      <c r="B2046" s="1863"/>
      <c r="C2046" s="1165"/>
      <c r="D2046" s="1165"/>
      <c r="E2046" s="1165"/>
      <c r="F2046" s="1165"/>
      <c r="G2046" s="1165">
        <v>5</v>
      </c>
      <c r="H2046" s="1165" t="s">
        <v>1514</v>
      </c>
      <c r="I2046" s="1165"/>
      <c r="J2046" s="1165">
        <f>0.05*J2045</f>
        <v>154.95000000000002</v>
      </c>
    </row>
    <row r="2047" spans="1:10" ht="12.75" hidden="1" customHeight="1" outlineLevel="2">
      <c r="A2047" s="1868"/>
      <c r="B2047" s="1863"/>
      <c r="C2047" s="1808" t="s">
        <v>1488</v>
      </c>
      <c r="D2047" s="1808"/>
      <c r="E2047" s="942" t="s">
        <v>345</v>
      </c>
      <c r="F2047" s="583">
        <v>31.84</v>
      </c>
      <c r="G2047" s="942"/>
      <c r="H2047" s="942"/>
      <c r="I2047" s="942">
        <v>0</v>
      </c>
      <c r="J2047" s="943">
        <f>SUM(J2043:J2046)</f>
        <v>26588.95</v>
      </c>
    </row>
    <row r="2048" spans="1:10" ht="12.75" hidden="1" customHeight="1" outlineLevel="1">
      <c r="A2048" s="1868"/>
      <c r="B2048" s="1863"/>
      <c r="C2048" s="1836" t="s">
        <v>47</v>
      </c>
      <c r="D2048" s="1827"/>
      <c r="E2048" s="1827"/>
      <c r="F2048" s="1827"/>
      <c r="G2048" s="1827"/>
      <c r="H2048" s="1827"/>
      <c r="I2048" s="1827"/>
      <c r="J2048" s="773">
        <f>J2047*F2047</f>
        <v>846592.16800000006</v>
      </c>
    </row>
    <row r="2049" spans="1:17" collapsed="1">
      <c r="A2049" s="1869">
        <v>19</v>
      </c>
      <c r="B2049" s="1870"/>
      <c r="C2049" s="1869" t="s">
        <v>1890</v>
      </c>
      <c r="D2049" s="1871"/>
      <c r="E2049" s="1871"/>
      <c r="F2049" s="1871"/>
      <c r="G2049" s="1871"/>
      <c r="H2049" s="1871"/>
      <c r="I2049" s="1871"/>
      <c r="J2049" s="1870"/>
    </row>
    <row r="2050" spans="1:17" ht="12.75" hidden="1" customHeight="1" outlineLevel="1">
      <c r="A2050" s="1861" t="s">
        <v>1533</v>
      </c>
      <c r="B2050" s="1831" t="s">
        <v>1434</v>
      </c>
      <c r="C2050" s="1862" t="s">
        <v>1179</v>
      </c>
      <c r="D2050" s="1862"/>
      <c r="E2050" s="1862"/>
      <c r="F2050" s="1862"/>
      <c r="G2050" s="1862"/>
      <c r="H2050" s="1862"/>
      <c r="I2050" s="1862"/>
      <c r="J2050" s="1862"/>
    </row>
    <row r="2051" spans="1:17" hidden="1" outlineLevel="2">
      <c r="A2051" s="1861"/>
      <c r="B2051" s="1831"/>
      <c r="C2051" s="1889" t="s">
        <v>1892</v>
      </c>
      <c r="D2051" s="1890"/>
      <c r="E2051" s="774" t="s">
        <v>1893</v>
      </c>
      <c r="F2051" s="774">
        <v>1</v>
      </c>
      <c r="G2051" s="774"/>
      <c r="H2051" s="774">
        <v>3000000</v>
      </c>
      <c r="I2051" s="774"/>
      <c r="J2051" s="774">
        <f>H2051*F2051</f>
        <v>3000000</v>
      </c>
    </row>
    <row r="2052" spans="1:17" hidden="1" outlineLevel="2">
      <c r="A2052" s="1861"/>
      <c r="B2052" s="1831"/>
      <c r="C2052" s="1889" t="s">
        <v>1894</v>
      </c>
      <c r="D2052" s="1890"/>
      <c r="E2052" s="774" t="s">
        <v>1895</v>
      </c>
      <c r="F2052" s="774">
        <v>10</v>
      </c>
      <c r="G2052" s="774"/>
      <c r="H2052" s="774">
        <v>130000</v>
      </c>
      <c r="I2052" s="774"/>
      <c r="J2052" s="774">
        <f>H2052*F2052</f>
        <v>1300000</v>
      </c>
    </row>
    <row r="2053" spans="1:17" hidden="1" outlineLevel="2">
      <c r="A2053" s="1861"/>
      <c r="B2053" s="1831"/>
      <c r="C2053" s="1889" t="s">
        <v>1896</v>
      </c>
      <c r="D2053" s="1890"/>
      <c r="E2053" s="774" t="s">
        <v>1897</v>
      </c>
      <c r="F2053" s="774">
        <v>720</v>
      </c>
      <c r="G2053" s="774"/>
      <c r="H2053" s="774">
        <v>20000</v>
      </c>
      <c r="I2053" s="774"/>
      <c r="J2053" s="774">
        <f>H2053*F2053</f>
        <v>14400000</v>
      </c>
    </row>
    <row r="2054" spans="1:17" hidden="1" outlineLevel="2">
      <c r="A2054" s="1861"/>
      <c r="B2054" s="1831"/>
      <c r="C2054" s="1889" t="s">
        <v>1898</v>
      </c>
      <c r="D2054" s="1890"/>
      <c r="E2054" s="774" t="s">
        <v>1891</v>
      </c>
      <c r="F2054" s="774">
        <v>1</v>
      </c>
      <c r="G2054" s="774"/>
      <c r="H2054" s="774">
        <v>122000000</v>
      </c>
      <c r="I2054" s="774"/>
      <c r="J2054" s="774">
        <f>H2054*F2054</f>
        <v>122000000</v>
      </c>
    </row>
    <row r="2055" spans="1:17" ht="15" hidden="1" outlineLevel="2">
      <c r="A2055" s="1861"/>
      <c r="B2055" s="1831"/>
      <c r="C2055" s="821"/>
      <c r="D2055" s="774"/>
      <c r="E2055" s="774"/>
      <c r="F2055" s="774"/>
      <c r="G2055" s="774">
        <v>5</v>
      </c>
      <c r="H2055" s="774" t="s">
        <v>1514</v>
      </c>
      <c r="I2055" s="774"/>
      <c r="J2055" s="829">
        <f>J2053*0.05</f>
        <v>720000</v>
      </c>
      <c r="K2055" s="823"/>
      <c r="L2055" s="824"/>
      <c r="M2055" s="825"/>
      <c r="N2055" s="826"/>
      <c r="O2055" s="826"/>
      <c r="P2055" s="827"/>
      <c r="Q2055" s="828"/>
    </row>
    <row r="2056" spans="1:17" hidden="1" outlineLevel="2">
      <c r="A2056" s="1861"/>
      <c r="B2056" s="1831"/>
      <c r="C2056" s="1835" t="s">
        <v>1488</v>
      </c>
      <c r="D2056" s="1808"/>
      <c r="E2056" s="822" t="s">
        <v>285</v>
      </c>
      <c r="F2056" s="583">
        <f>'12. Acabados y accesorios'!P44</f>
        <v>4</v>
      </c>
      <c r="G2056" s="822"/>
      <c r="H2056" s="822"/>
      <c r="I2056" s="822">
        <v>0</v>
      </c>
      <c r="J2056" s="774">
        <f>SUM(J2051:J2055)</f>
        <v>141420000</v>
      </c>
    </row>
    <row r="2057" spans="1:17" hidden="1" outlineLevel="1" collapsed="1">
      <c r="A2057" s="1861"/>
      <c r="B2057" s="1831"/>
      <c r="C2057" s="1836" t="s">
        <v>47</v>
      </c>
      <c r="D2057" s="1827"/>
      <c r="E2057" s="1827"/>
      <c r="F2057" s="1827"/>
      <c r="G2057" s="1827"/>
      <c r="H2057" s="1827"/>
      <c r="I2057" s="1827"/>
      <c r="J2057" s="773">
        <f>J2056*F2056</f>
        <v>565680000</v>
      </c>
    </row>
    <row r="2058" spans="1:17" hidden="1" outlineLevel="1">
      <c r="A2058" s="1929"/>
      <c r="B2058" s="1831" t="s">
        <v>1438</v>
      </c>
      <c r="C2058" s="1932" t="s">
        <v>1042</v>
      </c>
      <c r="D2058" s="1932"/>
      <c r="E2058" s="1932"/>
      <c r="F2058" s="1932"/>
      <c r="G2058" s="1932"/>
      <c r="H2058" s="1932"/>
      <c r="I2058" s="1932"/>
      <c r="J2058" s="1932"/>
    </row>
    <row r="2059" spans="1:17" hidden="1" outlineLevel="2">
      <c r="A2059" s="1930"/>
      <c r="B2059" s="1831"/>
      <c r="C2059" s="1165">
        <v>90096</v>
      </c>
      <c r="D2059" s="1165" t="s">
        <v>2729</v>
      </c>
      <c r="E2059" s="1165" t="s">
        <v>55</v>
      </c>
      <c r="F2059" s="1165" t="s">
        <v>2727</v>
      </c>
      <c r="G2059" s="1165" t="s">
        <v>2728</v>
      </c>
      <c r="H2059" s="1165">
        <v>111043.34299999999</v>
      </c>
      <c r="I2059" s="1165" t="s">
        <v>2728</v>
      </c>
      <c r="J2059" s="1165">
        <f>+H2059</f>
        <v>111043.34299999999</v>
      </c>
    </row>
    <row r="2060" spans="1:17" hidden="1" outlineLevel="2">
      <c r="A2060" s="1930"/>
      <c r="B2060" s="1831"/>
      <c r="C2060" s="856" t="s">
        <v>2846</v>
      </c>
      <c r="D2060" s="1165" t="s">
        <v>2847</v>
      </c>
      <c r="E2060" s="1165" t="s">
        <v>55</v>
      </c>
      <c r="F2060" s="1165">
        <v>1</v>
      </c>
      <c r="G2060" s="1165">
        <v>0</v>
      </c>
      <c r="H2060" s="1165">
        <v>55682.58</v>
      </c>
      <c r="I2060" s="1165">
        <v>0</v>
      </c>
      <c r="J2060" s="1165">
        <f>(F2060*(1+G2060/100)) * (H2060*(1+I2060/100))</f>
        <v>55682.58</v>
      </c>
    </row>
    <row r="2061" spans="1:17" hidden="1" outlineLevel="2">
      <c r="A2061" s="1930"/>
      <c r="B2061" s="1831"/>
      <c r="C2061" s="1165"/>
      <c r="D2061" s="1165"/>
      <c r="E2061" s="1165"/>
      <c r="F2061" s="1165">
        <v>5</v>
      </c>
      <c r="G2061" s="1917" t="s">
        <v>1514</v>
      </c>
      <c r="H2061" s="1917"/>
      <c r="I2061" s="1165">
        <v>2784.13</v>
      </c>
      <c r="J2061" s="1165">
        <v>835.24</v>
      </c>
    </row>
    <row r="2062" spans="1:17" hidden="1" outlineLevel="2">
      <c r="A2062" s="1930"/>
      <c r="B2062" s="1831"/>
      <c r="C2062" s="1933" t="s">
        <v>1488</v>
      </c>
      <c r="D2062" s="1933"/>
      <c r="E2062" s="1165" t="s">
        <v>55</v>
      </c>
      <c r="F2062" s="1165">
        <f>'18. Fachada'!F13</f>
        <v>2068.0768400000002</v>
      </c>
      <c r="G2062" s="1165"/>
      <c r="H2062" s="1165"/>
      <c r="I2062" s="1165"/>
      <c r="J2062" s="1165">
        <f>SUM(J2059:J2061)</f>
        <v>167561.163</v>
      </c>
    </row>
    <row r="2063" spans="1:17" hidden="1" outlineLevel="1" collapsed="1">
      <c r="A2063" s="1931"/>
      <c r="B2063" s="1831"/>
      <c r="C2063" s="1827" t="s">
        <v>47</v>
      </c>
      <c r="D2063" s="1827"/>
      <c r="E2063" s="1827"/>
      <c r="F2063" s="1827"/>
      <c r="G2063" s="1827"/>
      <c r="H2063" s="1827"/>
      <c r="I2063" s="1827"/>
      <c r="J2063" s="773">
        <f>J2062*F2062</f>
        <v>346529360.48376495</v>
      </c>
    </row>
    <row r="2064" spans="1:17" hidden="1" outlineLevel="1">
      <c r="A2064" s="1828"/>
      <c r="B2064" s="1831" t="s">
        <v>1439</v>
      </c>
      <c r="C2064" s="1887" t="s">
        <v>1437</v>
      </c>
      <c r="D2064" s="1826"/>
      <c r="E2064" s="1826"/>
      <c r="F2064" s="1826"/>
      <c r="G2064" s="1826"/>
      <c r="H2064" s="1826"/>
      <c r="I2064" s="1826"/>
      <c r="J2064" s="1826"/>
    </row>
    <row r="2065" spans="1:10" hidden="1" outlineLevel="2">
      <c r="A2065" s="1828"/>
      <c r="B2065" s="1831"/>
      <c r="C2065" s="1770" t="s">
        <v>2929</v>
      </c>
      <c r="D2065" s="1772"/>
      <c r="E2065" s="4" t="s">
        <v>49</v>
      </c>
      <c r="F2065" s="5"/>
      <c r="G2065" s="5"/>
      <c r="H2065" s="5"/>
      <c r="I2065" s="5"/>
      <c r="J2065" s="5">
        <v>504293</v>
      </c>
    </row>
    <row r="2066" spans="1:10" hidden="1" outlineLevel="2">
      <c r="A2066" s="1828"/>
      <c r="B2066" s="1831"/>
      <c r="C2066" s="1206" t="s">
        <v>2846</v>
      </c>
      <c r="D2066" s="1192" t="s">
        <v>2847</v>
      </c>
      <c r="E2066" s="1192" t="s">
        <v>55</v>
      </c>
      <c r="F2066" s="1192">
        <v>1</v>
      </c>
      <c r="G2066" s="1192">
        <v>0</v>
      </c>
      <c r="H2066" s="1192">
        <v>55682.58</v>
      </c>
      <c r="I2066" s="1192">
        <v>0</v>
      </c>
      <c r="J2066" s="1192">
        <f>(F2066*(1+G2066/100)) * (H2066*(1+I2066/100))</f>
        <v>55682.58</v>
      </c>
    </row>
    <row r="2067" spans="1:10" hidden="1" outlineLevel="2">
      <c r="A2067" s="1828"/>
      <c r="B2067" s="1831"/>
      <c r="C2067" s="1193"/>
      <c r="D2067" s="1192"/>
      <c r="E2067" s="1192"/>
      <c r="F2067" s="1192"/>
      <c r="G2067" s="1192">
        <v>5</v>
      </c>
      <c r="H2067" s="1192" t="s">
        <v>1514</v>
      </c>
      <c r="I2067" s="1192"/>
      <c r="J2067" s="829">
        <f>J2065*0.05</f>
        <v>25214.65</v>
      </c>
    </row>
    <row r="2068" spans="1:10" hidden="1" outlineLevel="2">
      <c r="A2068" s="1828"/>
      <c r="B2068" s="1831"/>
      <c r="C2068" s="1835" t="s">
        <v>1488</v>
      </c>
      <c r="D2068" s="1808"/>
      <c r="E2068" s="1194" t="s">
        <v>285</v>
      </c>
      <c r="F2068" s="583">
        <f>'18. Fachada'!L8</f>
        <v>356.61600000000004</v>
      </c>
      <c r="G2068" s="1194"/>
      <c r="H2068" s="1194"/>
      <c r="I2068" s="1194">
        <v>0</v>
      </c>
      <c r="J2068" s="1192">
        <f>SUM(J2065:J2067)</f>
        <v>585190.23</v>
      </c>
    </row>
    <row r="2069" spans="1:10" hidden="1" outlineLevel="1" collapsed="1">
      <c r="A2069" s="1828"/>
      <c r="B2069" s="1831"/>
      <c r="C2069" s="1836" t="s">
        <v>47</v>
      </c>
      <c r="D2069" s="1827"/>
      <c r="E2069" s="1827"/>
      <c r="F2069" s="1827"/>
      <c r="G2069" s="1827"/>
      <c r="H2069" s="1827"/>
      <c r="I2069" s="1827"/>
      <c r="J2069" s="773">
        <f>J2068*F2068</f>
        <v>208688199.06168002</v>
      </c>
    </row>
    <row r="2070" spans="1:10" collapsed="1">
      <c r="A2070" s="1844">
        <v>20</v>
      </c>
      <c r="B2070" s="1844"/>
      <c r="C2070" s="1844" t="s">
        <v>2737</v>
      </c>
      <c r="D2070" s="1844"/>
      <c r="E2070" s="1844"/>
      <c r="F2070" s="1844"/>
      <c r="G2070" s="1844"/>
      <c r="H2070" s="1844"/>
      <c r="I2070" s="1844"/>
      <c r="J2070" s="1844"/>
    </row>
    <row r="2071" spans="1:10" ht="12.75" hidden="1" customHeight="1" outlineLevel="1">
      <c r="A2071" s="1828"/>
      <c r="B2071" s="1829">
        <v>20.100000000000001</v>
      </c>
      <c r="C2071" s="1826" t="s">
        <v>679</v>
      </c>
      <c r="D2071" s="1826"/>
      <c r="E2071" s="1826"/>
      <c r="F2071" s="1826"/>
      <c r="G2071" s="1826"/>
      <c r="H2071" s="1826"/>
      <c r="I2071" s="1826"/>
      <c r="J2071" s="1826"/>
    </row>
    <row r="2072" spans="1:10" ht="12.75" hidden="1" customHeight="1" outlineLevel="1">
      <c r="A2072" s="1828"/>
      <c r="B2072" s="1829"/>
      <c r="C2072" s="5"/>
      <c r="D2072" s="1146" t="s">
        <v>2738</v>
      </c>
      <c r="E2072" s="1159" t="s">
        <v>55</v>
      </c>
      <c r="F2072" s="857">
        <v>1</v>
      </c>
      <c r="G2072" s="859"/>
      <c r="H2072" s="859">
        <v>200</v>
      </c>
      <c r="I2072" s="1145"/>
      <c r="J2072" s="859">
        <f>+F2072*H2072</f>
        <v>200</v>
      </c>
    </row>
    <row r="2073" spans="1:10" ht="12.75" hidden="1" customHeight="1" outlineLevel="1">
      <c r="A2073" s="1828"/>
      <c r="B2073" s="1829"/>
      <c r="C2073" s="1808" t="s">
        <v>1488</v>
      </c>
      <c r="D2073" s="1808"/>
      <c r="E2073" s="1106" t="s">
        <v>55</v>
      </c>
      <c r="F2073" s="583">
        <f>SUM('Cuadro de programación'!D937:D945)</f>
        <v>6585.1807999999992</v>
      </c>
      <c r="G2073" s="1106"/>
      <c r="H2073" s="1106"/>
      <c r="I2073" s="1106">
        <v>0</v>
      </c>
      <c r="J2073" s="1107">
        <f>SUM(J2072)</f>
        <v>200</v>
      </c>
    </row>
    <row r="2074" spans="1:10" hidden="1" outlineLevel="1">
      <c r="A2074" s="1828"/>
      <c r="B2074" s="1829"/>
      <c r="C2074" s="1827" t="s">
        <v>47</v>
      </c>
      <c r="D2074" s="1827"/>
      <c r="E2074" s="1827"/>
      <c r="F2074" s="1827"/>
      <c r="G2074" s="1827"/>
      <c r="H2074" s="1827"/>
      <c r="I2074" s="1827"/>
      <c r="J2074" s="773">
        <f>J2073*F2073</f>
        <v>1317036.1599999999</v>
      </c>
    </row>
    <row r="2075" spans="1:10" hidden="1" outlineLevel="1">
      <c r="A2075" s="1828"/>
      <c r="B2075" s="1829">
        <v>20.2</v>
      </c>
      <c r="C2075" s="1826" t="s">
        <v>677</v>
      </c>
      <c r="D2075" s="1826"/>
      <c r="E2075" s="1826"/>
      <c r="F2075" s="1826"/>
      <c r="G2075" s="1826"/>
      <c r="H2075" s="1826"/>
      <c r="I2075" s="1826"/>
      <c r="J2075" s="1826"/>
    </row>
    <row r="2076" spans="1:10" hidden="1" outlineLevel="1">
      <c r="A2076" s="1828"/>
      <c r="B2076" s="1829"/>
      <c r="C2076" s="5"/>
      <c r="D2076" s="4" t="s">
        <v>677</v>
      </c>
      <c r="E2076" s="5"/>
      <c r="F2076" s="5"/>
      <c r="G2076" s="5"/>
      <c r="H2076" s="5"/>
      <c r="I2076" s="5"/>
      <c r="J2076" s="1147">
        <f>(J11+J28+J45+J53+J58+J68)/2</f>
        <v>31882570.645614799</v>
      </c>
    </row>
    <row r="2077" spans="1:10" hidden="1" outlineLevel="1">
      <c r="A2077" s="1828"/>
      <c r="B2077" s="1829"/>
      <c r="C2077" s="1808" t="s">
        <v>1488</v>
      </c>
      <c r="D2077" s="1808"/>
      <c r="E2077" s="1106" t="s">
        <v>2728</v>
      </c>
      <c r="F2077" s="583" t="s">
        <v>2728</v>
      </c>
      <c r="G2077" s="1106"/>
      <c r="H2077" s="1106"/>
      <c r="I2077" s="1106"/>
      <c r="J2077" s="1107">
        <f>SUM(J2076)</f>
        <v>31882570.645614799</v>
      </c>
    </row>
    <row r="2078" spans="1:10" hidden="1" outlineLevel="1">
      <c r="A2078" s="1828"/>
      <c r="B2078" s="1829"/>
      <c r="C2078" s="1827" t="s">
        <v>47</v>
      </c>
      <c r="D2078" s="1827"/>
      <c r="E2078" s="1827"/>
      <c r="F2078" s="1827"/>
      <c r="G2078" s="1827"/>
      <c r="H2078" s="1827"/>
      <c r="I2078" s="1827"/>
      <c r="J2078" s="773">
        <f>+J2077</f>
        <v>31882570.645614799</v>
      </c>
    </row>
    <row r="2079" spans="1:10" collapsed="1"/>
  </sheetData>
  <mergeCells count="1257">
    <mergeCell ref="A246:A257"/>
    <mergeCell ref="B246:B257"/>
    <mergeCell ref="C246:J246"/>
    <mergeCell ref="C256:D256"/>
    <mergeCell ref="C257:I257"/>
    <mergeCell ref="A270:A281"/>
    <mergeCell ref="B270:B281"/>
    <mergeCell ref="C270:J270"/>
    <mergeCell ref="C280:D280"/>
    <mergeCell ref="C281:I281"/>
    <mergeCell ref="A282:A293"/>
    <mergeCell ref="B282:B293"/>
    <mergeCell ref="C282:J282"/>
    <mergeCell ref="C292:D292"/>
    <mergeCell ref="C293:I293"/>
    <mergeCell ref="A198:A209"/>
    <mergeCell ref="B198:B209"/>
    <mergeCell ref="C198:J198"/>
    <mergeCell ref="C208:D208"/>
    <mergeCell ref="C209:I209"/>
    <mergeCell ref="A210:A221"/>
    <mergeCell ref="B210:B221"/>
    <mergeCell ref="C210:J210"/>
    <mergeCell ref="C220:D220"/>
    <mergeCell ref="C221:I221"/>
    <mergeCell ref="A222:A233"/>
    <mergeCell ref="B222:B233"/>
    <mergeCell ref="C222:J222"/>
    <mergeCell ref="C232:D232"/>
    <mergeCell ref="C233:I233"/>
    <mergeCell ref="A234:A245"/>
    <mergeCell ref="B234:B245"/>
    <mergeCell ref="A2064:A2069"/>
    <mergeCell ref="B2064:B2069"/>
    <mergeCell ref="C2064:J2064"/>
    <mergeCell ref="C2065:D2065"/>
    <mergeCell ref="C2068:D2068"/>
    <mergeCell ref="C2069:I2069"/>
    <mergeCell ref="C861:D861"/>
    <mergeCell ref="C873:D873"/>
    <mergeCell ref="A664:A670"/>
    <mergeCell ref="B664:B670"/>
    <mergeCell ref="C665:D665"/>
    <mergeCell ref="C669:D669"/>
    <mergeCell ref="C670:I670"/>
    <mergeCell ref="A671:A677"/>
    <mergeCell ref="B671:B677"/>
    <mergeCell ref="C671:J671"/>
    <mergeCell ref="C672:D672"/>
    <mergeCell ref="C676:D676"/>
    <mergeCell ref="C677:I677"/>
    <mergeCell ref="C678:J678"/>
    <mergeCell ref="A678:A684"/>
    <mergeCell ref="B678:B684"/>
    <mergeCell ref="C693:D693"/>
    <mergeCell ref="C700:D700"/>
    <mergeCell ref="C707:D707"/>
    <mergeCell ref="C714:D714"/>
    <mergeCell ref="C728:D728"/>
    <mergeCell ref="C721:D721"/>
    <mergeCell ref="C742:D742"/>
    <mergeCell ref="A137:A146"/>
    <mergeCell ref="B137:B146"/>
    <mergeCell ref="C137:J137"/>
    <mergeCell ref="C145:D145"/>
    <mergeCell ref="C146:I146"/>
    <mergeCell ref="A294:A307"/>
    <mergeCell ref="B294:B307"/>
    <mergeCell ref="C294:J294"/>
    <mergeCell ref="C306:D306"/>
    <mergeCell ref="C307:I307"/>
    <mergeCell ref="C840:D840"/>
    <mergeCell ref="C844:D844"/>
    <mergeCell ref="C809:D809"/>
    <mergeCell ref="C810:I810"/>
    <mergeCell ref="C816:D816"/>
    <mergeCell ref="C817:I817"/>
    <mergeCell ref="C818:J818"/>
    <mergeCell ref="C825:J825"/>
    <mergeCell ref="C832:J832"/>
    <mergeCell ref="C839:J839"/>
    <mergeCell ref="C823:D823"/>
    <mergeCell ref="C824:I824"/>
    <mergeCell ref="C830:D830"/>
    <mergeCell ref="C831:I831"/>
    <mergeCell ref="C837:D837"/>
    <mergeCell ref="C838:I838"/>
    <mergeCell ref="A804:A810"/>
    <mergeCell ref="B804:B810"/>
    <mergeCell ref="A811:A817"/>
    <mergeCell ref="C234:J234"/>
    <mergeCell ref="C244:D244"/>
    <mergeCell ref="C245:I245"/>
    <mergeCell ref="B811:B817"/>
    <mergeCell ref="A818:A824"/>
    <mergeCell ref="B818:B824"/>
    <mergeCell ref="C845:I845"/>
    <mergeCell ref="C846:J846"/>
    <mergeCell ref="C853:J853"/>
    <mergeCell ref="C860:J860"/>
    <mergeCell ref="C872:J872"/>
    <mergeCell ref="C851:D851"/>
    <mergeCell ref="C852:I852"/>
    <mergeCell ref="C865:D865"/>
    <mergeCell ref="C866:I866"/>
    <mergeCell ref="A839:A845"/>
    <mergeCell ref="B839:B845"/>
    <mergeCell ref="C847:D847"/>
    <mergeCell ref="C854:D854"/>
    <mergeCell ref="C679:D679"/>
    <mergeCell ref="C683:D683"/>
    <mergeCell ref="C684:I684"/>
    <mergeCell ref="C735:D735"/>
    <mergeCell ref="A846:A852"/>
    <mergeCell ref="B846:B852"/>
    <mergeCell ref="A853:A859"/>
    <mergeCell ref="B853:B859"/>
    <mergeCell ref="A860:A866"/>
    <mergeCell ref="B860:B866"/>
    <mergeCell ref="A872:A878"/>
    <mergeCell ref="B872:B878"/>
    <mergeCell ref="C858:D858"/>
    <mergeCell ref="C859:I859"/>
    <mergeCell ref="C877:D877"/>
    <mergeCell ref="C878:I878"/>
    <mergeCell ref="C686:D686"/>
    <mergeCell ref="C804:J804"/>
    <mergeCell ref="C811:J811"/>
    <mergeCell ref="A825:A831"/>
    <mergeCell ref="B825:B831"/>
    <mergeCell ref="A832:A838"/>
    <mergeCell ref="B832:B838"/>
    <mergeCell ref="C805:D805"/>
    <mergeCell ref="C812:D812"/>
    <mergeCell ref="C819:D819"/>
    <mergeCell ref="C826:D826"/>
    <mergeCell ref="C833:D833"/>
    <mergeCell ref="A776:A782"/>
    <mergeCell ref="B776:B782"/>
    <mergeCell ref="A783:A789"/>
    <mergeCell ref="B783:B789"/>
    <mergeCell ref="A790:A796"/>
    <mergeCell ref="B790:B796"/>
    <mergeCell ref="A797:A803"/>
    <mergeCell ref="B797:B803"/>
    <mergeCell ref="C776:J776"/>
    <mergeCell ref="C781:D781"/>
    <mergeCell ref="C782:I782"/>
    <mergeCell ref="C783:J783"/>
    <mergeCell ref="C788:D788"/>
    <mergeCell ref="C789:I789"/>
    <mergeCell ref="C790:J790"/>
    <mergeCell ref="C795:D795"/>
    <mergeCell ref="C796:I796"/>
    <mergeCell ref="C797:J797"/>
    <mergeCell ref="C802:D802"/>
    <mergeCell ref="C803:I803"/>
    <mergeCell ref="C784:D784"/>
    <mergeCell ref="C791:D791"/>
    <mergeCell ref="C798:D798"/>
    <mergeCell ref="B755:B761"/>
    <mergeCell ref="A755:A761"/>
    <mergeCell ref="C755:J755"/>
    <mergeCell ref="C760:D760"/>
    <mergeCell ref="C761:I761"/>
    <mergeCell ref="A762:A768"/>
    <mergeCell ref="B762:B768"/>
    <mergeCell ref="A769:A775"/>
    <mergeCell ref="B769:B775"/>
    <mergeCell ref="C762:J762"/>
    <mergeCell ref="C767:D767"/>
    <mergeCell ref="C768:I768"/>
    <mergeCell ref="C769:J769"/>
    <mergeCell ref="C774:D774"/>
    <mergeCell ref="C775:I775"/>
    <mergeCell ref="C770:D770"/>
    <mergeCell ref="C777:D777"/>
    <mergeCell ref="C763:D763"/>
    <mergeCell ref="C756:D756"/>
    <mergeCell ref="A741:A747"/>
    <mergeCell ref="B741:B747"/>
    <mergeCell ref="C741:J741"/>
    <mergeCell ref="C746:D746"/>
    <mergeCell ref="C747:I747"/>
    <mergeCell ref="A748:A754"/>
    <mergeCell ref="B748:B754"/>
    <mergeCell ref="C748:J748"/>
    <mergeCell ref="C753:D753"/>
    <mergeCell ref="C754:I754"/>
    <mergeCell ref="A727:A733"/>
    <mergeCell ref="B727:B733"/>
    <mergeCell ref="C727:J727"/>
    <mergeCell ref="C732:D732"/>
    <mergeCell ref="C733:I733"/>
    <mergeCell ref="A734:A740"/>
    <mergeCell ref="B734:B740"/>
    <mergeCell ref="C734:J734"/>
    <mergeCell ref="C739:D739"/>
    <mergeCell ref="C740:I740"/>
    <mergeCell ref="C749:D749"/>
    <mergeCell ref="A713:A719"/>
    <mergeCell ref="B713:B719"/>
    <mergeCell ref="C713:J713"/>
    <mergeCell ref="C718:D718"/>
    <mergeCell ref="C719:I719"/>
    <mergeCell ref="A720:A726"/>
    <mergeCell ref="B720:B726"/>
    <mergeCell ref="C720:J720"/>
    <mergeCell ref="C725:D725"/>
    <mergeCell ref="C726:I726"/>
    <mergeCell ref="C655:D655"/>
    <mergeCell ref="C656:I656"/>
    <mergeCell ref="C629:J629"/>
    <mergeCell ref="C634:D634"/>
    <mergeCell ref="C635:I635"/>
    <mergeCell ref="B629:B635"/>
    <mergeCell ref="A629:A635"/>
    <mergeCell ref="B636:B642"/>
    <mergeCell ref="C636:J636"/>
    <mergeCell ref="C641:D641"/>
    <mergeCell ref="C642:I642"/>
    <mergeCell ref="A636:A642"/>
    <mergeCell ref="C704:D704"/>
    <mergeCell ref="C705:I705"/>
    <mergeCell ref="A699:A705"/>
    <mergeCell ref="B699:B705"/>
    <mergeCell ref="C706:J706"/>
    <mergeCell ref="A706:A712"/>
    <mergeCell ref="B706:B712"/>
    <mergeCell ref="C711:D711"/>
    <mergeCell ref="C712:I712"/>
    <mergeCell ref="B685:B691"/>
    <mergeCell ref="A685:A691"/>
    <mergeCell ref="C692:J692"/>
    <mergeCell ref="A692:A698"/>
    <mergeCell ref="B692:B698"/>
    <mergeCell ref="C697:D697"/>
    <mergeCell ref="C698:I698"/>
    <mergeCell ref="C699:J699"/>
    <mergeCell ref="C685:J685"/>
    <mergeCell ref="C691:I691"/>
    <mergeCell ref="C690:D690"/>
    <mergeCell ref="A2058:A2063"/>
    <mergeCell ref="B2058:B2063"/>
    <mergeCell ref="C2058:J2058"/>
    <mergeCell ref="G2061:H2061"/>
    <mergeCell ref="C2062:D2062"/>
    <mergeCell ref="C2063:I2063"/>
    <mergeCell ref="C2043:D2043"/>
    <mergeCell ref="C2044:D2044"/>
    <mergeCell ref="C2045:D2045"/>
    <mergeCell ref="C931:I931"/>
    <mergeCell ref="A932:A944"/>
    <mergeCell ref="B932:B944"/>
    <mergeCell ref="C932:J932"/>
    <mergeCell ref="C943:D943"/>
    <mergeCell ref="C944:I944"/>
    <mergeCell ref="A945:A957"/>
    <mergeCell ref="B945:B957"/>
    <mergeCell ref="C945:J945"/>
    <mergeCell ref="C956:D956"/>
    <mergeCell ref="C957:I957"/>
    <mergeCell ref="A919:A931"/>
    <mergeCell ref="B919:B931"/>
    <mergeCell ref="C110:I110"/>
    <mergeCell ref="A105:A110"/>
    <mergeCell ref="B105:B110"/>
    <mergeCell ref="C109:D109"/>
    <mergeCell ref="C90:J90"/>
    <mergeCell ref="A90:B90"/>
    <mergeCell ref="C91:J91"/>
    <mergeCell ref="C97:D97"/>
    <mergeCell ref="C98:I98"/>
    <mergeCell ref="B91:B98"/>
    <mergeCell ref="A91:A98"/>
    <mergeCell ref="C103:D103"/>
    <mergeCell ref="C104:I104"/>
    <mergeCell ref="B99:B104"/>
    <mergeCell ref="A99:A104"/>
    <mergeCell ref="C99:J99"/>
    <mergeCell ref="A983:A995"/>
    <mergeCell ref="B983:B995"/>
    <mergeCell ref="C983:J983"/>
    <mergeCell ref="C994:D994"/>
    <mergeCell ref="C995:I995"/>
    <mergeCell ref="A958:A970"/>
    <mergeCell ref="B958:B970"/>
    <mergeCell ref="C958:J958"/>
    <mergeCell ref="C969:D969"/>
    <mergeCell ref="C970:I970"/>
    <mergeCell ref="A971:A982"/>
    <mergeCell ref="B971:B982"/>
    <mergeCell ref="C971:J971"/>
    <mergeCell ref="C981:D981"/>
    <mergeCell ref="C982:I982"/>
    <mergeCell ref="C930:D930"/>
    <mergeCell ref="C919:J919"/>
    <mergeCell ref="A475:A483"/>
    <mergeCell ref="A879:B879"/>
    <mergeCell ref="C879:J879"/>
    <mergeCell ref="A880:A892"/>
    <mergeCell ref="B880:B892"/>
    <mergeCell ref="C880:J880"/>
    <mergeCell ref="C891:D891"/>
    <mergeCell ref="C892:I892"/>
    <mergeCell ref="A893:A905"/>
    <mergeCell ref="B893:B905"/>
    <mergeCell ref="C893:J893"/>
    <mergeCell ref="C904:D904"/>
    <mergeCell ref="C905:I905"/>
    <mergeCell ref="A906:A918"/>
    <mergeCell ref="B906:B918"/>
    <mergeCell ref="C906:J906"/>
    <mergeCell ref="C917:D917"/>
    <mergeCell ref="C918:I918"/>
    <mergeCell ref="C657:J657"/>
    <mergeCell ref="C662:D662"/>
    <mergeCell ref="C663:I663"/>
    <mergeCell ref="B657:B663"/>
    <mergeCell ref="A657:A663"/>
    <mergeCell ref="C664:J664"/>
    <mergeCell ref="A643:A649"/>
    <mergeCell ref="B643:B649"/>
    <mergeCell ref="C643:J643"/>
    <mergeCell ref="C648:D648"/>
    <mergeCell ref="C649:I649"/>
    <mergeCell ref="A650:A656"/>
    <mergeCell ref="B650:B656"/>
    <mergeCell ref="C650:J650"/>
    <mergeCell ref="A438:B438"/>
    <mergeCell ref="C438:J438"/>
    <mergeCell ref="A439:A447"/>
    <mergeCell ref="B439:B447"/>
    <mergeCell ref="C446:D446"/>
    <mergeCell ref="C447:I447"/>
    <mergeCell ref="A448:A456"/>
    <mergeCell ref="B448:B456"/>
    <mergeCell ref="C448:J448"/>
    <mergeCell ref="C455:D455"/>
    <mergeCell ref="C456:I456"/>
    <mergeCell ref="A457:A467"/>
    <mergeCell ref="B457:B467"/>
    <mergeCell ref="C457:J457"/>
    <mergeCell ref="C466:D466"/>
    <mergeCell ref="C467:I467"/>
    <mergeCell ref="A468:A474"/>
    <mergeCell ref="B468:B474"/>
    <mergeCell ref="C439:J439"/>
    <mergeCell ref="C474:I474"/>
    <mergeCell ref="B498:B505"/>
    <mergeCell ref="C498:J498"/>
    <mergeCell ref="C504:D504"/>
    <mergeCell ref="C505:I505"/>
    <mergeCell ref="A506:A512"/>
    <mergeCell ref="B506:B512"/>
    <mergeCell ref="C506:J506"/>
    <mergeCell ref="C511:D511"/>
    <mergeCell ref="C512:I512"/>
    <mergeCell ref="C468:J468"/>
    <mergeCell ref="C473:D473"/>
    <mergeCell ref="A1415:A1427"/>
    <mergeCell ref="B1415:B1427"/>
    <mergeCell ref="C1415:J1415"/>
    <mergeCell ref="C1426:D1426"/>
    <mergeCell ref="C1427:I1427"/>
    <mergeCell ref="A1399:A1409"/>
    <mergeCell ref="B1399:B1409"/>
    <mergeCell ref="C1399:J1399"/>
    <mergeCell ref="C1408:D1408"/>
    <mergeCell ref="C1409:I1409"/>
    <mergeCell ref="A1410:A1414"/>
    <mergeCell ref="B1410:B1414"/>
    <mergeCell ref="C1410:J1410"/>
    <mergeCell ref="C1413:D1413"/>
    <mergeCell ref="C1414:I1414"/>
    <mergeCell ref="A1387:A1393"/>
    <mergeCell ref="B1387:B1393"/>
    <mergeCell ref="C1387:J1387"/>
    <mergeCell ref="C1392:D1392"/>
    <mergeCell ref="C1393:I1393"/>
    <mergeCell ref="A1394:A1398"/>
    <mergeCell ref="B1394:B1398"/>
    <mergeCell ref="C1394:J1394"/>
    <mergeCell ref="C1397:D1397"/>
    <mergeCell ref="C1398:I1398"/>
    <mergeCell ref="A1355:A1370"/>
    <mergeCell ref="B1355:B1370"/>
    <mergeCell ref="C1355:J1355"/>
    <mergeCell ref="C1369:D1369"/>
    <mergeCell ref="C1370:I1370"/>
    <mergeCell ref="A1371:A1386"/>
    <mergeCell ref="B1371:B1386"/>
    <mergeCell ref="C1371:J1371"/>
    <mergeCell ref="C1385:D1385"/>
    <mergeCell ref="C1386:I1386"/>
    <mergeCell ref="A1323:A1338"/>
    <mergeCell ref="B1323:B1338"/>
    <mergeCell ref="C1323:J1323"/>
    <mergeCell ref="C1337:D1337"/>
    <mergeCell ref="C1338:I1338"/>
    <mergeCell ref="A1339:A1354"/>
    <mergeCell ref="B1339:B1354"/>
    <mergeCell ref="C1339:J1339"/>
    <mergeCell ref="C1353:D1353"/>
    <mergeCell ref="C1354:I1354"/>
    <mergeCell ref="A1307:A1314"/>
    <mergeCell ref="B1307:B1314"/>
    <mergeCell ref="C1307:J1307"/>
    <mergeCell ref="C1313:D1313"/>
    <mergeCell ref="C1314:I1314"/>
    <mergeCell ref="A1315:A1322"/>
    <mergeCell ref="B1315:B1322"/>
    <mergeCell ref="C1315:J1315"/>
    <mergeCell ref="C1321:D1321"/>
    <mergeCell ref="C1322:I1322"/>
    <mergeCell ref="A1291:A1298"/>
    <mergeCell ref="B1291:B1298"/>
    <mergeCell ref="C1291:J1291"/>
    <mergeCell ref="C1297:D1297"/>
    <mergeCell ref="C1298:I1298"/>
    <mergeCell ref="A1299:A1306"/>
    <mergeCell ref="B1299:B1306"/>
    <mergeCell ref="C1299:J1299"/>
    <mergeCell ref="C1305:D1305"/>
    <mergeCell ref="C1306:I1306"/>
    <mergeCell ref="A1275:A1282"/>
    <mergeCell ref="B1275:B1282"/>
    <mergeCell ref="C1275:J1275"/>
    <mergeCell ref="C1281:D1281"/>
    <mergeCell ref="C1282:I1282"/>
    <mergeCell ref="A1283:A1290"/>
    <mergeCell ref="B1283:B1290"/>
    <mergeCell ref="C1283:J1283"/>
    <mergeCell ref="C1289:D1289"/>
    <mergeCell ref="C1290:I1290"/>
    <mergeCell ref="A1257:A1267"/>
    <mergeCell ref="B1257:B1267"/>
    <mergeCell ref="C1257:J1257"/>
    <mergeCell ref="C1266:D1266"/>
    <mergeCell ref="C1267:I1267"/>
    <mergeCell ref="A1268:A1274"/>
    <mergeCell ref="B1268:B1274"/>
    <mergeCell ref="C1268:J1268"/>
    <mergeCell ref="C1273:D1273"/>
    <mergeCell ref="C1274:I1274"/>
    <mergeCell ref="B1112:B1115"/>
    <mergeCell ref="A1210:A1225"/>
    <mergeCell ref="B1210:B1225"/>
    <mergeCell ref="C1210:J1210"/>
    <mergeCell ref="C1224:D1224"/>
    <mergeCell ref="C1225:I1225"/>
    <mergeCell ref="A1226:A1242"/>
    <mergeCell ref="B1226:B1242"/>
    <mergeCell ref="C1226:J1226"/>
    <mergeCell ref="C1241:D1241"/>
    <mergeCell ref="C1242:I1242"/>
    <mergeCell ref="B1178:B1193"/>
    <mergeCell ref="C1178:J1178"/>
    <mergeCell ref="C1192:D1192"/>
    <mergeCell ref="C1193:I1193"/>
    <mergeCell ref="A1194:A1209"/>
    <mergeCell ref="B1194:B1209"/>
    <mergeCell ref="C1194:J1194"/>
    <mergeCell ref="C1208:D1208"/>
    <mergeCell ref="C1209:I1209"/>
    <mergeCell ref="A1178:A1193"/>
    <mergeCell ref="C1098:J1098"/>
    <mergeCell ref="C1103:D1103"/>
    <mergeCell ref="C1104:I1104"/>
    <mergeCell ref="B1098:B1104"/>
    <mergeCell ref="A1098:A1099"/>
    <mergeCell ref="A1100:A1104"/>
    <mergeCell ref="C1089:D1089"/>
    <mergeCell ref="C1090:I1090"/>
    <mergeCell ref="B1083:B1090"/>
    <mergeCell ref="A1083:A1084"/>
    <mergeCell ref="A1085:A1090"/>
    <mergeCell ref="A1116:B1116"/>
    <mergeCell ref="C1116:J1116"/>
    <mergeCell ref="A1130:A1145"/>
    <mergeCell ref="B1130:B1145"/>
    <mergeCell ref="C1130:J1130"/>
    <mergeCell ref="C1144:D1144"/>
    <mergeCell ref="C1145:I1145"/>
    <mergeCell ref="A1105:B1105"/>
    <mergeCell ref="C1105:J1105"/>
    <mergeCell ref="C1091:J1091"/>
    <mergeCell ref="C1096:D1096"/>
    <mergeCell ref="C1097:I1097"/>
    <mergeCell ref="C1092:D1092"/>
    <mergeCell ref="A1091:A1092"/>
    <mergeCell ref="A1093:A1097"/>
    <mergeCell ref="B1091:B1097"/>
    <mergeCell ref="C1112:J1112"/>
    <mergeCell ref="C1114:D1114"/>
    <mergeCell ref="C1115:I1115"/>
    <mergeCell ref="A1106:A1111"/>
    <mergeCell ref="C1107:C1109"/>
    <mergeCell ref="C1079:D1079"/>
    <mergeCell ref="C1081:D1081"/>
    <mergeCell ref="C1082:I1082"/>
    <mergeCell ref="B1075:B1082"/>
    <mergeCell ref="A1075:A1076"/>
    <mergeCell ref="A1077:A1078"/>
    <mergeCell ref="A1080:A1082"/>
    <mergeCell ref="C1083:J1083"/>
    <mergeCell ref="C1074:I1074"/>
    <mergeCell ref="B1069:B1074"/>
    <mergeCell ref="A1069:A1074"/>
    <mergeCell ref="C1070:D1070"/>
    <mergeCell ref="C1075:J1075"/>
    <mergeCell ref="C1073:D1073"/>
    <mergeCell ref="C1057:J1057"/>
    <mergeCell ref="C1059:D1059"/>
    <mergeCell ref="C1061:D1061"/>
    <mergeCell ref="C1062:I1062"/>
    <mergeCell ref="B1057:B1062"/>
    <mergeCell ref="A1057:A1062"/>
    <mergeCell ref="C1063:J1063"/>
    <mergeCell ref="C1058:D1058"/>
    <mergeCell ref="C1065:D1065"/>
    <mergeCell ref="C1067:D1067"/>
    <mergeCell ref="C1068:I1068"/>
    <mergeCell ref="B1063:B1068"/>
    <mergeCell ref="A1063:A1068"/>
    <mergeCell ref="C1069:J1069"/>
    <mergeCell ref="C1071:D1071"/>
    <mergeCell ref="C1076:D1076"/>
    <mergeCell ref="C1077:D1077"/>
    <mergeCell ref="C1078:D1078"/>
    <mergeCell ref="A513:A522"/>
    <mergeCell ref="B513:B522"/>
    <mergeCell ref="C513:J513"/>
    <mergeCell ref="C521:D521"/>
    <mergeCell ref="C522:I522"/>
    <mergeCell ref="A491:A497"/>
    <mergeCell ref="B491:B497"/>
    <mergeCell ref="C491:J491"/>
    <mergeCell ref="A498:A505"/>
    <mergeCell ref="C421:J421"/>
    <mergeCell ref="C427:D427"/>
    <mergeCell ref="C428:I428"/>
    <mergeCell ref="A421:A428"/>
    <mergeCell ref="B475:B483"/>
    <mergeCell ref="C475:J475"/>
    <mergeCell ref="C482:D482"/>
    <mergeCell ref="C483:I483"/>
    <mergeCell ref="A484:A490"/>
    <mergeCell ref="B484:B490"/>
    <mergeCell ref="C484:J484"/>
    <mergeCell ref="C489:D489"/>
    <mergeCell ref="C490:I490"/>
    <mergeCell ref="C1016:D1016"/>
    <mergeCell ref="B1005:B1024"/>
    <mergeCell ref="A1018:A1024"/>
    <mergeCell ref="A1005:A1009"/>
    <mergeCell ref="A1011:A1015"/>
    <mergeCell ref="C1032:J1032"/>
    <mergeCell ref="C1033:D1033"/>
    <mergeCell ref="C1051:J1051"/>
    <mergeCell ref="C1052:D1052"/>
    <mergeCell ref="C1053:D1053"/>
    <mergeCell ref="C1055:D1055"/>
    <mergeCell ref="A1051:A1052"/>
    <mergeCell ref="A1053:A1056"/>
    <mergeCell ref="B1051:B1056"/>
    <mergeCell ref="C1045:D1045"/>
    <mergeCell ref="C1046:D1046"/>
    <mergeCell ref="C1047:D1047"/>
    <mergeCell ref="C1049:D1049"/>
    <mergeCell ref="C1050:I1050"/>
    <mergeCell ref="C1036:D1036"/>
    <mergeCell ref="C1037:I1037"/>
    <mergeCell ref="B1032:B1037"/>
    <mergeCell ref="A1038:A1043"/>
    <mergeCell ref="C1044:J1044"/>
    <mergeCell ref="B1044:B1050"/>
    <mergeCell ref="A1044:A1050"/>
    <mergeCell ref="C1038:J1038"/>
    <mergeCell ref="C1039:D1039"/>
    <mergeCell ref="C1040:D1040"/>
    <mergeCell ref="C1042:D1042"/>
    <mergeCell ref="C1043:I1043"/>
    <mergeCell ref="C2035:D2035"/>
    <mergeCell ref="C2036:D2036"/>
    <mergeCell ref="B2031:B2041"/>
    <mergeCell ref="A2031:A2041"/>
    <mergeCell ref="C2020:J2020"/>
    <mergeCell ref="C2021:D2021"/>
    <mergeCell ref="C2022:D2022"/>
    <mergeCell ref="C2023:D2023"/>
    <mergeCell ref="C2024:D2024"/>
    <mergeCell ref="C2025:D2025"/>
    <mergeCell ref="C2037:D2037"/>
    <mergeCell ref="C2038:D2038"/>
    <mergeCell ref="C2040:D2040"/>
    <mergeCell ref="C2041:I2041"/>
    <mergeCell ref="C1994:J1994"/>
    <mergeCell ref="C2005:D2005"/>
    <mergeCell ref="C2006:I2006"/>
    <mergeCell ref="B1994:B2006"/>
    <mergeCell ref="A1994:A2006"/>
    <mergeCell ref="C2007:J2007"/>
    <mergeCell ref="B2007:B2019"/>
    <mergeCell ref="A2007:A2019"/>
    <mergeCell ref="C2054:D2054"/>
    <mergeCell ref="C2056:D2056"/>
    <mergeCell ref="C2057:I2057"/>
    <mergeCell ref="B2050:B2057"/>
    <mergeCell ref="A2050:A2057"/>
    <mergeCell ref="C2026:D2026"/>
    <mergeCell ref="C2027:D2027"/>
    <mergeCell ref="C2029:D2029"/>
    <mergeCell ref="C2030:I2030"/>
    <mergeCell ref="C1980:D1980"/>
    <mergeCell ref="C1981:I1981"/>
    <mergeCell ref="B1969:B1981"/>
    <mergeCell ref="A1969:A1981"/>
    <mergeCell ref="C1982:J1982"/>
    <mergeCell ref="C1992:D1992"/>
    <mergeCell ref="C1993:I1993"/>
    <mergeCell ref="B1982:B1993"/>
    <mergeCell ref="A1982:A1993"/>
    <mergeCell ref="C2018:D2018"/>
    <mergeCell ref="C2019:I2019"/>
    <mergeCell ref="A2049:B2049"/>
    <mergeCell ref="C2049:J2049"/>
    <mergeCell ref="C2050:J2050"/>
    <mergeCell ref="C2051:D2051"/>
    <mergeCell ref="C2052:D2052"/>
    <mergeCell ref="C2053:D2053"/>
    <mergeCell ref="B2020:B2030"/>
    <mergeCell ref="A2020:A2030"/>
    <mergeCell ref="C2031:J2031"/>
    <mergeCell ref="C2032:D2032"/>
    <mergeCell ref="C2033:D2033"/>
    <mergeCell ref="C2034:D2034"/>
    <mergeCell ref="A1962:A1968"/>
    <mergeCell ref="B1962:B1968"/>
    <mergeCell ref="C1962:J1962"/>
    <mergeCell ref="C1963:D1963"/>
    <mergeCell ref="C1964:D1964"/>
    <mergeCell ref="C1965:D1965"/>
    <mergeCell ref="C1967:D1967"/>
    <mergeCell ref="C1968:I1968"/>
    <mergeCell ref="C1969:J1969"/>
    <mergeCell ref="C1949:D1949"/>
    <mergeCell ref="C1950:D1950"/>
    <mergeCell ref="C1951:D1951"/>
    <mergeCell ref="C1953:D1953"/>
    <mergeCell ref="C1954:I1954"/>
    <mergeCell ref="A1948:A1954"/>
    <mergeCell ref="B1948:B1954"/>
    <mergeCell ref="A1955:A1961"/>
    <mergeCell ref="B1955:B1961"/>
    <mergeCell ref="C1955:J1955"/>
    <mergeCell ref="C1956:D1956"/>
    <mergeCell ref="C1957:D1957"/>
    <mergeCell ref="C1958:D1958"/>
    <mergeCell ref="C1960:D1960"/>
    <mergeCell ref="C1961:I1961"/>
    <mergeCell ref="A1923:A1933"/>
    <mergeCell ref="C1942:D1942"/>
    <mergeCell ref="C1943:D1943"/>
    <mergeCell ref="C1944:D1944"/>
    <mergeCell ref="C1946:D1946"/>
    <mergeCell ref="C1947:I1947"/>
    <mergeCell ref="B1941:B1947"/>
    <mergeCell ref="A1941:A1947"/>
    <mergeCell ref="C1948:J1948"/>
    <mergeCell ref="C1932:D1932"/>
    <mergeCell ref="C1933:I1933"/>
    <mergeCell ref="C1935:D1935"/>
    <mergeCell ref="C1936:D1936"/>
    <mergeCell ref="C1937:D1937"/>
    <mergeCell ref="C1930:D1930"/>
    <mergeCell ref="C1926:D1926"/>
    <mergeCell ref="C1927:D1927"/>
    <mergeCell ref="C1928:D1928"/>
    <mergeCell ref="C1929:D1929"/>
    <mergeCell ref="A1934:A1940"/>
    <mergeCell ref="C1941:J1941"/>
    <mergeCell ref="C1934:J1934"/>
    <mergeCell ref="C1939:D1939"/>
    <mergeCell ref="C1940:I1940"/>
    <mergeCell ref="C1924:D1924"/>
    <mergeCell ref="C1925:D1925"/>
    <mergeCell ref="C160:I160"/>
    <mergeCell ref="C375:J375"/>
    <mergeCell ref="C381:D381"/>
    <mergeCell ref="C382:I382"/>
    <mergeCell ref="A375:A382"/>
    <mergeCell ref="B375:B382"/>
    <mergeCell ref="C367:J367"/>
    <mergeCell ref="C373:D373"/>
    <mergeCell ref="C374:I374"/>
    <mergeCell ref="A367:A374"/>
    <mergeCell ref="B367:B374"/>
    <mergeCell ref="C412:J412"/>
    <mergeCell ref="C418:D418"/>
    <mergeCell ref="C419:I419"/>
    <mergeCell ref="A412:A419"/>
    <mergeCell ref="B412:B419"/>
    <mergeCell ref="A161:A174"/>
    <mergeCell ref="A186:A197"/>
    <mergeCell ref="A258:A269"/>
    <mergeCell ref="A308:B308"/>
    <mergeCell ref="C308:J308"/>
    <mergeCell ref="C258:J258"/>
    <mergeCell ref="C268:D268"/>
    <mergeCell ref="A309:A318"/>
    <mergeCell ref="C319:J319"/>
    <mergeCell ref="C325:D325"/>
    <mergeCell ref="C343:J343"/>
    <mergeCell ref="C349:D349"/>
    <mergeCell ref="A411:B411"/>
    <mergeCell ref="C411:J411"/>
    <mergeCell ref="A383:B383"/>
    <mergeCell ref="C383:J383"/>
    <mergeCell ref="C50:D50"/>
    <mergeCell ref="B70:B75"/>
    <mergeCell ref="A59:A68"/>
    <mergeCell ref="C326:I326"/>
    <mergeCell ref="B319:B326"/>
    <mergeCell ref="A319:A326"/>
    <mergeCell ref="C309:J309"/>
    <mergeCell ref="C317:D317"/>
    <mergeCell ref="C318:I318"/>
    <mergeCell ref="B309:B318"/>
    <mergeCell ref="C57:D57"/>
    <mergeCell ref="C58:I58"/>
    <mergeCell ref="B175:B185"/>
    <mergeCell ref="A175:A185"/>
    <mergeCell ref="C186:J186"/>
    <mergeCell ref="C196:D196"/>
    <mergeCell ref="C175:J175"/>
    <mergeCell ref="C184:D184"/>
    <mergeCell ref="C185:I185"/>
    <mergeCell ref="C161:J161"/>
    <mergeCell ref="C173:D173"/>
    <mergeCell ref="C174:I174"/>
    <mergeCell ref="B161:B174"/>
    <mergeCell ref="C197:I197"/>
    <mergeCell ref="B186:B197"/>
    <mergeCell ref="C105:J105"/>
    <mergeCell ref="C76:J76"/>
    <mergeCell ref="C83:J83"/>
    <mergeCell ref="C88:D88"/>
    <mergeCell ref="C89:I89"/>
    <mergeCell ref="B83:B89"/>
    <mergeCell ref="A83:A89"/>
    <mergeCell ref="C111:J111"/>
    <mergeCell ref="B1:F1"/>
    <mergeCell ref="C5:J5"/>
    <mergeCell ref="C6:J6"/>
    <mergeCell ref="C28:I28"/>
    <mergeCell ref="C29:J29"/>
    <mergeCell ref="C44:D44"/>
    <mergeCell ref="C45:I45"/>
    <mergeCell ref="B29:B45"/>
    <mergeCell ref="A29:A45"/>
    <mergeCell ref="A12:A28"/>
    <mergeCell ref="B12:B28"/>
    <mergeCell ref="B6:B11"/>
    <mergeCell ref="C12:J12"/>
    <mergeCell ref="C13:J14"/>
    <mergeCell ref="C27:D27"/>
    <mergeCell ref="C11:I11"/>
    <mergeCell ref="A5:B5"/>
    <mergeCell ref="A6:A11"/>
    <mergeCell ref="C10:D10"/>
    <mergeCell ref="C46:J46"/>
    <mergeCell ref="B46:B53"/>
    <mergeCell ref="A46:A53"/>
    <mergeCell ref="C52:D52"/>
    <mergeCell ref="C53:I53"/>
    <mergeCell ref="C47:D47"/>
    <mergeCell ref="C48:D48"/>
    <mergeCell ref="C49:D49"/>
    <mergeCell ref="C74:D74"/>
    <mergeCell ref="A70:A75"/>
    <mergeCell ref="C59:J59"/>
    <mergeCell ref="C60:D60"/>
    <mergeCell ref="C61:D61"/>
    <mergeCell ref="C62:D62"/>
    <mergeCell ref="C63:D63"/>
    <mergeCell ref="B54:B58"/>
    <mergeCell ref="A54:A58"/>
    <mergeCell ref="C69:J69"/>
    <mergeCell ref="C70:J70"/>
    <mergeCell ref="C75:I75"/>
    <mergeCell ref="C54:J54"/>
    <mergeCell ref="C67:D67"/>
    <mergeCell ref="C68:I68"/>
    <mergeCell ref="C64:D64"/>
    <mergeCell ref="B59:B68"/>
    <mergeCell ref="C82:I82"/>
    <mergeCell ref="B76:B82"/>
    <mergeCell ref="A76:A82"/>
    <mergeCell ref="A69:B69"/>
    <mergeCell ref="C65:D65"/>
    <mergeCell ref="C81:D81"/>
    <mergeCell ref="C117:D117"/>
    <mergeCell ref="C118:I118"/>
    <mergeCell ref="B111:B118"/>
    <mergeCell ref="A111:A118"/>
    <mergeCell ref="C119:J119"/>
    <mergeCell ref="C124:D124"/>
    <mergeCell ref="C125:I125"/>
    <mergeCell ref="B119:B125"/>
    <mergeCell ref="A119:A125"/>
    <mergeCell ref="C126:J126"/>
    <mergeCell ref="C134:D134"/>
    <mergeCell ref="C135:I135"/>
    <mergeCell ref="B126:B135"/>
    <mergeCell ref="A126:A135"/>
    <mergeCell ref="C136:J136"/>
    <mergeCell ref="A136:B136"/>
    <mergeCell ref="B429:B437"/>
    <mergeCell ref="A429:A437"/>
    <mergeCell ref="B147:B160"/>
    <mergeCell ref="A147:A160"/>
    <mergeCell ref="C147:J147"/>
    <mergeCell ref="C159:D159"/>
    <mergeCell ref="C269:I269"/>
    <mergeCell ref="B258:B269"/>
    <mergeCell ref="A351:A358"/>
    <mergeCell ref="C359:J359"/>
    <mergeCell ref="C365:D365"/>
    <mergeCell ref="C366:I366"/>
    <mergeCell ref="B359:B366"/>
    <mergeCell ref="A359:A366"/>
    <mergeCell ref="C351:J351"/>
    <mergeCell ref="C357:D357"/>
    <mergeCell ref="C358:I358"/>
    <mergeCell ref="B351:B358"/>
    <mergeCell ref="C350:I350"/>
    <mergeCell ref="A343:A350"/>
    <mergeCell ref="B343:B350"/>
    <mergeCell ref="A327:A334"/>
    <mergeCell ref="C335:J335"/>
    <mergeCell ref="C341:D341"/>
    <mergeCell ref="C342:I342"/>
    <mergeCell ref="B335:B342"/>
    <mergeCell ref="A335:A342"/>
    <mergeCell ref="C327:J327"/>
    <mergeCell ref="C436:D436"/>
    <mergeCell ref="C437:I437"/>
    <mergeCell ref="C333:D333"/>
    <mergeCell ref="C334:I334"/>
    <mergeCell ref="B327:B334"/>
    <mergeCell ref="A420:B420"/>
    <mergeCell ref="C420:J420"/>
    <mergeCell ref="B421:B428"/>
    <mergeCell ref="C429:J429"/>
    <mergeCell ref="A384:A395"/>
    <mergeCell ref="B384:B395"/>
    <mergeCell ref="C384:J384"/>
    <mergeCell ref="C394:D394"/>
    <mergeCell ref="C395:I395"/>
    <mergeCell ref="A396:A410"/>
    <mergeCell ref="B396:B410"/>
    <mergeCell ref="C396:J396"/>
    <mergeCell ref="C409:D409"/>
    <mergeCell ref="C410:I410"/>
    <mergeCell ref="C571:D571"/>
    <mergeCell ref="C572:I572"/>
    <mergeCell ref="B566:B572"/>
    <mergeCell ref="A566:A572"/>
    <mergeCell ref="C573:J573"/>
    <mergeCell ref="C578:D578"/>
    <mergeCell ref="C579:I579"/>
    <mergeCell ref="B573:B579"/>
    <mergeCell ref="A539:B539"/>
    <mergeCell ref="C539:J539"/>
    <mergeCell ref="A540:A552"/>
    <mergeCell ref="A565:B565"/>
    <mergeCell ref="C565:J565"/>
    <mergeCell ref="C566:J566"/>
    <mergeCell ref="C553:J553"/>
    <mergeCell ref="C557:D557"/>
    <mergeCell ref="C558:I558"/>
    <mergeCell ref="C559:J559"/>
    <mergeCell ref="C563:D563"/>
    <mergeCell ref="C564:I564"/>
    <mergeCell ref="B553:B558"/>
    <mergeCell ref="A553:A558"/>
    <mergeCell ref="A559:A564"/>
    <mergeCell ref="B559:B564"/>
    <mergeCell ref="A573:A579"/>
    <mergeCell ref="A523:A530"/>
    <mergeCell ref="B523:B530"/>
    <mergeCell ref="C523:J523"/>
    <mergeCell ref="C530:I530"/>
    <mergeCell ref="A531:A538"/>
    <mergeCell ref="B531:B538"/>
    <mergeCell ref="C531:J531"/>
    <mergeCell ref="C496:D496"/>
    <mergeCell ref="C497:I497"/>
    <mergeCell ref="C1711:D1711"/>
    <mergeCell ref="C1712:I1712"/>
    <mergeCell ref="B1703:B1712"/>
    <mergeCell ref="A1703:A1712"/>
    <mergeCell ref="A1713:A1722"/>
    <mergeCell ref="B1713:B1722"/>
    <mergeCell ref="C1713:J1713"/>
    <mergeCell ref="C1721:D1721"/>
    <mergeCell ref="C1722:I1722"/>
    <mergeCell ref="C592:D592"/>
    <mergeCell ref="A1032:A1033"/>
    <mergeCell ref="C1056:I1056"/>
    <mergeCell ref="B1038:B1043"/>
    <mergeCell ref="B1162:B1177"/>
    <mergeCell ref="C1162:J1162"/>
    <mergeCell ref="C1176:D1176"/>
    <mergeCell ref="C1177:I1177"/>
    <mergeCell ref="A1494:A1504"/>
    <mergeCell ref="B1494:B1504"/>
    <mergeCell ref="C1494:J1494"/>
    <mergeCell ref="C1503:D1503"/>
    <mergeCell ref="C1504:I1504"/>
    <mergeCell ref="A1505:A1516"/>
    <mergeCell ref="C601:J601"/>
    <mergeCell ref="B615:B621"/>
    <mergeCell ref="C620:D620"/>
    <mergeCell ref="C621:I621"/>
    <mergeCell ref="C622:J622"/>
    <mergeCell ref="C615:J615"/>
    <mergeCell ref="A615:A621"/>
    <mergeCell ref="C606:D606"/>
    <mergeCell ref="C607:I607"/>
    <mergeCell ref="C1017:D1017"/>
    <mergeCell ref="C1462:J1462"/>
    <mergeCell ref="C998:D998"/>
    <mergeCell ref="C1003:D1003"/>
    <mergeCell ref="C1004:I1004"/>
    <mergeCell ref="A1016:A1017"/>
    <mergeCell ref="C1161:I1161"/>
    <mergeCell ref="A1162:A1177"/>
    <mergeCell ref="A1034:A1037"/>
    <mergeCell ref="A601:A607"/>
    <mergeCell ref="B601:B607"/>
    <mergeCell ref="C608:J608"/>
    <mergeCell ref="A608:A614"/>
    <mergeCell ref="B608:B614"/>
    <mergeCell ref="C613:D613"/>
    <mergeCell ref="C614:I614"/>
    <mergeCell ref="C1034:D1034"/>
    <mergeCell ref="B1025:B1031"/>
    <mergeCell ref="A1025:A1031"/>
    <mergeCell ref="C1005:J1005"/>
    <mergeCell ref="C1010:D1010"/>
    <mergeCell ref="C1023:D1023"/>
    <mergeCell ref="C1024:I1024"/>
    <mergeCell ref="C1848:I1848"/>
    <mergeCell ref="A1759:A1771"/>
    <mergeCell ref="C1772:J1772"/>
    <mergeCell ref="C1783:D1783"/>
    <mergeCell ref="C1745:I1745"/>
    <mergeCell ref="A1723:A1732"/>
    <mergeCell ref="B1723:B1732"/>
    <mergeCell ref="C1723:J1723"/>
    <mergeCell ref="C1731:D1731"/>
    <mergeCell ref="C1732:I1732"/>
    <mergeCell ref="C1808:D1808"/>
    <mergeCell ref="C1809:I1809"/>
    <mergeCell ref="B1733:B1745"/>
    <mergeCell ref="A1733:A1745"/>
    <mergeCell ref="C1746:J1746"/>
    <mergeCell ref="A1702:B1702"/>
    <mergeCell ref="C1702:J1702"/>
    <mergeCell ref="C1703:J1703"/>
    <mergeCell ref="C1733:J1733"/>
    <mergeCell ref="C1744:D1744"/>
    <mergeCell ref="C1758:I1758"/>
    <mergeCell ref="B1746:B1758"/>
    <mergeCell ref="A1746:A1758"/>
    <mergeCell ref="C1784:I1784"/>
    <mergeCell ref="B1772:B1784"/>
    <mergeCell ref="A1772:A1784"/>
    <mergeCell ref="C1759:J1759"/>
    <mergeCell ref="C1770:D1770"/>
    <mergeCell ref="C1771:I1771"/>
    <mergeCell ref="B1759:B1771"/>
    <mergeCell ref="C1836:J1836"/>
    <mergeCell ref="C1912:J1912"/>
    <mergeCell ref="C1923:J1923"/>
    <mergeCell ref="C1904:D1904"/>
    <mergeCell ref="C1905:D1905"/>
    <mergeCell ref="C1906:D1906"/>
    <mergeCell ref="C1907:D1907"/>
    <mergeCell ref="C1908:D1908"/>
    <mergeCell ref="C1910:D1910"/>
    <mergeCell ref="C1911:I1911"/>
    <mergeCell ref="C1913:D1913"/>
    <mergeCell ref="C1914:D1914"/>
    <mergeCell ref="C1915:D1915"/>
    <mergeCell ref="C1916:D1916"/>
    <mergeCell ref="C1875:J1875"/>
    <mergeCell ref="C1886:D1886"/>
    <mergeCell ref="C1887:I1887"/>
    <mergeCell ref="C1861:I1861"/>
    <mergeCell ref="C1901:J1901"/>
    <mergeCell ref="C1900:I1900"/>
    <mergeCell ref="C1917:D1917"/>
    <mergeCell ref="C1918:D1918"/>
    <mergeCell ref="C1903:D1903"/>
    <mergeCell ref="C1862:J1862"/>
    <mergeCell ref="C1873:D1873"/>
    <mergeCell ref="C1874:I1874"/>
    <mergeCell ref="C1888:J1888"/>
    <mergeCell ref="C1899:D1899"/>
    <mergeCell ref="C1902:D1902"/>
    <mergeCell ref="C538:I538"/>
    <mergeCell ref="A622:A628"/>
    <mergeCell ref="B622:B628"/>
    <mergeCell ref="C627:D627"/>
    <mergeCell ref="C628:I628"/>
    <mergeCell ref="B540:B552"/>
    <mergeCell ref="C540:J540"/>
    <mergeCell ref="C551:D551"/>
    <mergeCell ref="C552:I552"/>
    <mergeCell ref="C1460:D1460"/>
    <mergeCell ref="C1461:I1461"/>
    <mergeCell ref="B1429:B1437"/>
    <mergeCell ref="A1429:A1437"/>
    <mergeCell ref="C1429:J1429"/>
    <mergeCell ref="C1436:D1436"/>
    <mergeCell ref="C1437:I1437"/>
    <mergeCell ref="C1438:J1438"/>
    <mergeCell ref="A1117:A1129"/>
    <mergeCell ref="B1117:B1129"/>
    <mergeCell ref="C1117:J1117"/>
    <mergeCell ref="C1128:D1128"/>
    <mergeCell ref="C1129:I1129"/>
    <mergeCell ref="A1146:A1161"/>
    <mergeCell ref="B1146:B1161"/>
    <mergeCell ref="C1146:J1146"/>
    <mergeCell ref="C1160:D1160"/>
    <mergeCell ref="C593:I593"/>
    <mergeCell ref="C594:J594"/>
    <mergeCell ref="A594:A600"/>
    <mergeCell ref="B594:B600"/>
    <mergeCell ref="C599:D599"/>
    <mergeCell ref="C600:I600"/>
    <mergeCell ref="C1523:D1523"/>
    <mergeCell ref="C1524:I1524"/>
    <mergeCell ref="B1462:B1473"/>
    <mergeCell ref="C1472:D1472"/>
    <mergeCell ref="C1473:I1473"/>
    <mergeCell ref="A1474:A1482"/>
    <mergeCell ref="B1474:B1482"/>
    <mergeCell ref="C1474:J1474"/>
    <mergeCell ref="C1481:D1481"/>
    <mergeCell ref="C1482:I1482"/>
    <mergeCell ref="A1483:A1493"/>
    <mergeCell ref="B1483:B1493"/>
    <mergeCell ref="C1483:J1483"/>
    <mergeCell ref="C1492:D1492"/>
    <mergeCell ref="C1493:I1493"/>
    <mergeCell ref="A1462:A1473"/>
    <mergeCell ref="B1505:B1516"/>
    <mergeCell ref="C1505:J1505"/>
    <mergeCell ref="C1515:D1515"/>
    <mergeCell ref="C1516:I1516"/>
    <mergeCell ref="B1888:B1900"/>
    <mergeCell ref="C1652:I1652"/>
    <mergeCell ref="A1849:A1861"/>
    <mergeCell ref="A1645:A1652"/>
    <mergeCell ref="A1525:A1532"/>
    <mergeCell ref="B1525:B1532"/>
    <mergeCell ref="C1525:J1525"/>
    <mergeCell ref="C1531:D1531"/>
    <mergeCell ref="C1532:I1532"/>
    <mergeCell ref="A1533:A1540"/>
    <mergeCell ref="B1533:B1540"/>
    <mergeCell ref="C1533:J1533"/>
    <mergeCell ref="C1539:D1539"/>
    <mergeCell ref="C1540:I1540"/>
    <mergeCell ref="A1541:A1551"/>
    <mergeCell ref="B1541:B1551"/>
    <mergeCell ref="C1541:J1541"/>
    <mergeCell ref="C1550:D1550"/>
    <mergeCell ref="C1551:I1551"/>
    <mergeCell ref="A1552:A1562"/>
    <mergeCell ref="B1552:B1562"/>
    <mergeCell ref="C1552:J1552"/>
    <mergeCell ref="C1561:D1561"/>
    <mergeCell ref="C1562:I1562"/>
    <mergeCell ref="B1849:B1861"/>
    <mergeCell ref="B1862:B1874"/>
    <mergeCell ref="A1862:A1874"/>
    <mergeCell ref="C1849:J1849"/>
    <mergeCell ref="C1860:D1860"/>
    <mergeCell ref="A1888:A1900"/>
    <mergeCell ref="B1875:B1887"/>
    <mergeCell ref="C1847:D1847"/>
    <mergeCell ref="A1875:A1887"/>
    <mergeCell ref="C1586:I1586"/>
    <mergeCell ref="A1587:A1598"/>
    <mergeCell ref="B1587:B1598"/>
    <mergeCell ref="C1587:J1587"/>
    <mergeCell ref="C1597:D1597"/>
    <mergeCell ref="C1598:I1598"/>
    <mergeCell ref="A1599:A1610"/>
    <mergeCell ref="B1599:B1610"/>
    <mergeCell ref="C1599:J1599"/>
    <mergeCell ref="C1609:D1609"/>
    <mergeCell ref="C1610:I1610"/>
    <mergeCell ref="C1822:I1822"/>
    <mergeCell ref="C1785:J1785"/>
    <mergeCell ref="A1836:A1848"/>
    <mergeCell ref="B1836:B1848"/>
    <mergeCell ref="B1810:B1822"/>
    <mergeCell ref="A1810:A1822"/>
    <mergeCell ref="C1823:J1823"/>
    <mergeCell ref="C1834:D1834"/>
    <mergeCell ref="C1835:I1835"/>
    <mergeCell ref="C1757:D1757"/>
    <mergeCell ref="C1795:D1795"/>
    <mergeCell ref="C1796:I1796"/>
    <mergeCell ref="B1797:B1809"/>
    <mergeCell ref="A1797:A1809"/>
    <mergeCell ref="C1810:J1810"/>
    <mergeCell ref="C1821:D1821"/>
    <mergeCell ref="B1785:B1796"/>
    <mergeCell ref="A1785:A1796"/>
    <mergeCell ref="B1645:B1652"/>
    <mergeCell ref="C1645:J1645"/>
    <mergeCell ref="A2042:A2048"/>
    <mergeCell ref="B2042:B2048"/>
    <mergeCell ref="C2042:J2042"/>
    <mergeCell ref="C2047:D2047"/>
    <mergeCell ref="C2048:I2048"/>
    <mergeCell ref="B1934:B1940"/>
    <mergeCell ref="C1674:D1674"/>
    <mergeCell ref="C1675:I1675"/>
    <mergeCell ref="A1676:A1685"/>
    <mergeCell ref="B1676:B1685"/>
    <mergeCell ref="C1676:J1676"/>
    <mergeCell ref="B1243:B1256"/>
    <mergeCell ref="A1428:B1428"/>
    <mergeCell ref="C1428:J1428"/>
    <mergeCell ref="A1438:A1449"/>
    <mergeCell ref="B1438:B1449"/>
    <mergeCell ref="C1448:D1448"/>
    <mergeCell ref="C1449:I1449"/>
    <mergeCell ref="A1450:A1461"/>
    <mergeCell ref="A1664:A1675"/>
    <mergeCell ref="B1664:B1675"/>
    <mergeCell ref="C1664:J1664"/>
    <mergeCell ref="A1611:A1621"/>
    <mergeCell ref="B1611:B1621"/>
    <mergeCell ref="C1611:J1611"/>
    <mergeCell ref="C1620:D1620"/>
    <mergeCell ref="C1621:I1621"/>
    <mergeCell ref="A1563:A1574"/>
    <mergeCell ref="B1563:B1574"/>
    <mergeCell ref="C1563:J1563"/>
    <mergeCell ref="C1573:D1573"/>
    <mergeCell ref="C1574:I1574"/>
    <mergeCell ref="B1912:B1922"/>
    <mergeCell ref="A1912:A1922"/>
    <mergeCell ref="C1651:D1651"/>
    <mergeCell ref="A1653:A1663"/>
    <mergeCell ref="B1653:B1663"/>
    <mergeCell ref="C1653:J1653"/>
    <mergeCell ref="A1901:A1911"/>
    <mergeCell ref="C580:J580"/>
    <mergeCell ref="A580:A586"/>
    <mergeCell ref="B580:B586"/>
    <mergeCell ref="C585:D585"/>
    <mergeCell ref="C586:I586"/>
    <mergeCell ref="C587:J587"/>
    <mergeCell ref="A587:A593"/>
    <mergeCell ref="B587:B593"/>
    <mergeCell ref="A996:B996"/>
    <mergeCell ref="C996:J996"/>
    <mergeCell ref="C997:J997"/>
    <mergeCell ref="A1112:A1115"/>
    <mergeCell ref="A1243:A1256"/>
    <mergeCell ref="C1026:D1026"/>
    <mergeCell ref="C1027:D1027"/>
    <mergeCell ref="C1028:D1028"/>
    <mergeCell ref="C1030:D1030"/>
    <mergeCell ref="C1031:I1031"/>
    <mergeCell ref="C1243:J1243"/>
    <mergeCell ref="C1255:D1255"/>
    <mergeCell ref="C1256:I1256"/>
    <mergeCell ref="A1622:A1632"/>
    <mergeCell ref="B1622:B1632"/>
    <mergeCell ref="C1622:J1622"/>
    <mergeCell ref="C1631:D1631"/>
    <mergeCell ref="C1700:D1700"/>
    <mergeCell ref="C1701:I1701"/>
    <mergeCell ref="C867:J867"/>
    <mergeCell ref="C868:D868"/>
    <mergeCell ref="C869:D869"/>
    <mergeCell ref="C870:D870"/>
    <mergeCell ref="C871:I871"/>
    <mergeCell ref="B867:B871"/>
    <mergeCell ref="A867:A871"/>
    <mergeCell ref="B997:B1004"/>
    <mergeCell ref="B1450:B1461"/>
    <mergeCell ref="C1450:J1450"/>
    <mergeCell ref="C1684:D1684"/>
    <mergeCell ref="C1685:I1685"/>
    <mergeCell ref="A999:A1004"/>
    <mergeCell ref="A997:A998"/>
    <mergeCell ref="C1025:J1025"/>
    <mergeCell ref="C1662:D1662"/>
    <mergeCell ref="C1632:I1632"/>
    <mergeCell ref="A1633:A1644"/>
    <mergeCell ref="B1633:B1644"/>
    <mergeCell ref="C1633:J1633"/>
    <mergeCell ref="C1643:D1643"/>
    <mergeCell ref="C1644:I1644"/>
    <mergeCell ref="A1575:A1586"/>
    <mergeCell ref="B1575:B1586"/>
    <mergeCell ref="C1575:J1575"/>
    <mergeCell ref="C1585:D1585"/>
    <mergeCell ref="C1695:I1695"/>
    <mergeCell ref="A1517:A1524"/>
    <mergeCell ref="B1517:B1524"/>
    <mergeCell ref="C1517:J1517"/>
    <mergeCell ref="C2075:J2075"/>
    <mergeCell ref="C2077:D2077"/>
    <mergeCell ref="C2078:I2078"/>
    <mergeCell ref="A2075:A2078"/>
    <mergeCell ref="B2075:B2078"/>
    <mergeCell ref="C1663:I1663"/>
    <mergeCell ref="A1823:A1835"/>
    <mergeCell ref="B1823:B1835"/>
    <mergeCell ref="C1797:J1797"/>
    <mergeCell ref="C1919:D1919"/>
    <mergeCell ref="C1921:D1921"/>
    <mergeCell ref="C1922:I1922"/>
    <mergeCell ref="B1901:B1911"/>
    <mergeCell ref="B1923:B1933"/>
    <mergeCell ref="C1106:J1106"/>
    <mergeCell ref="C1110:D1110"/>
    <mergeCell ref="C1111:I1111"/>
    <mergeCell ref="B1106:B1111"/>
    <mergeCell ref="C2073:D2073"/>
    <mergeCell ref="C2074:I2074"/>
    <mergeCell ref="B2071:B2074"/>
    <mergeCell ref="A2071:A2074"/>
    <mergeCell ref="A1686:A1695"/>
    <mergeCell ref="B1686:B1695"/>
    <mergeCell ref="C1686:J1686"/>
    <mergeCell ref="C1694:D1694"/>
    <mergeCell ref="A2070:B2070"/>
    <mergeCell ref="C2070:J2070"/>
    <mergeCell ref="C2071:J2071"/>
    <mergeCell ref="A1696:A1701"/>
    <mergeCell ref="B1696:B1701"/>
    <mergeCell ref="C1696:J1696"/>
  </mergeCells>
  <pageMargins left="0.7" right="0.7" top="0.75" bottom="0.75" header="0.3" footer="0.3"/>
  <pageSetup paperSize="9" orientation="portrait" r:id="rId1"/>
  <ignoredErrors>
    <ignoredError sqref="A12" numberStoredAsText="1"/>
    <ignoredError sqref="J525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1"/>
  <sheetViews>
    <sheetView topLeftCell="A2" zoomScale="80" zoomScaleNormal="80" workbookViewId="0">
      <selection activeCell="B4" sqref="B4"/>
    </sheetView>
  </sheetViews>
  <sheetFormatPr baseColWidth="10" defaultRowHeight="15" outlineLevelRow="1"/>
  <cols>
    <col min="1" max="1" width="11.42578125" style="916"/>
    <col min="2" max="2" width="87.7109375" style="916" customWidth="1"/>
    <col min="3" max="3" width="10.7109375" style="916" customWidth="1"/>
    <col min="4" max="4" width="11" style="916" customWidth="1"/>
    <col min="5" max="5" width="21.42578125" style="916" customWidth="1"/>
    <col min="6" max="6" width="16.140625" style="916" customWidth="1"/>
    <col min="7" max="7" width="15.140625" style="916" customWidth="1"/>
    <col min="8" max="8" width="14.5703125" style="916" customWidth="1"/>
    <col min="9" max="9" width="13.42578125" style="916" bestFit="1" customWidth="1"/>
    <col min="10" max="10" width="22" style="916" bestFit="1" customWidth="1"/>
    <col min="11" max="11" width="11.42578125" style="916"/>
    <col min="12" max="12" width="19.7109375" style="916" bestFit="1" customWidth="1"/>
    <col min="13" max="13" width="21.5703125" style="916" bestFit="1" customWidth="1"/>
    <col min="14" max="15" width="14.5703125" style="916" bestFit="1" customWidth="1"/>
    <col min="16" max="17" width="11.42578125" style="916"/>
    <col min="18" max="18" width="15" style="916" bestFit="1" customWidth="1"/>
    <col min="19" max="22" width="11.42578125" style="916"/>
    <col min="23" max="23" width="16.42578125" style="916" bestFit="1" customWidth="1"/>
    <col min="24" max="24" width="11.42578125" style="916"/>
    <col min="25" max="25" width="14" style="916" bestFit="1" customWidth="1"/>
    <col min="26" max="16384" width="11.42578125" style="916"/>
  </cols>
  <sheetData>
    <row r="1" spans="1:15" ht="15.75" thickBot="1"/>
    <row r="2" spans="1:15" ht="43.5" customHeight="1" thickBot="1">
      <c r="A2" s="1946" t="s">
        <v>1479</v>
      </c>
      <c r="B2" s="1948" t="s">
        <v>713</v>
      </c>
      <c r="C2" s="1946" t="s">
        <v>2214</v>
      </c>
      <c r="D2" s="1946" t="s">
        <v>2316</v>
      </c>
      <c r="E2" s="936" t="s">
        <v>2317</v>
      </c>
      <c r="F2" s="936" t="s">
        <v>2318</v>
      </c>
      <c r="G2" s="936" t="s">
        <v>2318</v>
      </c>
      <c r="H2" s="936" t="s">
        <v>2319</v>
      </c>
      <c r="I2" s="1946" t="s">
        <v>2320</v>
      </c>
      <c r="J2" s="1946" t="s">
        <v>2321</v>
      </c>
    </row>
    <row r="3" spans="1:15" ht="33.75" customHeight="1" thickBot="1">
      <c r="A3" s="1947"/>
      <c r="B3" s="1949"/>
      <c r="C3" s="1947"/>
      <c r="D3" s="1947"/>
      <c r="E3" s="936" t="s">
        <v>2322</v>
      </c>
      <c r="F3" s="937" t="s">
        <v>2323</v>
      </c>
      <c r="G3" s="937" t="s">
        <v>2324</v>
      </c>
      <c r="H3" s="937" t="s">
        <v>2325</v>
      </c>
      <c r="I3" s="1947"/>
      <c r="J3" s="1947"/>
    </row>
    <row r="4" spans="1:15" ht="15.75" thickBot="1"/>
    <row r="5" spans="1:15" ht="15.75" thickBot="1">
      <c r="A5" s="917">
        <v>1</v>
      </c>
      <c r="B5" s="1943" t="s">
        <v>712</v>
      </c>
      <c r="C5" s="1944"/>
      <c r="D5" s="1944"/>
      <c r="E5" s="1944"/>
      <c r="F5" s="1944"/>
      <c r="G5" s="1944"/>
      <c r="H5" s="1944"/>
      <c r="I5" s="1944"/>
      <c r="J5" s="1464">
        <f>SUM(J6:J11)</f>
        <v>63765141.291229598</v>
      </c>
      <c r="L5" s="1408"/>
    </row>
    <row r="6" spans="1:15" customFormat="1" hidden="1" outlineLevel="1">
      <c r="A6" s="445" t="s">
        <v>1082</v>
      </c>
      <c r="B6" s="993" t="s">
        <v>711</v>
      </c>
      <c r="C6" s="444" t="s">
        <v>1212</v>
      </c>
      <c r="D6" s="466">
        <v>1</v>
      </c>
      <c r="E6" s="993">
        <f>APU!F8</f>
        <v>1</v>
      </c>
      <c r="F6" s="940">
        <f>E6*8</f>
        <v>8</v>
      </c>
      <c r="G6" s="940">
        <f t="shared" ref="G6:G11" si="0">F6/8</f>
        <v>1</v>
      </c>
      <c r="H6" s="997">
        <v>1</v>
      </c>
      <c r="I6" s="997">
        <f>G6/H6</f>
        <v>1</v>
      </c>
      <c r="J6" s="944">
        <f>APU!J10</f>
        <v>380344</v>
      </c>
      <c r="K6" s="812"/>
      <c r="L6" s="812"/>
      <c r="M6" s="812"/>
      <c r="N6" s="812"/>
      <c r="O6" s="812"/>
    </row>
    <row r="7" spans="1:15" customFormat="1" hidden="1" outlineLevel="1">
      <c r="A7" s="445" t="s">
        <v>1083</v>
      </c>
      <c r="B7" s="993" t="s">
        <v>1860</v>
      </c>
      <c r="C7" s="464" t="s">
        <v>285</v>
      </c>
      <c r="D7" s="466">
        <v>12</v>
      </c>
      <c r="E7" s="994">
        <f>APU!F24</f>
        <v>48</v>
      </c>
      <c r="F7" s="938">
        <f>E7*D7</f>
        <v>576</v>
      </c>
      <c r="G7" s="938">
        <f t="shared" si="0"/>
        <v>72</v>
      </c>
      <c r="H7" s="998">
        <v>6</v>
      </c>
      <c r="I7" s="998">
        <f>ROUNDUP(G7/H7,0)</f>
        <v>12</v>
      </c>
      <c r="J7" s="1463">
        <f>APU!J28</f>
        <v>40162763.730000004</v>
      </c>
      <c r="K7" s="812"/>
      <c r="L7" s="812"/>
      <c r="M7" s="812"/>
      <c r="N7" s="812"/>
      <c r="O7" s="812"/>
    </row>
    <row r="8" spans="1:15" customFormat="1" hidden="1" outlineLevel="1">
      <c r="A8" s="445" t="s">
        <v>1084</v>
      </c>
      <c r="B8" s="993" t="s">
        <v>1861</v>
      </c>
      <c r="C8" s="464" t="s">
        <v>285</v>
      </c>
      <c r="D8" s="466">
        <v>15</v>
      </c>
      <c r="E8" s="994">
        <f>APU!F41</f>
        <v>16</v>
      </c>
      <c r="F8" s="938">
        <f>E8*D8</f>
        <v>240</v>
      </c>
      <c r="G8" s="938">
        <f t="shared" si="0"/>
        <v>30</v>
      </c>
      <c r="H8" s="998">
        <v>4</v>
      </c>
      <c r="I8" s="998">
        <f>ROUNDUP(G8/H8,0)</f>
        <v>8</v>
      </c>
      <c r="J8" s="1463">
        <f>APU!J45</f>
        <v>19088046.77778</v>
      </c>
      <c r="K8" s="812"/>
      <c r="L8" s="812"/>
      <c r="M8" s="812"/>
      <c r="N8" s="812"/>
      <c r="O8" s="812"/>
    </row>
    <row r="9" spans="1:15" customFormat="1" hidden="1" outlineLevel="1">
      <c r="A9" s="445" t="s">
        <v>1355</v>
      </c>
      <c r="B9" s="993" t="s">
        <v>1863</v>
      </c>
      <c r="C9" s="464" t="s">
        <v>285</v>
      </c>
      <c r="D9" s="449">
        <f>'1. Preliminares'!C11</f>
        <v>203.12369999999999</v>
      </c>
      <c r="E9" s="994">
        <f>APU!F47</f>
        <v>0.45</v>
      </c>
      <c r="F9" s="938">
        <f>E9*D9</f>
        <v>91.405664999999999</v>
      </c>
      <c r="G9" s="1004">
        <f t="shared" si="0"/>
        <v>11.425708125</v>
      </c>
      <c r="H9" s="998">
        <v>3</v>
      </c>
      <c r="I9" s="998">
        <f>ROUNDUP(G9/H9,0)</f>
        <v>4</v>
      </c>
      <c r="J9" s="1463">
        <f>APU!J53</f>
        <v>3801624.169449599</v>
      </c>
      <c r="K9" s="812"/>
      <c r="L9" s="812"/>
      <c r="M9" s="812"/>
      <c r="N9" s="812"/>
      <c r="O9" s="812"/>
    </row>
    <row r="10" spans="1:15" customFormat="1" hidden="1" outlineLevel="1">
      <c r="A10" s="445" t="s">
        <v>1356</v>
      </c>
      <c r="B10" s="993" t="s">
        <v>1864</v>
      </c>
      <c r="C10" s="464" t="s">
        <v>285</v>
      </c>
      <c r="D10" s="466">
        <v>1</v>
      </c>
      <c r="E10" s="994">
        <v>8</v>
      </c>
      <c r="F10" s="938">
        <f>E10*D10</f>
        <v>8</v>
      </c>
      <c r="G10" s="938">
        <f t="shared" si="0"/>
        <v>1</v>
      </c>
      <c r="H10" s="998">
        <v>1</v>
      </c>
      <c r="I10" s="998">
        <f>ROUNDUP(G10/H10,0)</f>
        <v>1</v>
      </c>
      <c r="J10" s="1463">
        <f>APU!J58</f>
        <v>150000</v>
      </c>
    </row>
    <row r="11" spans="1:15" customFormat="1" ht="15.75" hidden="1" outlineLevel="1" thickBot="1">
      <c r="A11" s="445" t="s">
        <v>1357</v>
      </c>
      <c r="B11" s="993" t="s">
        <v>1549</v>
      </c>
      <c r="C11" s="464" t="s">
        <v>285</v>
      </c>
      <c r="D11" s="466">
        <v>1</v>
      </c>
      <c r="E11" s="994">
        <f>APU!F65</f>
        <v>3.62</v>
      </c>
      <c r="F11" s="938">
        <f>E11*D11</f>
        <v>3.62</v>
      </c>
      <c r="G11" s="1004">
        <f t="shared" si="0"/>
        <v>0.45250000000000001</v>
      </c>
      <c r="H11" s="998">
        <v>1</v>
      </c>
      <c r="I11" s="998">
        <f>ROUNDUP(G11/H11,0)</f>
        <v>1</v>
      </c>
      <c r="J11" s="1463">
        <f>APU!J68</f>
        <v>182362.614</v>
      </c>
    </row>
    <row r="12" spans="1:15" ht="15.75" collapsed="1" thickBot="1">
      <c r="A12" s="917">
        <v>2</v>
      </c>
      <c r="B12" s="1943" t="s">
        <v>709</v>
      </c>
      <c r="C12" s="1944"/>
      <c r="D12" s="1944"/>
      <c r="E12" s="1944"/>
      <c r="F12" s="1944"/>
      <c r="G12" s="1944"/>
      <c r="H12" s="1944"/>
      <c r="I12" s="1944"/>
      <c r="J12" s="1237">
        <f>SUM(J13:J15)</f>
        <v>215773025.39103997</v>
      </c>
      <c r="L12" s="1408"/>
      <c r="O12" s="1158"/>
    </row>
    <row r="13" spans="1:15" customFormat="1" hidden="1" outlineLevel="1">
      <c r="A13" s="445" t="s">
        <v>1085</v>
      </c>
      <c r="B13" s="993" t="s">
        <v>1543</v>
      </c>
      <c r="C13" s="444" t="s">
        <v>704</v>
      </c>
      <c r="D13" s="582">
        <f>APU!F74</f>
        <v>387.86939999999998</v>
      </c>
      <c r="E13" s="993">
        <f>APU!F71</f>
        <v>0.06</v>
      </c>
      <c r="F13" s="940">
        <f>E13*D13</f>
        <v>23.272163999999997</v>
      </c>
      <c r="G13" s="1005">
        <f>F13/8</f>
        <v>2.9090204999999996</v>
      </c>
      <c r="H13" s="997">
        <v>1</v>
      </c>
      <c r="I13" s="1001">
        <f>ROUNDUP(G13/H13,0)</f>
        <v>3</v>
      </c>
      <c r="J13" s="944">
        <f>APU!J75</f>
        <v>6249869.88874452</v>
      </c>
      <c r="L13" s="1408"/>
    </row>
    <row r="14" spans="1:15" customFormat="1" hidden="1" outlineLevel="1">
      <c r="A14" s="450" t="s">
        <v>1086</v>
      </c>
      <c r="B14" s="993" t="s">
        <v>1867</v>
      </c>
      <c r="C14" s="449" t="s">
        <v>704</v>
      </c>
      <c r="D14" s="583">
        <f>APU!F81</f>
        <v>6299.2006000000001</v>
      </c>
      <c r="E14" s="994">
        <f>APU!F77</f>
        <v>0.2</v>
      </c>
      <c r="F14" s="940">
        <f>E14*D14</f>
        <v>1259.8401200000001</v>
      </c>
      <c r="G14" s="1005">
        <f>F14/8</f>
        <v>157.48001500000001</v>
      </c>
      <c r="H14" s="1002">
        <v>8</v>
      </c>
      <c r="I14" s="1001">
        <f>ROUNDUP(G14/H14,0)</f>
        <v>20</v>
      </c>
      <c r="J14" s="1465">
        <f>APU!J82</f>
        <v>122643621.51222719</v>
      </c>
      <c r="L14" s="812"/>
    </row>
    <row r="15" spans="1:15" customFormat="1" ht="15.75" hidden="1" outlineLevel="1" thickBot="1">
      <c r="A15" s="445" t="s">
        <v>2670</v>
      </c>
      <c r="B15" s="468" t="s">
        <v>1562</v>
      </c>
      <c r="C15" s="946" t="s">
        <v>704</v>
      </c>
      <c r="D15" s="1140">
        <f>APU!F88</f>
        <v>7168.4836183072457</v>
      </c>
      <c r="E15" s="468">
        <f>APU!F84</f>
        <v>0.1</v>
      </c>
      <c r="F15" s="1029">
        <f>E15*D15</f>
        <v>716.84836183072457</v>
      </c>
      <c r="G15" s="1030">
        <f>F15/8</f>
        <v>89.606045228840571</v>
      </c>
      <c r="H15" s="1141">
        <v>5</v>
      </c>
      <c r="I15" s="1031">
        <f>ROUNDUP(G15/H15,0)</f>
        <v>18</v>
      </c>
      <c r="J15" s="1466">
        <f>APU!J89</f>
        <v>86879533.990068272</v>
      </c>
      <c r="L15" s="812"/>
    </row>
    <row r="16" spans="1:15" ht="15.75" collapsed="1" thickBot="1">
      <c r="A16" s="917">
        <v>3</v>
      </c>
      <c r="B16" s="1943" t="s">
        <v>707</v>
      </c>
      <c r="C16" s="1944"/>
      <c r="D16" s="1944"/>
      <c r="E16" s="1944"/>
      <c r="F16" s="1944"/>
      <c r="G16" s="1944"/>
      <c r="H16" s="1944"/>
      <c r="I16" s="1944"/>
      <c r="J16" s="1470">
        <f>SUM(J17:J22)</f>
        <v>182642302.36338317</v>
      </c>
      <c r="L16" s="1409"/>
    </row>
    <row r="17" spans="1:12" s="918" customFormat="1" ht="15.75" hidden="1" customHeight="1" outlineLevel="1">
      <c r="A17" s="966" t="s">
        <v>1088</v>
      </c>
      <c r="B17" s="1032" t="s">
        <v>1048</v>
      </c>
      <c r="C17" s="1082" t="s">
        <v>704</v>
      </c>
      <c r="D17" s="1083">
        <f>+APU!F97</f>
        <v>280.42316792865017</v>
      </c>
      <c r="E17" s="1033">
        <f>(APU!H93)/12337</f>
        <v>2.3110051065899331</v>
      </c>
      <c r="F17" s="1034">
        <f t="shared" ref="F17:F22" si="1">+D17*E17</f>
        <v>648.05937308923694</v>
      </c>
      <c r="G17" s="1035">
        <f t="shared" ref="G17:G22" si="2">+F17/8</f>
        <v>81.007421636154618</v>
      </c>
      <c r="H17" s="1032">
        <v>4</v>
      </c>
      <c r="I17" s="1032">
        <f t="shared" ref="I17:I22" si="3">+ROUNDUP(G17/H17,0)</f>
        <v>21</v>
      </c>
      <c r="J17" s="1467">
        <f>'Estructura de Presupuesto'!I22</f>
        <v>11455984.663573503</v>
      </c>
      <c r="L17" s="812"/>
    </row>
    <row r="18" spans="1:12" s="918" customFormat="1" ht="15.75" hidden="1" customHeight="1" outlineLevel="1">
      <c r="A18" s="967" t="s">
        <v>1089</v>
      </c>
      <c r="B18" s="968" t="s">
        <v>1049</v>
      </c>
      <c r="C18" s="920" t="s">
        <v>704</v>
      </c>
      <c r="D18" s="922">
        <f>+'Estructura de Presupuesto'!G23</f>
        <v>128.13299999999998</v>
      </c>
      <c r="E18" s="968">
        <v>1.5</v>
      </c>
      <c r="F18" s="987">
        <f t="shared" si="1"/>
        <v>192.19949999999997</v>
      </c>
      <c r="G18" s="986">
        <f t="shared" si="2"/>
        <v>24.024937499999997</v>
      </c>
      <c r="H18" s="968">
        <v>4</v>
      </c>
      <c r="I18" s="968">
        <f t="shared" si="3"/>
        <v>7</v>
      </c>
      <c r="J18" s="1468">
        <f>+APU!J104</f>
        <v>1744003.5277049998</v>
      </c>
      <c r="L18"/>
    </row>
    <row r="19" spans="1:12" s="918" customFormat="1" ht="15.75" hidden="1" customHeight="1" outlineLevel="1">
      <c r="A19" s="967" t="s">
        <v>1090</v>
      </c>
      <c r="B19" s="984" t="s">
        <v>1868</v>
      </c>
      <c r="C19" s="920" t="s">
        <v>704</v>
      </c>
      <c r="D19" s="586">
        <f>'2. Movimiento de tierra'!H31</f>
        <v>19.752000000000002</v>
      </c>
      <c r="E19" s="984">
        <f>APU!F106</f>
        <v>1.5</v>
      </c>
      <c r="F19" s="987">
        <f t="shared" si="1"/>
        <v>29.628000000000004</v>
      </c>
      <c r="G19" s="986">
        <f t="shared" si="2"/>
        <v>3.7035000000000005</v>
      </c>
      <c r="H19" s="968">
        <v>1</v>
      </c>
      <c r="I19" s="968">
        <f t="shared" si="3"/>
        <v>4</v>
      </c>
      <c r="J19" s="1468">
        <f>'Estructura de Presupuesto'!I24</f>
        <v>268842.20052000001</v>
      </c>
      <c r="L19"/>
    </row>
    <row r="20" spans="1:12" s="918" customFormat="1" ht="15.75" hidden="1" customHeight="1" outlineLevel="1">
      <c r="A20" s="967" t="s">
        <v>1091</v>
      </c>
      <c r="B20" s="968" t="s">
        <v>1050</v>
      </c>
      <c r="C20" s="920" t="s">
        <v>704</v>
      </c>
      <c r="D20" s="922">
        <f>+APU!F117</f>
        <v>226.49668283223019</v>
      </c>
      <c r="E20" s="985">
        <f>+APU!H113/12337</f>
        <v>2.2418367512361193</v>
      </c>
      <c r="F20" s="987">
        <f t="shared" si="1"/>
        <v>507.76858760636463</v>
      </c>
      <c r="G20" s="986">
        <f t="shared" si="2"/>
        <v>63.471073450795579</v>
      </c>
      <c r="H20" s="968">
        <v>3</v>
      </c>
      <c r="I20" s="968">
        <f t="shared" si="3"/>
        <v>22</v>
      </c>
      <c r="J20" s="1468">
        <f>'Estructura de Presupuesto'!I25</f>
        <v>83382701.766019434</v>
      </c>
      <c r="L20" s="1408"/>
    </row>
    <row r="21" spans="1:12" s="918" customFormat="1" ht="15.75" hidden="1" customHeight="1" outlineLevel="1">
      <c r="A21" s="967" t="s">
        <v>1092</v>
      </c>
      <c r="B21" s="968" t="s">
        <v>1628</v>
      </c>
      <c r="C21" s="920" t="s">
        <v>704</v>
      </c>
      <c r="D21" s="922">
        <f>+APU!F124</f>
        <v>128.13299999999998</v>
      </c>
      <c r="E21" s="985">
        <f>+APU!H121/12337</f>
        <v>6.755635081462267</v>
      </c>
      <c r="F21" s="987">
        <f t="shared" si="1"/>
        <v>865.61978989300451</v>
      </c>
      <c r="G21" s="986">
        <f t="shared" si="2"/>
        <v>108.20247373662556</v>
      </c>
      <c r="H21" s="968">
        <v>3</v>
      </c>
      <c r="I21" s="968">
        <f t="shared" si="3"/>
        <v>37</v>
      </c>
      <c r="J21" s="1468">
        <f>'Estructura de Presupuesto'!I26</f>
        <v>60143098.390582412</v>
      </c>
      <c r="L21" s="1408"/>
    </row>
    <row r="22" spans="1:12" ht="15.75" hidden="1" customHeight="1" outlineLevel="1" thickBot="1">
      <c r="A22" s="969" t="s">
        <v>1869</v>
      </c>
      <c r="B22" s="983" t="s">
        <v>1456</v>
      </c>
      <c r="C22" s="1084" t="s">
        <v>704</v>
      </c>
      <c r="D22" s="1085">
        <f>+APU!F134</f>
        <v>52.741057468465435</v>
      </c>
      <c r="E22" s="983">
        <f>+APU!F130</f>
        <v>8</v>
      </c>
      <c r="F22" s="987">
        <f t="shared" si="1"/>
        <v>421.92845974772348</v>
      </c>
      <c r="G22" s="986">
        <f t="shared" si="2"/>
        <v>52.741057468465435</v>
      </c>
      <c r="H22" s="983">
        <v>4</v>
      </c>
      <c r="I22" s="968">
        <f t="shared" si="3"/>
        <v>14</v>
      </c>
      <c r="J22" s="1469">
        <f>'Estructura de Presupuesto'!I27</f>
        <v>25647671.814982824</v>
      </c>
      <c r="L22" s="812"/>
    </row>
    <row r="23" spans="1:12" ht="15.75" collapsed="1" thickBot="1">
      <c r="A23" s="917">
        <v>4</v>
      </c>
      <c r="B23" s="1943" t="s">
        <v>58</v>
      </c>
      <c r="C23" s="1944"/>
      <c r="D23" s="1944"/>
      <c r="E23" s="1944"/>
      <c r="F23" s="1944"/>
      <c r="G23" s="1944"/>
      <c r="H23" s="1944"/>
      <c r="I23" s="1944"/>
      <c r="J23" s="1236">
        <f>SUM(J24,J31,J37,J42,J47,J51,J55,J60,J64+J68)</f>
        <v>1580013864.4402962</v>
      </c>
      <c r="L23" s="1409"/>
    </row>
    <row r="24" spans="1:12" s="918" customFormat="1" ht="15.75" hidden="1" outlineLevel="1" thickBot="1">
      <c r="A24" s="1937" t="s">
        <v>820</v>
      </c>
      <c r="B24" s="1938"/>
      <c r="C24" s="1938"/>
      <c r="D24" s="1938"/>
      <c r="E24" s="1938"/>
      <c r="F24" s="1938"/>
      <c r="G24" s="1938"/>
      <c r="H24" s="1938"/>
      <c r="I24" s="1938"/>
      <c r="J24" s="1239">
        <f>SUM(J25:J30)</f>
        <v>93079482.924761117</v>
      </c>
      <c r="L24" s="812"/>
    </row>
    <row r="25" spans="1:12" s="918" customFormat="1" hidden="1" outlineLevel="1">
      <c r="A25" s="919" t="s">
        <v>2919</v>
      </c>
      <c r="B25" s="935" t="s">
        <v>3455</v>
      </c>
      <c r="C25" s="919" t="s">
        <v>55</v>
      </c>
      <c r="D25" s="1195">
        <f>+'9. Pisos y zócalos'!Q8</f>
        <v>240.18550000000005</v>
      </c>
      <c r="E25" s="1197">
        <f>APU!F142</f>
        <v>1.5</v>
      </c>
      <c r="F25" s="1198">
        <f>+D25*E25</f>
        <v>360.27825000000007</v>
      </c>
      <c r="G25" s="1199">
        <f>+F25/8</f>
        <v>45.034781250000009</v>
      </c>
      <c r="H25" s="1201">
        <v>15</v>
      </c>
      <c r="I25" s="1202">
        <f>ROUNDUP(G25/H25,0)</f>
        <v>4</v>
      </c>
      <c r="J25" s="944">
        <f>+D25*APU!$J$173</f>
        <v>33616120.337580748</v>
      </c>
    </row>
    <row r="26" spans="1:12" s="918" customFormat="1" hidden="1" outlineLevel="1">
      <c r="A26" s="921" t="s">
        <v>2920</v>
      </c>
      <c r="B26" s="934" t="s">
        <v>2240</v>
      </c>
      <c r="C26" s="921" t="s">
        <v>704</v>
      </c>
      <c r="D26" s="1203">
        <f>+'3.Concreto'!AJ21/2</f>
        <v>33.459150000000001</v>
      </c>
      <c r="E26" s="1200">
        <v>22</v>
      </c>
      <c r="F26" s="1198">
        <f>+D26*E26</f>
        <v>736.10130000000004</v>
      </c>
      <c r="G26" s="1199">
        <f>+F26/8</f>
        <v>92.012662500000005</v>
      </c>
      <c r="H26" s="1201">
        <v>15</v>
      </c>
      <c r="I26" s="1202">
        <f>ROUNDUP(G26/H26,0)</f>
        <v>7</v>
      </c>
      <c r="J26" s="1465">
        <f>+D26*APU!$J$184</f>
        <v>25264780.060966764</v>
      </c>
      <c r="L26" s="1448"/>
    </row>
    <row r="27" spans="1:12" s="918" customFormat="1" hidden="1" outlineLevel="1">
      <c r="A27" s="919" t="s">
        <v>2921</v>
      </c>
      <c r="B27" s="933" t="s">
        <v>2923</v>
      </c>
      <c r="C27" s="921" t="s">
        <v>345</v>
      </c>
      <c r="D27" s="1203">
        <f>'3.Concreto'!Y62</f>
        <v>10.56</v>
      </c>
      <c r="E27" s="1446">
        <f>APU!$H$191/(APU!$H$165+APU!$H$166)</f>
        <v>1.4532958103576707</v>
      </c>
      <c r="F27" s="1198">
        <f t="shared" ref="F27:F28" si="4">+D27*E27</f>
        <v>15.346803757377003</v>
      </c>
      <c r="G27" s="1199">
        <f t="shared" ref="G27:G28" si="5">+F27/8</f>
        <v>1.9183504696721254</v>
      </c>
      <c r="H27" s="1201">
        <v>1</v>
      </c>
      <c r="I27" s="1202">
        <f t="shared" ref="I27:I28" si="6">ROUNDUP(G27/H27,0)</f>
        <v>2</v>
      </c>
      <c r="J27" s="944">
        <f>+D27*APU!$J$196</f>
        <v>5705275.6145792007</v>
      </c>
    </row>
    <row r="28" spans="1:12" s="918" customFormat="1" hidden="1" outlineLevel="1">
      <c r="A28" s="919" t="s">
        <v>2253</v>
      </c>
      <c r="B28" s="933" t="s">
        <v>2924</v>
      </c>
      <c r="C28" s="921" t="s">
        <v>345</v>
      </c>
      <c r="D28" s="1203">
        <f>'3.Concreto'!Y63</f>
        <v>2.64</v>
      </c>
      <c r="E28" s="1446">
        <f>APU!$H$203/(APU!$H$165+APU!$H$166)</f>
        <v>1.4532958103576707</v>
      </c>
      <c r="F28" s="1198">
        <f t="shared" si="4"/>
        <v>3.8367009393442508</v>
      </c>
      <c r="G28" s="1199">
        <f t="shared" si="5"/>
        <v>0.47958761741803135</v>
      </c>
      <c r="H28" s="1201">
        <v>1</v>
      </c>
      <c r="I28" s="1202">
        <f t="shared" si="6"/>
        <v>1</v>
      </c>
      <c r="J28" s="944">
        <f>D28*APU!$J$208</f>
        <v>1593084.4008948004</v>
      </c>
      <c r="L28" s="1408"/>
    </row>
    <row r="29" spans="1:12" s="918" customFormat="1" hidden="1" outlineLevel="1">
      <c r="A29" s="921" t="s">
        <v>2256</v>
      </c>
      <c r="B29" s="933" t="s">
        <v>2925</v>
      </c>
      <c r="C29" s="921" t="s">
        <v>345</v>
      </c>
      <c r="D29" s="1203">
        <f>'3.Concreto'!Y64</f>
        <v>2.64</v>
      </c>
      <c r="E29" s="1446">
        <f>APU!$H$215/(APU!$H$165+APU!$H$166)</f>
        <v>1.4532958103576707</v>
      </c>
      <c r="F29" s="1198">
        <f>+D29*E29</f>
        <v>3.8367009393442508</v>
      </c>
      <c r="G29" s="1199">
        <f>+F29/8</f>
        <v>0.47958761741803135</v>
      </c>
      <c r="H29" s="1201">
        <v>1</v>
      </c>
      <c r="I29" s="1202">
        <f>ROUNDUP(G29/H29,0)</f>
        <v>1</v>
      </c>
      <c r="J29" s="1465">
        <f>D29*APU!$J$220</f>
        <v>19303580.208844807</v>
      </c>
      <c r="L29" s="1408"/>
    </row>
    <row r="30" spans="1:12" s="918" customFormat="1" ht="15.75" hidden="1" outlineLevel="1" thickBot="1">
      <c r="A30" s="930" t="s">
        <v>2259</v>
      </c>
      <c r="B30" s="1449" t="s">
        <v>3660</v>
      </c>
      <c r="C30" s="930" t="s">
        <v>345</v>
      </c>
      <c r="D30" s="1450">
        <f>'3.Concreto'!Y65</f>
        <v>2.64</v>
      </c>
      <c r="E30" s="1451">
        <f>APU!$H$251/(APU!$H$165+APU!$H$166)</f>
        <v>1.4532958103576707</v>
      </c>
      <c r="F30" s="1452">
        <f>+D30*E30</f>
        <v>3.8367009393442508</v>
      </c>
      <c r="G30" s="1453">
        <f>+F30/8</f>
        <v>0.47958761741803135</v>
      </c>
      <c r="H30" s="1454">
        <v>1</v>
      </c>
      <c r="I30" s="1455">
        <f>ROUNDUP(G30/H30,0)</f>
        <v>1</v>
      </c>
      <c r="J30" s="1471">
        <f>D30*APU!$J$256</f>
        <v>7596642.3018948017</v>
      </c>
      <c r="L30" s="1415"/>
    </row>
    <row r="31" spans="1:12" ht="15.75" hidden="1" outlineLevel="1" thickBot="1">
      <c r="A31" s="1937" t="s">
        <v>2241</v>
      </c>
      <c r="B31" s="1938"/>
      <c r="C31" s="1938"/>
      <c r="D31" s="1938"/>
      <c r="E31" s="1938"/>
      <c r="F31" s="1938"/>
      <c r="G31" s="1938"/>
      <c r="H31" s="1938"/>
      <c r="I31" s="1938"/>
      <c r="J31" s="1241">
        <f>SUM(J32:J36)</f>
        <v>80022461.330231905</v>
      </c>
      <c r="L31"/>
    </row>
    <row r="32" spans="1:12" hidden="1" outlineLevel="1">
      <c r="A32" s="919" t="s">
        <v>2242</v>
      </c>
      <c r="B32" s="935" t="s">
        <v>2243</v>
      </c>
      <c r="C32" s="919" t="s">
        <v>55</v>
      </c>
      <c r="D32" s="1196">
        <f>+'9. Pisos y zócalos'!Q9</f>
        <v>275.28460000000001</v>
      </c>
      <c r="E32" s="1204">
        <v>5</v>
      </c>
      <c r="F32" s="1198">
        <f>+D32*E32</f>
        <v>1376.423</v>
      </c>
      <c r="G32" s="1199">
        <f>+F32/8</f>
        <v>172.052875</v>
      </c>
      <c r="H32" s="1201">
        <v>15</v>
      </c>
      <c r="I32" s="1202">
        <f>ROUNDUP(G32/H32,0)</f>
        <v>12</v>
      </c>
      <c r="J32" s="1465">
        <f>+D32*APU!$J$173</f>
        <v>38528554.97389634</v>
      </c>
      <c r="L32"/>
    </row>
    <row r="33" spans="1:12" hidden="1" outlineLevel="1">
      <c r="A33" s="921" t="s">
        <v>2244</v>
      </c>
      <c r="B33" s="933" t="s">
        <v>2245</v>
      </c>
      <c r="C33" s="921" t="s">
        <v>704</v>
      </c>
      <c r="D33" s="1203">
        <v>33.459150000000001</v>
      </c>
      <c r="E33" s="1200">
        <v>22</v>
      </c>
      <c r="F33" s="1198">
        <f>+D33*E33</f>
        <v>736.10130000000004</v>
      </c>
      <c r="G33" s="1199">
        <f>+F33/8</f>
        <v>92.012662500000005</v>
      </c>
      <c r="H33" s="1201">
        <v>15</v>
      </c>
      <c r="I33" s="1202">
        <f>ROUNDUP(G33/H33,0)</f>
        <v>7</v>
      </c>
      <c r="J33" s="1465">
        <f>+D33*APU!$J$184</f>
        <v>25264780.060966764</v>
      </c>
      <c r="L33" s="1408"/>
    </row>
    <row r="34" spans="1:12" s="918" customFormat="1" hidden="1" outlineLevel="1">
      <c r="A34" s="919" t="s">
        <v>2921</v>
      </c>
      <c r="B34" s="933" t="s">
        <v>3602</v>
      </c>
      <c r="C34" s="921" t="s">
        <v>345</v>
      </c>
      <c r="D34" s="1203">
        <f>'3.Concreto'!Y66</f>
        <v>10.56</v>
      </c>
      <c r="E34" s="1446">
        <f>APU!$H$191/(APU!$H$165+APU!$H$166)</f>
        <v>1.4532958103576707</v>
      </c>
      <c r="F34" s="1198">
        <f t="shared" ref="F34:F36" si="7">+D34*E34</f>
        <v>15.346803757377003</v>
      </c>
      <c r="G34" s="1199">
        <f t="shared" ref="G34:G36" si="8">+F34/8</f>
        <v>1.9183504696721254</v>
      </c>
      <c r="H34" s="1201">
        <v>1</v>
      </c>
      <c r="I34" s="1202">
        <f t="shared" ref="I34:I36" si="9">ROUNDUP(G34/H34,0)</f>
        <v>2</v>
      </c>
      <c r="J34" s="1465">
        <f>D34*APU!$J$232</f>
        <v>7039399.5925792065</v>
      </c>
      <c r="L34" s="1408"/>
    </row>
    <row r="35" spans="1:12" s="918" customFormat="1" hidden="1" outlineLevel="1">
      <c r="A35" s="921" t="s">
        <v>2922</v>
      </c>
      <c r="B35" s="933" t="s">
        <v>3661</v>
      </c>
      <c r="C35" s="921" t="s">
        <v>345</v>
      </c>
      <c r="D35" s="1203">
        <f>'3.Concreto'!Y67</f>
        <v>2.64</v>
      </c>
      <c r="E35" s="1446">
        <f>APU!$H$191/(APU!$H$165+APU!$H$166)</f>
        <v>1.4532958103576707</v>
      </c>
      <c r="F35" s="1198">
        <f t="shared" si="7"/>
        <v>3.8367009393442508</v>
      </c>
      <c r="G35" s="1199">
        <f t="shared" si="8"/>
        <v>0.47958761741803135</v>
      </c>
      <c r="H35" s="1201">
        <v>1</v>
      </c>
      <c r="I35" s="1202">
        <f t="shared" si="9"/>
        <v>1</v>
      </c>
      <c r="J35" s="944">
        <f>D35*APU!$J$208</f>
        <v>1593084.4008948004</v>
      </c>
      <c r="L35" s="812"/>
    </row>
    <row r="36" spans="1:12" s="918" customFormat="1" ht="15.75" hidden="1" outlineLevel="1" thickBot="1">
      <c r="A36" s="919" t="s">
        <v>2253</v>
      </c>
      <c r="B36" s="933" t="s">
        <v>3603</v>
      </c>
      <c r="C36" s="921" t="s">
        <v>345</v>
      </c>
      <c r="D36" s="1203">
        <f>'3.Concreto'!Y68</f>
        <v>2.64</v>
      </c>
      <c r="E36" s="1446">
        <f>APU!$H$191/(APU!$H$165+APU!$H$166)</f>
        <v>1.4532958103576707</v>
      </c>
      <c r="F36" s="1198">
        <f t="shared" si="7"/>
        <v>3.8367009393442508</v>
      </c>
      <c r="G36" s="1199">
        <f t="shared" si="8"/>
        <v>0.47958761741803135</v>
      </c>
      <c r="H36" s="1201">
        <v>1</v>
      </c>
      <c r="I36" s="1202">
        <f t="shared" si="9"/>
        <v>1</v>
      </c>
      <c r="J36" s="1465">
        <f>D36*APU!$J$256</f>
        <v>7596642.3018948017</v>
      </c>
      <c r="L36" s="812"/>
    </row>
    <row r="37" spans="1:12" ht="15.75" hidden="1" outlineLevel="1" thickBot="1">
      <c r="A37" s="1937" t="s">
        <v>2246</v>
      </c>
      <c r="B37" s="1938"/>
      <c r="C37" s="1938"/>
      <c r="D37" s="1938"/>
      <c r="E37" s="1938"/>
      <c r="F37" s="1938"/>
      <c r="G37" s="1938"/>
      <c r="H37" s="1938"/>
      <c r="I37" s="1938"/>
      <c r="J37" s="1230">
        <f>SUM(J38:J41)</f>
        <v>193378234.52776471</v>
      </c>
      <c r="L37"/>
    </row>
    <row r="38" spans="1:12" hidden="1" outlineLevel="1">
      <c r="A38" s="919" t="s">
        <v>2247</v>
      </c>
      <c r="B38" s="941" t="s">
        <v>2248</v>
      </c>
      <c r="C38" s="919" t="s">
        <v>55</v>
      </c>
      <c r="D38" s="1196">
        <f>+'9. Pisos y zócalos'!Q10</f>
        <v>915.07859999999994</v>
      </c>
      <c r="E38" s="1204">
        <v>5</v>
      </c>
      <c r="F38" s="1198">
        <f>+D38*E38</f>
        <v>4575.393</v>
      </c>
      <c r="G38" s="1199">
        <f>+F38/8</f>
        <v>571.924125</v>
      </c>
      <c r="H38" s="1201">
        <v>45</v>
      </c>
      <c r="I38" s="1202">
        <f>ROUNDUP(G38/H38,0)</f>
        <v>13</v>
      </c>
      <c r="J38" s="1465">
        <f>+D38*APU!$J$173</f>
        <v>128073477.94077873</v>
      </c>
      <c r="L38" s="1408"/>
    </row>
    <row r="39" spans="1:12" hidden="1" outlineLevel="1">
      <c r="A39" s="921" t="s">
        <v>2249</v>
      </c>
      <c r="B39" s="933" t="s">
        <v>2250</v>
      </c>
      <c r="C39" s="921" t="s">
        <v>704</v>
      </c>
      <c r="D39" s="1203">
        <v>33.459150000000001</v>
      </c>
      <c r="E39" s="1200">
        <v>22</v>
      </c>
      <c r="F39" s="1198">
        <f>+D39*E39</f>
        <v>736.10130000000004</v>
      </c>
      <c r="G39" s="1199">
        <f>+F39/8</f>
        <v>92.012662500000005</v>
      </c>
      <c r="H39" s="1201">
        <v>15</v>
      </c>
      <c r="I39" s="1202">
        <f>ROUNDUP(G39/H39,0)</f>
        <v>7</v>
      </c>
      <c r="J39" s="1465">
        <f>+D39*APU!$J$184</f>
        <v>25264780.060966764</v>
      </c>
      <c r="L39" s="1408"/>
    </row>
    <row r="40" spans="1:12" s="918" customFormat="1" hidden="1" outlineLevel="1">
      <c r="A40" s="919" t="s">
        <v>2921</v>
      </c>
      <c r="B40" s="933" t="s">
        <v>3604</v>
      </c>
      <c r="C40" s="921" t="s">
        <v>345</v>
      </c>
      <c r="D40" s="1203">
        <f>'3.Concreto'!Y70</f>
        <v>15.840000000000002</v>
      </c>
      <c r="E40" s="1446">
        <f>APU!$H$191/(APU!$H$165+APU!$H$166)</f>
        <v>1.4532958103576707</v>
      </c>
      <c r="F40" s="1198">
        <f>+D40*E40</f>
        <v>23.020205636065509</v>
      </c>
      <c r="G40" s="1199">
        <f>+F40/8</f>
        <v>2.8775257045081886</v>
      </c>
      <c r="H40" s="1201">
        <v>1</v>
      </c>
      <c r="I40" s="1202">
        <f>ROUNDUP(G40/H40,0)</f>
        <v>3</v>
      </c>
      <c r="J40" s="1465">
        <f>D40*APU!$J$244</f>
        <v>15562064.306368802</v>
      </c>
      <c r="L40" s="1415"/>
    </row>
    <row r="41" spans="1:12" s="918" customFormat="1" ht="15.75" hidden="1" outlineLevel="1" thickBot="1">
      <c r="A41" s="921" t="s">
        <v>2922</v>
      </c>
      <c r="B41" s="933" t="s">
        <v>3605</v>
      </c>
      <c r="C41" s="921" t="s">
        <v>345</v>
      </c>
      <c r="D41" s="1203">
        <f>'3.Concreto'!Y69</f>
        <v>36.72</v>
      </c>
      <c r="E41" s="1446">
        <f>APU!$H$191/(APU!$H$165+APU!$H$166)</f>
        <v>1.4532958103576707</v>
      </c>
      <c r="F41" s="1198">
        <f>+D41*E41</f>
        <v>53.365022156333666</v>
      </c>
      <c r="G41" s="1199">
        <f>+F41/8</f>
        <v>6.6706277695417082</v>
      </c>
      <c r="H41" s="1201">
        <v>1</v>
      </c>
      <c r="I41" s="1202">
        <f>ROUNDUP(G41/H41,0)</f>
        <v>7</v>
      </c>
      <c r="J41" s="1465">
        <f>D41*APU!$J$232</f>
        <v>24477912.219650421</v>
      </c>
      <c r="L41" s="812"/>
    </row>
    <row r="42" spans="1:12" ht="15.75" hidden="1" outlineLevel="1" thickBot="1">
      <c r="A42" s="1937" t="s">
        <v>801</v>
      </c>
      <c r="B42" s="1938"/>
      <c r="C42" s="1938"/>
      <c r="D42" s="1938"/>
      <c r="E42" s="1938"/>
      <c r="F42" s="1938"/>
      <c r="G42" s="1938"/>
      <c r="H42" s="1938"/>
      <c r="I42" s="1938"/>
      <c r="J42" s="1230">
        <f>SUM(J43:J46)</f>
        <v>137507821.94908097</v>
      </c>
      <c r="L42" s="812"/>
    </row>
    <row r="43" spans="1:12" ht="21" hidden="1" customHeight="1" outlineLevel="1">
      <c r="A43" s="919" t="s">
        <v>2251</v>
      </c>
      <c r="B43" s="935" t="s">
        <v>2252</v>
      </c>
      <c r="C43" s="919" t="s">
        <v>55</v>
      </c>
      <c r="D43" s="1196">
        <f>+'9. Pisos y zócalos'!Q11</f>
        <v>621.9529</v>
      </c>
      <c r="E43" s="1204">
        <v>5</v>
      </c>
      <c r="F43" s="1198">
        <f>+D43*E43</f>
        <v>3109.7645000000002</v>
      </c>
      <c r="G43" s="1199">
        <f>+F43/8</f>
        <v>388.72056250000003</v>
      </c>
      <c r="H43" s="1201">
        <v>45</v>
      </c>
      <c r="I43" s="1202">
        <f>ROUNDUP(G43/H43,0)</f>
        <v>9</v>
      </c>
      <c r="J43" s="1465">
        <f>+D43*APU!$J$173</f>
        <v>87047900.604771391</v>
      </c>
      <c r="L43"/>
    </row>
    <row r="44" spans="1:12" s="918" customFormat="1" hidden="1" outlineLevel="1">
      <c r="A44" s="919" t="s">
        <v>2921</v>
      </c>
      <c r="B44" s="933" t="s">
        <v>3606</v>
      </c>
      <c r="C44" s="921" t="s">
        <v>345</v>
      </c>
      <c r="D44" s="1203">
        <f>'3.Concreto'!Y72</f>
        <v>18.48</v>
      </c>
      <c r="E44" s="1446">
        <f>APU!$H$191/(APU!$H$165+APU!$H$166)</f>
        <v>1.4532958103576707</v>
      </c>
      <c r="F44" s="1198">
        <f>+D44*E44</f>
        <v>26.856906575409756</v>
      </c>
      <c r="G44" s="1199">
        <f>+F44/8</f>
        <v>3.3571133219262195</v>
      </c>
      <c r="H44" s="1201">
        <v>1</v>
      </c>
      <c r="I44" s="1202">
        <f>ROUNDUP(G44/H44,0)</f>
        <v>4</v>
      </c>
      <c r="J44" s="1465">
        <f>D44*APU!$J$244</f>
        <v>18155741.6907636</v>
      </c>
      <c r="L44"/>
    </row>
    <row r="45" spans="1:12" s="918" customFormat="1" hidden="1" outlineLevel="1">
      <c r="A45" s="921" t="s">
        <v>2922</v>
      </c>
      <c r="B45" s="933" t="s">
        <v>3607</v>
      </c>
      <c r="C45" s="921" t="s">
        <v>345</v>
      </c>
      <c r="D45" s="1203">
        <f>'3.Concreto'!Y71</f>
        <v>10.56</v>
      </c>
      <c r="E45" s="1446">
        <f>APU!$H$191/(APU!$H$165+APU!$H$166)</f>
        <v>1.4532958103576707</v>
      </c>
      <c r="F45" s="1198">
        <f>+D45*E45</f>
        <v>15.346803757377003</v>
      </c>
      <c r="G45" s="1199">
        <f>+F45/8</f>
        <v>1.9183504696721254</v>
      </c>
      <c r="H45" s="1201">
        <v>1</v>
      </c>
      <c r="I45" s="1202">
        <f>ROUNDUP(G45/H45,0)</f>
        <v>2</v>
      </c>
      <c r="J45" s="1465">
        <f>D45*APU!$J$232</f>
        <v>7039399.5925792065</v>
      </c>
      <c r="L45" s="1408"/>
    </row>
    <row r="46" spans="1:12" ht="15.75" hidden="1" outlineLevel="1" thickBot="1">
      <c r="A46" s="921" t="s">
        <v>2244</v>
      </c>
      <c r="B46" s="933" t="s">
        <v>2485</v>
      </c>
      <c r="C46" s="921" t="s">
        <v>704</v>
      </c>
      <c r="D46" s="1203">
        <v>33.459150000000001</v>
      </c>
      <c r="E46" s="1200">
        <v>22</v>
      </c>
      <c r="F46" s="1198">
        <f>+D46*E46</f>
        <v>736.10130000000004</v>
      </c>
      <c r="G46" s="1199">
        <f>+F46/8</f>
        <v>92.012662500000005</v>
      </c>
      <c r="H46" s="1201">
        <v>15</v>
      </c>
      <c r="I46" s="1202">
        <f>ROUNDUP(G46/H46,0)</f>
        <v>7</v>
      </c>
      <c r="J46" s="1465">
        <f>+D46*APU!$J$184</f>
        <v>25264780.060966764</v>
      </c>
      <c r="L46" s="812"/>
    </row>
    <row r="47" spans="1:12" ht="15.75" hidden="1" outlineLevel="1" thickBot="1">
      <c r="A47" s="1937" t="s">
        <v>824</v>
      </c>
      <c r="B47" s="1938"/>
      <c r="C47" s="1938"/>
      <c r="D47" s="1938"/>
      <c r="E47" s="1938"/>
      <c r="F47" s="1938"/>
      <c r="G47" s="1938"/>
      <c r="H47" s="1938"/>
      <c r="I47" s="1938"/>
      <c r="J47" s="1230">
        <f>SUM(J48:J50)</f>
        <v>232446776.62742367</v>
      </c>
      <c r="L47" s="812"/>
    </row>
    <row r="48" spans="1:12" ht="15" hidden="1" customHeight="1" outlineLevel="1">
      <c r="A48" s="919" t="s">
        <v>2253</v>
      </c>
      <c r="B48" s="935" t="s">
        <v>2254</v>
      </c>
      <c r="C48" s="919" t="s">
        <v>55</v>
      </c>
      <c r="D48" s="1196">
        <f>+'9. Pisos y zócalos'!Q12</f>
        <v>1055.6867000000002</v>
      </c>
      <c r="E48" s="1197">
        <f>+APU!F168</f>
        <v>5</v>
      </c>
      <c r="F48" s="1198">
        <f>+D48*E48</f>
        <v>5278.433500000001</v>
      </c>
      <c r="G48" s="1199">
        <f>+F48/8</f>
        <v>659.80418750000013</v>
      </c>
      <c r="H48" s="1201">
        <v>45</v>
      </c>
      <c r="I48" s="1202">
        <f>ROUNDUP(G48/H48,0)</f>
        <v>15</v>
      </c>
      <c r="J48" s="1465">
        <f>+D48*APU!$J$159</f>
        <v>195921383.50210866</v>
      </c>
      <c r="L48" s="1415"/>
    </row>
    <row r="49" spans="1:12" s="918" customFormat="1" hidden="1" outlineLevel="1">
      <c r="A49" s="919" t="s">
        <v>2921</v>
      </c>
      <c r="B49" s="933" t="s">
        <v>3608</v>
      </c>
      <c r="C49" s="921" t="s">
        <v>345</v>
      </c>
      <c r="D49" s="1203">
        <f>'3.Concreto'!Y74</f>
        <v>27</v>
      </c>
      <c r="E49" s="1446">
        <f>APU!$H$191/(APU!$H$165+APU!$H$166)</f>
        <v>1.4532958103576707</v>
      </c>
      <c r="F49" s="1198">
        <f>+D49*E49</f>
        <v>39.238986879657112</v>
      </c>
      <c r="G49" s="1199">
        <f>+F49/8</f>
        <v>4.904873359957139</v>
      </c>
      <c r="H49" s="1201">
        <v>1</v>
      </c>
      <c r="I49" s="1202">
        <f>ROUNDUP(G49/H49,0)</f>
        <v>5</v>
      </c>
      <c r="J49" s="1465">
        <f>D49*APU!$J$244</f>
        <v>26526245.976765003</v>
      </c>
      <c r="L49" s="812"/>
    </row>
    <row r="50" spans="1:12" s="918" customFormat="1" ht="15.75" hidden="1" outlineLevel="1" thickBot="1">
      <c r="A50" s="921" t="s">
        <v>2922</v>
      </c>
      <c r="B50" s="933" t="s">
        <v>3609</v>
      </c>
      <c r="C50" s="921" t="s">
        <v>345</v>
      </c>
      <c r="D50" s="1203">
        <f>'3.Concreto'!Y73</f>
        <v>15</v>
      </c>
      <c r="E50" s="1446">
        <f>APU!$H$191/(APU!$H$165+APU!$H$166)</f>
        <v>1.4532958103576707</v>
      </c>
      <c r="F50" s="1198">
        <f>+D50*E50</f>
        <v>21.799437155365062</v>
      </c>
      <c r="G50" s="1199">
        <f>+F50/8</f>
        <v>2.7249296444206328</v>
      </c>
      <c r="H50" s="1201">
        <v>1</v>
      </c>
      <c r="I50" s="1202">
        <f>ROUNDUP(G50/H50,0)</f>
        <v>3</v>
      </c>
      <c r="J50" s="1465">
        <f>D50*APU!$J$232</f>
        <v>9999147.1485500075</v>
      </c>
      <c r="L50"/>
    </row>
    <row r="51" spans="1:12" ht="15.75" hidden="1" outlineLevel="1" thickBot="1">
      <c r="A51" s="1937" t="s">
        <v>2255</v>
      </c>
      <c r="B51" s="1938"/>
      <c r="C51" s="1938"/>
      <c r="D51" s="1938"/>
      <c r="E51" s="1938"/>
      <c r="F51" s="1938"/>
      <c r="G51" s="1938"/>
      <c r="H51" s="1938"/>
      <c r="I51" s="1938"/>
      <c r="J51" s="1230">
        <f>SUM(J52:J54)</f>
        <v>200771622.56293723</v>
      </c>
      <c r="L51" s="1408"/>
    </row>
    <row r="52" spans="1:12" ht="15" hidden="1" customHeight="1" outlineLevel="1">
      <c r="A52" s="919" t="s">
        <v>2256</v>
      </c>
      <c r="B52" s="935" t="s">
        <v>2257</v>
      </c>
      <c r="C52" s="919" t="s">
        <v>55</v>
      </c>
      <c r="D52" s="1196">
        <f>+'9. Pisos y zócalos'!Q13</f>
        <v>885.01089999999988</v>
      </c>
      <c r="E52" s="1197">
        <v>5</v>
      </c>
      <c r="F52" s="1198">
        <f>+D52*E52</f>
        <v>4425.0544999999993</v>
      </c>
      <c r="G52" s="1199">
        <f>+F52/8</f>
        <v>553.13181249999991</v>
      </c>
      <c r="H52" s="1201">
        <v>45</v>
      </c>
      <c r="I52" s="1202">
        <f>ROUNDUP(G52/H52,0)</f>
        <v>13</v>
      </c>
      <c r="J52" s="1465">
        <f>+D52*APU!$J$159</f>
        <v>164246229.43762222</v>
      </c>
      <c r="L52" s="1416"/>
    </row>
    <row r="53" spans="1:12" s="918" customFormat="1" hidden="1" outlineLevel="1">
      <c r="A53" s="919" t="s">
        <v>2921</v>
      </c>
      <c r="B53" s="933" t="s">
        <v>3610</v>
      </c>
      <c r="C53" s="921" t="s">
        <v>345</v>
      </c>
      <c r="D53" s="1203">
        <f>'3.Concreto'!Y76</f>
        <v>27</v>
      </c>
      <c r="E53" s="1446">
        <f>APU!$H$191/(APU!$H$165+APU!$H$166)</f>
        <v>1.4532958103576707</v>
      </c>
      <c r="F53" s="1198">
        <f>+D53*E53</f>
        <v>39.238986879657112</v>
      </c>
      <c r="G53" s="1199">
        <f>+F53/8</f>
        <v>4.904873359957139</v>
      </c>
      <c r="H53" s="1201">
        <v>1</v>
      </c>
      <c r="I53" s="1202">
        <f>ROUNDUP(G53/H53,0)</f>
        <v>5</v>
      </c>
      <c r="J53" s="1465">
        <f>D53*APU!$J$244</f>
        <v>26526245.976765003</v>
      </c>
      <c r="L53" s="812"/>
    </row>
    <row r="54" spans="1:12" s="918" customFormat="1" ht="15.75" hidden="1" outlineLevel="1" thickBot="1">
      <c r="A54" s="921" t="s">
        <v>2922</v>
      </c>
      <c r="B54" s="933" t="s">
        <v>3611</v>
      </c>
      <c r="C54" s="921" t="s">
        <v>345</v>
      </c>
      <c r="D54" s="1203">
        <f>'3.Concreto'!Y75</f>
        <v>15</v>
      </c>
      <c r="E54" s="1446">
        <f>APU!$H$191/(APU!$H$165+APU!$H$166)</f>
        <v>1.4532958103576707</v>
      </c>
      <c r="F54" s="1198">
        <f>+D54*E54</f>
        <v>21.799437155365062</v>
      </c>
      <c r="G54" s="1199">
        <f>+F54/8</f>
        <v>2.7249296444206328</v>
      </c>
      <c r="H54" s="1201">
        <v>1</v>
      </c>
      <c r="I54" s="1202">
        <f>ROUNDUP(G54/H54,0)</f>
        <v>3</v>
      </c>
      <c r="J54" s="1465">
        <f>D54*APU!$J$232</f>
        <v>9999147.1485500075</v>
      </c>
      <c r="L54" s="812"/>
    </row>
    <row r="55" spans="1:12" ht="15.75" hidden="1" outlineLevel="1" thickBot="1">
      <c r="A55" s="1937" t="s">
        <v>2258</v>
      </c>
      <c r="B55" s="1938"/>
      <c r="C55" s="1938"/>
      <c r="D55" s="1938"/>
      <c r="E55" s="1938"/>
      <c r="F55" s="1938"/>
      <c r="G55" s="1938"/>
      <c r="H55" s="1938"/>
      <c r="I55" s="1938"/>
      <c r="J55" s="1230">
        <f>SUM(J56:J59)</f>
        <v>188051415.53527626</v>
      </c>
      <c r="L55" s="812"/>
    </row>
    <row r="56" spans="1:12" ht="15" hidden="1" customHeight="1" outlineLevel="1">
      <c r="A56" s="919" t="s">
        <v>2259</v>
      </c>
      <c r="B56" s="935" t="s">
        <v>2260</v>
      </c>
      <c r="C56" s="919" t="s">
        <v>55</v>
      </c>
      <c r="D56" s="1196">
        <f>+'9. Pisos y zócalos'!Q14</f>
        <v>848.00069999999994</v>
      </c>
      <c r="E56" s="1197">
        <v>5</v>
      </c>
      <c r="F56" s="1198">
        <f>+D56*E56</f>
        <v>4240.0034999999998</v>
      </c>
      <c r="G56" s="1199">
        <f>+F56/8</f>
        <v>530.00043749999998</v>
      </c>
      <c r="H56" s="1201">
        <v>45</v>
      </c>
      <c r="I56" s="1202">
        <f>ROUNDUP(G56/H56,0)</f>
        <v>12</v>
      </c>
      <c r="J56" s="1465">
        <f>+D56*APU!$J$159</f>
        <v>157377629.51333624</v>
      </c>
      <c r="L56"/>
    </row>
    <row r="57" spans="1:12" s="918" customFormat="1" hidden="1" outlineLevel="1">
      <c r="A57" s="919" t="s">
        <v>2921</v>
      </c>
      <c r="B57" s="933" t="s">
        <v>3617</v>
      </c>
      <c r="C57" s="921" t="s">
        <v>345</v>
      </c>
      <c r="D57" s="1203">
        <f>'3.Concreto'!Y77</f>
        <v>27</v>
      </c>
      <c r="E57" s="1446">
        <f>APU!$H$263/(APU!$H$165+APU!$H$166)</f>
        <v>1.4532958103576707</v>
      </c>
      <c r="F57" s="1198">
        <f>+D57*E57</f>
        <v>39.238986879657112</v>
      </c>
      <c r="G57" s="1199">
        <f>+F57/8</f>
        <v>4.904873359957139</v>
      </c>
      <c r="H57" s="1201">
        <v>1</v>
      </c>
      <c r="I57" s="1202">
        <f>ROUNDUP(G57/H57,0)</f>
        <v>5</v>
      </c>
      <c r="J57" s="944">
        <f>D57*APU!$J$280</f>
        <v>23219465.116140004</v>
      </c>
      <c r="L57" s="1412"/>
    </row>
    <row r="58" spans="1:12" s="918" customFormat="1" hidden="1" outlineLevel="1">
      <c r="A58" s="921" t="s">
        <v>2922</v>
      </c>
      <c r="B58" s="933" t="s">
        <v>3618</v>
      </c>
      <c r="C58" s="921" t="s">
        <v>345</v>
      </c>
      <c r="D58" s="1203">
        <f>'3.Concreto'!Y78</f>
        <v>3</v>
      </c>
      <c r="E58" s="1446">
        <f>APU!$H$263/(APU!$H$165+APU!$H$166)</f>
        <v>1.4532958103576707</v>
      </c>
      <c r="F58" s="1198">
        <f>+D58*E58</f>
        <v>4.3598874310730125</v>
      </c>
      <c r="G58" s="1199">
        <f>+F58/8</f>
        <v>0.54498592888412656</v>
      </c>
      <c r="H58" s="1201">
        <v>1</v>
      </c>
      <c r="I58" s="1202">
        <f>ROUNDUP(G58/H58,0)</f>
        <v>1</v>
      </c>
      <c r="J58" s="1465">
        <f>D58*APU!$J$292</f>
        <v>1754882.6992933345</v>
      </c>
      <c r="L58" s="1408"/>
    </row>
    <row r="59" spans="1:12" s="918" customFormat="1" ht="15.75" hidden="1" outlineLevel="1" thickBot="1">
      <c r="A59" s="919" t="s">
        <v>2253</v>
      </c>
      <c r="B59" s="933" t="s">
        <v>3619</v>
      </c>
      <c r="C59" s="921" t="s">
        <v>345</v>
      </c>
      <c r="D59" s="1203">
        <f>'3.Concreto'!Y79</f>
        <v>12</v>
      </c>
      <c r="E59" s="1446">
        <f>APU!$H$263/(APU!$H$165+APU!$H$166)</f>
        <v>1.4532958103576707</v>
      </c>
      <c r="F59" s="1198">
        <f>+D59*E59</f>
        <v>17.43954972429205</v>
      </c>
      <c r="G59" s="1199">
        <f>+F59/8</f>
        <v>2.1799437155365062</v>
      </c>
      <c r="H59" s="1201">
        <v>1</v>
      </c>
      <c r="I59" s="1202">
        <f>ROUNDUP(G59/H59,0)</f>
        <v>3</v>
      </c>
      <c r="J59" s="944">
        <f>D59*APU!$J$268</f>
        <v>5699438.2065066658</v>
      </c>
      <c r="L59" s="1408"/>
    </row>
    <row r="60" spans="1:12" ht="15.75" hidden="1" outlineLevel="1" thickBot="1">
      <c r="A60" s="1937" t="s">
        <v>2261</v>
      </c>
      <c r="B60" s="1938"/>
      <c r="C60" s="1938"/>
      <c r="D60" s="1938"/>
      <c r="E60" s="1938"/>
      <c r="F60" s="1938"/>
      <c r="G60" s="1938"/>
      <c r="H60" s="1938"/>
      <c r="I60" s="1938"/>
      <c r="J60" s="1230">
        <f>SUM(J61:J63)</f>
        <v>189371508.12594292</v>
      </c>
      <c r="L60" s="812"/>
    </row>
    <row r="61" spans="1:12" ht="15" hidden="1" customHeight="1" outlineLevel="1">
      <c r="A61" s="919" t="s">
        <v>2262</v>
      </c>
      <c r="B61" s="935" t="s">
        <v>2263</v>
      </c>
      <c r="C61" s="919" t="s">
        <v>55</v>
      </c>
      <c r="D61" s="1196">
        <f>+'9. Pisos y zócalos'!Q15</f>
        <v>848.00069999999994</v>
      </c>
      <c r="E61" s="1197">
        <v>5</v>
      </c>
      <c r="F61" s="1198">
        <f>+D61*E61</f>
        <v>4240.0034999999998</v>
      </c>
      <c r="G61" s="1199">
        <f>+F61/8</f>
        <v>530.00043749999998</v>
      </c>
      <c r="H61" s="1201">
        <v>45</v>
      </c>
      <c r="I61" s="1202">
        <f>ROUNDUP(G61/H61,0)</f>
        <v>12</v>
      </c>
      <c r="J61" s="1465">
        <f>+D61*APU!$J$159</f>
        <v>157377629.51333624</v>
      </c>
      <c r="L61" s="812"/>
    </row>
    <row r="62" spans="1:12" s="918" customFormat="1" hidden="1" outlineLevel="1">
      <c r="A62" s="919" t="s">
        <v>2921</v>
      </c>
      <c r="B62" s="933" t="s">
        <v>3615</v>
      </c>
      <c r="C62" s="921" t="s">
        <v>345</v>
      </c>
      <c r="D62" s="1203">
        <f>'3.Concreto'!Y80</f>
        <v>27</v>
      </c>
      <c r="E62" s="1446">
        <f>APU!$H$263/(APU!$H$165+APU!$H$166)</f>
        <v>1.4532958103576707</v>
      </c>
      <c r="F62" s="1198">
        <f>+D62*E62</f>
        <v>39.238986879657112</v>
      </c>
      <c r="G62" s="1199">
        <f t="shared" ref="G62:G66" si="10">+F62/8</f>
        <v>4.904873359957139</v>
      </c>
      <c r="H62" s="1201">
        <v>1</v>
      </c>
      <c r="I62" s="1202">
        <f>ROUNDUP(G62/H62,0)</f>
        <v>5</v>
      </c>
      <c r="J62" s="944">
        <f>D62*APU!$J$280</f>
        <v>23219465.116140004</v>
      </c>
      <c r="L62" s="812"/>
    </row>
    <row r="63" spans="1:12" s="918" customFormat="1" ht="15.75" hidden="1" outlineLevel="1" thickBot="1">
      <c r="A63" s="921" t="s">
        <v>2922</v>
      </c>
      <c r="B63" s="933" t="s">
        <v>3616</v>
      </c>
      <c r="C63" s="921" t="s">
        <v>345</v>
      </c>
      <c r="D63" s="1203">
        <f>'3.Concreto'!Y81</f>
        <v>15</v>
      </c>
      <c r="E63" s="1446">
        <f>APU!$H$263/(APU!$H$165+APU!$H$166)</f>
        <v>1.4532958103576707</v>
      </c>
      <c r="F63" s="1198">
        <f>+D63*E63</f>
        <v>21.799437155365062</v>
      </c>
      <c r="G63" s="1199">
        <f t="shared" si="10"/>
        <v>2.7249296444206328</v>
      </c>
      <c r="H63" s="1201">
        <v>1</v>
      </c>
      <c r="I63" s="1202">
        <f>ROUNDUP(G63/H63,0)</f>
        <v>3</v>
      </c>
      <c r="J63" s="1465">
        <f>D63*APU!$J$292</f>
        <v>8774413.496466672</v>
      </c>
      <c r="L63" s="812"/>
    </row>
    <row r="64" spans="1:12" ht="15.75" hidden="1" outlineLevel="1" thickBot="1">
      <c r="A64" s="1937" t="s">
        <v>2264</v>
      </c>
      <c r="B64" s="1938"/>
      <c r="C64" s="1938"/>
      <c r="D64" s="1938"/>
      <c r="E64" s="1938"/>
      <c r="F64" s="1938"/>
      <c r="G64" s="1938"/>
      <c r="H64" s="1938"/>
      <c r="I64" s="1938"/>
      <c r="J64" s="1230">
        <f>SUM(J65:J67)</f>
        <v>193598009.09459734</v>
      </c>
      <c r="L64"/>
    </row>
    <row r="65" spans="1:12" s="918" customFormat="1" hidden="1" outlineLevel="1">
      <c r="A65" s="919" t="s">
        <v>2921</v>
      </c>
      <c r="B65" s="933" t="s">
        <v>3613</v>
      </c>
      <c r="C65" s="921" t="s">
        <v>345</v>
      </c>
      <c r="D65" s="1203">
        <f>'3.Concreto'!Y82</f>
        <v>23.880000000000003</v>
      </c>
      <c r="E65" s="1446">
        <f>APU!$H$263/(APU!$H$165+APU!$H$166)</f>
        <v>1.4532958103576707</v>
      </c>
      <c r="F65" s="1198">
        <f>+D65*E65</f>
        <v>34.70470395134118</v>
      </c>
      <c r="G65" s="1199">
        <f t="shared" si="10"/>
        <v>4.3380879939176475</v>
      </c>
      <c r="H65" s="1201">
        <v>1</v>
      </c>
      <c r="I65" s="1202">
        <f>ROUNDUP(G65/H65,0)</f>
        <v>5</v>
      </c>
      <c r="J65" s="944">
        <f>D65*APU!$J$280</f>
        <v>20536326.924941607</v>
      </c>
      <c r="L65" s="1416"/>
    </row>
    <row r="66" spans="1:12" s="918" customFormat="1" hidden="1" outlineLevel="1">
      <c r="A66" s="921" t="s">
        <v>2922</v>
      </c>
      <c r="B66" s="933" t="s">
        <v>3614</v>
      </c>
      <c r="C66" s="921" t="s">
        <v>345</v>
      </c>
      <c r="D66" s="1203">
        <f>'3.Concreto'!Y83</f>
        <v>11.59</v>
      </c>
      <c r="E66" s="1446">
        <f>APU!$H$263/(APU!$H$165+APU!$H$166)</f>
        <v>1.4532958103576707</v>
      </c>
      <c r="F66" s="1198">
        <f>+D66*E66</f>
        <v>16.843698442045405</v>
      </c>
      <c r="G66" s="1199">
        <f t="shared" si="10"/>
        <v>2.1054623052556756</v>
      </c>
      <c r="H66" s="1201">
        <v>1</v>
      </c>
      <c r="I66" s="1202">
        <f>ROUNDUP(G66/H66,0)</f>
        <v>3</v>
      </c>
      <c r="J66" s="1465">
        <f>D66*APU!$J$292</f>
        <v>6779696.8282699147</v>
      </c>
      <c r="L66" s="1408"/>
    </row>
    <row r="67" spans="1:12" ht="15" hidden="1" customHeight="1" outlineLevel="1" thickBot="1">
      <c r="A67" s="919" t="s">
        <v>2265</v>
      </c>
      <c r="B67" s="935" t="s">
        <v>2266</v>
      </c>
      <c r="C67" s="919" t="s">
        <v>55</v>
      </c>
      <c r="D67" s="1196">
        <f>+'9. Pisos y zócalos'!Q16</f>
        <v>895.98019999999997</v>
      </c>
      <c r="E67" s="1197">
        <v>5</v>
      </c>
      <c r="F67" s="1198">
        <f>+D67*E67</f>
        <v>4479.9009999999998</v>
      </c>
      <c r="G67" s="1199">
        <f>+F67/8</f>
        <v>559.98762499999998</v>
      </c>
      <c r="H67" s="1201">
        <v>45</v>
      </c>
      <c r="I67" s="1202">
        <f>ROUNDUP(G67/H67,0)</f>
        <v>13</v>
      </c>
      <c r="J67" s="944">
        <f>+D67*APU!$J$159</f>
        <v>166281985.34138581</v>
      </c>
      <c r="L67" s="812"/>
    </row>
    <row r="68" spans="1:12" ht="15" hidden="1" customHeight="1" outlineLevel="1" thickBot="1">
      <c r="A68" s="1937" t="s">
        <v>3456</v>
      </c>
      <c r="B68" s="1938"/>
      <c r="C68" s="1938"/>
      <c r="D68" s="1938"/>
      <c r="E68" s="1938"/>
      <c r="F68" s="1938"/>
      <c r="G68" s="1938"/>
      <c r="H68" s="1938"/>
      <c r="I68" s="1938"/>
      <c r="J68" s="1230">
        <f>SUM(J69)</f>
        <v>71786531.762279987</v>
      </c>
      <c r="L68" s="812"/>
    </row>
    <row r="69" spans="1:12" ht="15" hidden="1" customHeight="1" outlineLevel="1" thickBot="1">
      <c r="A69" s="919"/>
      <c r="B69" s="935" t="s">
        <v>3457</v>
      </c>
      <c r="C69" s="919" t="s">
        <v>55</v>
      </c>
      <c r="D69" s="1195">
        <f>Tenores!F138</f>
        <v>991.26</v>
      </c>
      <c r="E69" s="1197">
        <v>5</v>
      </c>
      <c r="F69" s="1198">
        <f>D69*E69</f>
        <v>4956.3</v>
      </c>
      <c r="G69" s="1199">
        <f>F69/8</f>
        <v>619.53750000000002</v>
      </c>
      <c r="H69" s="1201">
        <v>45</v>
      </c>
      <c r="I69" s="1202">
        <f>ROUNDUP(G69/H69,0)</f>
        <v>14</v>
      </c>
      <c r="J69" s="944">
        <f>D69*APU!J306</f>
        <v>71786531.762279987</v>
      </c>
      <c r="L69" s="812"/>
    </row>
    <row r="70" spans="1:12" ht="15.75" collapsed="1" thickBot="1">
      <c r="A70" s="939">
        <v>5</v>
      </c>
      <c r="B70" s="1943" t="s">
        <v>702</v>
      </c>
      <c r="C70" s="1944"/>
      <c r="D70" s="1944"/>
      <c r="E70" s="1944"/>
      <c r="F70" s="1944"/>
      <c r="G70" s="1944"/>
      <c r="H70" s="1944"/>
      <c r="I70" s="1944"/>
      <c r="J70" s="1236">
        <f>SUM(J71:J79)</f>
        <v>1430224129.3341966</v>
      </c>
      <c r="L70" s="1410"/>
    </row>
    <row r="71" spans="1:12" ht="15.75" hidden="1" customHeight="1" outlineLevel="1">
      <c r="A71" s="925" t="s">
        <v>1098</v>
      </c>
      <c r="B71" s="988" t="s">
        <v>1245</v>
      </c>
      <c r="C71" s="988" t="s">
        <v>39</v>
      </c>
      <c r="D71" s="1176">
        <f>APU!F317</f>
        <v>4837.7650000000003</v>
      </c>
      <c r="E71" s="988"/>
      <c r="F71" s="919" t="s">
        <v>699</v>
      </c>
      <c r="G71" s="926"/>
      <c r="H71" s="927"/>
      <c r="I71" s="927"/>
      <c r="J71" s="1086">
        <f>'Estructura de Presupuesto'!H45*D71</f>
        <v>16123409.62283</v>
      </c>
      <c r="L71"/>
    </row>
    <row r="72" spans="1:12" ht="15.75" hidden="1" customHeight="1" outlineLevel="1">
      <c r="A72" s="929" t="s">
        <v>1099</v>
      </c>
      <c r="B72" s="991" t="s">
        <v>1246</v>
      </c>
      <c r="C72" s="988" t="s">
        <v>39</v>
      </c>
      <c r="D72" s="1177">
        <f>APU!F325</f>
        <v>27242.7232</v>
      </c>
      <c r="E72" s="991"/>
      <c r="F72" s="921" t="s">
        <v>699</v>
      </c>
      <c r="G72" s="923"/>
      <c r="H72" s="924"/>
      <c r="I72" s="924"/>
      <c r="J72" s="1087">
        <f>'Estructura de Presupuesto'!H46*D72</f>
        <v>89279906.956486389</v>
      </c>
      <c r="L72" s="1408"/>
    </row>
    <row r="73" spans="1:12" ht="15.75" hidden="1" customHeight="1" outlineLevel="1">
      <c r="A73" s="929" t="s">
        <v>1100</v>
      </c>
      <c r="B73" s="991" t="s">
        <v>1247</v>
      </c>
      <c r="C73" s="988" t="s">
        <v>39</v>
      </c>
      <c r="D73" s="1177">
        <f>APU!F333</f>
        <v>29699.952030233566</v>
      </c>
      <c r="E73" s="991"/>
      <c r="F73" s="921" t="s">
        <v>699</v>
      </c>
      <c r="G73" s="923"/>
      <c r="H73" s="924"/>
      <c r="I73" s="924"/>
      <c r="J73" s="1087">
        <f>'Estructura de Presupuesto'!H47*D73</f>
        <v>103083840.90451992</v>
      </c>
      <c r="L73" s="1408"/>
    </row>
    <row r="74" spans="1:12" ht="15.75" hidden="1" customHeight="1" outlineLevel="1">
      <c r="A74" s="929" t="s">
        <v>1101</v>
      </c>
      <c r="B74" s="991" t="s">
        <v>1248</v>
      </c>
      <c r="C74" s="988" t="s">
        <v>39</v>
      </c>
      <c r="D74" s="1177">
        <f>APU!F341</f>
        <v>20362.772000000001</v>
      </c>
      <c r="E74" s="991"/>
      <c r="F74" s="921" t="s">
        <v>699</v>
      </c>
      <c r="G74" s="923"/>
      <c r="H74" s="924"/>
      <c r="I74" s="924"/>
      <c r="J74" s="1087">
        <f>'Estructura de Presupuesto'!H48*D74</f>
        <v>70675964.294023991</v>
      </c>
      <c r="L74" s="812"/>
    </row>
    <row r="75" spans="1:12" ht="15.75" hidden="1" customHeight="1" outlineLevel="1">
      <c r="A75" s="929" t="s">
        <v>1102</v>
      </c>
      <c r="B75" s="991" t="s">
        <v>1249</v>
      </c>
      <c r="C75" s="988" t="s">
        <v>39</v>
      </c>
      <c r="D75" s="1177">
        <f>APU!F349</f>
        <v>34588.827799999999</v>
      </c>
      <c r="E75" s="991"/>
      <c r="F75" s="921" t="s">
        <v>699</v>
      </c>
      <c r="G75" s="923"/>
      <c r="H75" s="924"/>
      <c r="I75" s="924"/>
      <c r="J75" s="1087">
        <f>'Estructura de Presupuesto'!H49*D75</f>
        <v>120052356.25900759</v>
      </c>
      <c r="L75" s="812"/>
    </row>
    <row r="76" spans="1:12" ht="15.75" hidden="1" customHeight="1" outlineLevel="1">
      <c r="A76" s="929" t="s">
        <v>1103</v>
      </c>
      <c r="B76" s="991" t="s">
        <v>1250</v>
      </c>
      <c r="C76" s="988" t="s">
        <v>39</v>
      </c>
      <c r="D76" s="1177">
        <f>APU!F357</f>
        <v>31893.599999999999</v>
      </c>
      <c r="E76" s="991"/>
      <c r="F76" s="921" t="s">
        <v>699</v>
      </c>
      <c r="G76" s="923"/>
      <c r="H76" s="924"/>
      <c r="I76" s="924"/>
      <c r="J76" s="1086">
        <f>'Estructura de Presupuesto'!H50*D76</f>
        <v>110697646.41119999</v>
      </c>
      <c r="L76" s="812"/>
    </row>
    <row r="77" spans="1:12" ht="15.75" hidden="1" customHeight="1" outlineLevel="1">
      <c r="A77" s="929" t="s">
        <v>1104</v>
      </c>
      <c r="B77" s="991" t="s">
        <v>1251</v>
      </c>
      <c r="C77" s="988" t="s">
        <v>39</v>
      </c>
      <c r="D77" s="1177">
        <f>APU!F365</f>
        <v>53043.92</v>
      </c>
      <c r="E77" s="991"/>
      <c r="F77" s="921" t="s">
        <v>699</v>
      </c>
      <c r="G77" s="923"/>
      <c r="H77" s="924"/>
      <c r="I77" s="924"/>
      <c r="J77" s="1087">
        <f>'Estructura de Presupuesto'!H51*D77</f>
        <v>184107065.38063997</v>
      </c>
      <c r="L77" s="812"/>
    </row>
    <row r="78" spans="1:12" ht="15.75" hidden="1" customHeight="1" outlineLevel="1">
      <c r="A78" s="929" t="s">
        <v>1105</v>
      </c>
      <c r="B78" s="991" t="s">
        <v>1252</v>
      </c>
      <c r="C78" s="988" t="s">
        <v>39</v>
      </c>
      <c r="D78" s="1177">
        <f>APU!F373</f>
        <v>138838.326</v>
      </c>
      <c r="E78" s="991"/>
      <c r="F78" s="921" t="s">
        <v>699</v>
      </c>
      <c r="G78" s="923"/>
      <c r="H78" s="924"/>
      <c r="I78" s="924"/>
      <c r="J78" s="1087">
        <f>'Estructura de Presupuesto'!H52*D78</f>
        <v>471731257.92685199</v>
      </c>
      <c r="L78"/>
    </row>
    <row r="79" spans="1:12" ht="15.75" hidden="1" customHeight="1" outlineLevel="1" thickBot="1">
      <c r="A79" s="929" t="s">
        <v>1106</v>
      </c>
      <c r="B79" s="992" t="s">
        <v>1053</v>
      </c>
      <c r="C79" s="989" t="s">
        <v>39</v>
      </c>
      <c r="D79" s="1231">
        <f>APU!F381</f>
        <v>26539.367991999992</v>
      </c>
      <c r="E79" s="992"/>
      <c r="F79" s="930" t="s">
        <v>699</v>
      </c>
      <c r="G79" s="1232"/>
      <c r="H79" s="1233"/>
      <c r="I79" s="1233"/>
      <c r="J79" s="1088">
        <f>'Estructura de Presupuesto'!H53*D79</f>
        <v>264472681.57863677</v>
      </c>
      <c r="L79"/>
    </row>
    <row r="80" spans="1:12" ht="15.75" collapsed="1" thickBot="1">
      <c r="A80" s="1153">
        <v>6</v>
      </c>
      <c r="B80" s="1943" t="s">
        <v>697</v>
      </c>
      <c r="C80" s="1944"/>
      <c r="D80" s="1944"/>
      <c r="E80" s="1944"/>
      <c r="F80" s="1944"/>
      <c r="G80" s="1944"/>
      <c r="H80" s="1944"/>
      <c r="I80" s="1944"/>
      <c r="J80" s="1238">
        <f>SUM(J81:J97)</f>
        <v>413334822.89580446</v>
      </c>
      <c r="L80" s="1408"/>
    </row>
    <row r="81" spans="1:12" ht="15.75" hidden="1" customHeight="1" outlineLevel="1">
      <c r="A81" s="920">
        <v>6.1</v>
      </c>
      <c r="B81" s="1032" t="s">
        <v>2267</v>
      </c>
      <c r="C81" s="919" t="s">
        <v>678</v>
      </c>
      <c r="D81" s="1184">
        <f>+'6. Mampostería'!I48</f>
        <v>276.32338500000009</v>
      </c>
      <c r="E81" s="1032">
        <v>1.3</v>
      </c>
      <c r="F81" s="940">
        <f>+D81*E81</f>
        <v>359.22040050000015</v>
      </c>
      <c r="G81" s="1083">
        <f>+F81/8</f>
        <v>44.902550062500019</v>
      </c>
      <c r="H81" s="1234">
        <v>12</v>
      </c>
      <c r="I81" s="1234">
        <f>+ROUNDUP(G81/H81,0)</f>
        <v>4</v>
      </c>
      <c r="J81" s="1235">
        <f>+D81*APU!$J$394</f>
        <v>18299373.674971242</v>
      </c>
      <c r="L81" s="1408"/>
    </row>
    <row r="82" spans="1:12" ht="15.75" hidden="1" customHeight="1" outlineLevel="1">
      <c r="A82" s="920">
        <v>6.2</v>
      </c>
      <c r="B82" s="968" t="s">
        <v>2268</v>
      </c>
      <c r="C82" s="921" t="s">
        <v>678</v>
      </c>
      <c r="D82" s="1157">
        <f>+'6. Mampostería'!I105</f>
        <v>360.68681999999995</v>
      </c>
      <c r="E82" s="968">
        <v>1.3</v>
      </c>
      <c r="F82" s="938">
        <f t="shared" ref="F82:F97" si="11">+D82*E82</f>
        <v>468.89286599999997</v>
      </c>
      <c r="G82" s="922">
        <f t="shared" ref="G82:G97" si="12">+F82/8</f>
        <v>58.611608249999996</v>
      </c>
      <c r="H82" s="931">
        <v>12</v>
      </c>
      <c r="I82" s="931">
        <f t="shared" ref="I82:I97" si="13">+ROUNDUP(G82/H82,0)</f>
        <v>5</v>
      </c>
      <c r="J82" s="1154">
        <f>+D82*APU!$J$394</f>
        <v>23886298.652635165</v>
      </c>
      <c r="L82" s="812"/>
    </row>
    <row r="83" spans="1:12" ht="15.75" hidden="1" customHeight="1" outlineLevel="1">
      <c r="A83" s="920">
        <v>6.3</v>
      </c>
      <c r="B83" s="968" t="s">
        <v>2269</v>
      </c>
      <c r="C83" s="921" t="s">
        <v>678</v>
      </c>
      <c r="D83" s="1157">
        <f>+'6. Mampostería'!I180</f>
        <v>562.62829999999997</v>
      </c>
      <c r="E83" s="968">
        <v>1.3</v>
      </c>
      <c r="F83" s="938">
        <f t="shared" si="11"/>
        <v>731.41678999999999</v>
      </c>
      <c r="G83" s="922">
        <f t="shared" si="12"/>
        <v>91.427098749999999</v>
      </c>
      <c r="H83" s="931">
        <v>12</v>
      </c>
      <c r="I83" s="931">
        <f t="shared" si="13"/>
        <v>8</v>
      </c>
      <c r="J83" s="1154">
        <f>+D83*APU!$J$394</f>
        <v>37259769.02683723</v>
      </c>
      <c r="L83" s="812"/>
    </row>
    <row r="84" spans="1:12" ht="15.75" hidden="1" customHeight="1" outlineLevel="1">
      <c r="A84" s="920">
        <v>6.4</v>
      </c>
      <c r="B84" s="968" t="s">
        <v>2270</v>
      </c>
      <c r="C84" s="921" t="s">
        <v>678</v>
      </c>
      <c r="D84" s="1157">
        <f>+'6. Mampostería'!I259</f>
        <v>614.41313999999977</v>
      </c>
      <c r="E84" s="968">
        <v>1.3</v>
      </c>
      <c r="F84" s="938">
        <f t="shared" si="11"/>
        <v>798.73708199999976</v>
      </c>
      <c r="G84" s="922">
        <f t="shared" si="12"/>
        <v>99.84213524999997</v>
      </c>
      <c r="H84" s="931">
        <v>12</v>
      </c>
      <c r="I84" s="931">
        <f t="shared" si="13"/>
        <v>9</v>
      </c>
      <c r="J84" s="1154">
        <f>+D84*APU!$J$394</f>
        <v>40689193.351016648</v>
      </c>
      <c r="L84" s="812"/>
    </row>
    <row r="85" spans="1:12" ht="15.75" hidden="1" customHeight="1" outlineLevel="1">
      <c r="A85" s="920">
        <v>6.5</v>
      </c>
      <c r="B85" s="968" t="s">
        <v>2271</v>
      </c>
      <c r="C85" s="921" t="s">
        <v>678</v>
      </c>
      <c r="D85" s="1157">
        <f>+'6. Mampostería'!I301</f>
        <v>385.82760000000013</v>
      </c>
      <c r="E85" s="968">
        <v>1.3</v>
      </c>
      <c r="F85" s="938">
        <f t="shared" si="11"/>
        <v>501.57588000000021</v>
      </c>
      <c r="G85" s="922">
        <f t="shared" si="12"/>
        <v>62.696985000000026</v>
      </c>
      <c r="H85" s="931">
        <v>12</v>
      </c>
      <c r="I85" s="931">
        <f t="shared" si="13"/>
        <v>6</v>
      </c>
      <c r="J85" s="1154">
        <f>+D85*APU!$J$394</f>
        <v>25551233.843336619</v>
      </c>
      <c r="L85" s="812"/>
    </row>
    <row r="86" spans="1:12" ht="15.75" hidden="1" customHeight="1" outlineLevel="1">
      <c r="A86" s="920">
        <v>6.6</v>
      </c>
      <c r="B86" s="968" t="s">
        <v>2272</v>
      </c>
      <c r="C86" s="921" t="s">
        <v>678</v>
      </c>
      <c r="D86" s="1157">
        <f>+'6. Mampostería'!I387</f>
        <v>723.32489999999996</v>
      </c>
      <c r="E86" s="968">
        <v>1.3</v>
      </c>
      <c r="F86" s="938">
        <f t="shared" si="11"/>
        <v>940.32236999999998</v>
      </c>
      <c r="G86" s="922">
        <f t="shared" si="12"/>
        <v>117.54029625</v>
      </c>
      <c r="H86" s="931">
        <v>12</v>
      </c>
      <c r="I86" s="931">
        <f t="shared" si="13"/>
        <v>10</v>
      </c>
      <c r="J86" s="1154">
        <f>+D86*APU!$J$394</f>
        <v>47901818.492528968</v>
      </c>
      <c r="L86"/>
    </row>
    <row r="87" spans="1:12" ht="15.75" hidden="1" customHeight="1" outlineLevel="1">
      <c r="A87" s="920">
        <v>6.7</v>
      </c>
      <c r="B87" s="968" t="s">
        <v>2273</v>
      </c>
      <c r="C87" s="921" t="s">
        <v>678</v>
      </c>
      <c r="D87" s="1157">
        <f>+'6. Mampostería'!I474</f>
        <v>713.41850000000011</v>
      </c>
      <c r="E87" s="968">
        <v>1.3</v>
      </c>
      <c r="F87" s="938">
        <f t="shared" si="11"/>
        <v>927.44405000000017</v>
      </c>
      <c r="G87" s="922">
        <f t="shared" si="12"/>
        <v>115.93050625000002</v>
      </c>
      <c r="H87" s="931">
        <v>12</v>
      </c>
      <c r="I87" s="931">
        <f t="shared" si="13"/>
        <v>10</v>
      </c>
      <c r="J87" s="1154">
        <f>+D87*APU!$J$394</f>
        <v>47245772.261140577</v>
      </c>
      <c r="L87"/>
    </row>
    <row r="88" spans="1:12" ht="15.75" hidden="1" customHeight="1" outlineLevel="1">
      <c r="A88" s="920">
        <v>6.8</v>
      </c>
      <c r="B88" s="968" t="s">
        <v>2274</v>
      </c>
      <c r="C88" s="921" t="s">
        <v>678</v>
      </c>
      <c r="D88" s="1157">
        <f>+'6. Mampostería'!I561</f>
        <v>713.41850000000011</v>
      </c>
      <c r="E88" s="968">
        <v>1.3</v>
      </c>
      <c r="F88" s="938">
        <f t="shared" si="11"/>
        <v>927.44405000000017</v>
      </c>
      <c r="G88" s="922">
        <f t="shared" si="12"/>
        <v>115.93050625000002</v>
      </c>
      <c r="H88" s="931">
        <v>12</v>
      </c>
      <c r="I88" s="931">
        <f t="shared" si="13"/>
        <v>10</v>
      </c>
      <c r="J88" s="1154">
        <f>+D88*APU!$J$394</f>
        <v>47245772.261140577</v>
      </c>
      <c r="L88" s="1408"/>
    </row>
    <row r="89" spans="1:12" ht="15.75" hidden="1" customHeight="1" outlineLevel="1">
      <c r="A89" s="920">
        <v>6.9</v>
      </c>
      <c r="B89" s="968" t="s">
        <v>2275</v>
      </c>
      <c r="C89" s="921" t="s">
        <v>678</v>
      </c>
      <c r="D89" s="1157">
        <f>+'6. Mampostería'!I634</f>
        <v>587.88809999999967</v>
      </c>
      <c r="E89" s="968">
        <v>1.3</v>
      </c>
      <c r="F89" s="938">
        <f t="shared" si="11"/>
        <v>764.25452999999959</v>
      </c>
      <c r="G89" s="922">
        <f t="shared" si="12"/>
        <v>95.531816249999949</v>
      </c>
      <c r="H89" s="931">
        <v>12</v>
      </c>
      <c r="I89" s="931">
        <f t="shared" si="13"/>
        <v>8</v>
      </c>
      <c r="J89" s="1154">
        <f>+D89*APU!$J$394</f>
        <v>38932586.255661465</v>
      </c>
      <c r="L89" s="1408"/>
    </row>
    <row r="90" spans="1:12" ht="15.75" hidden="1" outlineLevel="1" thickBot="1">
      <c r="A90" s="1155">
        <v>6.1</v>
      </c>
      <c r="B90" s="1156" t="s">
        <v>2760</v>
      </c>
      <c r="C90" s="921" t="s">
        <v>678</v>
      </c>
      <c r="D90" s="1004">
        <f>+'6. Mampostería'!I49</f>
        <v>9.7655999999999992</v>
      </c>
      <c r="E90" s="938">
        <v>1.25</v>
      </c>
      <c r="F90" s="938">
        <f t="shared" si="11"/>
        <v>12.206999999999999</v>
      </c>
      <c r="G90" s="922">
        <f t="shared" si="12"/>
        <v>1.5258749999999999</v>
      </c>
      <c r="H90" s="931">
        <v>2</v>
      </c>
      <c r="I90" s="931">
        <f t="shared" si="13"/>
        <v>1</v>
      </c>
      <c r="J90" s="1154">
        <f>+D90*APU!$J$409</f>
        <v>494568.94874399994</v>
      </c>
      <c r="L90" s="812"/>
    </row>
    <row r="91" spans="1:12" ht="15.75" hidden="1" outlineLevel="1" thickBot="1">
      <c r="A91" s="1155">
        <v>6.11</v>
      </c>
      <c r="B91" s="1156" t="s">
        <v>2761</v>
      </c>
      <c r="C91" s="921" t="s">
        <v>678</v>
      </c>
      <c r="D91" s="1004">
        <f>+'6. Mampostería'!I106</f>
        <v>9.9216000000000015</v>
      </c>
      <c r="E91" s="938">
        <v>1.25</v>
      </c>
      <c r="F91" s="938">
        <f t="shared" si="11"/>
        <v>12.402000000000001</v>
      </c>
      <c r="G91" s="922">
        <f t="shared" si="12"/>
        <v>1.5502500000000001</v>
      </c>
      <c r="H91" s="931">
        <v>2</v>
      </c>
      <c r="I91" s="931">
        <f t="shared" si="13"/>
        <v>1</v>
      </c>
      <c r="J91" s="1154">
        <f>+D91*APU!$J$409</f>
        <v>502469.41118400008</v>
      </c>
      <c r="L91" s="812"/>
    </row>
    <row r="92" spans="1:12" ht="15.75" hidden="1" outlineLevel="1" thickBot="1">
      <c r="A92" s="1155">
        <v>6.12</v>
      </c>
      <c r="B92" s="1156" t="s">
        <v>2762</v>
      </c>
      <c r="C92" s="921" t="s">
        <v>678</v>
      </c>
      <c r="D92" s="1004">
        <f>+'6. Mampostería'!I181</f>
        <v>117.40560000000002</v>
      </c>
      <c r="E92" s="938">
        <v>1.25</v>
      </c>
      <c r="F92" s="938">
        <f t="shared" si="11"/>
        <v>146.75700000000003</v>
      </c>
      <c r="G92" s="922">
        <f t="shared" si="12"/>
        <v>18.344625000000004</v>
      </c>
      <c r="H92" s="931">
        <v>5</v>
      </c>
      <c r="I92" s="931">
        <f t="shared" si="13"/>
        <v>4</v>
      </c>
      <c r="J92" s="1154">
        <f>+D92*APU!$J$409</f>
        <v>5945888.0323440004</v>
      </c>
      <c r="L92" s="812"/>
    </row>
    <row r="93" spans="1:12" ht="15.75" hidden="1" outlineLevel="1" thickBot="1">
      <c r="A93" s="1155">
        <v>6.13</v>
      </c>
      <c r="B93" s="1156" t="s">
        <v>2763</v>
      </c>
      <c r="C93" s="921" t="s">
        <v>678</v>
      </c>
      <c r="D93" s="1004">
        <f>+'6. Mampostería'!I260</f>
        <v>137.3424</v>
      </c>
      <c r="E93" s="938">
        <v>1.25</v>
      </c>
      <c r="F93" s="938">
        <f t="shared" si="11"/>
        <v>171.678</v>
      </c>
      <c r="G93" s="922">
        <f t="shared" si="12"/>
        <v>21.45975</v>
      </c>
      <c r="H93" s="931">
        <v>5</v>
      </c>
      <c r="I93" s="931">
        <f t="shared" si="13"/>
        <v>5</v>
      </c>
      <c r="J93" s="1154">
        <f>+D93*APU!$J$409</f>
        <v>6955567.1321759997</v>
      </c>
      <c r="L93" s="812"/>
    </row>
    <row r="94" spans="1:12" ht="15.75" hidden="1" outlineLevel="1" thickBot="1">
      <c r="A94" s="1155">
        <v>6.14</v>
      </c>
      <c r="B94" s="1156" t="s">
        <v>2764</v>
      </c>
      <c r="C94" s="921" t="s">
        <v>678</v>
      </c>
      <c r="D94" s="1004">
        <f>+'6. Mampostería'!I388</f>
        <v>259.78199999999998</v>
      </c>
      <c r="E94" s="938">
        <v>1.25</v>
      </c>
      <c r="F94" s="938">
        <f t="shared" si="11"/>
        <v>324.72749999999996</v>
      </c>
      <c r="G94" s="922">
        <f t="shared" si="12"/>
        <v>40.590937499999995</v>
      </c>
      <c r="H94" s="931">
        <v>5</v>
      </c>
      <c r="I94" s="931">
        <f t="shared" si="13"/>
        <v>9</v>
      </c>
      <c r="J94" s="1154">
        <f>+D94*APU!$J$409</f>
        <v>13156397.010179998</v>
      </c>
      <c r="L94"/>
    </row>
    <row r="95" spans="1:12" ht="15.75" hidden="1" outlineLevel="1" thickBot="1">
      <c r="A95" s="1155">
        <v>6.15</v>
      </c>
      <c r="B95" s="1156" t="s">
        <v>2766</v>
      </c>
      <c r="C95" s="921" t="s">
        <v>678</v>
      </c>
      <c r="D95" s="1004">
        <f>+'6. Mampostería'!I475</f>
        <v>391.22159999999991</v>
      </c>
      <c r="E95" s="938">
        <v>1.25</v>
      </c>
      <c r="F95" s="938">
        <f t="shared" si="11"/>
        <v>489.02699999999987</v>
      </c>
      <c r="G95" s="922">
        <f t="shared" si="12"/>
        <v>61.128374999999984</v>
      </c>
      <c r="H95" s="931">
        <v>5</v>
      </c>
      <c r="I95" s="931">
        <f t="shared" si="13"/>
        <v>13</v>
      </c>
      <c r="J95" s="1154">
        <f>+D95*APU!$J$409</f>
        <v>19813022.798183996</v>
      </c>
      <c r="L95"/>
    </row>
    <row r="96" spans="1:12" ht="15.75" hidden="1" outlineLevel="1" thickBot="1">
      <c r="A96" s="1155">
        <v>6.16</v>
      </c>
      <c r="B96" s="1156" t="s">
        <v>2767</v>
      </c>
      <c r="C96" s="921" t="s">
        <v>678</v>
      </c>
      <c r="D96" s="1004">
        <f>+'6. Mampostería'!I562</f>
        <v>391.22159999999991</v>
      </c>
      <c r="E96" s="938">
        <v>1.25</v>
      </c>
      <c r="F96" s="938">
        <f t="shared" si="11"/>
        <v>489.02699999999987</v>
      </c>
      <c r="G96" s="922">
        <f t="shared" si="12"/>
        <v>61.128374999999984</v>
      </c>
      <c r="H96" s="931">
        <v>5</v>
      </c>
      <c r="I96" s="931">
        <f t="shared" si="13"/>
        <v>13</v>
      </c>
      <c r="J96" s="1154">
        <f>+D96*APU!$J$409</f>
        <v>19813022.798183996</v>
      </c>
      <c r="L96" s="1408"/>
    </row>
    <row r="97" spans="1:12" ht="15.75" hidden="1" outlineLevel="1" thickBot="1">
      <c r="A97" s="1155">
        <v>6.17</v>
      </c>
      <c r="B97" s="1156" t="s">
        <v>2765</v>
      </c>
      <c r="C97" s="921" t="s">
        <v>678</v>
      </c>
      <c r="D97" s="1004">
        <f>+'6. Mampostería'!I635</f>
        <v>387.84600000000006</v>
      </c>
      <c r="E97" s="938">
        <v>1.25</v>
      </c>
      <c r="F97" s="938">
        <f t="shared" si="11"/>
        <v>484.80750000000006</v>
      </c>
      <c r="G97" s="922">
        <f t="shared" si="12"/>
        <v>60.600937500000008</v>
      </c>
      <c r="H97" s="931">
        <v>5</v>
      </c>
      <c r="I97" s="931">
        <f t="shared" si="13"/>
        <v>13</v>
      </c>
      <c r="J97" s="1154">
        <f>+D97*APU!$J$409</f>
        <v>19642068.945540003</v>
      </c>
      <c r="L97" s="1408"/>
    </row>
    <row r="98" spans="1:12" ht="15.75" collapsed="1" thickBot="1">
      <c r="A98" s="917">
        <v>7</v>
      </c>
      <c r="B98" s="1943" t="s">
        <v>1262</v>
      </c>
      <c r="C98" s="1944"/>
      <c r="D98" s="1944"/>
      <c r="E98" s="1944"/>
      <c r="F98" s="1944"/>
      <c r="G98" s="1944"/>
      <c r="H98" s="1944"/>
      <c r="I98" s="1944"/>
      <c r="J98" s="1236">
        <f>SUM(J99:J107)</f>
        <v>63396032.572342038</v>
      </c>
      <c r="L98" s="1409"/>
    </row>
    <row r="99" spans="1:12" ht="15" hidden="1" customHeight="1" outlineLevel="1">
      <c r="A99" s="928" t="s">
        <v>1108</v>
      </c>
      <c r="B99" s="988" t="s">
        <v>2276</v>
      </c>
      <c r="C99" s="919" t="s">
        <v>678</v>
      </c>
      <c r="D99" s="988">
        <f>'7. Revoque'!F10+'7. Revoque'!O12</f>
        <v>330.30838500000004</v>
      </c>
      <c r="E99" s="1178">
        <f>APU!$H$415/(APU!$H$423+APU!$H$424)</f>
        <v>0.44633207638044547</v>
      </c>
      <c r="F99" s="1179">
        <f>D99*E99</f>
        <v>147.42722732292162</v>
      </c>
      <c r="G99" s="932">
        <f>F99/8</f>
        <v>18.428403415365203</v>
      </c>
      <c r="H99" s="997">
        <v>5</v>
      </c>
      <c r="I99" s="1001">
        <f>ROUNDUP(G99/H99,0)</f>
        <v>4</v>
      </c>
      <c r="J99" s="1086">
        <f>APU!$J$418*'Cuadro de programación'!D99</f>
        <v>4415131.0418675123</v>
      </c>
      <c r="L99" s="812"/>
    </row>
    <row r="100" spans="1:12" ht="15" hidden="1" customHeight="1" outlineLevel="1">
      <c r="A100" s="928" t="s">
        <v>3591</v>
      </c>
      <c r="B100" s="988" t="s">
        <v>2277</v>
      </c>
      <c r="C100" s="919" t="s">
        <v>678</v>
      </c>
      <c r="D100" s="988">
        <f>'7. Revoque'!F14+'7. Revoque'!O19</f>
        <v>431.26912000000004</v>
      </c>
      <c r="E100" s="1178">
        <f>APU!$H$415/(APU!$H$423+APU!$H$424)</f>
        <v>0.44633207638044547</v>
      </c>
      <c r="F100" s="1179">
        <f t="shared" ref="F100:F107" si="14">D100*E100</f>
        <v>192.48924180836752</v>
      </c>
      <c r="G100" s="932">
        <f t="shared" ref="G100:G107" si="15">F100/8</f>
        <v>24.06115522604594</v>
      </c>
      <c r="H100" s="997">
        <v>5</v>
      </c>
      <c r="I100" s="1001">
        <f t="shared" ref="I100:I107" si="16">ROUNDUP(G100/H100,0)</f>
        <v>5</v>
      </c>
      <c r="J100" s="1087">
        <f>APU!$J$418*'Cuadro de programación'!D100</f>
        <v>5764642.2724354556</v>
      </c>
      <c r="L100" s="812"/>
    </row>
    <row r="101" spans="1:12" ht="15" hidden="1" customHeight="1" outlineLevel="1">
      <c r="A101" s="928" t="s">
        <v>3592</v>
      </c>
      <c r="B101" s="988" t="s">
        <v>2278</v>
      </c>
      <c r="C101" s="919" t="s">
        <v>678</v>
      </c>
      <c r="D101" s="988">
        <f>'7. Revoque'!F18+'7. Revoque'!O29</f>
        <v>613.26573000000008</v>
      </c>
      <c r="E101" s="1178">
        <f>APU!$H$415/(APU!$H$423+APU!$H$424)</f>
        <v>0.44633207638044547</v>
      </c>
      <c r="F101" s="1179">
        <f t="shared" si="14"/>
        <v>273.72016664386967</v>
      </c>
      <c r="G101" s="932">
        <f t="shared" si="15"/>
        <v>34.215020830483709</v>
      </c>
      <c r="H101" s="997">
        <v>5</v>
      </c>
      <c r="I101" s="1001">
        <f t="shared" si="16"/>
        <v>7</v>
      </c>
      <c r="J101" s="1087">
        <f>APU!$J$418*'Cuadro de programación'!D101</f>
        <v>8197335.2309434731</v>
      </c>
      <c r="L101" s="812"/>
    </row>
    <row r="102" spans="1:12" ht="15" hidden="1" customHeight="1" outlineLevel="1">
      <c r="A102" s="928" t="s">
        <v>3593</v>
      </c>
      <c r="B102" s="988" t="s">
        <v>2279</v>
      </c>
      <c r="C102" s="919" t="s">
        <v>678</v>
      </c>
      <c r="D102" s="988">
        <f>'7. Revoque'!F22+'7. Revoque'!O37</f>
        <v>609.74209000000008</v>
      </c>
      <c r="E102" s="1178">
        <f>APU!$H$415/(APU!$H$423+APU!$H$424)</f>
        <v>0.44633207638044547</v>
      </c>
      <c r="F102" s="1179">
        <f t="shared" si="14"/>
        <v>272.14745308625248</v>
      </c>
      <c r="G102" s="932">
        <f t="shared" si="15"/>
        <v>34.01843163578156</v>
      </c>
      <c r="H102" s="997">
        <v>5</v>
      </c>
      <c r="I102" s="1001">
        <f t="shared" si="16"/>
        <v>7</v>
      </c>
      <c r="J102" s="1087">
        <f>APU!$J$418*'Cuadro de programación'!D102</f>
        <v>8150235.8140020417</v>
      </c>
      <c r="L102"/>
    </row>
    <row r="103" spans="1:12" ht="15" hidden="1" customHeight="1" outlineLevel="1">
      <c r="A103" s="928" t="s">
        <v>3594</v>
      </c>
      <c r="B103" s="988" t="s">
        <v>2280</v>
      </c>
      <c r="C103" s="919" t="s">
        <v>678</v>
      </c>
      <c r="D103" s="988">
        <f>'7. Revoque'!F26</f>
        <v>481.00332000000003</v>
      </c>
      <c r="E103" s="1178">
        <f>APU!$H$415/(APU!$H$423+APU!$H$424)</f>
        <v>0.44633207638044547</v>
      </c>
      <c r="F103" s="1179">
        <f t="shared" si="14"/>
        <v>214.68721056148786</v>
      </c>
      <c r="G103" s="932">
        <f t="shared" si="15"/>
        <v>26.835901320185982</v>
      </c>
      <c r="H103" s="997">
        <v>5</v>
      </c>
      <c r="I103" s="1001">
        <f>ROUNDUP(G103/H103,0)</f>
        <v>6</v>
      </c>
      <c r="J103" s="1086">
        <f>APU!$J$418*'Cuadro de programación'!D103</f>
        <v>6429424.0952234147</v>
      </c>
      <c r="L103"/>
    </row>
    <row r="104" spans="1:12" ht="15" hidden="1" customHeight="1" outlineLevel="1">
      <c r="A104" s="928" t="s">
        <v>3595</v>
      </c>
      <c r="B104" s="988" t="s">
        <v>2281</v>
      </c>
      <c r="C104" s="919" t="s">
        <v>678</v>
      </c>
      <c r="D104" s="988">
        <f>'7. Revoque'!F30+'7. Revoque'!Q45</f>
        <v>544.16700900000001</v>
      </c>
      <c r="E104" s="1178">
        <f>APU!$H$415/(APU!$H$423+APU!$H$424)</f>
        <v>0.44633207638044547</v>
      </c>
      <c r="F104" s="1179">
        <f t="shared" si="14"/>
        <v>242.87919102470656</v>
      </c>
      <c r="G104" s="932">
        <f t="shared" si="15"/>
        <v>30.35989887808832</v>
      </c>
      <c r="H104" s="997">
        <v>5</v>
      </c>
      <c r="I104" s="1001">
        <f t="shared" si="16"/>
        <v>7</v>
      </c>
      <c r="J104" s="1087">
        <f>APU!$J$418*'Cuadro de programación'!D104</f>
        <v>7273713.785364843</v>
      </c>
      <c r="L104" s="1408"/>
    </row>
    <row r="105" spans="1:12" ht="15" hidden="1" customHeight="1" outlineLevel="1">
      <c r="A105" s="928" t="s">
        <v>3596</v>
      </c>
      <c r="B105" s="988" t="s">
        <v>2282</v>
      </c>
      <c r="C105" s="919" t="s">
        <v>678</v>
      </c>
      <c r="D105" s="988">
        <f>'7. Revoque'!F34+'7. Revoque'!Q45</f>
        <v>544.16700900000001</v>
      </c>
      <c r="E105" s="1178">
        <f>APU!$H$415/(APU!$H$423+APU!$H$424)</f>
        <v>0.44633207638044547</v>
      </c>
      <c r="F105" s="1179">
        <f t="shared" si="14"/>
        <v>242.87919102470656</v>
      </c>
      <c r="G105" s="932">
        <f t="shared" si="15"/>
        <v>30.35989887808832</v>
      </c>
      <c r="H105" s="997">
        <v>5</v>
      </c>
      <c r="I105" s="1001">
        <f t="shared" si="16"/>
        <v>7</v>
      </c>
      <c r="J105" s="1087">
        <f>APU!$J$418*'Cuadro de programación'!D105</f>
        <v>7273713.785364843</v>
      </c>
      <c r="L105" s="1408"/>
    </row>
    <row r="106" spans="1:12" ht="15" hidden="1" customHeight="1" outlineLevel="1">
      <c r="A106" s="928" t="s">
        <v>3597</v>
      </c>
      <c r="B106" s="988" t="s">
        <v>2283</v>
      </c>
      <c r="C106" s="919" t="s">
        <v>678</v>
      </c>
      <c r="D106" s="988">
        <f>'7. Revoque'!F38+'7. Revoque'!Q45</f>
        <v>544.16700900000001</v>
      </c>
      <c r="E106" s="1178">
        <f>APU!$H$415/(APU!$H$423+APU!$H$424)</f>
        <v>0.44633207638044547</v>
      </c>
      <c r="F106" s="1179">
        <f t="shared" si="14"/>
        <v>242.87919102470656</v>
      </c>
      <c r="G106" s="932">
        <f t="shared" si="15"/>
        <v>30.35989887808832</v>
      </c>
      <c r="H106" s="997">
        <v>5</v>
      </c>
      <c r="I106" s="1001">
        <f t="shared" si="16"/>
        <v>7</v>
      </c>
      <c r="J106" s="1087">
        <f>APU!$J$418*'Cuadro de programación'!D106</f>
        <v>7273713.785364843</v>
      </c>
      <c r="L106" s="812"/>
    </row>
    <row r="107" spans="1:12" ht="15.75" hidden="1" customHeight="1" outlineLevel="1" thickBot="1">
      <c r="A107" s="928" t="s">
        <v>3590</v>
      </c>
      <c r="B107" s="989" t="s">
        <v>2284</v>
      </c>
      <c r="C107" s="990" t="s">
        <v>678</v>
      </c>
      <c r="D107" s="989">
        <f>'7. Revoque'!F42+'7. Revoque'!O54</f>
        <v>644.74602999999991</v>
      </c>
      <c r="E107" s="1217">
        <f>APU!$H$415/(APU!$H$423+APU!$H$424)</f>
        <v>0.44633207638044547</v>
      </c>
      <c r="F107" s="1218">
        <f t="shared" si="14"/>
        <v>287.77083430794897</v>
      </c>
      <c r="G107" s="1219">
        <f t="shared" si="15"/>
        <v>35.971354288493622</v>
      </c>
      <c r="H107" s="1220">
        <v>5</v>
      </c>
      <c r="I107" s="1031">
        <f t="shared" si="16"/>
        <v>8</v>
      </c>
      <c r="J107" s="1087">
        <f>APU!$J$418*'Cuadro de programación'!D107</f>
        <v>8618122.761775611</v>
      </c>
      <c r="L107" s="812"/>
    </row>
    <row r="108" spans="1:12" ht="15.75" collapsed="1" thickBot="1">
      <c r="A108" s="917">
        <v>8</v>
      </c>
      <c r="B108" s="1943" t="s">
        <v>1688</v>
      </c>
      <c r="C108" s="1944"/>
      <c r="D108" s="1944"/>
      <c r="E108" s="1944"/>
      <c r="F108" s="1944"/>
      <c r="G108" s="1944"/>
      <c r="H108" s="1944"/>
      <c r="I108" s="1944"/>
      <c r="J108" s="1238">
        <f>SUM(J109:J126)</f>
        <v>92592049.737649709</v>
      </c>
      <c r="L108" s="1411"/>
    </row>
    <row r="109" spans="1:12" ht="15" hidden="1" customHeight="1" outlineLevel="1">
      <c r="A109" s="929" t="s">
        <v>1109</v>
      </c>
      <c r="B109" s="988" t="s">
        <v>2286</v>
      </c>
      <c r="C109" s="919" t="s">
        <v>678</v>
      </c>
      <c r="D109" s="988">
        <f>'8. Estuco y pintura'!F9+'8. Estuco y pintura'!AF11</f>
        <v>330.30838500000004</v>
      </c>
      <c r="E109" s="1178">
        <f>APU!$F$424</f>
        <v>0.3</v>
      </c>
      <c r="F109" s="1179">
        <f>D109*E109</f>
        <v>99.092515500000005</v>
      </c>
      <c r="G109" s="1179">
        <f>F109/8</f>
        <v>12.386564437500001</v>
      </c>
      <c r="H109" s="1035">
        <v>4</v>
      </c>
      <c r="I109" s="1032">
        <f>ROUNDUP(G109/H109,0)</f>
        <v>4</v>
      </c>
      <c r="J109" s="1154">
        <f>APU!$J$427*'Cuadro de programación'!D109</f>
        <v>2007566.0949646728</v>
      </c>
      <c r="L109" s="812"/>
    </row>
    <row r="110" spans="1:12" ht="15" hidden="1" customHeight="1" outlineLevel="1">
      <c r="A110" s="929" t="s">
        <v>1669</v>
      </c>
      <c r="B110" s="991" t="s">
        <v>2287</v>
      </c>
      <c r="C110" s="919" t="s">
        <v>678</v>
      </c>
      <c r="D110" s="991">
        <f>'8. Estuco y pintura'!F13+'8. Estuco y pintura'!AF18</f>
        <v>427.34462000000008</v>
      </c>
      <c r="E110" s="1181">
        <f>APU!$F$424</f>
        <v>0.3</v>
      </c>
      <c r="F110" s="1180">
        <f t="shared" ref="F110:F126" si="17">D110*E110</f>
        <v>128.20338600000002</v>
      </c>
      <c r="G110" s="1180">
        <f t="shared" ref="G110:G126" si="18">F110/8</f>
        <v>16.025423250000003</v>
      </c>
      <c r="H110" s="1035">
        <v>4</v>
      </c>
      <c r="I110" s="1032">
        <f t="shared" ref="I110:I126" si="19">ROUNDUP(G110/H110,0)</f>
        <v>5</v>
      </c>
      <c r="J110" s="1154">
        <f>APU!$J$427*'Cuadro de programación'!D110</f>
        <v>2597338.1510661985</v>
      </c>
      <c r="L110"/>
    </row>
    <row r="111" spans="1:12" ht="15" hidden="1" customHeight="1" outlineLevel="1">
      <c r="A111" s="929" t="s">
        <v>2285</v>
      </c>
      <c r="B111" s="991" t="s">
        <v>2288</v>
      </c>
      <c r="C111" s="919" t="s">
        <v>678</v>
      </c>
      <c r="D111" s="991">
        <f>'8. Estuco y pintura'!AF28+'8. Estuco y pintura'!F17</f>
        <v>611.38573000000008</v>
      </c>
      <c r="E111" s="1181">
        <f>APU!$F$424</f>
        <v>0.3</v>
      </c>
      <c r="F111" s="1180">
        <f t="shared" si="17"/>
        <v>183.41571900000002</v>
      </c>
      <c r="G111" s="1180">
        <f t="shared" si="18"/>
        <v>22.926964875000003</v>
      </c>
      <c r="H111" s="1035">
        <v>4</v>
      </c>
      <c r="I111" s="1032">
        <f t="shared" si="19"/>
        <v>6</v>
      </c>
      <c r="J111" s="1154">
        <f>APU!$J$427*'Cuadro de programación'!D111</f>
        <v>3715913.1231053239</v>
      </c>
      <c r="L111"/>
    </row>
    <row r="112" spans="1:12" ht="15" hidden="1" customHeight="1" outlineLevel="1">
      <c r="A112" s="929" t="s">
        <v>3280</v>
      </c>
      <c r="B112" s="991" t="s">
        <v>2289</v>
      </c>
      <c r="C112" s="919" t="s">
        <v>678</v>
      </c>
      <c r="D112" s="991">
        <f>'8. Estuco y pintura'!F21+'8. Estuco y pintura'!AF36</f>
        <v>609.74209000000008</v>
      </c>
      <c r="E112" s="1181">
        <f>APU!$F$424</f>
        <v>0.3</v>
      </c>
      <c r="F112" s="1180">
        <f t="shared" si="17"/>
        <v>182.92262700000001</v>
      </c>
      <c r="G112" s="1180">
        <f t="shared" si="18"/>
        <v>22.865328375000001</v>
      </c>
      <c r="H112" s="1035">
        <v>4</v>
      </c>
      <c r="I112" s="1032">
        <f t="shared" si="19"/>
        <v>6</v>
      </c>
      <c r="J112" s="1154">
        <f>APU!$J$427*'Cuadro de programación'!D112</f>
        <v>3705923.3193759159</v>
      </c>
      <c r="L112" s="1408"/>
    </row>
    <row r="113" spans="1:12" ht="15" hidden="1" customHeight="1" outlineLevel="1">
      <c r="A113" s="929" t="s">
        <v>2295</v>
      </c>
      <c r="B113" s="991" t="s">
        <v>2290</v>
      </c>
      <c r="C113" s="919" t="s">
        <v>678</v>
      </c>
      <c r="D113" s="991">
        <f>'8. Estuco y pintura'!F25</f>
        <v>481.00332000000003</v>
      </c>
      <c r="E113" s="1181">
        <f>APU!$F$424</f>
        <v>0.3</v>
      </c>
      <c r="F113" s="1180">
        <f t="shared" si="17"/>
        <v>144.300996</v>
      </c>
      <c r="G113" s="1180">
        <f t="shared" si="18"/>
        <v>18.0376245</v>
      </c>
      <c r="H113" s="1035">
        <v>4</v>
      </c>
      <c r="I113" s="1032">
        <f t="shared" si="19"/>
        <v>5</v>
      </c>
      <c r="J113" s="1154">
        <f>APU!$J$427*'Cuadro de programación'!D113</f>
        <v>2923467.8883415051</v>
      </c>
      <c r="L113" s="1408"/>
    </row>
    <row r="114" spans="1:12" ht="15" hidden="1" customHeight="1" outlineLevel="1">
      <c r="A114" s="929" t="s">
        <v>3275</v>
      </c>
      <c r="B114" s="991" t="s">
        <v>2291</v>
      </c>
      <c r="C114" s="919" t="s">
        <v>678</v>
      </c>
      <c r="D114" s="991">
        <f>'8. Estuco y pintura'!F29+'8. Estuco y pintura'!AH44</f>
        <v>544.16700900000001</v>
      </c>
      <c r="E114" s="1181">
        <f>APU!$F$424</f>
        <v>0.3</v>
      </c>
      <c r="F114" s="1180">
        <f t="shared" si="17"/>
        <v>163.25010269999999</v>
      </c>
      <c r="G114" s="1180">
        <f t="shared" si="18"/>
        <v>20.406262837499998</v>
      </c>
      <c r="H114" s="1035">
        <v>4</v>
      </c>
      <c r="I114" s="1032">
        <f t="shared" si="19"/>
        <v>6</v>
      </c>
      <c r="J114" s="1154">
        <f>APU!$J$427*'Cuadro de programación'!D114</f>
        <v>3307367.5597630856</v>
      </c>
      <c r="L114" s="812"/>
    </row>
    <row r="115" spans="1:12" ht="15" hidden="1" customHeight="1" outlineLevel="1">
      <c r="A115" s="929" t="s">
        <v>3276</v>
      </c>
      <c r="B115" s="991" t="s">
        <v>2292</v>
      </c>
      <c r="C115" s="919" t="s">
        <v>678</v>
      </c>
      <c r="D115" s="991">
        <f>'8. Estuco y pintura'!AH44+'8. Estuco y pintura'!F33</f>
        <v>544.16700900000001</v>
      </c>
      <c r="E115" s="1181">
        <f>APU!$F$424</f>
        <v>0.3</v>
      </c>
      <c r="F115" s="1180">
        <f t="shared" si="17"/>
        <v>163.25010269999999</v>
      </c>
      <c r="G115" s="1180">
        <f t="shared" si="18"/>
        <v>20.406262837499998</v>
      </c>
      <c r="H115" s="1035">
        <v>4</v>
      </c>
      <c r="I115" s="1032">
        <f t="shared" si="19"/>
        <v>6</v>
      </c>
      <c r="J115" s="1154">
        <f>APU!$J$427*'Cuadro de programación'!D115</f>
        <v>3307367.5597630856</v>
      </c>
      <c r="L115" s="812"/>
    </row>
    <row r="116" spans="1:12" ht="15" hidden="1" customHeight="1" outlineLevel="1">
      <c r="A116" s="929" t="s">
        <v>3277</v>
      </c>
      <c r="B116" s="991" t="s">
        <v>2293</v>
      </c>
      <c r="C116" s="919" t="s">
        <v>678</v>
      </c>
      <c r="D116" s="991">
        <f>'8. Estuco y pintura'!F37+'8. Estuco y pintura'!AH44</f>
        <v>544.16700900000001</v>
      </c>
      <c r="E116" s="1181">
        <f>APU!$F$424</f>
        <v>0.3</v>
      </c>
      <c r="F116" s="1180">
        <f t="shared" si="17"/>
        <v>163.25010269999999</v>
      </c>
      <c r="G116" s="1180">
        <f t="shared" si="18"/>
        <v>20.406262837499998</v>
      </c>
      <c r="H116" s="1035">
        <v>4</v>
      </c>
      <c r="I116" s="1032">
        <f t="shared" si="19"/>
        <v>6</v>
      </c>
      <c r="J116" s="1154">
        <f>APU!$J$427*'Cuadro de programación'!D116</f>
        <v>3307367.5597630856</v>
      </c>
      <c r="L116" s="812"/>
    </row>
    <row r="117" spans="1:12" ht="15" hidden="1" customHeight="1" outlineLevel="1">
      <c r="A117" s="929" t="s">
        <v>3278</v>
      </c>
      <c r="B117" s="991" t="s">
        <v>2294</v>
      </c>
      <c r="C117" s="919" t="s">
        <v>678</v>
      </c>
      <c r="D117" s="991">
        <f>'8. Estuco y pintura'!AF53+'8. Estuco y pintura'!F41</f>
        <v>644.74602999999991</v>
      </c>
      <c r="E117" s="1181">
        <f>APU!$F$424</f>
        <v>0.3</v>
      </c>
      <c r="F117" s="1180">
        <f t="shared" si="17"/>
        <v>193.42380899999998</v>
      </c>
      <c r="G117" s="1180">
        <f t="shared" si="18"/>
        <v>24.177976124999997</v>
      </c>
      <c r="H117" s="1035">
        <v>4</v>
      </c>
      <c r="I117" s="1032">
        <f t="shared" si="19"/>
        <v>7</v>
      </c>
      <c r="J117" s="1154">
        <f>APU!$J$427*'Cuadro de programación'!D117</f>
        <v>3918672.1514534829</v>
      </c>
      <c r="L117" s="812"/>
    </row>
    <row r="118" spans="1:12" ht="15" hidden="1" customHeight="1" outlineLevel="1">
      <c r="A118" s="929" t="s">
        <v>3279</v>
      </c>
      <c r="B118" s="991" t="s">
        <v>2296</v>
      </c>
      <c r="C118" s="919" t="s">
        <v>678</v>
      </c>
      <c r="D118" s="991">
        <f>'8. Estuco y pintura'!M9+'8. Estuco y pintura'!R11+'8. Estuco y pintura'!W10+'8. Estuco y pintura'!X6</f>
        <v>812.35028499999987</v>
      </c>
      <c r="E118" s="1181">
        <f>APU!$F$432</f>
        <v>0.35</v>
      </c>
      <c r="F118" s="1180">
        <f t="shared" si="17"/>
        <v>284.32259974999994</v>
      </c>
      <c r="G118" s="1180">
        <f t="shared" si="18"/>
        <v>35.540324968749992</v>
      </c>
      <c r="H118" s="1035">
        <v>4</v>
      </c>
      <c r="I118" s="1032">
        <f t="shared" si="19"/>
        <v>9</v>
      </c>
      <c r="J118" s="1154">
        <f>APU!$J$436*'Cuadro de programación'!D118</f>
        <v>5566348.0362384617</v>
      </c>
      <c r="L118"/>
    </row>
    <row r="119" spans="1:12" ht="15" hidden="1" customHeight="1" outlineLevel="1">
      <c r="A119" s="929" t="s">
        <v>3281</v>
      </c>
      <c r="B119" s="991" t="s">
        <v>2297</v>
      </c>
      <c r="C119" s="919" t="s">
        <v>678</v>
      </c>
      <c r="D119" s="991">
        <f>'8. Estuco y pintura'!M13+'8. Estuco y pintura'!R18+'8. Estuco y pintura'!W11</f>
        <v>517.75852000000009</v>
      </c>
      <c r="E119" s="1181">
        <f>APU!$F$432</f>
        <v>0.35</v>
      </c>
      <c r="F119" s="1180">
        <f t="shared" si="17"/>
        <v>181.21548200000001</v>
      </c>
      <c r="G119" s="1180">
        <f t="shared" si="18"/>
        <v>22.651935250000001</v>
      </c>
      <c r="H119" s="1035">
        <v>1</v>
      </c>
      <c r="I119" s="1032">
        <f t="shared" si="19"/>
        <v>23</v>
      </c>
      <c r="J119" s="1154">
        <f>APU!$J$436*'Cuadro de programación'!D119</f>
        <v>3547760.3372143009</v>
      </c>
      <c r="L119"/>
    </row>
    <row r="120" spans="1:12" ht="15" hidden="1" customHeight="1" outlineLevel="1">
      <c r="A120" s="929" t="s">
        <v>3282</v>
      </c>
      <c r="B120" s="991" t="s">
        <v>2298</v>
      </c>
      <c r="C120" s="919" t="s">
        <v>678</v>
      </c>
      <c r="D120" s="991">
        <f>'8. Estuco y pintura'!W12+'8. Estuco y pintura'!R28+'8. Estuco y pintura'!M17</f>
        <v>915.39569000000006</v>
      </c>
      <c r="E120" s="1181">
        <f>APU!$F$432</f>
        <v>0.35</v>
      </c>
      <c r="F120" s="1180">
        <f t="shared" si="17"/>
        <v>320.38849149999999</v>
      </c>
      <c r="G120" s="1180">
        <f t="shared" si="18"/>
        <v>40.048561437499998</v>
      </c>
      <c r="H120" s="1035">
        <v>3</v>
      </c>
      <c r="I120" s="1032">
        <f t="shared" si="19"/>
        <v>14</v>
      </c>
      <c r="J120" s="1154">
        <f>APU!$J$436*'Cuadro de programación'!D120</f>
        <v>6272430.8657227252</v>
      </c>
      <c r="L120" s="1408"/>
    </row>
    <row r="121" spans="1:12" ht="15" hidden="1" customHeight="1" outlineLevel="1">
      <c r="A121" s="929" t="s">
        <v>3283</v>
      </c>
      <c r="B121" s="991" t="s">
        <v>2299</v>
      </c>
      <c r="C121" s="919" t="s">
        <v>678</v>
      </c>
      <c r="D121" s="991">
        <f>'8. Estuco y pintura'!M21+'8. Estuco y pintura'!R36+'8. Estuco y pintura'!W13</f>
        <v>907.57519000000002</v>
      </c>
      <c r="E121" s="1181">
        <f>APU!$F$432</f>
        <v>0.35</v>
      </c>
      <c r="F121" s="1180">
        <f t="shared" si="17"/>
        <v>317.65131650000001</v>
      </c>
      <c r="G121" s="1180">
        <f t="shared" si="18"/>
        <v>39.706414562500001</v>
      </c>
      <c r="H121" s="1035">
        <v>5</v>
      </c>
      <c r="I121" s="1032">
        <f t="shared" si="19"/>
        <v>8</v>
      </c>
      <c r="J121" s="1154">
        <f>APU!$J$436*'Cuadro de programación'!D121</f>
        <v>6218843.6070964755</v>
      </c>
      <c r="L121" s="1408"/>
    </row>
    <row r="122" spans="1:12" ht="15" hidden="1" customHeight="1" outlineLevel="1">
      <c r="A122" s="929" t="s">
        <v>3284</v>
      </c>
      <c r="B122" s="991" t="s">
        <v>3274</v>
      </c>
      <c r="C122" s="919" t="s">
        <v>55</v>
      </c>
      <c r="D122" s="991">
        <f>'8. Estuco y pintura'!M25</f>
        <v>481.00332000000003</v>
      </c>
      <c r="E122" s="1181">
        <f>APU!$F$432</f>
        <v>0.35</v>
      </c>
      <c r="F122" s="1180">
        <f t="shared" si="17"/>
        <v>168.35116199999999</v>
      </c>
      <c r="G122" s="1180">
        <f t="shared" si="18"/>
        <v>21.043895249999998</v>
      </c>
      <c r="H122" s="1035">
        <v>6</v>
      </c>
      <c r="I122" s="1032">
        <f t="shared" si="19"/>
        <v>4</v>
      </c>
      <c r="J122" s="1154">
        <f>APU!$J$436*'Cuadro de programación'!D122</f>
        <v>3295908.1016463004</v>
      </c>
      <c r="L122" s="812"/>
    </row>
    <row r="123" spans="1:12" ht="15" hidden="1" customHeight="1" outlineLevel="1">
      <c r="A123" s="929" t="s">
        <v>3285</v>
      </c>
      <c r="B123" s="991" t="s">
        <v>2300</v>
      </c>
      <c r="C123" s="919" t="s">
        <v>678</v>
      </c>
      <c r="D123" s="991">
        <f>+'8. Estuco y pintura'!T44+'8. Estuco y pintura'!W14+'8. Estuco y pintura'!X6+'8. Estuco y pintura'!M35</f>
        <v>2206.8353889999999</v>
      </c>
      <c r="E123" s="1181">
        <f>APU!$F$432</f>
        <v>0.35</v>
      </c>
      <c r="F123" s="1180">
        <f t="shared" si="17"/>
        <v>772.39238614999988</v>
      </c>
      <c r="G123" s="1180">
        <f t="shared" si="18"/>
        <v>96.549048268749985</v>
      </c>
      <c r="H123" s="1035">
        <v>7</v>
      </c>
      <c r="I123" s="1032">
        <f t="shared" si="19"/>
        <v>14</v>
      </c>
      <c r="J123" s="1154">
        <f>APU!$J$436*'Cuadro de programación'!D123</f>
        <v>15121572.627824822</v>
      </c>
      <c r="L123" s="812"/>
    </row>
    <row r="124" spans="1:12" ht="15" hidden="1" customHeight="1" outlineLevel="1">
      <c r="A124" s="929" t="s">
        <v>3286</v>
      </c>
      <c r="B124" s="991" t="s">
        <v>2301</v>
      </c>
      <c r="C124" s="919" t="s">
        <v>678</v>
      </c>
      <c r="D124" s="991">
        <f>'8. Estuco y pintura'!M45+'8. Estuco y pintura'!T44+'8. Estuco y pintura'!X6</f>
        <v>872.97880899999984</v>
      </c>
      <c r="E124" s="1181">
        <f>APU!$F$432</f>
        <v>0.35</v>
      </c>
      <c r="F124" s="1180">
        <f t="shared" si="17"/>
        <v>305.54258314999993</v>
      </c>
      <c r="G124" s="1180">
        <f t="shared" si="18"/>
        <v>38.192822893749991</v>
      </c>
      <c r="H124" s="1035">
        <v>4</v>
      </c>
      <c r="I124" s="1032">
        <f t="shared" si="19"/>
        <v>10</v>
      </c>
      <c r="J124" s="1154">
        <f>APU!$J$436*'Cuadro de programación'!D124</f>
        <v>5981783.9285363713</v>
      </c>
      <c r="L124" s="812"/>
    </row>
    <row r="125" spans="1:12" ht="15" hidden="1" customHeight="1" outlineLevel="1">
      <c r="A125" s="929" t="s">
        <v>3287</v>
      </c>
      <c r="B125" s="991" t="s">
        <v>2302</v>
      </c>
      <c r="C125" s="919" t="s">
        <v>678</v>
      </c>
      <c r="D125" s="991">
        <f>'8. Estuco y pintura'!X6+'8. Estuco y pintura'!T44+'8. Estuco y pintura'!M55</f>
        <v>872.97880899999973</v>
      </c>
      <c r="E125" s="1181">
        <f>APU!$F$432</f>
        <v>0.35</v>
      </c>
      <c r="F125" s="1180">
        <f t="shared" si="17"/>
        <v>305.54258314999987</v>
      </c>
      <c r="G125" s="1180">
        <f t="shared" si="18"/>
        <v>38.192822893749984</v>
      </c>
      <c r="H125" s="1035">
        <v>4</v>
      </c>
      <c r="I125" s="1032">
        <f t="shared" si="19"/>
        <v>10</v>
      </c>
      <c r="J125" s="1154">
        <f>APU!$J$436*'Cuadro de programación'!D125</f>
        <v>5981783.9285363704</v>
      </c>
      <c r="L125" s="812"/>
    </row>
    <row r="126" spans="1:12" ht="15.75" hidden="1" customHeight="1" outlineLevel="1" thickBot="1">
      <c r="A126" s="929" t="s">
        <v>3288</v>
      </c>
      <c r="B126" s="992" t="s">
        <v>2303</v>
      </c>
      <c r="C126" s="990" t="s">
        <v>678</v>
      </c>
      <c r="D126" s="992">
        <f>'8. Estuco y pintura'!M59+'8. Estuco y pintura'!R53+'8. Estuco y pintura'!W15+'8. Estuco y pintura'!X6</f>
        <v>1724.2224099999999</v>
      </c>
      <c r="E126" s="1222">
        <f>APU!$F$432</f>
        <v>0.35</v>
      </c>
      <c r="F126" s="1221">
        <f t="shared" si="17"/>
        <v>603.47784349999995</v>
      </c>
      <c r="G126" s="1221">
        <f t="shared" si="18"/>
        <v>75.434730437499994</v>
      </c>
      <c r="H126" s="1035">
        <v>6</v>
      </c>
      <c r="I126" s="1223">
        <f t="shared" si="19"/>
        <v>13</v>
      </c>
      <c r="J126" s="1154">
        <f>APU!$J$436*'Cuadro de programación'!D126</f>
        <v>11814634.897237524</v>
      </c>
      <c r="L126"/>
    </row>
    <row r="127" spans="1:12" ht="15.75" collapsed="1" thickBot="1">
      <c r="A127" s="917">
        <v>9</v>
      </c>
      <c r="B127" s="1943" t="s">
        <v>2304</v>
      </c>
      <c r="C127" s="1944"/>
      <c r="D127" s="1944"/>
      <c r="E127" s="1944"/>
      <c r="F127" s="1944"/>
      <c r="G127" s="1944"/>
      <c r="H127" s="1944"/>
      <c r="I127" s="1944"/>
      <c r="J127" s="1237">
        <f>SUM(J128,J135,J143,J153,J164,J172,J182,J191,J200)</f>
        <v>333614313.11958283</v>
      </c>
      <c r="L127" s="1412"/>
    </row>
    <row r="128" spans="1:12" ht="15.75" hidden="1" outlineLevel="1" thickBot="1">
      <c r="A128" s="1937" t="s">
        <v>820</v>
      </c>
      <c r="B128" s="1938"/>
      <c r="C128" s="1938"/>
      <c r="D128" s="1938"/>
      <c r="E128" s="1938"/>
      <c r="F128" s="1938"/>
      <c r="G128" s="1938"/>
      <c r="H128" s="1938"/>
      <c r="I128" s="1938"/>
      <c r="J128" s="1230">
        <f>SUM(J129:J134)</f>
        <v>11412781.310428303</v>
      </c>
      <c r="L128" s="1408"/>
    </row>
    <row r="129" spans="1:12" ht="15.75" hidden="1" outlineLevel="1" thickBot="1">
      <c r="A129" s="928" t="s">
        <v>2305</v>
      </c>
      <c r="B129" s="988" t="s">
        <v>2306</v>
      </c>
      <c r="C129" s="919" t="s">
        <v>678</v>
      </c>
      <c r="D129" s="582">
        <f>'9. Pisos y zócalos'!D6</f>
        <v>169.82940000000002</v>
      </c>
      <c r="E129" s="993">
        <f>ROUND((APU!H442/(APU!H444+APU!H445)),2)</f>
        <v>0.26</v>
      </c>
      <c r="F129" s="938">
        <f t="shared" ref="F129:F134" si="20">E129*D129</f>
        <v>44.155644000000009</v>
      </c>
      <c r="G129" s="1005">
        <f t="shared" ref="G129:G134" si="21">F129/8</f>
        <v>5.5194555000000012</v>
      </c>
      <c r="H129" s="997">
        <v>2</v>
      </c>
      <c r="I129" s="1001">
        <f t="shared" ref="I129:I134" si="22">ROUNDUP(G129/H129,0)</f>
        <v>3</v>
      </c>
      <c r="J129" s="999">
        <f>D129*APU!$J$446</f>
        <v>5940080.8061088007</v>
      </c>
      <c r="L129" s="1408"/>
    </row>
    <row r="130" spans="1:12" ht="15.75" hidden="1" outlineLevel="1" thickBot="1">
      <c r="A130" s="929" t="s">
        <v>2307</v>
      </c>
      <c r="B130" s="988" t="s">
        <v>2308</v>
      </c>
      <c r="C130" s="919" t="s">
        <v>678</v>
      </c>
      <c r="D130" s="583">
        <f>'9. Pisos y zócalos'!D7</f>
        <v>48.530500000000004</v>
      </c>
      <c r="E130" s="994">
        <f>APU!F462</f>
        <v>1</v>
      </c>
      <c r="F130" s="938">
        <f t="shared" si="20"/>
        <v>48.530500000000004</v>
      </c>
      <c r="G130" s="1005">
        <f t="shared" si="21"/>
        <v>6.0663125000000004</v>
      </c>
      <c r="H130" s="997">
        <v>2</v>
      </c>
      <c r="I130" s="1001">
        <f t="shared" si="22"/>
        <v>4</v>
      </c>
      <c r="J130" s="1006">
        <f>D130*APU!$J$466</f>
        <v>2352356.2736245003</v>
      </c>
      <c r="L130" s="812"/>
    </row>
    <row r="131" spans="1:12" ht="15.75" hidden="1" outlineLevel="1" thickBot="1">
      <c r="A131" s="929" t="s">
        <v>1112</v>
      </c>
      <c r="B131" s="988" t="s">
        <v>2309</v>
      </c>
      <c r="C131" s="919" t="s">
        <v>678</v>
      </c>
      <c r="D131" s="583">
        <f>'9. Pisos y zócalos'!D9</f>
        <v>21.825599999999998</v>
      </c>
      <c r="E131" s="994">
        <f>ROUND((APU!H451/(APU!H453+APU!H454)),2)</f>
        <v>0.26</v>
      </c>
      <c r="F131" s="938">
        <f t="shared" si="20"/>
        <v>5.6746559999999997</v>
      </c>
      <c r="G131" s="1005">
        <f t="shared" si="21"/>
        <v>0.70933199999999996</v>
      </c>
      <c r="H131" s="997">
        <v>1</v>
      </c>
      <c r="I131" s="1001">
        <f t="shared" si="22"/>
        <v>1</v>
      </c>
      <c r="J131" s="1006">
        <f>D131*APU!$J$455</f>
        <v>720675.89925119991</v>
      </c>
      <c r="L131" s="812"/>
    </row>
    <row r="132" spans="1:12" ht="15.75" hidden="1" outlineLevel="1" thickBot="1">
      <c r="A132" s="921" t="s">
        <v>1116</v>
      </c>
      <c r="B132" s="988" t="s">
        <v>2310</v>
      </c>
      <c r="C132" s="921" t="s">
        <v>345</v>
      </c>
      <c r="D132" s="583">
        <f>'9. Pisos y zócalos'!I7</f>
        <v>124.35680000000001</v>
      </c>
      <c r="E132" s="994">
        <f>APU!F494</f>
        <v>0.4</v>
      </c>
      <c r="F132" s="938">
        <f t="shared" si="20"/>
        <v>49.742720000000006</v>
      </c>
      <c r="G132" s="1005">
        <f t="shared" si="21"/>
        <v>6.2178400000000007</v>
      </c>
      <c r="H132" s="997">
        <v>2</v>
      </c>
      <c r="I132" s="1001">
        <f t="shared" si="22"/>
        <v>4</v>
      </c>
      <c r="J132" s="1000">
        <f>D132*APU!$J$496</f>
        <v>468208.2019152001</v>
      </c>
      <c r="L132" s="812"/>
    </row>
    <row r="133" spans="1:12" ht="15.75" hidden="1" outlineLevel="1" thickBot="1">
      <c r="A133" s="921" t="s">
        <v>1117</v>
      </c>
      <c r="B133" s="988" t="s">
        <v>2311</v>
      </c>
      <c r="C133" s="921" t="s">
        <v>345</v>
      </c>
      <c r="D133" s="583">
        <f>'9. Pisos y zócalos'!I10</f>
        <v>36.416200000000003</v>
      </c>
      <c r="E133" s="994">
        <f>APU!F509</f>
        <v>0.4</v>
      </c>
      <c r="F133" s="938">
        <f t="shared" si="20"/>
        <v>14.566480000000002</v>
      </c>
      <c r="G133" s="1005">
        <f t="shared" si="21"/>
        <v>1.8208100000000003</v>
      </c>
      <c r="H133" s="997">
        <v>1</v>
      </c>
      <c r="I133" s="1001">
        <f t="shared" si="22"/>
        <v>2</v>
      </c>
      <c r="J133" s="1006">
        <f>D133*APU!$J$511</f>
        <v>1505993.3712317999</v>
      </c>
      <c r="L133" s="812"/>
    </row>
    <row r="134" spans="1:12" ht="15.75" hidden="1" outlineLevel="1" thickBot="1">
      <c r="A134" s="930" t="s">
        <v>1178</v>
      </c>
      <c r="B134" s="989" t="s">
        <v>2312</v>
      </c>
      <c r="C134" s="990" t="s">
        <v>678</v>
      </c>
      <c r="D134" s="636">
        <f>'12. Acabados y accesorios'!E54</f>
        <v>16.291440000000001</v>
      </c>
      <c r="E134" s="995">
        <f>APU!F534</f>
        <v>0.5</v>
      </c>
      <c r="F134" s="938">
        <f t="shared" si="20"/>
        <v>8.1457200000000007</v>
      </c>
      <c r="G134" s="1005">
        <f t="shared" si="21"/>
        <v>1.0182150000000001</v>
      </c>
      <c r="H134" s="997">
        <v>1</v>
      </c>
      <c r="I134" s="1001">
        <f t="shared" si="22"/>
        <v>2</v>
      </c>
      <c r="J134" s="1008">
        <f>D134*APU!$J$537</f>
        <v>425466.75829680008</v>
      </c>
      <c r="L134"/>
    </row>
    <row r="135" spans="1:12" ht="15.75" hidden="1" outlineLevel="1" thickBot="1">
      <c r="A135" s="1937" t="s">
        <v>2241</v>
      </c>
      <c r="B135" s="1938"/>
      <c r="C135" s="1938"/>
      <c r="D135" s="1938"/>
      <c r="E135" s="1938"/>
      <c r="F135" s="1938"/>
      <c r="G135" s="1938"/>
      <c r="H135" s="1938"/>
      <c r="I135" s="1938"/>
      <c r="J135" s="1230">
        <f>SUM(J136:J142)</f>
        <v>12790593.357721023</v>
      </c>
      <c r="L135"/>
    </row>
    <row r="136" spans="1:12" ht="15.75" hidden="1" outlineLevel="1" thickBot="1">
      <c r="A136" s="919" t="s">
        <v>2305</v>
      </c>
      <c r="B136" s="988" t="s">
        <v>2313</v>
      </c>
      <c r="C136" s="919" t="s">
        <v>678</v>
      </c>
      <c r="D136" s="582">
        <f>'9. Pisos y zócalos'!D10</f>
        <v>231.64869999999999</v>
      </c>
      <c r="E136" s="993">
        <f>ROUND((APU!H442/(APU!H444+APU!H445)),2)</f>
        <v>0.26</v>
      </c>
      <c r="F136" s="940">
        <f>E136*D136</f>
        <v>60.228662</v>
      </c>
      <c r="G136" s="1005">
        <f>F136/8</f>
        <v>7.52858275</v>
      </c>
      <c r="H136" s="997">
        <v>2</v>
      </c>
      <c r="I136" s="1001">
        <f>ROUNDUP(G136/H136,0)</f>
        <v>4</v>
      </c>
      <c r="J136" s="999">
        <f>D136*APU!$J$446</f>
        <v>8102319.1310224002</v>
      </c>
      <c r="L136" s="1408"/>
    </row>
    <row r="137" spans="1:12" ht="15.75" hidden="1" outlineLevel="1" thickBot="1">
      <c r="A137" s="921" t="s">
        <v>1112</v>
      </c>
      <c r="B137" s="991" t="s">
        <v>2314</v>
      </c>
      <c r="C137" s="921" t="s">
        <v>678</v>
      </c>
      <c r="D137" s="583">
        <f>'9. Pisos y zócalos'!D11</f>
        <v>23.107399999999998</v>
      </c>
      <c r="E137" s="994">
        <f>ROUND((APU!H451/(APU!H453+APU!H454)),2)</f>
        <v>0.26</v>
      </c>
      <c r="F137" s="940">
        <f t="shared" ref="F137:F142" si="23">E137*D137</f>
        <v>6.007924</v>
      </c>
      <c r="G137" s="1005">
        <f t="shared" ref="G137:G142" si="24">F137/8</f>
        <v>0.75099050000000001</v>
      </c>
      <c r="H137" s="1002">
        <v>1</v>
      </c>
      <c r="I137" s="1001">
        <f t="shared" ref="I137:I142" si="25">ROUNDUP(G137/H137,0)</f>
        <v>1</v>
      </c>
      <c r="J137" s="1006">
        <f>D137*APU!$J$455</f>
        <v>763000.61736479995</v>
      </c>
      <c r="L137" s="1408"/>
    </row>
    <row r="138" spans="1:12" ht="15.75" hidden="1" outlineLevel="1" thickBot="1">
      <c r="A138" s="921" t="s">
        <v>1113</v>
      </c>
      <c r="B138" s="991" t="s">
        <v>2315</v>
      </c>
      <c r="C138" s="921" t="s">
        <v>678</v>
      </c>
      <c r="D138" s="583">
        <f>'9. Pisos y zócalos'!D13</f>
        <v>20.528499999999998</v>
      </c>
      <c r="E138" s="994">
        <f>APU!F471</f>
        <v>0.6</v>
      </c>
      <c r="F138" s="940">
        <f t="shared" si="23"/>
        <v>12.317099999999998</v>
      </c>
      <c r="G138" s="1005">
        <f t="shared" si="24"/>
        <v>1.5396374999999998</v>
      </c>
      <c r="H138" s="1002">
        <v>1</v>
      </c>
      <c r="I138" s="1001">
        <f t="shared" si="25"/>
        <v>2</v>
      </c>
      <c r="J138" s="1006">
        <f>D138*APU!$J$473</f>
        <v>335735.80722688994</v>
      </c>
      <c r="L138" s="812"/>
    </row>
    <row r="139" spans="1:12" ht="15.75" hidden="1" outlineLevel="1" thickBot="1">
      <c r="A139" s="921" t="s">
        <v>1116</v>
      </c>
      <c r="B139" s="991" t="s">
        <v>2421</v>
      </c>
      <c r="C139" s="921" t="s">
        <v>345</v>
      </c>
      <c r="D139" s="583">
        <f>'9. Pisos y zócalos'!I13</f>
        <v>169.0351</v>
      </c>
      <c r="E139" s="994">
        <f>APU!F494</f>
        <v>0.4</v>
      </c>
      <c r="F139" s="940">
        <f t="shared" si="23"/>
        <v>67.614040000000003</v>
      </c>
      <c r="G139" s="1005">
        <f t="shared" si="24"/>
        <v>8.4517550000000004</v>
      </c>
      <c r="H139" s="998">
        <v>3</v>
      </c>
      <c r="I139" s="1001">
        <f t="shared" si="25"/>
        <v>3</v>
      </c>
      <c r="J139" s="1000">
        <f>D139*APU!$J$496</f>
        <v>636423.74386890011</v>
      </c>
      <c r="L139" s="812"/>
    </row>
    <row r="140" spans="1:12" ht="15.75" hidden="1" outlineLevel="1" thickBot="1">
      <c r="A140" s="921" t="s">
        <v>1117</v>
      </c>
      <c r="B140" s="991" t="s">
        <v>2422</v>
      </c>
      <c r="C140" s="921" t="s">
        <v>345</v>
      </c>
      <c r="D140" s="583">
        <f>'9. Pisos y zócalos'!I19</f>
        <v>35.610799999999998</v>
      </c>
      <c r="E140" s="994">
        <f>APU!F509</f>
        <v>0.4</v>
      </c>
      <c r="F140" s="940">
        <f t="shared" si="23"/>
        <v>14.24432</v>
      </c>
      <c r="G140" s="1005">
        <f t="shared" si="24"/>
        <v>1.78054</v>
      </c>
      <c r="H140" s="1002">
        <v>1</v>
      </c>
      <c r="I140" s="1001">
        <f t="shared" si="25"/>
        <v>2</v>
      </c>
      <c r="J140" s="1006">
        <f>D140*APU!$J$511</f>
        <v>1472686.0228211998</v>
      </c>
      <c r="L140" s="812"/>
    </row>
    <row r="141" spans="1:12" ht="15.75" hidden="1" outlineLevel="1" thickBot="1">
      <c r="A141" s="921" t="s">
        <v>1118</v>
      </c>
      <c r="B141" s="991" t="s">
        <v>2423</v>
      </c>
      <c r="C141" s="921" t="s">
        <v>345</v>
      </c>
      <c r="D141" s="583">
        <f>'9. Pisos y zócalos'!I16</f>
        <v>25.397599999999997</v>
      </c>
      <c r="E141" s="994">
        <f>APU!F502</f>
        <v>0.3</v>
      </c>
      <c r="F141" s="940">
        <f t="shared" si="23"/>
        <v>7.6192799999999989</v>
      </c>
      <c r="G141" s="1005">
        <f t="shared" si="24"/>
        <v>0.95240999999999987</v>
      </c>
      <c r="H141" s="1002">
        <v>1</v>
      </c>
      <c r="I141" s="1001">
        <f t="shared" si="25"/>
        <v>1</v>
      </c>
      <c r="J141" s="1006">
        <f>D141*APU!$J$504</f>
        <v>154110.74010723198</v>
      </c>
      <c r="L141" s="812"/>
    </row>
    <row r="142" spans="1:12" ht="15.75" hidden="1" outlineLevel="1" thickBot="1">
      <c r="A142" s="930" t="s">
        <v>1178</v>
      </c>
      <c r="B142" s="992" t="s">
        <v>2424</v>
      </c>
      <c r="C142" s="930" t="s">
        <v>678</v>
      </c>
      <c r="D142" s="636">
        <f>'12. Acabados y accesorios'!E55</f>
        <v>50.785679999999999</v>
      </c>
      <c r="E142" s="995">
        <f>APU!F534</f>
        <v>0.5</v>
      </c>
      <c r="F142" s="940">
        <f t="shared" si="23"/>
        <v>25.39284</v>
      </c>
      <c r="G142" s="1005">
        <f t="shared" si="24"/>
        <v>3.174105</v>
      </c>
      <c r="H142" s="1007">
        <v>1</v>
      </c>
      <c r="I142" s="1001">
        <f t="shared" si="25"/>
        <v>4</v>
      </c>
      <c r="J142" s="1008">
        <f>D142*APU!$J$537</f>
        <v>1326317.2953096</v>
      </c>
      <c r="L142"/>
    </row>
    <row r="143" spans="1:12" ht="15.75" hidden="1" outlineLevel="1" thickBot="1">
      <c r="A143" s="1937" t="s">
        <v>2246</v>
      </c>
      <c r="B143" s="1938"/>
      <c r="C143" s="1938"/>
      <c r="D143" s="1938"/>
      <c r="E143" s="1938"/>
      <c r="F143" s="1938"/>
      <c r="G143" s="1938"/>
      <c r="H143" s="1938"/>
      <c r="I143" s="1938"/>
      <c r="J143" s="1230">
        <f>SUM(J144:J152)</f>
        <v>45187727.459149189</v>
      </c>
      <c r="L143"/>
    </row>
    <row r="144" spans="1:12" ht="15.75" hidden="1" outlineLevel="1" thickBot="1">
      <c r="A144" s="919" t="s">
        <v>2305</v>
      </c>
      <c r="B144" s="988" t="s">
        <v>2425</v>
      </c>
      <c r="C144" s="919" t="s">
        <v>678</v>
      </c>
      <c r="D144" s="582">
        <f>'9. Pisos y zócalos'!D15</f>
        <v>383.94870000000003</v>
      </c>
      <c r="E144" s="993">
        <f>ROUND((APU!H442/(APU!H444+APU!H445)),2)</f>
        <v>0.26</v>
      </c>
      <c r="F144" s="940">
        <f>E144*D144</f>
        <v>99.826662000000013</v>
      </c>
      <c r="G144" s="1005">
        <f>F144/8</f>
        <v>12.478332750000002</v>
      </c>
      <c r="H144" s="997">
        <v>4</v>
      </c>
      <c r="I144" s="1001">
        <f>ROUNDUP(G144/H144,0)</f>
        <v>4</v>
      </c>
      <c r="J144" s="999">
        <f>D144*APU!$J$446</f>
        <v>13429278.460622402</v>
      </c>
      <c r="L144" s="1408"/>
    </row>
    <row r="145" spans="1:12" ht="15.75" hidden="1" outlineLevel="1" thickBot="1">
      <c r="A145" s="921" t="s">
        <v>2307</v>
      </c>
      <c r="B145" s="991" t="s">
        <v>2426</v>
      </c>
      <c r="C145" s="921" t="s">
        <v>678</v>
      </c>
      <c r="D145" s="583">
        <f>'9. Pisos y zócalos'!D16</f>
        <v>448.50799999999998</v>
      </c>
      <c r="E145" s="994">
        <f>APU!F462</f>
        <v>1</v>
      </c>
      <c r="F145" s="940">
        <f t="shared" ref="F145:F152" si="26">E145*D145</f>
        <v>448.50799999999998</v>
      </c>
      <c r="G145" s="1005">
        <f t="shared" ref="G145:G152" si="27">F145/8</f>
        <v>56.063499999999998</v>
      </c>
      <c r="H145" s="1002">
        <v>6</v>
      </c>
      <c r="I145" s="1001">
        <f t="shared" ref="I145:I152" si="28">ROUNDUP(G145/H145,0)</f>
        <v>10</v>
      </c>
      <c r="J145" s="1006">
        <f>D145*APU!$J$466</f>
        <v>21739949.260172002</v>
      </c>
      <c r="L145" s="1408"/>
    </row>
    <row r="146" spans="1:12" ht="15.75" hidden="1" outlineLevel="1" thickBot="1">
      <c r="A146" s="921" t="s">
        <v>1112</v>
      </c>
      <c r="B146" s="991" t="s">
        <v>2427</v>
      </c>
      <c r="C146" s="921" t="s">
        <v>678</v>
      </c>
      <c r="D146" s="583">
        <f>'9. Pisos y zócalos'!D18</f>
        <v>27.3645</v>
      </c>
      <c r="E146" s="994">
        <f>ROUND((APU!H451/(APU!H453+APU!H454)),2)</f>
        <v>0.26</v>
      </c>
      <c r="F146" s="940">
        <f t="shared" si="26"/>
        <v>7.11477</v>
      </c>
      <c r="G146" s="1005">
        <f t="shared" si="27"/>
        <v>0.88934625</v>
      </c>
      <c r="H146" s="1002">
        <v>1</v>
      </c>
      <c r="I146" s="1001">
        <f t="shared" si="28"/>
        <v>1</v>
      </c>
      <c r="J146" s="1006">
        <f>D146*APU!$J$455</f>
        <v>903569.00360399997</v>
      </c>
      <c r="L146" s="812"/>
    </row>
    <row r="147" spans="1:12" ht="15.75" hidden="1" outlineLevel="1" thickBot="1">
      <c r="A147" s="921" t="s">
        <v>1113</v>
      </c>
      <c r="B147" s="991" t="s">
        <v>2428</v>
      </c>
      <c r="C147" s="921" t="s">
        <v>678</v>
      </c>
      <c r="D147" s="583">
        <f>'9. Pisos y zócalos'!D20</f>
        <v>55.257400000000004</v>
      </c>
      <c r="E147" s="994">
        <f>APU!F471</f>
        <v>0.6</v>
      </c>
      <c r="F147" s="940">
        <f t="shared" si="26"/>
        <v>33.154440000000001</v>
      </c>
      <c r="G147" s="1005">
        <f t="shared" si="27"/>
        <v>4.1443050000000001</v>
      </c>
      <c r="H147" s="998">
        <v>2</v>
      </c>
      <c r="I147" s="1001">
        <f t="shared" si="28"/>
        <v>3</v>
      </c>
      <c r="J147" s="1006">
        <f>D147*APU!$J$473</f>
        <v>903713.75376959599</v>
      </c>
      <c r="L147" s="812"/>
    </row>
    <row r="148" spans="1:12" ht="15.75" hidden="1" outlineLevel="1" thickBot="1">
      <c r="A148" s="921" t="s">
        <v>1116</v>
      </c>
      <c r="B148" s="991" t="s">
        <v>2429</v>
      </c>
      <c r="C148" s="921" t="s">
        <v>345</v>
      </c>
      <c r="D148" s="583">
        <f>'9. Pisos y zócalos'!I22</f>
        <v>288.49639999999999</v>
      </c>
      <c r="E148" s="994">
        <f>APU!F494</f>
        <v>0.4</v>
      </c>
      <c r="F148" s="940">
        <f t="shared" si="26"/>
        <v>115.39856</v>
      </c>
      <c r="G148" s="1005">
        <f t="shared" si="27"/>
        <v>14.42482</v>
      </c>
      <c r="H148" s="1002">
        <v>4</v>
      </c>
      <c r="I148" s="1001">
        <f t="shared" si="28"/>
        <v>4</v>
      </c>
      <c r="J148" s="1000">
        <f>D148*APU!$J$496</f>
        <v>1086200.1973596001</v>
      </c>
      <c r="L148" s="812"/>
    </row>
    <row r="149" spans="1:12" ht="15.75" hidden="1" outlineLevel="1" thickBot="1">
      <c r="A149" s="921" t="s">
        <v>1117</v>
      </c>
      <c r="B149" s="991" t="s">
        <v>2430</v>
      </c>
      <c r="C149" s="921" t="s">
        <v>345</v>
      </c>
      <c r="D149" s="583">
        <f>'9. Pisos y zócalos'!I28</f>
        <v>37.844500000000004</v>
      </c>
      <c r="E149" s="994">
        <f>APU!F509</f>
        <v>0.4</v>
      </c>
      <c r="F149" s="940">
        <f t="shared" si="26"/>
        <v>15.137800000000002</v>
      </c>
      <c r="G149" s="1005">
        <f t="shared" si="27"/>
        <v>1.8922250000000003</v>
      </c>
      <c r="H149" s="1002">
        <v>1</v>
      </c>
      <c r="I149" s="1001">
        <f t="shared" si="28"/>
        <v>2</v>
      </c>
      <c r="J149" s="1006">
        <f>D149*APU!$J$511</f>
        <v>1565060.7734355</v>
      </c>
      <c r="L149" s="812"/>
    </row>
    <row r="150" spans="1:12" ht="15.75" hidden="1" outlineLevel="1" thickBot="1">
      <c r="A150" s="921" t="s">
        <v>1118</v>
      </c>
      <c r="B150" s="991" t="s">
        <v>2431</v>
      </c>
      <c r="C150" s="921" t="s">
        <v>345</v>
      </c>
      <c r="D150" s="583">
        <f>'9. Pisos y zócalos'!I25</f>
        <v>80.852000000000004</v>
      </c>
      <c r="E150" s="994">
        <f>APU!F502</f>
        <v>0.3</v>
      </c>
      <c r="F150" s="940">
        <f t="shared" si="26"/>
        <v>24.255600000000001</v>
      </c>
      <c r="G150" s="1005">
        <f t="shared" si="27"/>
        <v>3.0319500000000001</v>
      </c>
      <c r="H150" s="998">
        <v>1</v>
      </c>
      <c r="I150" s="1001">
        <f t="shared" si="28"/>
        <v>4</v>
      </c>
      <c r="J150" s="1006">
        <f>D150*APU!$J$504</f>
        <v>490603.89797264006</v>
      </c>
      <c r="L150"/>
    </row>
    <row r="151" spans="1:12" ht="15.75" hidden="1" outlineLevel="1" thickBot="1">
      <c r="A151" s="921" t="s">
        <v>1119</v>
      </c>
      <c r="B151" s="991" t="s">
        <v>2432</v>
      </c>
      <c r="C151" s="921" t="s">
        <v>678</v>
      </c>
      <c r="D151" s="583">
        <f>'9. Pisos y zócalos'!N6</f>
        <v>14.320800000000002</v>
      </c>
      <c r="E151" s="994">
        <f>ROUND((APU!H517/(APU!H519+APU!H520)),2)</f>
        <v>1.1299999999999999</v>
      </c>
      <c r="F151" s="940">
        <f t="shared" si="26"/>
        <v>16.182504000000002</v>
      </c>
      <c r="G151" s="1005">
        <f t="shared" si="27"/>
        <v>2.0228130000000002</v>
      </c>
      <c r="H151" s="998">
        <v>1</v>
      </c>
      <c r="I151" s="1001">
        <f t="shared" si="28"/>
        <v>3</v>
      </c>
      <c r="J151" s="1000">
        <f>D151*APU!$J$521</f>
        <v>622545.36832800019</v>
      </c>
      <c r="L151"/>
    </row>
    <row r="152" spans="1:12" ht="15.75" hidden="1" outlineLevel="1" thickBot="1">
      <c r="A152" s="930" t="s">
        <v>1178</v>
      </c>
      <c r="B152" s="992" t="s">
        <v>2433</v>
      </c>
      <c r="C152" s="930" t="s">
        <v>678</v>
      </c>
      <c r="D152" s="636">
        <f>'12. Acabados y accesorios'!E56</f>
        <v>170.27155200000001</v>
      </c>
      <c r="E152" s="995">
        <f>APU!F534</f>
        <v>0.5</v>
      </c>
      <c r="F152" s="940">
        <f t="shared" si="26"/>
        <v>85.135776000000007</v>
      </c>
      <c r="G152" s="1005">
        <f t="shared" si="27"/>
        <v>10.641972000000001</v>
      </c>
      <c r="H152" s="1003">
        <v>3</v>
      </c>
      <c r="I152" s="1001">
        <f t="shared" si="28"/>
        <v>4</v>
      </c>
      <c r="J152" s="1008">
        <f>D152*APU!$J$537</f>
        <v>4446806.7438854408</v>
      </c>
      <c r="L152" s="1408"/>
    </row>
    <row r="153" spans="1:12" ht="15.75" hidden="1" outlineLevel="1" thickBot="1">
      <c r="A153" s="1937" t="s">
        <v>801</v>
      </c>
      <c r="B153" s="1938"/>
      <c r="C153" s="1938"/>
      <c r="D153" s="1938"/>
      <c r="E153" s="1938"/>
      <c r="F153" s="1938"/>
      <c r="G153" s="1938"/>
      <c r="H153" s="1938"/>
      <c r="I153" s="1938"/>
      <c r="J153" s="1230">
        <f>SUM(J154:J163)</f>
        <v>35640980.63421303</v>
      </c>
      <c r="L153" s="1408"/>
    </row>
    <row r="154" spans="1:12" ht="15.75" hidden="1" outlineLevel="1" thickBot="1">
      <c r="A154" s="919" t="s">
        <v>2305</v>
      </c>
      <c r="B154" s="988" t="s">
        <v>2434</v>
      </c>
      <c r="C154" s="919" t="s">
        <v>678</v>
      </c>
      <c r="D154" s="582">
        <f>'9. Pisos y zócalos'!D22</f>
        <v>452.44970000000001</v>
      </c>
      <c r="E154" s="993">
        <f>ROUND((APU!H442/(APU!H444+APU!H445)),2)</f>
        <v>0.26</v>
      </c>
      <c r="F154" s="940">
        <f>E154*D154</f>
        <v>117.63692200000001</v>
      </c>
      <c r="G154" s="1005">
        <f>F154/8</f>
        <v>14.704615250000002</v>
      </c>
      <c r="H154" s="997">
        <v>3</v>
      </c>
      <c r="I154" s="1001">
        <f>ROUNDUP(G154/H154,0)</f>
        <v>5</v>
      </c>
      <c r="J154" s="999">
        <f>D154*APU!$J$446</f>
        <v>15825220.9493744</v>
      </c>
      <c r="L154" s="812"/>
    </row>
    <row r="155" spans="1:12" ht="15.75" hidden="1" outlineLevel="1" thickBot="1">
      <c r="A155" s="921" t="s">
        <v>2307</v>
      </c>
      <c r="B155" s="991" t="s">
        <v>2486</v>
      </c>
      <c r="C155" s="921" t="s">
        <v>678</v>
      </c>
      <c r="D155" s="583">
        <f>'9. Pisos y zócalos'!D25</f>
        <v>132.5652</v>
      </c>
      <c r="E155" s="994">
        <f>APU!F471</f>
        <v>0.6</v>
      </c>
      <c r="F155" s="940">
        <f t="shared" ref="F155:F163" si="29">E155*D155</f>
        <v>79.539119999999997</v>
      </c>
      <c r="G155" s="1005">
        <f t="shared" ref="G155:G163" si="30">F155/8</f>
        <v>9.9423899999999996</v>
      </c>
      <c r="H155" s="1002">
        <v>3</v>
      </c>
      <c r="I155" s="1001">
        <f t="shared" ref="I155:I163" si="31">ROUNDUP(G155/H155,0)</f>
        <v>4</v>
      </c>
      <c r="J155" s="1006">
        <f>D155*APU!$J$473</f>
        <v>2168053.4102440076</v>
      </c>
      <c r="L155" s="812"/>
    </row>
    <row r="156" spans="1:12" ht="15.75" hidden="1" outlineLevel="1" thickBot="1">
      <c r="A156" s="921" t="s">
        <v>1112</v>
      </c>
      <c r="B156" s="991" t="s">
        <v>2435</v>
      </c>
      <c r="C156" s="921" t="s">
        <v>678</v>
      </c>
      <c r="D156" s="583">
        <f>'9. Pisos y zócalos'!D23</f>
        <v>24.9815</v>
      </c>
      <c r="E156" s="994">
        <f>ROUND((APU!H451/(APU!H453+APU!H454)),2)</f>
        <v>0.26</v>
      </c>
      <c r="F156" s="940">
        <f t="shared" si="29"/>
        <v>6.49519</v>
      </c>
      <c r="G156" s="1005">
        <f t="shared" si="30"/>
        <v>0.81189875</v>
      </c>
      <c r="H156" s="1002">
        <v>1</v>
      </c>
      <c r="I156" s="1001">
        <f t="shared" si="31"/>
        <v>1</v>
      </c>
      <c r="J156" s="1006">
        <f>D156*APU!$J$455</f>
        <v>824882.93458800006</v>
      </c>
      <c r="L156" s="812"/>
    </row>
    <row r="157" spans="1:12" ht="15.75" hidden="1" outlineLevel="1" thickBot="1">
      <c r="A157" s="921" t="s">
        <v>1114</v>
      </c>
      <c r="B157" s="991" t="s">
        <v>2436</v>
      </c>
      <c r="C157" s="921" t="s">
        <v>678</v>
      </c>
      <c r="D157" s="583">
        <f>'9. Pisos y zócalos'!D27</f>
        <v>11.9565</v>
      </c>
      <c r="E157" s="994">
        <f>ROUND((APU!H442/(APU!H444+APU!H445)),2)</f>
        <v>0.26</v>
      </c>
      <c r="F157" s="940">
        <f>E157*D157</f>
        <v>3.1086900000000002</v>
      </c>
      <c r="G157" s="1005">
        <f t="shared" si="30"/>
        <v>0.38858625000000002</v>
      </c>
      <c r="H157" s="998">
        <v>1</v>
      </c>
      <c r="I157" s="1001">
        <f t="shared" si="31"/>
        <v>1</v>
      </c>
      <c r="J157" s="1000">
        <f>D157*APU!J489</f>
        <v>418199.53528800001</v>
      </c>
      <c r="L157" s="812"/>
    </row>
    <row r="158" spans="1:12" ht="15.75" hidden="1" outlineLevel="1" thickBot="1">
      <c r="A158" s="921" t="s">
        <v>1116</v>
      </c>
      <c r="B158" s="991" t="s">
        <v>2437</v>
      </c>
      <c r="C158" s="921" t="s">
        <v>345</v>
      </c>
      <c r="D158" s="583">
        <f>'9. Pisos y zócalos'!I31</f>
        <v>286.04820000000001</v>
      </c>
      <c r="E158" s="994">
        <f>APU!F494</f>
        <v>0.4</v>
      </c>
      <c r="F158" s="940">
        <f t="shared" si="29"/>
        <v>114.41928000000001</v>
      </c>
      <c r="G158" s="1005">
        <f t="shared" si="30"/>
        <v>14.302410000000002</v>
      </c>
      <c r="H158" s="1002">
        <v>3</v>
      </c>
      <c r="I158" s="1001">
        <f t="shared" si="31"/>
        <v>5</v>
      </c>
      <c r="J158" s="1000">
        <f>D158*APU!$J$496</f>
        <v>1076982.6288798002</v>
      </c>
      <c r="L158"/>
    </row>
    <row r="159" spans="1:12" ht="15.75" hidden="1" outlineLevel="1" thickBot="1">
      <c r="A159" s="921" t="s">
        <v>1117</v>
      </c>
      <c r="B159" s="991" t="s">
        <v>2438</v>
      </c>
      <c r="C159" s="921" t="s">
        <v>345</v>
      </c>
      <c r="D159" s="583">
        <f>'9. Pisos y zócalos'!I37</f>
        <v>30.07</v>
      </c>
      <c r="E159" s="994">
        <f>APU!F509</f>
        <v>0.4</v>
      </c>
      <c r="F159" s="940">
        <f t="shared" si="29"/>
        <v>12.028</v>
      </c>
      <c r="G159" s="1005">
        <f t="shared" si="30"/>
        <v>1.5035000000000001</v>
      </c>
      <c r="H159" s="1002">
        <v>1</v>
      </c>
      <c r="I159" s="1001">
        <f t="shared" si="31"/>
        <v>2</v>
      </c>
      <c r="J159" s="1006">
        <f>D159*APU!$J$511</f>
        <v>1243546.0227299999</v>
      </c>
      <c r="L159"/>
    </row>
    <row r="160" spans="1:12" ht="15.75" hidden="1" outlineLevel="1" thickBot="1">
      <c r="A160" s="921" t="s">
        <v>1118</v>
      </c>
      <c r="B160" s="991" t="s">
        <v>2439</v>
      </c>
      <c r="C160" s="921" t="s">
        <v>345</v>
      </c>
      <c r="D160" s="583">
        <f>'9. Pisos y zócalos'!I34</f>
        <v>114.66000000000001</v>
      </c>
      <c r="E160" s="994">
        <f>APU!F502</f>
        <v>0.3</v>
      </c>
      <c r="F160" s="940">
        <f t="shared" si="29"/>
        <v>34.398000000000003</v>
      </c>
      <c r="G160" s="1005">
        <f t="shared" si="30"/>
        <v>4.2997500000000004</v>
      </c>
      <c r="H160" s="998">
        <v>1</v>
      </c>
      <c r="I160" s="1001">
        <f t="shared" si="31"/>
        <v>5</v>
      </c>
      <c r="J160" s="1006">
        <f>D160*APU!$J$504</f>
        <v>695748.3171912001</v>
      </c>
      <c r="L160" s="1408"/>
    </row>
    <row r="161" spans="1:12" ht="15.75" hidden="1" outlineLevel="1" thickBot="1">
      <c r="A161" s="921" t="s">
        <v>1119</v>
      </c>
      <c r="B161" s="991" t="s">
        <v>2440</v>
      </c>
      <c r="C161" s="921" t="s">
        <v>678</v>
      </c>
      <c r="D161" s="583">
        <f>'9. Pisos y zócalos'!N7</f>
        <v>14.320800000000002</v>
      </c>
      <c r="E161" s="994">
        <f>ROUND((APU!H517/(APU!H519+APU!H520)),2)</f>
        <v>1.1299999999999999</v>
      </c>
      <c r="F161" s="940">
        <f t="shared" si="29"/>
        <v>16.182504000000002</v>
      </c>
      <c r="G161" s="1005">
        <f t="shared" si="30"/>
        <v>2.0228130000000002</v>
      </c>
      <c r="H161" s="998">
        <v>1</v>
      </c>
      <c r="I161" s="1001">
        <f t="shared" si="31"/>
        <v>3</v>
      </c>
      <c r="J161" s="1000">
        <f>D161*APU!$J$521</f>
        <v>622545.36832800019</v>
      </c>
      <c r="L161" s="1408"/>
    </row>
    <row r="162" spans="1:12" ht="15.75" hidden="1" outlineLevel="1" thickBot="1">
      <c r="A162" s="921" t="s">
        <v>1177</v>
      </c>
      <c r="B162" s="991" t="s">
        <v>2441</v>
      </c>
      <c r="C162" s="921" t="s">
        <v>678</v>
      </c>
      <c r="D162" s="583">
        <f>SUM('12. Acabados y accesorios'!M65:M67)</f>
        <v>540.0077</v>
      </c>
      <c r="E162" s="994">
        <f>APU!F527</f>
        <v>0.5</v>
      </c>
      <c r="F162" s="940">
        <f t="shared" si="29"/>
        <v>270.00385</v>
      </c>
      <c r="G162" s="1005">
        <f t="shared" si="30"/>
        <v>33.75048125</v>
      </c>
      <c r="H162" s="998">
        <v>6</v>
      </c>
      <c r="I162" s="1001">
        <f t="shared" si="31"/>
        <v>6</v>
      </c>
      <c r="J162" s="1006">
        <f>D162*APU!$J$529</f>
        <v>8437844.1156912241</v>
      </c>
      <c r="L162" s="812"/>
    </row>
    <row r="163" spans="1:12" ht="15.75" hidden="1" outlineLevel="1" thickBot="1">
      <c r="A163" s="930" t="s">
        <v>1178</v>
      </c>
      <c r="B163" s="992" t="s">
        <v>2442</v>
      </c>
      <c r="C163" s="930" t="s">
        <v>678</v>
      </c>
      <c r="D163" s="636">
        <f>'12. Acabados y accesorios'!E57</f>
        <v>165.72072</v>
      </c>
      <c r="E163" s="995">
        <f>APU!F534</f>
        <v>0.5</v>
      </c>
      <c r="F163" s="940">
        <f t="shared" si="29"/>
        <v>82.86036</v>
      </c>
      <c r="G163" s="1005">
        <f t="shared" si="30"/>
        <v>10.357545</v>
      </c>
      <c r="H163" s="1003">
        <v>2</v>
      </c>
      <c r="I163" s="1001">
        <f t="shared" si="31"/>
        <v>6</v>
      </c>
      <c r="J163" s="1008">
        <f>D163*APU!$J$537</f>
        <v>4327957.3518984001</v>
      </c>
      <c r="L163" s="812"/>
    </row>
    <row r="164" spans="1:12" ht="15.75" hidden="1" outlineLevel="1" thickBot="1">
      <c r="A164" s="1937" t="s">
        <v>824</v>
      </c>
      <c r="B164" s="1938"/>
      <c r="C164" s="1938"/>
      <c r="D164" s="1938"/>
      <c r="E164" s="1938"/>
      <c r="F164" s="1938"/>
      <c r="G164" s="1938"/>
      <c r="H164" s="1938"/>
      <c r="I164" s="1938"/>
      <c r="J164" s="1230">
        <f>SUM(J165:J171)</f>
        <v>51806268.050792322</v>
      </c>
      <c r="L164" s="812"/>
    </row>
    <row r="165" spans="1:12" ht="15.75" hidden="1" outlineLevel="1" thickBot="1">
      <c r="A165" s="919" t="s">
        <v>2307</v>
      </c>
      <c r="B165" s="988" t="s">
        <v>2443</v>
      </c>
      <c r="C165" s="919" t="s">
        <v>678</v>
      </c>
      <c r="D165" s="582">
        <f>'9. Pisos y zócalos'!D28</f>
        <v>905.35380000000009</v>
      </c>
      <c r="E165" s="993">
        <f>APU!F462</f>
        <v>1</v>
      </c>
      <c r="F165" s="940">
        <f>E165*D165</f>
        <v>905.35380000000009</v>
      </c>
      <c r="G165" s="1005">
        <f>F165/8</f>
        <v>113.16922500000001</v>
      </c>
      <c r="H165" s="997">
        <v>10</v>
      </c>
      <c r="I165" s="1001">
        <f>ROUNDUP(G165/H165,0)</f>
        <v>12</v>
      </c>
      <c r="J165" s="1006">
        <f>D165*APU!$J$466</f>
        <v>43884045.935644209</v>
      </c>
      <c r="L165" s="812"/>
    </row>
    <row r="166" spans="1:12" ht="15.75" hidden="1" outlineLevel="1" thickBot="1">
      <c r="A166" s="921" t="s">
        <v>1112</v>
      </c>
      <c r="B166" s="991" t="s">
        <v>2444</v>
      </c>
      <c r="C166" s="921" t="s">
        <v>678</v>
      </c>
      <c r="D166" s="583">
        <f>'9. Pisos y zócalos'!D30</f>
        <v>26.2363</v>
      </c>
      <c r="E166" s="994">
        <f>ROUND((APU!H451/(APU!H453+APU!H454)),2)</f>
        <v>0.26</v>
      </c>
      <c r="F166" s="940">
        <f t="shared" ref="F166:F171" si="32">E166*D166</f>
        <v>6.8214380000000006</v>
      </c>
      <c r="G166" s="1005">
        <f t="shared" ref="G166:G171" si="33">F166/8</f>
        <v>0.85267975000000007</v>
      </c>
      <c r="H166" s="1002">
        <v>1</v>
      </c>
      <c r="I166" s="1001">
        <f t="shared" ref="I166:I171" si="34">ROUNDUP(G166/H166,0)</f>
        <v>1</v>
      </c>
      <c r="J166" s="1006">
        <f>D166*APU!$J$455</f>
        <v>866316.11939760006</v>
      </c>
      <c r="L166"/>
    </row>
    <row r="167" spans="1:12" ht="15.75" hidden="1" outlineLevel="1" thickBot="1">
      <c r="A167" s="921" t="s">
        <v>1113</v>
      </c>
      <c r="B167" s="991" t="s">
        <v>2445</v>
      </c>
      <c r="C167" s="921" t="s">
        <v>678</v>
      </c>
      <c r="D167" s="583">
        <f>'9. Pisos y zócalos'!D32</f>
        <v>124.0966</v>
      </c>
      <c r="E167" s="994">
        <f>APU!F471</f>
        <v>0.6</v>
      </c>
      <c r="F167" s="940">
        <f t="shared" si="32"/>
        <v>74.45796</v>
      </c>
      <c r="G167" s="1005">
        <f t="shared" si="33"/>
        <v>9.307245</v>
      </c>
      <c r="H167" s="1002">
        <v>3</v>
      </c>
      <c r="I167" s="1001">
        <f t="shared" si="34"/>
        <v>4</v>
      </c>
      <c r="J167" s="1006">
        <f>D167*APU!$J$473</f>
        <v>2029552.6792075636</v>
      </c>
      <c r="L167"/>
    </row>
    <row r="168" spans="1:12" ht="15.75" hidden="1" outlineLevel="1" thickBot="1">
      <c r="A168" s="921" t="s">
        <v>1117</v>
      </c>
      <c r="B168" s="991" t="s">
        <v>2446</v>
      </c>
      <c r="C168" s="921" t="s">
        <v>345</v>
      </c>
      <c r="D168" s="583">
        <f>'9. Pisos y zócalos'!I43</f>
        <v>49.179999999999993</v>
      </c>
      <c r="E168" s="994">
        <f>APU!F509</f>
        <v>0.4</v>
      </c>
      <c r="F168" s="940">
        <f t="shared" si="32"/>
        <v>19.671999999999997</v>
      </c>
      <c r="G168" s="1005">
        <f t="shared" si="33"/>
        <v>2.4589999999999996</v>
      </c>
      <c r="H168" s="998">
        <v>1</v>
      </c>
      <c r="I168" s="1001">
        <f t="shared" si="34"/>
        <v>3</v>
      </c>
      <c r="J168" s="1006">
        <f>D168*APU!$J$511</f>
        <v>2033840.8180199997</v>
      </c>
      <c r="L168" s="1408"/>
    </row>
    <row r="169" spans="1:12" ht="15.75" hidden="1" outlineLevel="1" thickBot="1">
      <c r="A169" s="921" t="s">
        <v>1118</v>
      </c>
      <c r="B169" s="991" t="s">
        <v>2447</v>
      </c>
      <c r="C169" s="921" t="s">
        <v>345</v>
      </c>
      <c r="D169" s="583">
        <f>'9. Pisos y zócalos'!I40</f>
        <v>89.559999999999988</v>
      </c>
      <c r="E169" s="994">
        <f>APU!F502</f>
        <v>0.3</v>
      </c>
      <c r="F169" s="940">
        <f t="shared" si="32"/>
        <v>26.867999999999995</v>
      </c>
      <c r="G169" s="1005">
        <f t="shared" si="33"/>
        <v>3.3584999999999994</v>
      </c>
      <c r="H169" s="1002">
        <v>1</v>
      </c>
      <c r="I169" s="1001">
        <f t="shared" si="34"/>
        <v>4</v>
      </c>
      <c r="J169" s="1006">
        <f>D169*APU!$J$504</f>
        <v>543443.39165919996</v>
      </c>
      <c r="L169" s="1408"/>
    </row>
    <row r="170" spans="1:12" ht="15.75" hidden="1" outlineLevel="1" thickBot="1">
      <c r="A170" s="921" t="s">
        <v>1119</v>
      </c>
      <c r="B170" s="991" t="s">
        <v>2448</v>
      </c>
      <c r="C170" s="921" t="s">
        <v>678</v>
      </c>
      <c r="D170" s="583">
        <f>'9. Pisos y zócalos'!N8</f>
        <v>29.092799999999997</v>
      </c>
      <c r="E170" s="994">
        <f>ROUND((APU!H517/(APU!H519+APU!H520)),2)</f>
        <v>1.1299999999999999</v>
      </c>
      <c r="F170" s="940">
        <f t="shared" si="32"/>
        <v>32.874863999999995</v>
      </c>
      <c r="G170" s="1005">
        <f t="shared" si="33"/>
        <v>4.1093579999999994</v>
      </c>
      <c r="H170" s="1002">
        <v>2</v>
      </c>
      <c r="I170" s="1001">
        <f t="shared" si="34"/>
        <v>3</v>
      </c>
      <c r="J170" s="1000">
        <f>D170*APU!$J$521</f>
        <v>1264705.036848</v>
      </c>
      <c r="L170" s="812"/>
    </row>
    <row r="171" spans="1:12" ht="15.75" hidden="1" outlineLevel="1" thickBot="1">
      <c r="A171" s="921" t="s">
        <v>1177</v>
      </c>
      <c r="B171" s="991" t="s">
        <v>2449</v>
      </c>
      <c r="C171" s="921" t="s">
        <v>678</v>
      </c>
      <c r="D171" s="583">
        <f>'12. Acabados y accesorios'!Q64</f>
        <v>75.797290000000004</v>
      </c>
      <c r="E171" s="994">
        <f>APU!F527</f>
        <v>0.5</v>
      </c>
      <c r="F171" s="940">
        <f t="shared" si="32"/>
        <v>37.898645000000002</v>
      </c>
      <c r="G171" s="1005">
        <f t="shared" si="33"/>
        <v>4.7373306250000002</v>
      </c>
      <c r="H171" s="998">
        <v>2</v>
      </c>
      <c r="I171" s="1001">
        <f t="shared" si="34"/>
        <v>3</v>
      </c>
      <c r="J171" s="1006">
        <f>D171*APU!$J$529</f>
        <v>1184364.0700157445</v>
      </c>
      <c r="L171" s="812"/>
    </row>
    <row r="172" spans="1:12" ht="15.75" hidden="1" outlineLevel="1" thickBot="1">
      <c r="A172" s="1937" t="s">
        <v>2255</v>
      </c>
      <c r="B172" s="1938"/>
      <c r="C172" s="1938"/>
      <c r="D172" s="1938"/>
      <c r="E172" s="1938"/>
      <c r="F172" s="1938"/>
      <c r="G172" s="1938"/>
      <c r="H172" s="1938"/>
      <c r="I172" s="1938"/>
      <c r="J172" s="1230">
        <f>SUM(J173:J181)</f>
        <v>55497112.788665995</v>
      </c>
      <c r="L172" s="812"/>
    </row>
    <row r="173" spans="1:12" ht="15.75" hidden="1" outlineLevel="1" thickBot="1">
      <c r="A173" s="919" t="s">
        <v>2305</v>
      </c>
      <c r="B173" s="988" t="s">
        <v>2450</v>
      </c>
      <c r="C173" s="919" t="s">
        <v>678</v>
      </c>
      <c r="D173" s="582">
        <f>'9. Pisos y zócalos'!D34</f>
        <v>839.31269999999995</v>
      </c>
      <c r="E173" s="993">
        <f>ROUND((APU!H442/(APU!H444+APU!H445)),2)</f>
        <v>0.26</v>
      </c>
      <c r="F173" s="940">
        <f>E173*D173</f>
        <v>218.22130200000001</v>
      </c>
      <c r="G173" s="1005">
        <f>F173/8</f>
        <v>27.277662750000001</v>
      </c>
      <c r="H173" s="997">
        <v>4</v>
      </c>
      <c r="I173" s="1001">
        <f>ROUNDUP(G173/H173,0)</f>
        <v>7</v>
      </c>
      <c r="J173" s="999">
        <f>D173*APU!$J$446</f>
        <v>29356432.158350397</v>
      </c>
      <c r="L173" s="812"/>
    </row>
    <row r="174" spans="1:12" ht="15.75" hidden="1" outlineLevel="1" thickBot="1">
      <c r="A174" s="921" t="s">
        <v>1112</v>
      </c>
      <c r="B174" s="991" t="s">
        <v>2451</v>
      </c>
      <c r="C174" s="921" t="s">
        <v>678</v>
      </c>
      <c r="D174" s="583">
        <f>'9. Pisos y zócalos'!D35</f>
        <v>34.279600000000002</v>
      </c>
      <c r="E174" s="994">
        <f>ROUND((APU!H451/(APU!H453+APU!H454)),2)</f>
        <v>0.26</v>
      </c>
      <c r="F174" s="940">
        <f t="shared" ref="F174:F181" si="35">E174*D174</f>
        <v>8.9126960000000004</v>
      </c>
      <c r="G174" s="1005">
        <f t="shared" ref="G174:G181" si="36">F174/8</f>
        <v>1.114087</v>
      </c>
      <c r="H174" s="1002">
        <v>1</v>
      </c>
      <c r="I174" s="1001">
        <f t="shared" ref="I174:I181" si="37">ROUNDUP(G174/H174,0)</f>
        <v>2</v>
      </c>
      <c r="J174" s="1006">
        <f>D174*APU!$J$455</f>
        <v>1131903.8906592</v>
      </c>
      <c r="L174"/>
    </row>
    <row r="175" spans="1:12" ht="15.75" hidden="1" outlineLevel="1" thickBot="1">
      <c r="A175" s="921" t="s">
        <v>1113</v>
      </c>
      <c r="B175" s="991" t="s">
        <v>2452</v>
      </c>
      <c r="C175" s="921" t="s">
        <v>678</v>
      </c>
      <c r="D175" s="583">
        <f>'9. Pisos y zócalos'!D37</f>
        <v>11.4186</v>
      </c>
      <c r="E175" s="994">
        <f>APU!F471</f>
        <v>0.6</v>
      </c>
      <c r="F175" s="940">
        <f t="shared" si="35"/>
        <v>6.8511599999999993</v>
      </c>
      <c r="G175" s="1005">
        <f t="shared" si="36"/>
        <v>0.85639499999999991</v>
      </c>
      <c r="H175" s="1002">
        <v>1</v>
      </c>
      <c r="I175" s="1001">
        <f t="shared" si="37"/>
        <v>1</v>
      </c>
      <c r="J175" s="1006">
        <f>D175*APU!$J$473</f>
        <v>186746.85867944398</v>
      </c>
      <c r="L175"/>
    </row>
    <row r="176" spans="1:12" ht="15.75" hidden="1" outlineLevel="1" thickBot="1">
      <c r="A176" s="921" t="s">
        <v>1116</v>
      </c>
      <c r="B176" s="991" t="s">
        <v>2453</v>
      </c>
      <c r="C176" s="921" t="s">
        <v>345</v>
      </c>
      <c r="D176" s="583">
        <f>'9. Pisos y zócalos'!I46</f>
        <v>532.26</v>
      </c>
      <c r="E176" s="994">
        <f>APU!F494</f>
        <v>0.4</v>
      </c>
      <c r="F176" s="940">
        <f t="shared" si="35"/>
        <v>212.904</v>
      </c>
      <c r="G176" s="1005">
        <f t="shared" si="36"/>
        <v>26.613</v>
      </c>
      <c r="H176" s="998">
        <v>4</v>
      </c>
      <c r="I176" s="1001">
        <f t="shared" si="37"/>
        <v>7</v>
      </c>
      <c r="J176" s="1000">
        <f>D176*APU!$J$496</f>
        <v>2003979.6581400004</v>
      </c>
      <c r="L176" s="1408"/>
    </row>
    <row r="177" spans="1:12" ht="15.75" hidden="1" outlineLevel="1" thickBot="1">
      <c r="A177" s="921" t="s">
        <v>1117</v>
      </c>
      <c r="B177" s="991" t="s">
        <v>2454</v>
      </c>
      <c r="C177" s="921" t="s">
        <v>345</v>
      </c>
      <c r="D177" s="583">
        <f>'9. Pisos y zócalos'!I52</f>
        <v>47.120000000000005</v>
      </c>
      <c r="E177" s="994">
        <f>APU!F509</f>
        <v>0.4</v>
      </c>
      <c r="F177" s="940">
        <f t="shared" si="35"/>
        <v>18.848000000000003</v>
      </c>
      <c r="G177" s="1005">
        <f t="shared" si="36"/>
        <v>2.3560000000000003</v>
      </c>
      <c r="H177" s="1002">
        <v>1</v>
      </c>
      <c r="I177" s="1001">
        <f t="shared" si="37"/>
        <v>3</v>
      </c>
      <c r="J177" s="1006">
        <f>D177*APU!$J$511</f>
        <v>1948649.43768</v>
      </c>
      <c r="L177" s="1408"/>
    </row>
    <row r="178" spans="1:12" ht="15.75" hidden="1" outlineLevel="1" thickBot="1">
      <c r="A178" s="921" t="s">
        <v>1118</v>
      </c>
      <c r="B178" s="991" t="s">
        <v>2455</v>
      </c>
      <c r="C178" s="921" t="s">
        <v>345</v>
      </c>
      <c r="D178" s="583">
        <f>'9. Pisos y zócalos'!I49</f>
        <v>19.16</v>
      </c>
      <c r="E178" s="994">
        <f>APU!F502</f>
        <v>0.3</v>
      </c>
      <c r="F178" s="940">
        <f t="shared" si="35"/>
        <v>5.7480000000000002</v>
      </c>
      <c r="G178" s="1005">
        <f t="shared" si="36"/>
        <v>0.71850000000000003</v>
      </c>
      <c r="H178" s="1002">
        <v>1</v>
      </c>
      <c r="I178" s="1001">
        <f t="shared" si="37"/>
        <v>1</v>
      </c>
      <c r="J178" s="1006">
        <f>D178*APU!$J$504</f>
        <v>116261.4491312</v>
      </c>
      <c r="L178" s="812"/>
    </row>
    <row r="179" spans="1:12" ht="15.75" hidden="1" outlineLevel="1" thickBot="1">
      <c r="A179" s="921" t="s">
        <v>1119</v>
      </c>
      <c r="B179" s="991" t="s">
        <v>2456</v>
      </c>
      <c r="C179" s="921" t="s">
        <v>678</v>
      </c>
      <c r="D179" s="583">
        <f>'9. Pisos y zócalos'!N9</f>
        <v>6.6120000000000001</v>
      </c>
      <c r="E179" s="994">
        <f>ROUND((APU!H517/(APU!H519+APU!H520)),2)</f>
        <v>1.1299999999999999</v>
      </c>
      <c r="F179" s="940">
        <f t="shared" si="35"/>
        <v>7.4715599999999993</v>
      </c>
      <c r="G179" s="1005">
        <f t="shared" si="36"/>
        <v>0.93394499999999991</v>
      </c>
      <c r="H179" s="998">
        <v>1</v>
      </c>
      <c r="I179" s="1001">
        <f t="shared" si="37"/>
        <v>1</v>
      </c>
      <c r="J179" s="1000">
        <f>D179*APU!$J$521</f>
        <v>287432.96292000002</v>
      </c>
      <c r="L179" s="812"/>
    </row>
    <row r="180" spans="1:12" ht="15.75" hidden="1" outlineLevel="1" thickBot="1">
      <c r="A180" s="921" t="s">
        <v>1177</v>
      </c>
      <c r="B180" s="991" t="s">
        <v>2457</v>
      </c>
      <c r="C180" s="921" t="s">
        <v>678</v>
      </c>
      <c r="D180" s="583">
        <f>'12. Acabados y accesorios'!R64</f>
        <v>75.797290000000004</v>
      </c>
      <c r="E180" s="994">
        <f>APU!F527</f>
        <v>0.5</v>
      </c>
      <c r="F180" s="940">
        <f t="shared" si="35"/>
        <v>37.898645000000002</v>
      </c>
      <c r="G180" s="1005">
        <f t="shared" si="36"/>
        <v>4.7373306250000002</v>
      </c>
      <c r="H180" s="998">
        <v>1</v>
      </c>
      <c r="I180" s="1001">
        <f t="shared" si="37"/>
        <v>5</v>
      </c>
      <c r="J180" s="1006">
        <f>D180*APU!$J$529</f>
        <v>1184364.0700157445</v>
      </c>
      <c r="L180" s="812"/>
    </row>
    <row r="181" spans="1:12" ht="15.75" hidden="1" outlineLevel="1" thickBot="1">
      <c r="A181" s="930" t="s">
        <v>1178</v>
      </c>
      <c r="B181" s="992" t="s">
        <v>2458</v>
      </c>
      <c r="C181" s="930" t="s">
        <v>678</v>
      </c>
      <c r="D181" s="582">
        <f>'12. Acabados y accesorios'!E58</f>
        <v>738.29700000000003</v>
      </c>
      <c r="E181" s="993">
        <f>APU!F534</f>
        <v>0.5</v>
      </c>
      <c r="F181" s="940">
        <f t="shared" si="35"/>
        <v>369.14850000000001</v>
      </c>
      <c r="G181" s="1005">
        <f t="shared" si="36"/>
        <v>46.143562500000002</v>
      </c>
      <c r="H181" s="997">
        <v>7</v>
      </c>
      <c r="I181" s="1001">
        <f t="shared" si="37"/>
        <v>7</v>
      </c>
      <c r="J181" s="1008">
        <f>D181*APU!$J$537</f>
        <v>19281342.303090002</v>
      </c>
      <c r="L181" s="812"/>
    </row>
    <row r="182" spans="1:12" ht="15.75" hidden="1" outlineLevel="1" thickBot="1">
      <c r="A182" s="1937" t="s">
        <v>2258</v>
      </c>
      <c r="B182" s="1938"/>
      <c r="C182" s="1938"/>
      <c r="D182" s="1938"/>
      <c r="E182" s="1938"/>
      <c r="F182" s="1938"/>
      <c r="G182" s="1938"/>
      <c r="H182" s="1938"/>
      <c r="I182" s="1938"/>
      <c r="J182" s="1230">
        <f>SUM(J183:J190)</f>
        <v>35161092.58470469</v>
      </c>
      <c r="L182"/>
    </row>
    <row r="183" spans="1:12" ht="15.75" hidden="1" outlineLevel="1" thickBot="1">
      <c r="A183" s="919" t="s">
        <v>2305</v>
      </c>
      <c r="B183" s="988" t="s">
        <v>2459</v>
      </c>
      <c r="C183" s="919" t="s">
        <v>678</v>
      </c>
      <c r="D183" s="582">
        <f>'9. Pisos y zócalos'!D39</f>
        <v>798.02319999999997</v>
      </c>
      <c r="E183" s="993">
        <f>ROUND((APU!H442/(APU!H444+APU!H445)),2)</f>
        <v>0.26</v>
      </c>
      <c r="F183" s="940">
        <f>E183*D183</f>
        <v>207.48603199999999</v>
      </c>
      <c r="G183" s="1005">
        <f>F183/8</f>
        <v>25.935753999999999</v>
      </c>
      <c r="H183" s="997">
        <v>4</v>
      </c>
      <c r="I183" s="1001">
        <f>ROUNDUP(G183/H183,0)</f>
        <v>7</v>
      </c>
      <c r="J183" s="999">
        <f>D183*APU!$J$446</f>
        <v>27912259.556646399</v>
      </c>
      <c r="L183"/>
    </row>
    <row r="184" spans="1:12" ht="15.75" hidden="1" outlineLevel="1" thickBot="1">
      <c r="A184" s="921" t="s">
        <v>1112</v>
      </c>
      <c r="B184" s="991" t="s">
        <v>2460</v>
      </c>
      <c r="C184" s="921" t="s">
        <v>678</v>
      </c>
      <c r="D184" s="583">
        <f>'9. Pisos y zócalos'!D40</f>
        <v>38.563900000000004</v>
      </c>
      <c r="E184" s="994">
        <f>ROUND((APU!H451/(APU!H453+APU!H454)),2)</f>
        <v>0.26</v>
      </c>
      <c r="F184" s="940">
        <f t="shared" ref="F184:F190" si="38">E184*D184</f>
        <v>10.026614000000002</v>
      </c>
      <c r="G184" s="1005">
        <f t="shared" ref="G184:G190" si="39">F184/8</f>
        <v>1.2533267500000003</v>
      </c>
      <c r="H184" s="1002">
        <v>1</v>
      </c>
      <c r="I184" s="1001">
        <f t="shared" ref="I184:I190" si="40">ROUNDUP(G184/H184,0)</f>
        <v>2</v>
      </c>
      <c r="J184" s="1006">
        <f>D184*APU!$J$455</f>
        <v>1273370.4141528001</v>
      </c>
      <c r="L184" s="1408"/>
    </row>
    <row r="185" spans="1:12" ht="15.75" hidden="1" outlineLevel="1" thickBot="1">
      <c r="A185" s="921" t="s">
        <v>1113</v>
      </c>
      <c r="B185" s="991" t="s">
        <v>2461</v>
      </c>
      <c r="C185" s="921" t="s">
        <v>678</v>
      </c>
      <c r="D185" s="583">
        <f>'9. Pisos y zócalos'!D42</f>
        <v>11.413599999999999</v>
      </c>
      <c r="E185" s="994">
        <f>APU!F471</f>
        <v>0.6</v>
      </c>
      <c r="F185" s="940">
        <f t="shared" si="38"/>
        <v>6.8481599999999991</v>
      </c>
      <c r="G185" s="1005">
        <f t="shared" si="39"/>
        <v>0.85601999999999989</v>
      </c>
      <c r="H185" s="1002">
        <v>1</v>
      </c>
      <c r="I185" s="1001">
        <f t="shared" si="40"/>
        <v>1</v>
      </c>
      <c r="J185" s="1006">
        <f>D185*APU!$J$473</f>
        <v>186665.08558174394</v>
      </c>
      <c r="L185" s="1408"/>
    </row>
    <row r="186" spans="1:12" ht="15.75" hidden="1" outlineLevel="1" thickBot="1">
      <c r="A186" s="921" t="s">
        <v>1116</v>
      </c>
      <c r="B186" s="991" t="s">
        <v>2462</v>
      </c>
      <c r="C186" s="921" t="s">
        <v>345</v>
      </c>
      <c r="D186" s="583">
        <f>'9. Pisos y zócalos'!I55</f>
        <v>601.25</v>
      </c>
      <c r="E186" s="994">
        <f>APU!F494</f>
        <v>0.4</v>
      </c>
      <c r="F186" s="940">
        <f t="shared" si="38"/>
        <v>240.5</v>
      </c>
      <c r="G186" s="1005">
        <f t="shared" si="39"/>
        <v>30.0625</v>
      </c>
      <c r="H186" s="998">
        <v>5</v>
      </c>
      <c r="I186" s="1001">
        <f t="shared" si="40"/>
        <v>7</v>
      </c>
      <c r="J186" s="1000">
        <f>D186*APU!$J$496</f>
        <v>2263729.6987500004</v>
      </c>
      <c r="L186" s="812"/>
    </row>
    <row r="187" spans="1:12" ht="15.75" hidden="1" outlineLevel="1" thickBot="1">
      <c r="A187" s="921" t="s">
        <v>1117</v>
      </c>
      <c r="B187" s="991" t="s">
        <v>2463</v>
      </c>
      <c r="C187" s="921" t="s">
        <v>345</v>
      </c>
      <c r="D187" s="583">
        <f>'9. Pisos y zócalos'!I61</f>
        <v>46.84</v>
      </c>
      <c r="E187" s="994">
        <f>APU!F509</f>
        <v>0.4</v>
      </c>
      <c r="F187" s="940">
        <f t="shared" si="38"/>
        <v>18.736000000000001</v>
      </c>
      <c r="G187" s="1005">
        <f t="shared" si="39"/>
        <v>2.3420000000000001</v>
      </c>
      <c r="H187" s="1002">
        <v>1</v>
      </c>
      <c r="I187" s="1001">
        <f t="shared" si="40"/>
        <v>3</v>
      </c>
      <c r="J187" s="1006">
        <f>D187*APU!$J$511</f>
        <v>1937070.02676</v>
      </c>
      <c r="L187" s="812"/>
    </row>
    <row r="188" spans="1:12" ht="15.75" hidden="1" outlineLevel="1" thickBot="1">
      <c r="A188" s="921" t="s">
        <v>1118</v>
      </c>
      <c r="B188" s="991" t="s">
        <v>2464</v>
      </c>
      <c r="C188" s="921" t="s">
        <v>345</v>
      </c>
      <c r="D188" s="583">
        <f>'9. Pisos y zócalos'!I58</f>
        <v>19.149999999999999</v>
      </c>
      <c r="E188" s="994">
        <f>APU!F502</f>
        <v>0.3</v>
      </c>
      <c r="F188" s="940">
        <f t="shared" si="38"/>
        <v>5.7449999999999992</v>
      </c>
      <c r="G188" s="1005">
        <f t="shared" si="39"/>
        <v>0.7181249999999999</v>
      </c>
      <c r="H188" s="1002">
        <v>1</v>
      </c>
      <c r="I188" s="1001">
        <f t="shared" si="40"/>
        <v>1</v>
      </c>
      <c r="J188" s="1006">
        <f>D188*APU!$J$504</f>
        <v>116200.76987799999</v>
      </c>
      <c r="L188" s="812"/>
    </row>
    <row r="189" spans="1:12" ht="15.75" hidden="1" outlineLevel="1" thickBot="1">
      <c r="A189" s="921" t="s">
        <v>1119</v>
      </c>
      <c r="B189" s="991" t="s">
        <v>2465</v>
      </c>
      <c r="C189" s="921" t="s">
        <v>678</v>
      </c>
      <c r="D189" s="583">
        <f>'9. Pisos y zócalos'!N10</f>
        <v>6.6120000000000001</v>
      </c>
      <c r="E189" s="994">
        <f>ROUND((APU!H517/(APU!H519+APU!H520)),2)</f>
        <v>1.1299999999999999</v>
      </c>
      <c r="F189" s="940">
        <f t="shared" si="38"/>
        <v>7.4715599999999993</v>
      </c>
      <c r="G189" s="1005">
        <f t="shared" si="39"/>
        <v>0.93394499999999991</v>
      </c>
      <c r="H189" s="998">
        <v>1</v>
      </c>
      <c r="I189" s="1001">
        <f t="shared" si="40"/>
        <v>1</v>
      </c>
      <c r="J189" s="1000">
        <f>D189*APU!$J$521</f>
        <v>287432.96292000002</v>
      </c>
      <c r="L189" s="812"/>
    </row>
    <row r="190" spans="1:12" ht="15.75" hidden="1" outlineLevel="1" thickBot="1">
      <c r="A190" s="921" t="s">
        <v>1177</v>
      </c>
      <c r="B190" s="991" t="s">
        <v>2466</v>
      </c>
      <c r="C190" s="921" t="s">
        <v>678</v>
      </c>
      <c r="D190" s="583">
        <f>'12. Acabados y accesorios'!S64</f>
        <v>75.797290000000004</v>
      </c>
      <c r="E190" s="994">
        <f>APU!F527</f>
        <v>0.5</v>
      </c>
      <c r="F190" s="940">
        <f t="shared" si="38"/>
        <v>37.898645000000002</v>
      </c>
      <c r="G190" s="1005">
        <f t="shared" si="39"/>
        <v>4.7373306250000002</v>
      </c>
      <c r="H190" s="998">
        <v>2</v>
      </c>
      <c r="I190" s="1001">
        <f t="shared" si="40"/>
        <v>3</v>
      </c>
      <c r="J190" s="1006">
        <f>D190*APU!$J$529</f>
        <v>1184364.0700157445</v>
      </c>
      <c r="L190"/>
    </row>
    <row r="191" spans="1:12" ht="15.75" hidden="1" outlineLevel="1" thickBot="1">
      <c r="A191" s="1937" t="s">
        <v>2261</v>
      </c>
      <c r="B191" s="1938"/>
      <c r="C191" s="1938"/>
      <c r="D191" s="1938"/>
      <c r="E191" s="1938"/>
      <c r="F191" s="1938"/>
      <c r="G191" s="1938"/>
      <c r="H191" s="1938"/>
      <c r="I191" s="1938"/>
      <c r="J191" s="1230">
        <f>SUM(J192:J199)</f>
        <v>35161092.58470469</v>
      </c>
      <c r="L191"/>
    </row>
    <row r="192" spans="1:12" ht="15.75" hidden="1" outlineLevel="1" thickBot="1">
      <c r="A192" s="919" t="s">
        <v>2305</v>
      </c>
      <c r="B192" s="988" t="s">
        <v>2467</v>
      </c>
      <c r="C192" s="919" t="s">
        <v>678</v>
      </c>
      <c r="D192" s="582">
        <f>'9. Pisos y zócalos'!D44</f>
        <v>798.02319999999997</v>
      </c>
      <c r="E192" s="993">
        <f>ROUND((APU!H442/(APU!H444+APU!H445)),2)</f>
        <v>0.26</v>
      </c>
      <c r="F192" s="940">
        <f>E192*D192</f>
        <v>207.48603199999999</v>
      </c>
      <c r="G192" s="1005">
        <f>F192/8</f>
        <v>25.935753999999999</v>
      </c>
      <c r="H192" s="997">
        <v>5</v>
      </c>
      <c r="I192" s="1001">
        <f>ROUNDUP(G192/H192,0)</f>
        <v>6</v>
      </c>
      <c r="J192" s="999">
        <f>D192*APU!$J$446</f>
        <v>27912259.556646399</v>
      </c>
      <c r="L192" s="1408"/>
    </row>
    <row r="193" spans="1:12" ht="15.75" hidden="1" outlineLevel="1" thickBot="1">
      <c r="A193" s="921" t="s">
        <v>1112</v>
      </c>
      <c r="B193" s="991" t="s">
        <v>2468</v>
      </c>
      <c r="C193" s="921" t="s">
        <v>678</v>
      </c>
      <c r="D193" s="583">
        <f>'9. Pisos y zócalos'!D45</f>
        <v>38.563900000000004</v>
      </c>
      <c r="E193" s="994">
        <f>ROUND((APU!H451/(APU!H453+APU!H454)),2)</f>
        <v>0.26</v>
      </c>
      <c r="F193" s="940">
        <f t="shared" ref="F193:F199" si="41">E193*D193</f>
        <v>10.026614000000002</v>
      </c>
      <c r="G193" s="1005">
        <f t="shared" ref="G193:G199" si="42">F193/8</f>
        <v>1.2533267500000003</v>
      </c>
      <c r="H193" s="1002">
        <v>1</v>
      </c>
      <c r="I193" s="1001">
        <f t="shared" ref="I193:I199" si="43">ROUNDUP(G193/H193,0)</f>
        <v>2</v>
      </c>
      <c r="J193" s="1006">
        <f>D193*APU!$J$455</f>
        <v>1273370.4141528001</v>
      </c>
      <c r="L193" s="1408"/>
    </row>
    <row r="194" spans="1:12" ht="15.75" hidden="1" outlineLevel="1" thickBot="1">
      <c r="A194" s="921" t="s">
        <v>1113</v>
      </c>
      <c r="B194" s="991" t="s">
        <v>2469</v>
      </c>
      <c r="C194" s="921" t="s">
        <v>678</v>
      </c>
      <c r="D194" s="583">
        <f>'9. Pisos y zócalos'!D47</f>
        <v>11.413599999999999</v>
      </c>
      <c r="E194" s="994">
        <f>APU!F471</f>
        <v>0.6</v>
      </c>
      <c r="F194" s="940">
        <f t="shared" si="41"/>
        <v>6.8481599999999991</v>
      </c>
      <c r="G194" s="1005">
        <f t="shared" si="42"/>
        <v>0.85601999999999989</v>
      </c>
      <c r="H194" s="1002">
        <v>1</v>
      </c>
      <c r="I194" s="1001">
        <f t="shared" si="43"/>
        <v>1</v>
      </c>
      <c r="J194" s="1006">
        <f>D194*APU!$J$473</f>
        <v>186665.08558174394</v>
      </c>
      <c r="L194" s="812"/>
    </row>
    <row r="195" spans="1:12" ht="15.75" hidden="1" outlineLevel="1" thickBot="1">
      <c r="A195" s="921" t="s">
        <v>1116</v>
      </c>
      <c r="B195" s="991" t="s">
        <v>2470</v>
      </c>
      <c r="C195" s="921" t="s">
        <v>345</v>
      </c>
      <c r="D195" s="583">
        <f>'9. Pisos y zócalos'!I64</f>
        <v>601.25</v>
      </c>
      <c r="E195" s="994">
        <f>APU!F494</f>
        <v>0.4</v>
      </c>
      <c r="F195" s="940">
        <f t="shared" si="41"/>
        <v>240.5</v>
      </c>
      <c r="G195" s="1005">
        <f t="shared" si="42"/>
        <v>30.0625</v>
      </c>
      <c r="H195" s="998">
        <v>6</v>
      </c>
      <c r="I195" s="1001">
        <f t="shared" si="43"/>
        <v>6</v>
      </c>
      <c r="J195" s="1000">
        <f>D195*APU!$J$496</f>
        <v>2263729.6987500004</v>
      </c>
      <c r="L195" s="812"/>
    </row>
    <row r="196" spans="1:12" ht="15.75" hidden="1" outlineLevel="1" thickBot="1">
      <c r="A196" s="921" t="s">
        <v>1117</v>
      </c>
      <c r="B196" s="991" t="s">
        <v>2471</v>
      </c>
      <c r="C196" s="921" t="s">
        <v>345</v>
      </c>
      <c r="D196" s="583">
        <f>'9. Pisos y zócalos'!I70</f>
        <v>46.84</v>
      </c>
      <c r="E196" s="994">
        <f>APU!F509</f>
        <v>0.4</v>
      </c>
      <c r="F196" s="940">
        <f t="shared" si="41"/>
        <v>18.736000000000001</v>
      </c>
      <c r="G196" s="1005">
        <f t="shared" si="42"/>
        <v>2.3420000000000001</v>
      </c>
      <c r="H196" s="1002">
        <v>1</v>
      </c>
      <c r="I196" s="1001">
        <f t="shared" si="43"/>
        <v>3</v>
      </c>
      <c r="J196" s="1006">
        <f>D196*APU!$J$511</f>
        <v>1937070.02676</v>
      </c>
      <c r="L196" s="812"/>
    </row>
    <row r="197" spans="1:12" ht="15.75" hidden="1" outlineLevel="1" thickBot="1">
      <c r="A197" s="921" t="s">
        <v>1118</v>
      </c>
      <c r="B197" s="991" t="s">
        <v>2472</v>
      </c>
      <c r="C197" s="921" t="s">
        <v>345</v>
      </c>
      <c r="D197" s="583">
        <f>'9. Pisos y zócalos'!I67</f>
        <v>19.149999999999999</v>
      </c>
      <c r="E197" s="994">
        <f>APU!F502</f>
        <v>0.3</v>
      </c>
      <c r="F197" s="940">
        <f t="shared" si="41"/>
        <v>5.7449999999999992</v>
      </c>
      <c r="G197" s="1005">
        <f t="shared" si="42"/>
        <v>0.7181249999999999</v>
      </c>
      <c r="H197" s="1002">
        <v>1</v>
      </c>
      <c r="I197" s="1001">
        <f t="shared" si="43"/>
        <v>1</v>
      </c>
      <c r="J197" s="1006">
        <f>D197*APU!$J$504</f>
        <v>116200.76987799999</v>
      </c>
      <c r="L197" s="812"/>
    </row>
    <row r="198" spans="1:12" ht="15.75" hidden="1" outlineLevel="1" thickBot="1">
      <c r="A198" s="921" t="s">
        <v>1119</v>
      </c>
      <c r="B198" s="991" t="s">
        <v>2473</v>
      </c>
      <c r="C198" s="921" t="s">
        <v>678</v>
      </c>
      <c r="D198" s="583">
        <f>'9. Pisos y zócalos'!N11</f>
        <v>6.6120000000000001</v>
      </c>
      <c r="E198" s="994">
        <f>ROUND((APU!H517/(APU!H519+APU!H520)),2)</f>
        <v>1.1299999999999999</v>
      </c>
      <c r="F198" s="940">
        <f t="shared" si="41"/>
        <v>7.4715599999999993</v>
      </c>
      <c r="G198" s="1005">
        <f t="shared" si="42"/>
        <v>0.93394499999999991</v>
      </c>
      <c r="H198" s="998">
        <v>1</v>
      </c>
      <c r="I198" s="1001">
        <f t="shared" si="43"/>
        <v>1</v>
      </c>
      <c r="J198" s="1000">
        <f>D198*APU!$J$521</f>
        <v>287432.96292000002</v>
      </c>
      <c r="L198"/>
    </row>
    <row r="199" spans="1:12" ht="15.75" hidden="1" outlineLevel="1" thickBot="1">
      <c r="A199" s="921" t="s">
        <v>1177</v>
      </c>
      <c r="B199" s="991" t="s">
        <v>2474</v>
      </c>
      <c r="C199" s="921" t="s">
        <v>678</v>
      </c>
      <c r="D199" s="583">
        <f>'12. Acabados y accesorios'!T64</f>
        <v>75.797290000000004</v>
      </c>
      <c r="E199" s="994">
        <f>APU!F527</f>
        <v>0.5</v>
      </c>
      <c r="F199" s="940">
        <f t="shared" si="41"/>
        <v>37.898645000000002</v>
      </c>
      <c r="G199" s="1005">
        <f t="shared" si="42"/>
        <v>4.7373306250000002</v>
      </c>
      <c r="H199" s="998">
        <v>3</v>
      </c>
      <c r="I199" s="1001">
        <f t="shared" si="43"/>
        <v>2</v>
      </c>
      <c r="J199" s="1006">
        <f>D199*APU!$J$529</f>
        <v>1184364.0700157445</v>
      </c>
      <c r="L199"/>
    </row>
    <row r="200" spans="1:12" ht="15.75" hidden="1" outlineLevel="1" thickBot="1">
      <c r="A200" s="1937" t="s">
        <v>2264</v>
      </c>
      <c r="B200" s="1938"/>
      <c r="C200" s="1938"/>
      <c r="D200" s="1938"/>
      <c r="E200" s="1938"/>
      <c r="F200" s="1938"/>
      <c r="G200" s="1938"/>
      <c r="H200" s="1938"/>
      <c r="I200" s="1938"/>
      <c r="J200" s="1230">
        <f>SUM(J201:J210)</f>
        <v>50956664.349203587</v>
      </c>
      <c r="L200" s="1408"/>
    </row>
    <row r="201" spans="1:12" ht="15.75" hidden="1" outlineLevel="1" thickBot="1">
      <c r="A201" s="919" t="s">
        <v>2305</v>
      </c>
      <c r="B201" s="988" t="s">
        <v>2475</v>
      </c>
      <c r="C201" s="919" t="s">
        <v>678</v>
      </c>
      <c r="D201" s="582">
        <f>'9. Pisos y zócalos'!D49</f>
        <v>371.07410000000004</v>
      </c>
      <c r="E201" s="993">
        <f>ROUND((APU!H442/(APU!H444+APU!H445)),2)</f>
        <v>0.26</v>
      </c>
      <c r="F201" s="940">
        <f>E201*D201</f>
        <v>96.47926600000001</v>
      </c>
      <c r="G201" s="1005">
        <f>F201/8</f>
        <v>12.059908250000001</v>
      </c>
      <c r="H201" s="997">
        <v>3</v>
      </c>
      <c r="I201" s="1001">
        <f>ROUNDUP(G201/H201,0)</f>
        <v>5</v>
      </c>
      <c r="J201" s="999">
        <f>D201*APU!$J$446</f>
        <v>12978966.769323202</v>
      </c>
      <c r="L201" s="1408"/>
    </row>
    <row r="202" spans="1:12" ht="15.75" hidden="1" outlineLevel="1" thickBot="1">
      <c r="A202" s="921" t="s">
        <v>1112</v>
      </c>
      <c r="B202" s="991" t="s">
        <v>2476</v>
      </c>
      <c r="C202" s="921" t="s">
        <v>678</v>
      </c>
      <c r="D202" s="583">
        <f>'9. Pisos y zócalos'!D50</f>
        <v>38.557699999999997</v>
      </c>
      <c r="E202" s="994">
        <f>ROUND((APU!H451/(APU!H453+APU!H454)),2)</f>
        <v>0.26</v>
      </c>
      <c r="F202" s="940">
        <f t="shared" ref="F202:F210" si="44">E202*D202</f>
        <v>10.025001999999999</v>
      </c>
      <c r="G202" s="1005">
        <f t="shared" ref="G202:G210" si="45">F202/8</f>
        <v>1.2531252499999999</v>
      </c>
      <c r="H202" s="1002">
        <v>1</v>
      </c>
      <c r="I202" s="1001">
        <f t="shared" ref="I202:I210" si="46">ROUNDUP(G202/H202,0)</f>
        <v>2</v>
      </c>
      <c r="J202" s="1006">
        <f>D202*APU!$J$455</f>
        <v>1273165.6916904</v>
      </c>
      <c r="L202" s="812"/>
    </row>
    <row r="203" spans="1:12" ht="15.75" hidden="1" outlineLevel="1" thickBot="1">
      <c r="A203" s="921" t="s">
        <v>1113</v>
      </c>
      <c r="B203" s="991" t="s">
        <v>2477</v>
      </c>
      <c r="C203" s="921" t="s">
        <v>678</v>
      </c>
      <c r="D203" s="583">
        <f>'9. Pisos y zócalos'!D52</f>
        <v>4.7690999999999999</v>
      </c>
      <c r="E203" s="994">
        <f>APU!F471</f>
        <v>0.6</v>
      </c>
      <c r="F203" s="940">
        <f t="shared" si="44"/>
        <v>2.8614599999999997</v>
      </c>
      <c r="G203" s="1005">
        <f t="shared" si="45"/>
        <v>0.35768249999999996</v>
      </c>
      <c r="H203" s="1002">
        <v>1</v>
      </c>
      <c r="I203" s="1001">
        <f t="shared" si="46"/>
        <v>1</v>
      </c>
      <c r="J203" s="1006">
        <f>D203*APU!$J$473</f>
        <v>77996.816048213994</v>
      </c>
      <c r="L203" s="812"/>
    </row>
    <row r="204" spans="1:12" ht="15.75" hidden="1" outlineLevel="1" thickBot="1">
      <c r="A204" s="921" t="s">
        <v>1115</v>
      </c>
      <c r="B204" s="991" t="s">
        <v>2478</v>
      </c>
      <c r="C204" s="921" t="s">
        <v>678</v>
      </c>
      <c r="D204" s="583">
        <f>'9. Pisos y zócalos'!D54</f>
        <v>481.57929999999993</v>
      </c>
      <c r="E204" s="994">
        <f>APU!F478</f>
        <v>0.65</v>
      </c>
      <c r="F204" s="940">
        <f t="shared" si="44"/>
        <v>313.02654499999994</v>
      </c>
      <c r="G204" s="1005">
        <f t="shared" si="45"/>
        <v>39.128318124999993</v>
      </c>
      <c r="H204" s="998">
        <v>6</v>
      </c>
      <c r="I204" s="1001">
        <f t="shared" si="46"/>
        <v>7</v>
      </c>
      <c r="J204" s="1000">
        <f>D204*APU!$J$482</f>
        <v>22788585.492948424</v>
      </c>
      <c r="L204" s="812"/>
    </row>
    <row r="205" spans="1:12" ht="15.75" hidden="1" outlineLevel="1" thickBot="1">
      <c r="A205" s="921" t="s">
        <v>1116</v>
      </c>
      <c r="B205" s="991" t="s">
        <v>2479</v>
      </c>
      <c r="C205" s="921" t="s">
        <v>345</v>
      </c>
      <c r="D205" s="583">
        <f>'9. Pisos y zócalos'!I73</f>
        <v>350.98</v>
      </c>
      <c r="E205" s="994">
        <f>APU!F494</f>
        <v>0.4</v>
      </c>
      <c r="F205" s="940">
        <f t="shared" si="44"/>
        <v>140.39200000000002</v>
      </c>
      <c r="G205" s="1005">
        <f t="shared" si="45"/>
        <v>17.549000000000003</v>
      </c>
      <c r="H205" s="1002">
        <v>3</v>
      </c>
      <c r="I205" s="1001">
        <f t="shared" si="46"/>
        <v>6</v>
      </c>
      <c r="J205" s="1000">
        <f>D205*APU!$J$496</f>
        <v>1321453.3882200003</v>
      </c>
      <c r="L205" s="812"/>
    </row>
    <row r="206" spans="1:12" ht="15.75" hidden="1" outlineLevel="1" thickBot="1">
      <c r="A206" s="921" t="s">
        <v>1117</v>
      </c>
      <c r="B206" s="991" t="s">
        <v>2480</v>
      </c>
      <c r="C206" s="921" t="s">
        <v>345</v>
      </c>
      <c r="D206" s="583">
        <f>'9. Pisos y zócalos'!I79</f>
        <v>46.83</v>
      </c>
      <c r="E206" s="994">
        <f>APU!F509</f>
        <v>0.4</v>
      </c>
      <c r="F206" s="940">
        <f t="shared" si="44"/>
        <v>18.731999999999999</v>
      </c>
      <c r="G206" s="1005">
        <f t="shared" si="45"/>
        <v>2.3414999999999999</v>
      </c>
      <c r="H206" s="1002">
        <v>1</v>
      </c>
      <c r="I206" s="1001">
        <f t="shared" si="46"/>
        <v>3</v>
      </c>
      <c r="J206" s="1006">
        <f>D206*APU!$J$511</f>
        <v>1936656.4763699998</v>
      </c>
      <c r="L206"/>
    </row>
    <row r="207" spans="1:12" ht="15.75" hidden="1" outlineLevel="1" thickBot="1">
      <c r="A207" s="921" t="s">
        <v>1118</v>
      </c>
      <c r="B207" s="991" t="s">
        <v>2481</v>
      </c>
      <c r="C207" s="921" t="s">
        <v>345</v>
      </c>
      <c r="D207" s="583">
        <f>'9. Pisos y zócalos'!I76</f>
        <v>8.68</v>
      </c>
      <c r="E207" s="994">
        <f>APU!F502</f>
        <v>0.3</v>
      </c>
      <c r="F207" s="940">
        <f t="shared" si="44"/>
        <v>2.6039999999999996</v>
      </c>
      <c r="G207" s="1005">
        <f t="shared" si="45"/>
        <v>0.32549999999999996</v>
      </c>
      <c r="H207" s="998">
        <v>1</v>
      </c>
      <c r="I207" s="1001">
        <f t="shared" si="46"/>
        <v>1</v>
      </c>
      <c r="J207" s="1006">
        <f>D207*APU!$J$504</f>
        <v>52669.591777599999</v>
      </c>
      <c r="L207"/>
    </row>
    <row r="208" spans="1:12" ht="15.75" hidden="1" outlineLevel="1" thickBot="1">
      <c r="A208" s="921" t="s">
        <v>1119</v>
      </c>
      <c r="B208" s="991" t="s">
        <v>2482</v>
      </c>
      <c r="C208" s="921" t="s">
        <v>678</v>
      </c>
      <c r="D208" s="583">
        <f>'9. Pisos y zócalos'!N12</f>
        <v>6.6120000000000001</v>
      </c>
      <c r="E208" s="994">
        <f>ROUND((APU!H517/(APU!H519+APU!H520)),2)</f>
        <v>1.1299999999999999</v>
      </c>
      <c r="F208" s="940">
        <f t="shared" si="44"/>
        <v>7.4715599999999993</v>
      </c>
      <c r="G208" s="1005">
        <f t="shared" si="45"/>
        <v>0.93394499999999991</v>
      </c>
      <c r="H208" s="998">
        <v>1</v>
      </c>
      <c r="I208" s="1001">
        <f t="shared" si="46"/>
        <v>1</v>
      </c>
      <c r="J208" s="1000">
        <f>D208*APU!$J$521</f>
        <v>287432.96292000002</v>
      </c>
      <c r="L208" s="1408"/>
    </row>
    <row r="209" spans="1:12" ht="15.75" hidden="1" outlineLevel="1" thickBot="1">
      <c r="A209" s="921" t="s">
        <v>1177</v>
      </c>
      <c r="B209" s="991" t="s">
        <v>2483</v>
      </c>
      <c r="C209" s="921" t="s">
        <v>678</v>
      </c>
      <c r="D209" s="582">
        <f>'12. Acabados y accesorios'!U64</f>
        <v>75.797290000000004</v>
      </c>
      <c r="E209" s="993">
        <f>APU!F527</f>
        <v>0.5</v>
      </c>
      <c r="F209" s="940">
        <f t="shared" si="44"/>
        <v>37.898645000000002</v>
      </c>
      <c r="G209" s="1005">
        <f t="shared" si="45"/>
        <v>4.7373306250000002</v>
      </c>
      <c r="H209" s="997">
        <v>1</v>
      </c>
      <c r="I209" s="1001">
        <f t="shared" si="46"/>
        <v>5</v>
      </c>
      <c r="J209" s="1006">
        <f>D209*APU!$J$529</f>
        <v>1184364.0700157445</v>
      </c>
      <c r="L209" s="1408"/>
    </row>
    <row r="210" spans="1:12" ht="15.75" hidden="1" outlineLevel="1" thickBot="1">
      <c r="A210" s="921" t="s">
        <v>1178</v>
      </c>
      <c r="B210" s="991" t="s">
        <v>2484</v>
      </c>
      <c r="C210" s="921" t="s">
        <v>678</v>
      </c>
      <c r="D210" s="582">
        <f>'12. Acabados y accesorios'!E59</f>
        <v>346.73700000000002</v>
      </c>
      <c r="E210" s="993">
        <f>APU!F534</f>
        <v>0.5</v>
      </c>
      <c r="F210" s="940">
        <f t="shared" si="44"/>
        <v>173.36850000000001</v>
      </c>
      <c r="G210" s="1005">
        <f t="shared" si="45"/>
        <v>21.671062500000001</v>
      </c>
      <c r="H210" s="997">
        <v>4</v>
      </c>
      <c r="I210" s="1001">
        <f t="shared" si="46"/>
        <v>6</v>
      </c>
      <c r="J210" s="1000">
        <f>D210*APU!$J$537</f>
        <v>9055373.0898900013</v>
      </c>
      <c r="L210" s="812"/>
    </row>
    <row r="211" spans="1:12" ht="15.75" collapsed="1" thickBot="1">
      <c r="A211" s="1042">
        <v>10</v>
      </c>
      <c r="B211" s="1943" t="s">
        <v>1004</v>
      </c>
      <c r="C211" s="1944"/>
      <c r="D211" s="1944"/>
      <c r="E211" s="1944"/>
      <c r="F211" s="1944"/>
      <c r="G211" s="1944"/>
      <c r="H211" s="1944"/>
      <c r="I211" s="1945"/>
      <c r="J211" s="1238">
        <f>SUM(J212:J222)</f>
        <v>100581856.98258379</v>
      </c>
      <c r="L211" s="1411"/>
    </row>
    <row r="212" spans="1:12" ht="15.75" hidden="1" outlineLevel="1" thickBot="1">
      <c r="A212" s="445" t="s">
        <v>1120</v>
      </c>
      <c r="B212" s="993" t="s">
        <v>2740</v>
      </c>
      <c r="C212" s="993" t="s">
        <v>55</v>
      </c>
      <c r="D212" s="993">
        <f>+'12. Acabados y accesorios'!L46</f>
        <v>21.087400000000002</v>
      </c>
      <c r="E212" s="993">
        <v>0.85</v>
      </c>
      <c r="F212" s="940">
        <f>+E212*D212</f>
        <v>17.924290000000003</v>
      </c>
      <c r="G212" s="940">
        <f>+F212/8</f>
        <v>2.2405362500000003</v>
      </c>
      <c r="H212" s="938">
        <v>3</v>
      </c>
      <c r="I212" s="940">
        <f>ROUNDUP(G212/H212,0)</f>
        <v>1</v>
      </c>
      <c r="J212" s="1235">
        <f>+D212*APU!J551</f>
        <v>659053.0315096</v>
      </c>
      <c r="L212" s="812"/>
    </row>
    <row r="213" spans="1:12" ht="15.75" hidden="1" outlineLevel="1" thickBot="1">
      <c r="A213" s="450" t="s">
        <v>1121</v>
      </c>
      <c r="B213" s="994" t="s">
        <v>2741</v>
      </c>
      <c r="C213" s="994" t="s">
        <v>55</v>
      </c>
      <c r="D213" s="994">
        <f>+'12. Acabados y accesorios'!L44</f>
        <v>93.64</v>
      </c>
      <c r="E213" s="994">
        <v>0.85</v>
      </c>
      <c r="F213" s="938">
        <f t="shared" ref="F213:F222" si="47">+E213*D213</f>
        <v>79.593999999999994</v>
      </c>
      <c r="G213" s="938">
        <f t="shared" ref="G213:G222" si="48">+F213/8</f>
        <v>9.9492499999999993</v>
      </c>
      <c r="H213" s="938">
        <v>6</v>
      </c>
      <c r="I213" s="938">
        <f t="shared" ref="I213:I222" si="49">ROUNDUP(G213/H213,0)</f>
        <v>2</v>
      </c>
      <c r="J213" s="1154">
        <f>+D213*APU!J557</f>
        <v>12040546.11132</v>
      </c>
      <c r="L213" s="812"/>
    </row>
    <row r="214" spans="1:12" ht="15.75" hidden="1" outlineLevel="1" thickBot="1">
      <c r="A214" s="450" t="s">
        <v>1122</v>
      </c>
      <c r="B214" s="994" t="s">
        <v>2742</v>
      </c>
      <c r="C214" s="994" t="s">
        <v>55</v>
      </c>
      <c r="D214" s="994">
        <f>+'12. Acabados y accesorios'!L52</f>
        <v>22.072299999999998</v>
      </c>
      <c r="E214" s="994">
        <v>0.85</v>
      </c>
      <c r="F214" s="938">
        <f t="shared" si="47"/>
        <v>18.761454999999998</v>
      </c>
      <c r="G214" s="938">
        <f t="shared" si="48"/>
        <v>2.3451818749999997</v>
      </c>
      <c r="H214" s="938">
        <v>2</v>
      </c>
      <c r="I214" s="938">
        <f t="shared" si="49"/>
        <v>2</v>
      </c>
      <c r="J214" s="1154">
        <f>+D214*APU!$J$563</f>
        <v>2838130.5631448999</v>
      </c>
      <c r="L214"/>
    </row>
    <row r="215" spans="1:12" ht="15.75" hidden="1" outlineLevel="1" thickBot="1">
      <c r="A215" s="450" t="s">
        <v>2751</v>
      </c>
      <c r="B215" s="994" t="s">
        <v>2743</v>
      </c>
      <c r="C215" s="994" t="s">
        <v>55</v>
      </c>
      <c r="D215" s="938">
        <f>+'12. Acabados y accesorios'!L53</f>
        <v>22.325799999999997</v>
      </c>
      <c r="E215" s="994">
        <v>0.85</v>
      </c>
      <c r="F215" s="938">
        <f t="shared" si="47"/>
        <v>18.976929999999996</v>
      </c>
      <c r="G215" s="938">
        <f t="shared" si="48"/>
        <v>2.3721162499999995</v>
      </c>
      <c r="H215" s="938">
        <v>2</v>
      </c>
      <c r="I215" s="938">
        <f t="shared" si="49"/>
        <v>2</v>
      </c>
      <c r="J215" s="1154">
        <f>+D215*APU!$J$563</f>
        <v>2870726.4456653995</v>
      </c>
      <c r="L215"/>
    </row>
    <row r="216" spans="1:12" ht="15.75" hidden="1" outlineLevel="1" thickBot="1">
      <c r="A216" s="450" t="s">
        <v>2752</v>
      </c>
      <c r="B216" s="994" t="s">
        <v>2744</v>
      </c>
      <c r="C216" s="994" t="s">
        <v>55</v>
      </c>
      <c r="D216" s="938">
        <f>+'12. Acabados y accesorios'!L54</f>
        <v>34.478999999999999</v>
      </c>
      <c r="E216" s="994">
        <v>0.85</v>
      </c>
      <c r="F216" s="938">
        <f t="shared" si="47"/>
        <v>29.30715</v>
      </c>
      <c r="G216" s="938">
        <f t="shared" si="48"/>
        <v>3.66339375</v>
      </c>
      <c r="H216" s="938">
        <v>2</v>
      </c>
      <c r="I216" s="938">
        <f t="shared" si="49"/>
        <v>2</v>
      </c>
      <c r="J216" s="1154">
        <f>+D216*APU!$J$563</f>
        <v>4433425.7728770003</v>
      </c>
      <c r="L216" s="1408"/>
    </row>
    <row r="217" spans="1:12" ht="15.75" hidden="1" outlineLevel="1" thickBot="1">
      <c r="A217" s="450" t="s">
        <v>2753</v>
      </c>
      <c r="B217" s="994" t="s">
        <v>2745</v>
      </c>
      <c r="C217" s="994" t="s">
        <v>55</v>
      </c>
      <c r="D217" s="938">
        <f>+'12. Acabados y accesorios'!L55</f>
        <v>16.134700000000002</v>
      </c>
      <c r="E217" s="994">
        <v>0.85</v>
      </c>
      <c r="F217" s="938">
        <f t="shared" si="47"/>
        <v>13.714495000000001</v>
      </c>
      <c r="G217" s="938">
        <f t="shared" si="48"/>
        <v>1.7143118750000002</v>
      </c>
      <c r="H217" s="938">
        <v>1</v>
      </c>
      <c r="I217" s="938">
        <f t="shared" si="49"/>
        <v>2</v>
      </c>
      <c r="J217" s="1154">
        <f>+D217*APU!$J$563</f>
        <v>2074653.9869961003</v>
      </c>
      <c r="L217" s="1408"/>
    </row>
    <row r="218" spans="1:12" ht="15.75" hidden="1" outlineLevel="1" thickBot="1">
      <c r="A218" s="450" t="s">
        <v>2754</v>
      </c>
      <c r="B218" s="994" t="s">
        <v>2746</v>
      </c>
      <c r="C218" s="994" t="s">
        <v>55</v>
      </c>
      <c r="D218" s="938">
        <f>+'12. Acabados y accesorios'!L56</f>
        <v>43.002800000000001</v>
      </c>
      <c r="E218" s="994">
        <v>0.85</v>
      </c>
      <c r="F218" s="938">
        <f t="shared" si="47"/>
        <v>36.552379999999999</v>
      </c>
      <c r="G218" s="938">
        <f t="shared" si="48"/>
        <v>4.5690474999999999</v>
      </c>
      <c r="H218" s="938">
        <v>3</v>
      </c>
      <c r="I218" s="938">
        <f t="shared" si="49"/>
        <v>2</v>
      </c>
      <c r="J218" s="1154">
        <f>+D218*APU!$J$563</f>
        <v>5529444.6424163999</v>
      </c>
      <c r="L218" s="812"/>
    </row>
    <row r="219" spans="1:12" ht="15.75" hidden="1" outlineLevel="1" thickBot="1">
      <c r="A219" s="450" t="s">
        <v>2755</v>
      </c>
      <c r="B219" s="994" t="s">
        <v>2747</v>
      </c>
      <c r="C219" s="994" t="s">
        <v>55</v>
      </c>
      <c r="D219" s="938">
        <f>+'12. Acabados y accesorios'!L47</f>
        <v>444.07259999999997</v>
      </c>
      <c r="E219" s="994">
        <v>0.85</v>
      </c>
      <c r="F219" s="938">
        <f t="shared" si="47"/>
        <v>377.46170999999998</v>
      </c>
      <c r="G219" s="938">
        <f t="shared" si="48"/>
        <v>47.182713749999998</v>
      </c>
      <c r="H219" s="938">
        <v>12</v>
      </c>
      <c r="I219" s="938">
        <f t="shared" si="49"/>
        <v>4</v>
      </c>
      <c r="J219" s="1154">
        <f>+D219*APU!$J$551</f>
        <v>13878780.373130398</v>
      </c>
      <c r="L219" s="812"/>
    </row>
    <row r="220" spans="1:12" ht="15.75" hidden="1" outlineLevel="1" thickBot="1">
      <c r="A220" s="450" t="s">
        <v>2756</v>
      </c>
      <c r="B220" s="994" t="s">
        <v>2748</v>
      </c>
      <c r="C220" s="994" t="s">
        <v>55</v>
      </c>
      <c r="D220" s="938">
        <f>+'12. Acabados y accesorios'!L48</f>
        <v>491.17769999999996</v>
      </c>
      <c r="E220" s="994">
        <v>0.85</v>
      </c>
      <c r="F220" s="938">
        <f t="shared" si="47"/>
        <v>417.50104499999998</v>
      </c>
      <c r="G220" s="938">
        <f t="shared" si="48"/>
        <v>52.187630624999997</v>
      </c>
      <c r="H220" s="938">
        <v>12</v>
      </c>
      <c r="I220" s="938">
        <f t="shared" si="49"/>
        <v>5</v>
      </c>
      <c r="J220" s="1154">
        <f>+D220*APU!$J$551</f>
        <v>15350975.093890797</v>
      </c>
      <c r="L220" s="812"/>
    </row>
    <row r="221" spans="1:12" ht="15.75" hidden="1" outlineLevel="1" thickBot="1">
      <c r="A221" s="450" t="s">
        <v>2757</v>
      </c>
      <c r="B221" s="994" t="s">
        <v>2749</v>
      </c>
      <c r="C221" s="994" t="s">
        <v>55</v>
      </c>
      <c r="D221" s="938">
        <f>+'12. Acabados y accesorios'!L49</f>
        <v>491.17769999999996</v>
      </c>
      <c r="E221" s="994">
        <v>0.85</v>
      </c>
      <c r="F221" s="938">
        <f t="shared" si="47"/>
        <v>417.50104499999998</v>
      </c>
      <c r="G221" s="938">
        <f t="shared" si="48"/>
        <v>52.187630624999997</v>
      </c>
      <c r="H221" s="938">
        <v>12</v>
      </c>
      <c r="I221" s="938">
        <f t="shared" si="49"/>
        <v>5</v>
      </c>
      <c r="J221" s="1154">
        <f>+D221*APU!$J$551</f>
        <v>15350975.093890797</v>
      </c>
      <c r="L221" s="812"/>
    </row>
    <row r="222" spans="1:12" ht="15.75" hidden="1" outlineLevel="1" thickBot="1">
      <c r="A222" s="450" t="s">
        <v>2758</v>
      </c>
      <c r="B222" s="994" t="s">
        <v>2750</v>
      </c>
      <c r="C222" s="994" t="s">
        <v>55</v>
      </c>
      <c r="D222" s="938">
        <f>+'12. Acabados y accesorios'!L50</f>
        <v>817.67559999999958</v>
      </c>
      <c r="E222" s="994">
        <v>0.85</v>
      </c>
      <c r="F222" s="938">
        <f t="shared" si="47"/>
        <v>695.02425999999957</v>
      </c>
      <c r="G222" s="938">
        <f t="shared" si="48"/>
        <v>86.878032499999946</v>
      </c>
      <c r="H222" s="938">
        <v>12</v>
      </c>
      <c r="I222" s="938">
        <f t="shared" si="49"/>
        <v>8</v>
      </c>
      <c r="J222" s="1154">
        <f>+D222*APU!$J$551</f>
        <v>25555145.867742386</v>
      </c>
      <c r="L222"/>
    </row>
    <row r="223" spans="1:12" ht="15.75" collapsed="1" thickBot="1">
      <c r="A223" s="1042">
        <v>11</v>
      </c>
      <c r="B223" s="1943" t="s">
        <v>1696</v>
      </c>
      <c r="C223" s="1944"/>
      <c r="D223" s="1944"/>
      <c r="E223" s="1944"/>
      <c r="F223" s="1944"/>
      <c r="G223" s="1944"/>
      <c r="H223" s="1944"/>
      <c r="I223" s="1944"/>
      <c r="J223" s="1236">
        <f>SUM(J224,J238,J253,J266,J289,J279,J305,J325,J345)</f>
        <v>366362905.42719918</v>
      </c>
      <c r="L223" s="1410"/>
    </row>
    <row r="224" spans="1:12" ht="15.75" hidden="1" outlineLevel="1" thickBot="1">
      <c r="A224" s="1937" t="s">
        <v>820</v>
      </c>
      <c r="B224" s="1938"/>
      <c r="C224" s="1938"/>
      <c r="D224" s="1938"/>
      <c r="E224" s="1938"/>
      <c r="F224" s="1938"/>
      <c r="G224" s="1938"/>
      <c r="H224" s="1938"/>
      <c r="I224" s="1938"/>
      <c r="J224" s="1240">
        <f>SUM(J225:J237)</f>
        <v>37638356.971817955</v>
      </c>
      <c r="L224" s="1408"/>
    </row>
    <row r="225" spans="1:13" ht="15.75" hidden="1" outlineLevel="1" thickBot="1">
      <c r="A225" s="450" t="s">
        <v>1137</v>
      </c>
      <c r="B225" s="1182" t="s">
        <v>1280</v>
      </c>
      <c r="C225" s="1182" t="s">
        <v>285</v>
      </c>
      <c r="D225" s="1182">
        <v>2</v>
      </c>
      <c r="E225" s="1183">
        <v>1</v>
      </c>
      <c r="F225" s="1034">
        <f>D225*E225</f>
        <v>2</v>
      </c>
      <c r="G225" s="1184">
        <f>F225/8</f>
        <v>0.25</v>
      </c>
      <c r="H225" s="1032">
        <v>1</v>
      </c>
      <c r="I225" s="1184">
        <f>ROUNDUP(G225/H225,0)</f>
        <v>1</v>
      </c>
      <c r="J225" s="1086">
        <f>APU!J571*D225</f>
        <v>1469392.3622099999</v>
      </c>
      <c r="L225" s="1408"/>
      <c r="M225" s="1395"/>
    </row>
    <row r="226" spans="1:13" ht="15.75" hidden="1" outlineLevel="1" thickBot="1">
      <c r="A226" s="450" t="s">
        <v>1138</v>
      </c>
      <c r="B226" s="1182" t="s">
        <v>1281</v>
      </c>
      <c r="C226" s="1182" t="s">
        <v>285</v>
      </c>
      <c r="D226" s="1182">
        <v>2</v>
      </c>
      <c r="E226" s="1183">
        <v>1</v>
      </c>
      <c r="F226" s="1034">
        <f t="shared" ref="F226:F231" si="50">D226*E226</f>
        <v>2</v>
      </c>
      <c r="G226" s="1184">
        <f t="shared" ref="G226:G237" si="51">F226/8</f>
        <v>0.25</v>
      </c>
      <c r="H226" s="1032">
        <v>1</v>
      </c>
      <c r="I226" s="1184">
        <f t="shared" ref="I226:I237" si="52">ROUNDUP(G226/H226,0)</f>
        <v>1</v>
      </c>
      <c r="J226" s="1087">
        <f>APU!J578*D226</f>
        <v>1469392.3622099999</v>
      </c>
      <c r="L226" s="812"/>
      <c r="M226" s="1395"/>
    </row>
    <row r="227" spans="1:13" ht="15.75" hidden="1" outlineLevel="1" thickBot="1">
      <c r="A227" s="450" t="s">
        <v>1139</v>
      </c>
      <c r="B227" s="1182" t="s">
        <v>1284</v>
      </c>
      <c r="C227" s="1182" t="s">
        <v>285</v>
      </c>
      <c r="D227" s="1182">
        <v>1</v>
      </c>
      <c r="E227" s="1183">
        <v>1</v>
      </c>
      <c r="F227" s="1034">
        <f t="shared" si="50"/>
        <v>1</v>
      </c>
      <c r="G227" s="1184">
        <f t="shared" si="51"/>
        <v>0.125</v>
      </c>
      <c r="H227" s="1032">
        <v>1</v>
      </c>
      <c r="I227" s="1184">
        <f t="shared" si="52"/>
        <v>1</v>
      </c>
      <c r="J227" s="1087">
        <f>APU!J599</f>
        <v>734696.18110499997</v>
      </c>
      <c r="L227" s="812"/>
    </row>
    <row r="228" spans="1:13" ht="15.75" hidden="1" outlineLevel="1" thickBot="1">
      <c r="A228" s="450" t="s">
        <v>1140</v>
      </c>
      <c r="B228" s="1182" t="s">
        <v>1285</v>
      </c>
      <c r="C228" s="1182" t="s">
        <v>285</v>
      </c>
      <c r="D228" s="1182">
        <v>1</v>
      </c>
      <c r="E228" s="1183">
        <v>1</v>
      </c>
      <c r="F228" s="1034">
        <f t="shared" si="50"/>
        <v>1</v>
      </c>
      <c r="G228" s="1184">
        <f t="shared" si="51"/>
        <v>0.125</v>
      </c>
      <c r="H228" s="1032">
        <v>1</v>
      </c>
      <c r="I228" s="1184">
        <f t="shared" si="52"/>
        <v>1</v>
      </c>
      <c r="J228" s="1086">
        <f>APU!J606</f>
        <v>734696.18110499997</v>
      </c>
      <c r="L228" s="812"/>
      <c r="M228" s="1395"/>
    </row>
    <row r="229" spans="1:13" ht="15.75" hidden="1" outlineLevel="1" thickBot="1">
      <c r="A229" s="450" t="s">
        <v>1183</v>
      </c>
      <c r="B229" s="1182" t="s">
        <v>1289</v>
      </c>
      <c r="C229" s="1182" t="s">
        <v>285</v>
      </c>
      <c r="D229" s="1182">
        <v>1</v>
      </c>
      <c r="E229" s="1183">
        <v>1</v>
      </c>
      <c r="F229" s="1034">
        <f t="shared" si="50"/>
        <v>1</v>
      </c>
      <c r="G229" s="1184">
        <f t="shared" si="51"/>
        <v>0.125</v>
      </c>
      <c r="H229" s="1032">
        <v>1</v>
      </c>
      <c r="I229" s="1184">
        <f t="shared" si="52"/>
        <v>1</v>
      </c>
      <c r="J229" s="1087">
        <f>APU!J634</f>
        <v>734696.18110499997</v>
      </c>
      <c r="L229" s="812"/>
    </row>
    <row r="230" spans="1:13" ht="15.75" hidden="1" outlineLevel="1" thickBot="1">
      <c r="A230" s="450" t="s">
        <v>1184</v>
      </c>
      <c r="B230" s="1182" t="s">
        <v>1290</v>
      </c>
      <c r="C230" s="1182" t="s">
        <v>285</v>
      </c>
      <c r="D230" s="1182">
        <v>1</v>
      </c>
      <c r="E230" s="1183">
        <v>1</v>
      </c>
      <c r="F230" s="1034">
        <f t="shared" si="50"/>
        <v>1</v>
      </c>
      <c r="G230" s="1184">
        <f t="shared" si="51"/>
        <v>0.125</v>
      </c>
      <c r="H230" s="1032">
        <v>1</v>
      </c>
      <c r="I230" s="1184">
        <f t="shared" si="52"/>
        <v>1</v>
      </c>
      <c r="J230" s="1087">
        <f>APU!J641</f>
        <v>734696.18110499997</v>
      </c>
      <c r="L230"/>
    </row>
    <row r="231" spans="1:13" ht="15.75" hidden="1" outlineLevel="1" thickBot="1">
      <c r="A231" s="450" t="s">
        <v>1185</v>
      </c>
      <c r="B231" s="1182" t="s">
        <v>1291</v>
      </c>
      <c r="C231" s="1182" t="s">
        <v>285</v>
      </c>
      <c r="D231" s="1182">
        <v>1</v>
      </c>
      <c r="E231" s="1183">
        <v>1</v>
      </c>
      <c r="F231" s="1034">
        <f t="shared" si="50"/>
        <v>1</v>
      </c>
      <c r="G231" s="1184">
        <f t="shared" si="51"/>
        <v>0.125</v>
      </c>
      <c r="H231" s="1032">
        <v>1</v>
      </c>
      <c r="I231" s="1184">
        <f t="shared" si="52"/>
        <v>1</v>
      </c>
      <c r="J231" s="1087">
        <f>J230</f>
        <v>734696.18110499997</v>
      </c>
      <c r="L231"/>
    </row>
    <row r="232" spans="1:13" ht="15.75" hidden="1" outlineLevel="1" thickBot="1">
      <c r="A232" s="450" t="s">
        <v>1186</v>
      </c>
      <c r="B232" s="1182" t="s">
        <v>1354</v>
      </c>
      <c r="C232" s="1182" t="s">
        <v>345</v>
      </c>
      <c r="D232" s="1182">
        <f>'10. Perfilería de metal'!$N$15</f>
        <v>48.886339827602704</v>
      </c>
      <c r="E232" s="1208">
        <f>APU!F653</f>
        <v>1</v>
      </c>
      <c r="F232" s="987">
        <f t="shared" ref="F232:F237" si="53">D232*E232</f>
        <v>48.886339827602704</v>
      </c>
      <c r="G232" s="1157">
        <f t="shared" si="51"/>
        <v>6.110792478450338</v>
      </c>
      <c r="H232" s="968">
        <v>3</v>
      </c>
      <c r="I232" s="1157">
        <f t="shared" si="52"/>
        <v>3</v>
      </c>
      <c r="J232" s="1087">
        <f>APU!$J$662*D232</f>
        <v>9188513.4664937556</v>
      </c>
      <c r="L232" s="1408"/>
    </row>
    <row r="233" spans="1:13" ht="15.75" hidden="1" outlineLevel="1" thickBot="1">
      <c r="A233" s="450" t="s">
        <v>2897</v>
      </c>
      <c r="B233" s="1182" t="s">
        <v>1058</v>
      </c>
      <c r="C233" s="1182" t="s">
        <v>55</v>
      </c>
      <c r="D233" s="1207">
        <f>'Estructura de Presupuesto'!$G$113</f>
        <v>12.330499999999999</v>
      </c>
      <c r="E233" s="1207">
        <f>APU!$F$744</f>
        <v>1.0516522868540681</v>
      </c>
      <c r="F233" s="987">
        <f t="shared" si="53"/>
        <v>12.967398523054085</v>
      </c>
      <c r="G233" s="1157">
        <f t="shared" si="51"/>
        <v>1.6209248153817606</v>
      </c>
      <c r="H233" s="968">
        <v>3</v>
      </c>
      <c r="I233" s="1157">
        <f t="shared" si="52"/>
        <v>1</v>
      </c>
      <c r="J233" s="1087">
        <f>'Estructura de Presupuesto'!$I$113</f>
        <v>2320785.5507199997</v>
      </c>
      <c r="L233" s="1408"/>
    </row>
    <row r="234" spans="1:13" ht="15.75" hidden="1" outlineLevel="1" thickBot="1">
      <c r="A234" s="450" t="s">
        <v>2898</v>
      </c>
      <c r="B234" s="1182" t="s">
        <v>1059</v>
      </c>
      <c r="C234" s="1182" t="s">
        <v>55</v>
      </c>
      <c r="D234" s="1207">
        <f>'Estructura de Presupuesto'!$G$114</f>
        <v>10.482279999999999</v>
      </c>
      <c r="E234" s="1207">
        <f>APU!$F$744</f>
        <v>1.0516522868540681</v>
      </c>
      <c r="F234" s="987">
        <f t="shared" si="53"/>
        <v>11.02371373344466</v>
      </c>
      <c r="G234" s="1157">
        <f t="shared" si="51"/>
        <v>1.3779642166805826</v>
      </c>
      <c r="H234" s="968">
        <v>3</v>
      </c>
      <c r="I234" s="1157">
        <f t="shared" si="52"/>
        <v>1</v>
      </c>
      <c r="J234" s="1087">
        <f>'Estructura de Presupuesto'!$I$114</f>
        <v>1972922.7494912001</v>
      </c>
      <c r="L234" s="812"/>
    </row>
    <row r="235" spans="1:13" ht="15.75" hidden="1" outlineLevel="1" thickBot="1">
      <c r="A235" s="450" t="s">
        <v>2899</v>
      </c>
      <c r="B235" s="1182" t="s">
        <v>1060</v>
      </c>
      <c r="C235" s="1182" t="s">
        <v>55</v>
      </c>
      <c r="D235" s="1207">
        <f>'Estructura de Presupuesto'!$G$115</f>
        <v>9.6069499999999994</v>
      </c>
      <c r="E235" s="1207">
        <f>APU!$F$744</f>
        <v>1.0516522868540681</v>
      </c>
      <c r="F235" s="987">
        <f t="shared" si="53"/>
        <v>10.103170937192688</v>
      </c>
      <c r="G235" s="1157">
        <f t="shared" si="51"/>
        <v>1.262896367149086</v>
      </c>
      <c r="H235" s="968">
        <v>3</v>
      </c>
      <c r="I235" s="1157">
        <f t="shared" si="52"/>
        <v>1</v>
      </c>
      <c r="J235" s="1087">
        <f>'Estructura de Presupuesto'!$I$115</f>
        <v>1808172.4785279999</v>
      </c>
      <c r="L235" s="812"/>
    </row>
    <row r="236" spans="1:13" ht="15.75" hidden="1" outlineLevel="1" thickBot="1">
      <c r="A236" s="450" t="s">
        <v>2900</v>
      </c>
      <c r="B236" s="1182" t="s">
        <v>1061</v>
      </c>
      <c r="C236" s="1182" t="s">
        <v>55</v>
      </c>
      <c r="D236" s="1207">
        <f>'12. Acabados y accesorios'!$L$9</f>
        <v>18.428000000000001</v>
      </c>
      <c r="E236" s="1207">
        <f>APU!$F$744</f>
        <v>1.0516522868540681</v>
      </c>
      <c r="F236" s="987">
        <f t="shared" si="53"/>
        <v>19.379848342146769</v>
      </c>
      <c r="G236" s="1157">
        <f t="shared" si="51"/>
        <v>2.4224810427683461</v>
      </c>
      <c r="H236" s="968">
        <v>3</v>
      </c>
      <c r="I236" s="1157">
        <f t="shared" si="52"/>
        <v>1</v>
      </c>
      <c r="J236" s="1087">
        <f>'Estructura de Presupuesto'!$I$116+261</f>
        <v>13873968.028480001</v>
      </c>
      <c r="L236" s="812"/>
    </row>
    <row r="237" spans="1:13" ht="15.75" hidden="1" outlineLevel="1" thickBot="1">
      <c r="A237" s="450" t="s">
        <v>2901</v>
      </c>
      <c r="B237" s="1182" t="s">
        <v>1062</v>
      </c>
      <c r="C237" s="1182" t="s">
        <v>55</v>
      </c>
      <c r="D237" s="1207">
        <f>'Estructura de Presupuesto'!$G$117</f>
        <v>9.8914999999999988</v>
      </c>
      <c r="E237" s="1207">
        <f>APU!$F$744</f>
        <v>1.0516522868540681</v>
      </c>
      <c r="F237" s="987">
        <f t="shared" si="53"/>
        <v>10.402418595417013</v>
      </c>
      <c r="G237" s="1157">
        <f t="shared" si="51"/>
        <v>1.3003023244271266</v>
      </c>
      <c r="H237" s="968">
        <v>3</v>
      </c>
      <c r="I237" s="1157">
        <f t="shared" si="52"/>
        <v>1</v>
      </c>
      <c r="J237" s="1087">
        <f>'Estructura de Presupuesto'!$I$117</f>
        <v>1861729.0681599998</v>
      </c>
      <c r="L237" s="812"/>
    </row>
    <row r="238" spans="1:13" ht="15.75" hidden="1" outlineLevel="1" thickBot="1">
      <c r="A238" s="1937" t="s">
        <v>2241</v>
      </c>
      <c r="B238" s="1938"/>
      <c r="C238" s="1938"/>
      <c r="D238" s="1938"/>
      <c r="E238" s="1938"/>
      <c r="F238" s="1938"/>
      <c r="G238" s="1938"/>
      <c r="H238" s="1938"/>
      <c r="I238" s="1938"/>
      <c r="J238" s="1240">
        <f>SUM(J239:J252)</f>
        <v>32883801.000771552</v>
      </c>
      <c r="L238"/>
    </row>
    <row r="239" spans="1:13" ht="17.25" hidden="1" customHeight="1" outlineLevel="1">
      <c r="A239" s="450" t="s">
        <v>2902</v>
      </c>
      <c r="B239" s="1182" t="s">
        <v>1280</v>
      </c>
      <c r="C239" s="1182" t="s">
        <v>285</v>
      </c>
      <c r="D239" s="1182">
        <v>2</v>
      </c>
      <c r="E239" s="1183">
        <v>1</v>
      </c>
      <c r="F239" s="1034">
        <f>D239*E239</f>
        <v>2</v>
      </c>
      <c r="G239" s="1184">
        <f>F239/8</f>
        <v>0.25</v>
      </c>
      <c r="H239" s="1032">
        <v>1</v>
      </c>
      <c r="I239" s="1184">
        <f>ROUNDUP(G239/H239,0)</f>
        <v>1</v>
      </c>
      <c r="J239" s="1086">
        <f>APU!$J$585*D239</f>
        <v>1469392.3622099999</v>
      </c>
      <c r="L239"/>
      <c r="M239" s="1395"/>
    </row>
    <row r="240" spans="1:13" ht="17.25" hidden="1" customHeight="1" outlineLevel="1">
      <c r="A240" s="450" t="s">
        <v>2931</v>
      </c>
      <c r="B240" s="1182" t="s">
        <v>1281</v>
      </c>
      <c r="C240" s="1182" t="s">
        <v>285</v>
      </c>
      <c r="D240" s="1182">
        <v>2</v>
      </c>
      <c r="E240" s="1183">
        <v>1</v>
      </c>
      <c r="F240" s="1034">
        <f t="shared" ref="F240:F252" si="54">D240*E240</f>
        <v>2</v>
      </c>
      <c r="G240" s="1184">
        <f t="shared" ref="G240:G252" si="55">F240/8</f>
        <v>0.25</v>
      </c>
      <c r="H240" s="1032">
        <v>1</v>
      </c>
      <c r="I240" s="1184">
        <f t="shared" ref="I240:I252" si="56">ROUNDUP(G240/H240,0)</f>
        <v>1</v>
      </c>
      <c r="J240" s="1086">
        <f>APU!$J$578*D240</f>
        <v>1469392.3622099999</v>
      </c>
      <c r="L240" s="1408"/>
      <c r="M240" s="1395"/>
    </row>
    <row r="241" spans="1:13" ht="17.25" hidden="1" customHeight="1" outlineLevel="1">
      <c r="A241" s="450" t="s">
        <v>2932</v>
      </c>
      <c r="B241" s="1182" t="s">
        <v>1284</v>
      </c>
      <c r="C241" s="1182" t="s">
        <v>285</v>
      </c>
      <c r="D241" s="1182">
        <v>1</v>
      </c>
      <c r="E241" s="1183">
        <v>1</v>
      </c>
      <c r="F241" s="1034">
        <f t="shared" si="54"/>
        <v>1</v>
      </c>
      <c r="G241" s="1184">
        <f t="shared" si="55"/>
        <v>0.125</v>
      </c>
      <c r="H241" s="1032">
        <v>1</v>
      </c>
      <c r="I241" s="1184">
        <f t="shared" si="56"/>
        <v>1</v>
      </c>
      <c r="J241" s="1086">
        <f>APU!$J$599</f>
        <v>734696.18110499997</v>
      </c>
      <c r="L241" s="1408"/>
    </row>
    <row r="242" spans="1:13" ht="17.25" hidden="1" customHeight="1" outlineLevel="1">
      <c r="A242" s="450" t="s">
        <v>2933</v>
      </c>
      <c r="B242" s="1182" t="s">
        <v>1285</v>
      </c>
      <c r="C242" s="1182" t="s">
        <v>285</v>
      </c>
      <c r="D242" s="1182">
        <v>1</v>
      </c>
      <c r="E242" s="1183">
        <v>1</v>
      </c>
      <c r="F242" s="1034">
        <f t="shared" si="54"/>
        <v>1</v>
      </c>
      <c r="G242" s="1184">
        <f t="shared" si="55"/>
        <v>0.125</v>
      </c>
      <c r="H242" s="1032">
        <v>1</v>
      </c>
      <c r="I242" s="1184">
        <f t="shared" si="56"/>
        <v>1</v>
      </c>
      <c r="J242" s="1086">
        <f>APU!$J$606*D242</f>
        <v>734696.18110499997</v>
      </c>
      <c r="L242" s="812"/>
      <c r="M242" s="1395"/>
    </row>
    <row r="243" spans="1:13" ht="17.25" hidden="1" customHeight="1" outlineLevel="1">
      <c r="A243" s="450" t="s">
        <v>2934</v>
      </c>
      <c r="B243" s="1182" t="s">
        <v>1289</v>
      </c>
      <c r="C243" s="1182" t="s">
        <v>285</v>
      </c>
      <c r="D243" s="1182">
        <v>1</v>
      </c>
      <c r="E243" s="1183">
        <v>1</v>
      </c>
      <c r="F243" s="1034">
        <f t="shared" si="54"/>
        <v>1</v>
      </c>
      <c r="G243" s="1184">
        <f t="shared" si="55"/>
        <v>0.125</v>
      </c>
      <c r="H243" s="1032">
        <v>1</v>
      </c>
      <c r="I243" s="1184">
        <f t="shared" si="56"/>
        <v>1</v>
      </c>
      <c r="J243" s="1086">
        <f>APU!$J$634*D243</f>
        <v>734696.18110499997</v>
      </c>
      <c r="L243" s="812"/>
    </row>
    <row r="244" spans="1:13" ht="17.25" hidden="1" customHeight="1" outlineLevel="1">
      <c r="A244" s="450" t="s">
        <v>2935</v>
      </c>
      <c r="B244" s="1182" t="s">
        <v>1290</v>
      </c>
      <c r="C244" s="1182" t="s">
        <v>285</v>
      </c>
      <c r="D244" s="1182">
        <v>1</v>
      </c>
      <c r="E244" s="1183">
        <v>1</v>
      </c>
      <c r="F244" s="1034">
        <f t="shared" si="54"/>
        <v>1</v>
      </c>
      <c r="G244" s="1184">
        <f t="shared" si="55"/>
        <v>0.125</v>
      </c>
      <c r="H244" s="1032">
        <v>1</v>
      </c>
      <c r="I244" s="1184">
        <f t="shared" si="56"/>
        <v>1</v>
      </c>
      <c r="J244" s="1086">
        <f>'Estructura de Presupuesto'!$H$107</f>
        <v>734696.18110499997</v>
      </c>
      <c r="L244" s="812"/>
    </row>
    <row r="245" spans="1:13" ht="17.25" hidden="1" customHeight="1" outlineLevel="1">
      <c r="A245" s="450" t="s">
        <v>2936</v>
      </c>
      <c r="B245" s="1182" t="s">
        <v>1291</v>
      </c>
      <c r="C245" s="1182" t="s">
        <v>285</v>
      </c>
      <c r="D245" s="1182">
        <v>1</v>
      </c>
      <c r="E245" s="1183">
        <v>1</v>
      </c>
      <c r="F245" s="1034">
        <f t="shared" si="54"/>
        <v>1</v>
      </c>
      <c r="G245" s="1184">
        <f t="shared" si="55"/>
        <v>0.125</v>
      </c>
      <c r="H245" s="1032">
        <v>1</v>
      </c>
      <c r="I245" s="1184">
        <f t="shared" si="56"/>
        <v>1</v>
      </c>
      <c r="J245" s="1086">
        <f>'Estructura de Presupuesto'!$H$108</f>
        <v>734696.18110499997</v>
      </c>
      <c r="L245" s="812"/>
    </row>
    <row r="246" spans="1:13" ht="17.25" hidden="1" customHeight="1" outlineLevel="1">
      <c r="A246" s="450" t="s">
        <v>2937</v>
      </c>
      <c r="B246" s="1182" t="s">
        <v>1354</v>
      </c>
      <c r="C246" s="1182" t="s">
        <v>345</v>
      </c>
      <c r="D246" s="1182">
        <f>'10. Perfilería de metal'!$N$15</f>
        <v>48.886339827602704</v>
      </c>
      <c r="E246" s="1208">
        <f>APU!F653</f>
        <v>1</v>
      </c>
      <c r="F246" s="1034">
        <f t="shared" si="54"/>
        <v>48.886339827602704</v>
      </c>
      <c r="G246" s="1184">
        <f t="shared" si="55"/>
        <v>6.110792478450338</v>
      </c>
      <c r="H246" s="1032">
        <v>3</v>
      </c>
      <c r="I246" s="1184">
        <f t="shared" si="56"/>
        <v>3</v>
      </c>
      <c r="J246" s="1086">
        <f>APU!$J$662*D246</f>
        <v>9188513.4664937556</v>
      </c>
      <c r="L246"/>
    </row>
    <row r="247" spans="1:13" ht="17.25" hidden="1" customHeight="1" outlineLevel="1">
      <c r="A247" s="450" t="s">
        <v>2938</v>
      </c>
      <c r="B247" s="1182" t="s">
        <v>1059</v>
      </c>
      <c r="C247" s="1182" t="s">
        <v>55</v>
      </c>
      <c r="D247" s="1207">
        <f>'Estructura de Presupuesto'!$G$114</f>
        <v>10.482279999999999</v>
      </c>
      <c r="E247" s="1207">
        <f>APU!$F$744</f>
        <v>1.0516522868540681</v>
      </c>
      <c r="F247" s="1034">
        <f t="shared" si="54"/>
        <v>11.02371373344466</v>
      </c>
      <c r="G247" s="1184">
        <f t="shared" si="55"/>
        <v>1.3779642166805826</v>
      </c>
      <c r="H247" s="1032">
        <v>3</v>
      </c>
      <c r="I247" s="1184">
        <f t="shared" si="56"/>
        <v>1</v>
      </c>
      <c r="J247" s="1086">
        <f>'Estructura de Presupuesto'!$H$114*D247</f>
        <v>1972922.7494912001</v>
      </c>
      <c r="L247"/>
    </row>
    <row r="248" spans="1:13" ht="17.25" hidden="1" customHeight="1" outlineLevel="1">
      <c r="A248" s="450" t="s">
        <v>2939</v>
      </c>
      <c r="B248" s="1182" t="s">
        <v>1060</v>
      </c>
      <c r="C248" s="1182" t="s">
        <v>55</v>
      </c>
      <c r="D248" s="1207">
        <f>'Estructura de Presupuesto'!$G$115</f>
        <v>9.6069499999999994</v>
      </c>
      <c r="E248" s="1207">
        <f>APU!$F$744</f>
        <v>1.0516522868540681</v>
      </c>
      <c r="F248" s="1034">
        <f t="shared" si="54"/>
        <v>10.103170937192688</v>
      </c>
      <c r="G248" s="1184">
        <f t="shared" si="55"/>
        <v>1.262896367149086</v>
      </c>
      <c r="H248" s="1032">
        <v>3</v>
      </c>
      <c r="I248" s="1184">
        <f t="shared" si="56"/>
        <v>1</v>
      </c>
      <c r="J248" s="1086">
        <f>'Estructura de Presupuesto'!$I$114</f>
        <v>1972922.7494912001</v>
      </c>
      <c r="L248" s="1408"/>
    </row>
    <row r="249" spans="1:13" ht="17.25" hidden="1" customHeight="1" outlineLevel="1">
      <c r="A249" s="450" t="s">
        <v>2940</v>
      </c>
      <c r="B249" s="1182" t="s">
        <v>1063</v>
      </c>
      <c r="C249" s="1182" t="s">
        <v>55</v>
      </c>
      <c r="D249" s="1207">
        <f>'12. Acabados y accesorios'!$L$11</f>
        <v>8.129999999999999</v>
      </c>
      <c r="E249" s="1207">
        <f>APU!$F$744</f>
        <v>1.0516522868540681</v>
      </c>
      <c r="F249" s="1034">
        <f t="shared" si="54"/>
        <v>8.5499330921235721</v>
      </c>
      <c r="G249" s="1184">
        <f t="shared" si="55"/>
        <v>1.0687416365154465</v>
      </c>
      <c r="H249" s="1032">
        <v>3</v>
      </c>
      <c r="I249" s="1184">
        <f t="shared" si="56"/>
        <v>1</v>
      </c>
      <c r="J249" s="1086">
        <f>'Estructura de Presupuesto'!$I$115</f>
        <v>1808172.4785279999</v>
      </c>
      <c r="L249" s="1408"/>
    </row>
    <row r="250" spans="1:13" ht="17.25" hidden="1" customHeight="1" outlineLevel="1">
      <c r="A250" s="450" t="s">
        <v>2941</v>
      </c>
      <c r="B250" s="1182" t="s">
        <v>1064</v>
      </c>
      <c r="C250" s="1182" t="s">
        <v>55</v>
      </c>
      <c r="D250" s="1207">
        <f>'12. Acabados y accesorios'!$L$12</f>
        <v>8.2302699999999991</v>
      </c>
      <c r="E250" s="1207">
        <f>APU!$F$744</f>
        <v>1.0516522868540681</v>
      </c>
      <c r="F250" s="1034">
        <f t="shared" si="54"/>
        <v>8.6553822669264306</v>
      </c>
      <c r="G250" s="1184">
        <f t="shared" si="55"/>
        <v>1.0819227833658038</v>
      </c>
      <c r="H250" s="1032">
        <v>3</v>
      </c>
      <c r="I250" s="1184">
        <f t="shared" si="56"/>
        <v>1</v>
      </c>
      <c r="J250" s="1086">
        <f>'Estructura de Presupuesto'!$I$119</f>
        <v>1549060.5972608</v>
      </c>
      <c r="L250" s="812"/>
    </row>
    <row r="251" spans="1:13" ht="17.25" hidden="1" customHeight="1" outlineLevel="1">
      <c r="A251" s="450" t="s">
        <v>2942</v>
      </c>
      <c r="B251" s="1182" t="s">
        <v>1065</v>
      </c>
      <c r="C251" s="1182" t="s">
        <v>55</v>
      </c>
      <c r="D251" s="1207">
        <f>'12. Acabados y accesorios'!$L$13</f>
        <v>22.728770000000001</v>
      </c>
      <c r="E251" s="1207">
        <f>APU!$F$744</f>
        <v>1.0516522868540681</v>
      </c>
      <c r="F251" s="1034">
        <f t="shared" si="54"/>
        <v>23.902762947880138</v>
      </c>
      <c r="G251" s="1184">
        <f t="shared" si="55"/>
        <v>2.9878453684850173</v>
      </c>
      <c r="H251" s="1032">
        <v>3</v>
      </c>
      <c r="I251" s="1184">
        <f t="shared" si="56"/>
        <v>1</v>
      </c>
      <c r="J251" s="1086">
        <f>'Estructura de Presupuesto'!$I$120</f>
        <v>8555792.7094016001</v>
      </c>
      <c r="L251" s="812"/>
    </row>
    <row r="252" spans="1:13" ht="15.75" hidden="1" outlineLevel="1" thickBot="1">
      <c r="A252" s="450" t="s">
        <v>2943</v>
      </c>
      <c r="B252" s="1182" t="s">
        <v>1066</v>
      </c>
      <c r="C252" s="1182" t="s">
        <v>55</v>
      </c>
      <c r="D252" s="1207">
        <f>'Estructura de Presupuesto'!$G$121</f>
        <v>6.5039999999999996</v>
      </c>
      <c r="E252" s="1207">
        <f>APU!$F$744</f>
        <v>1.0516522868540681</v>
      </c>
      <c r="F252" s="1034">
        <f t="shared" si="54"/>
        <v>6.8399464736988582</v>
      </c>
      <c r="G252" s="1184">
        <f t="shared" si="55"/>
        <v>0.85499330921235728</v>
      </c>
      <c r="H252" s="1032">
        <v>3</v>
      </c>
      <c r="I252" s="1184">
        <f t="shared" si="56"/>
        <v>1</v>
      </c>
      <c r="J252" s="1087">
        <f>'Estructura de Presupuesto'!$I$121</f>
        <v>1224150.6201599999</v>
      </c>
      <c r="L252" s="812"/>
    </row>
    <row r="253" spans="1:13" ht="15.75" hidden="1" outlineLevel="1" thickBot="1">
      <c r="A253" s="1937" t="s">
        <v>2246</v>
      </c>
      <c r="B253" s="1938"/>
      <c r="C253" s="1938"/>
      <c r="D253" s="1938"/>
      <c r="E253" s="1938"/>
      <c r="F253" s="1938"/>
      <c r="G253" s="1938"/>
      <c r="H253" s="1938"/>
      <c r="I253" s="1938"/>
      <c r="J253" s="1240">
        <f>SUM(J254:J265)</f>
        <v>22500963.490781151</v>
      </c>
      <c r="L253" s="812"/>
    </row>
    <row r="254" spans="1:13" ht="15.75" hidden="1" outlineLevel="1" thickBot="1">
      <c r="A254" s="450" t="s">
        <v>2944</v>
      </c>
      <c r="B254" s="1182" t="s">
        <v>1280</v>
      </c>
      <c r="C254" s="1182" t="s">
        <v>285</v>
      </c>
      <c r="D254" s="1182">
        <v>2</v>
      </c>
      <c r="E254" s="1183">
        <v>1</v>
      </c>
      <c r="F254" s="1034">
        <f>D254*E254</f>
        <v>2</v>
      </c>
      <c r="G254" s="1184">
        <f>F254/8</f>
        <v>0.25</v>
      </c>
      <c r="H254" s="1032">
        <v>1</v>
      </c>
      <c r="I254" s="1184">
        <f>ROUNDUP(G254/H254,0)</f>
        <v>1</v>
      </c>
      <c r="J254" s="1086">
        <f>APU!$J$585*D254</f>
        <v>1469392.3622099999</v>
      </c>
      <c r="L254"/>
      <c r="M254" s="1395"/>
    </row>
    <row r="255" spans="1:13" ht="15.75" hidden="1" outlineLevel="1" thickBot="1">
      <c r="A255" s="450" t="s">
        <v>2945</v>
      </c>
      <c r="B255" s="1182" t="s">
        <v>1281</v>
      </c>
      <c r="C255" s="1182" t="s">
        <v>285</v>
      </c>
      <c r="D255" s="1182">
        <v>2</v>
      </c>
      <c r="E255" s="1183">
        <v>1</v>
      </c>
      <c r="F255" s="1034">
        <f t="shared" ref="F255:F263" si="57">D255*E255</f>
        <v>2</v>
      </c>
      <c r="G255" s="1184">
        <f t="shared" ref="G255:G263" si="58">F255/8</f>
        <v>0.25</v>
      </c>
      <c r="H255" s="1032">
        <v>1</v>
      </c>
      <c r="I255" s="1184">
        <f t="shared" ref="I255:I263" si="59">ROUNDUP(G255/H255,0)</f>
        <v>1</v>
      </c>
      <c r="J255" s="1086">
        <f>APU!$J$578*D255</f>
        <v>1469392.3622099999</v>
      </c>
      <c r="L255"/>
      <c r="M255" s="1395"/>
    </row>
    <row r="256" spans="1:13" ht="15.75" hidden="1" outlineLevel="1" thickBot="1">
      <c r="A256" s="450" t="s">
        <v>2946</v>
      </c>
      <c r="B256" s="1182" t="s">
        <v>1284</v>
      </c>
      <c r="C256" s="1182" t="s">
        <v>285</v>
      </c>
      <c r="D256" s="1182">
        <v>1</v>
      </c>
      <c r="E256" s="1183">
        <v>1</v>
      </c>
      <c r="F256" s="1034">
        <f t="shared" si="57"/>
        <v>1</v>
      </c>
      <c r="G256" s="1184">
        <f t="shared" si="58"/>
        <v>0.125</v>
      </c>
      <c r="H256" s="1032">
        <v>1</v>
      </c>
      <c r="I256" s="1184">
        <f t="shared" si="59"/>
        <v>1</v>
      </c>
      <c r="J256" s="1086">
        <f>APU!$J$599</f>
        <v>734696.18110499997</v>
      </c>
      <c r="L256" s="1408"/>
    </row>
    <row r="257" spans="1:13" ht="15.75" hidden="1" outlineLevel="1" thickBot="1">
      <c r="A257" s="450" t="s">
        <v>2947</v>
      </c>
      <c r="B257" s="1182" t="s">
        <v>1285</v>
      </c>
      <c r="C257" s="1182" t="s">
        <v>285</v>
      </c>
      <c r="D257" s="1182">
        <v>1</v>
      </c>
      <c r="E257" s="1183">
        <v>1</v>
      </c>
      <c r="F257" s="1034">
        <f t="shared" si="57"/>
        <v>1</v>
      </c>
      <c r="G257" s="1184">
        <f t="shared" si="58"/>
        <v>0.125</v>
      </c>
      <c r="H257" s="1032">
        <v>1</v>
      </c>
      <c r="I257" s="1184">
        <f t="shared" si="59"/>
        <v>1</v>
      </c>
      <c r="J257" s="1086">
        <f>APU!$J$606*D257</f>
        <v>734696.18110499997</v>
      </c>
      <c r="L257" s="1408"/>
      <c r="M257" s="1395"/>
    </row>
    <row r="258" spans="1:13" ht="15.75" hidden="1" outlineLevel="1" thickBot="1">
      <c r="A258" s="450" t="s">
        <v>2948</v>
      </c>
      <c r="B258" s="1182" t="s">
        <v>1289</v>
      </c>
      <c r="C258" s="1182" t="s">
        <v>285</v>
      </c>
      <c r="D258" s="1182">
        <v>1</v>
      </c>
      <c r="E258" s="1183">
        <v>1</v>
      </c>
      <c r="F258" s="1034">
        <f t="shared" si="57"/>
        <v>1</v>
      </c>
      <c r="G258" s="1184">
        <f t="shared" si="58"/>
        <v>0.125</v>
      </c>
      <c r="H258" s="1032">
        <v>1</v>
      </c>
      <c r="I258" s="1184">
        <f t="shared" si="59"/>
        <v>1</v>
      </c>
      <c r="J258" s="1086">
        <f>APU!$J$634*D258</f>
        <v>734696.18110499997</v>
      </c>
      <c r="L258" s="812"/>
    </row>
    <row r="259" spans="1:13" ht="15.75" hidden="1" outlineLevel="1" thickBot="1">
      <c r="A259" s="450" t="s">
        <v>2949</v>
      </c>
      <c r="B259" s="1182" t="s">
        <v>1290</v>
      </c>
      <c r="C259" s="1182" t="s">
        <v>285</v>
      </c>
      <c r="D259" s="1182">
        <v>1</v>
      </c>
      <c r="E259" s="1183">
        <v>1</v>
      </c>
      <c r="F259" s="1034">
        <f t="shared" si="57"/>
        <v>1</v>
      </c>
      <c r="G259" s="1184">
        <f t="shared" si="58"/>
        <v>0.125</v>
      </c>
      <c r="H259" s="1032">
        <v>1</v>
      </c>
      <c r="I259" s="1184">
        <f t="shared" si="59"/>
        <v>1</v>
      </c>
      <c r="J259" s="1086">
        <f>'Estructura de Presupuesto'!$H$107</f>
        <v>734696.18110499997</v>
      </c>
      <c r="L259" s="812"/>
    </row>
    <row r="260" spans="1:13" ht="15.75" hidden="1" outlineLevel="1" thickBot="1">
      <c r="A260" s="450" t="s">
        <v>2950</v>
      </c>
      <c r="B260" s="1182" t="s">
        <v>1291</v>
      </c>
      <c r="C260" s="1182" t="s">
        <v>285</v>
      </c>
      <c r="D260" s="1182">
        <v>1</v>
      </c>
      <c r="E260" s="1183">
        <v>1</v>
      </c>
      <c r="F260" s="1034">
        <f t="shared" si="57"/>
        <v>1</v>
      </c>
      <c r="G260" s="1184">
        <f t="shared" si="58"/>
        <v>0.125</v>
      </c>
      <c r="H260" s="1032">
        <v>1</v>
      </c>
      <c r="I260" s="1184">
        <f t="shared" si="59"/>
        <v>1</v>
      </c>
      <c r="J260" s="1086">
        <f>'Estructura de Presupuesto'!$H$108</f>
        <v>734696.18110499997</v>
      </c>
      <c r="L260" s="812"/>
    </row>
    <row r="261" spans="1:13" ht="15.75" hidden="1" outlineLevel="1" thickBot="1">
      <c r="A261" s="450" t="s">
        <v>2951</v>
      </c>
      <c r="B261" s="1182" t="s">
        <v>1354</v>
      </c>
      <c r="C261" s="1182" t="s">
        <v>345</v>
      </c>
      <c r="D261" s="1182">
        <f>'10. Perfilería de metal'!$N$15</f>
        <v>48.886339827602704</v>
      </c>
      <c r="E261" s="1183">
        <v>1</v>
      </c>
      <c r="F261" s="1034">
        <f t="shared" si="57"/>
        <v>48.886339827602704</v>
      </c>
      <c r="G261" s="1184">
        <f t="shared" si="58"/>
        <v>6.110792478450338</v>
      </c>
      <c r="H261" s="1032">
        <v>3</v>
      </c>
      <c r="I261" s="1184">
        <f t="shared" si="59"/>
        <v>3</v>
      </c>
      <c r="J261" s="1086">
        <f>APU!$J$662*D261</f>
        <v>9188513.4664937556</v>
      </c>
      <c r="L261" s="812"/>
    </row>
    <row r="262" spans="1:13" ht="15.75" hidden="1" outlineLevel="1" thickBot="1">
      <c r="A262" s="450" t="s">
        <v>2952</v>
      </c>
      <c r="B262" s="1182" t="s">
        <v>1059</v>
      </c>
      <c r="C262" s="1182" t="s">
        <v>55</v>
      </c>
      <c r="D262" s="1207">
        <f>'Estructura de Presupuesto'!$G$114</f>
        <v>10.482279999999999</v>
      </c>
      <c r="E262" s="1207">
        <f>APU!$F$744</f>
        <v>1.0516522868540681</v>
      </c>
      <c r="F262" s="1034">
        <f t="shared" si="57"/>
        <v>11.02371373344466</v>
      </c>
      <c r="G262" s="1184">
        <f t="shared" si="58"/>
        <v>1.3779642166805826</v>
      </c>
      <c r="H262" s="1032">
        <v>3</v>
      </c>
      <c r="I262" s="1184">
        <f t="shared" si="59"/>
        <v>1</v>
      </c>
      <c r="J262" s="1086">
        <f>'Estructura de Presupuesto'!$H$114*D262</f>
        <v>1972922.7494912001</v>
      </c>
      <c r="L262"/>
    </row>
    <row r="263" spans="1:13" ht="15.75" hidden="1" outlineLevel="1" thickBot="1">
      <c r="A263" s="450" t="s">
        <v>2953</v>
      </c>
      <c r="B263" s="1182" t="s">
        <v>1060</v>
      </c>
      <c r="C263" s="1182" t="s">
        <v>55</v>
      </c>
      <c r="D263" s="1207">
        <f>'Estructura de Presupuesto'!$G$115</f>
        <v>9.6069499999999994</v>
      </c>
      <c r="E263" s="1207">
        <f>APU!$F$744</f>
        <v>1.0516522868540681</v>
      </c>
      <c r="F263" s="1034">
        <f t="shared" si="57"/>
        <v>10.103170937192688</v>
      </c>
      <c r="G263" s="1184">
        <f t="shared" si="58"/>
        <v>1.262896367149086</v>
      </c>
      <c r="H263" s="1032">
        <v>3</v>
      </c>
      <c r="I263" s="1184">
        <f t="shared" si="59"/>
        <v>1</v>
      </c>
      <c r="J263" s="1086">
        <f>'Estructura de Presupuesto'!$I$114</f>
        <v>1972922.7494912001</v>
      </c>
      <c r="L263"/>
    </row>
    <row r="264" spans="1:13" ht="15.75" hidden="1" outlineLevel="1" thickBot="1">
      <c r="A264" s="450" t="s">
        <v>2954</v>
      </c>
      <c r="B264" s="1182" t="s">
        <v>1066</v>
      </c>
      <c r="C264" s="1182" t="s">
        <v>55</v>
      </c>
      <c r="D264" s="1207">
        <f>'Estructura de Presupuesto'!$G$121</f>
        <v>6.5039999999999996</v>
      </c>
      <c r="E264" s="1207">
        <f>APU!$F$744</f>
        <v>1.0516522868540681</v>
      </c>
      <c r="F264" s="1034">
        <f>D264*E264</f>
        <v>6.8399464736988582</v>
      </c>
      <c r="G264" s="1184">
        <f>F264/8</f>
        <v>0.85499330921235728</v>
      </c>
      <c r="H264" s="1032">
        <v>3</v>
      </c>
      <c r="I264" s="1184">
        <f>ROUNDUP(G264/H264,0)</f>
        <v>1</v>
      </c>
      <c r="J264" s="1087">
        <f>'Estructura de Presupuesto'!$I$121</f>
        <v>1224150.6201599999</v>
      </c>
      <c r="L264" s="1408"/>
    </row>
    <row r="265" spans="1:13" ht="15.75" hidden="1" outlineLevel="1" thickBot="1">
      <c r="A265" s="450" t="s">
        <v>2955</v>
      </c>
      <c r="B265" s="1182" t="s">
        <v>1069</v>
      </c>
      <c r="C265" s="1182" t="s">
        <v>55</v>
      </c>
      <c r="D265" s="1207">
        <f>'Estructura de Presupuesto'!$G$124</f>
        <v>8.129999999999999</v>
      </c>
      <c r="E265" s="1207">
        <f>APU!$F$744</f>
        <v>1.0516522868540681</v>
      </c>
      <c r="F265" s="1034">
        <f>D265*E265</f>
        <v>8.5499330921235721</v>
      </c>
      <c r="G265" s="1184">
        <f>F265/8</f>
        <v>1.0687416365154465</v>
      </c>
      <c r="H265" s="1032">
        <v>3</v>
      </c>
      <c r="I265" s="1184">
        <f>ROUNDUP(G265/H265,0)</f>
        <v>1</v>
      </c>
      <c r="J265" s="1086">
        <f>'Estructura de Presupuesto'!$I$124</f>
        <v>1530188.2751999998</v>
      </c>
      <c r="L265" s="1408"/>
    </row>
    <row r="266" spans="1:13" ht="15.75" hidden="1" outlineLevel="1" thickBot="1">
      <c r="A266" s="1937" t="s">
        <v>801</v>
      </c>
      <c r="B266" s="1938"/>
      <c r="C266" s="1938"/>
      <c r="D266" s="1938"/>
      <c r="E266" s="1938"/>
      <c r="F266" s="1938"/>
      <c r="G266" s="1938"/>
      <c r="H266" s="1938"/>
      <c r="I266" s="1938"/>
      <c r="J266" s="1240">
        <f>SUM(J267:J278)</f>
        <v>21766267.309676152</v>
      </c>
      <c r="L266" s="812"/>
    </row>
    <row r="267" spans="1:13" ht="15.75" hidden="1" outlineLevel="1" thickBot="1">
      <c r="A267" s="450" t="s">
        <v>2956</v>
      </c>
      <c r="B267" s="1182" t="s">
        <v>1281</v>
      </c>
      <c r="C267" s="1182" t="s">
        <v>285</v>
      </c>
      <c r="D267" s="1182">
        <v>2</v>
      </c>
      <c r="E267" s="1183">
        <v>1</v>
      </c>
      <c r="F267" s="1034">
        <f>D267*E267</f>
        <v>2</v>
      </c>
      <c r="G267" s="1184">
        <f>F267/8</f>
        <v>0.25</v>
      </c>
      <c r="H267" s="1032">
        <v>1</v>
      </c>
      <c r="I267" s="1184">
        <f>ROUNDUP(G267/H267,0)</f>
        <v>1</v>
      </c>
      <c r="J267" s="1086">
        <f>APU!$J$578*D267</f>
        <v>1469392.3622099999</v>
      </c>
      <c r="L267" s="812"/>
      <c r="M267" s="1395"/>
    </row>
    <row r="268" spans="1:13" ht="15.75" hidden="1" outlineLevel="1" thickBot="1">
      <c r="A268" s="450" t="s">
        <v>2957</v>
      </c>
      <c r="B268" s="1182" t="s">
        <v>1282</v>
      </c>
      <c r="C268" s="1182" t="s">
        <v>285</v>
      </c>
      <c r="D268" s="1182">
        <v>1</v>
      </c>
      <c r="E268" s="1183">
        <v>1</v>
      </c>
      <c r="F268" s="1034">
        <v>1</v>
      </c>
      <c r="G268" s="1184">
        <f>F268/8</f>
        <v>0.125</v>
      </c>
      <c r="H268" s="1032">
        <v>1</v>
      </c>
      <c r="I268" s="1184">
        <f>ROUNDUP(G268/H268,0)</f>
        <v>1</v>
      </c>
      <c r="J268" s="1086">
        <f>'Estructura de Presupuesto'!$H$99</f>
        <v>734696.18110499997</v>
      </c>
      <c r="L268" s="812"/>
      <c r="M268" s="1395"/>
    </row>
    <row r="269" spans="1:13" ht="15.75" hidden="1" outlineLevel="1" thickBot="1">
      <c r="A269" s="450" t="s">
        <v>2958</v>
      </c>
      <c r="B269" s="1182" t="s">
        <v>1284</v>
      </c>
      <c r="C269" s="1182" t="s">
        <v>285</v>
      </c>
      <c r="D269" s="1182">
        <v>1</v>
      </c>
      <c r="E269" s="1183">
        <v>1</v>
      </c>
      <c r="F269" s="1034">
        <f t="shared" ref="F269:F278" si="60">D269*E269</f>
        <v>1</v>
      </c>
      <c r="G269" s="1184">
        <f t="shared" ref="G269:G278" si="61">F269/8</f>
        <v>0.125</v>
      </c>
      <c r="H269" s="1032">
        <v>1</v>
      </c>
      <c r="I269" s="1184">
        <f t="shared" ref="I269:I278" si="62">ROUNDUP(G269/H269,0)</f>
        <v>1</v>
      </c>
      <c r="J269" s="1086">
        <f>APU!$J$599</f>
        <v>734696.18110499997</v>
      </c>
      <c r="L269" s="812"/>
    </row>
    <row r="270" spans="1:13" ht="15.75" hidden="1" outlineLevel="1" thickBot="1">
      <c r="A270" s="450" t="s">
        <v>2959</v>
      </c>
      <c r="B270" s="1182" t="s">
        <v>1285</v>
      </c>
      <c r="C270" s="1182" t="s">
        <v>285</v>
      </c>
      <c r="D270" s="1182">
        <v>1</v>
      </c>
      <c r="E270" s="1183">
        <v>1</v>
      </c>
      <c r="F270" s="1034">
        <f t="shared" si="60"/>
        <v>1</v>
      </c>
      <c r="G270" s="1184">
        <f t="shared" si="61"/>
        <v>0.125</v>
      </c>
      <c r="H270" s="1032">
        <v>1</v>
      </c>
      <c r="I270" s="1184">
        <f t="shared" si="62"/>
        <v>1</v>
      </c>
      <c r="J270" s="1086">
        <f>APU!$J$606*D270</f>
        <v>734696.18110499997</v>
      </c>
      <c r="L270"/>
      <c r="M270" s="1395"/>
    </row>
    <row r="271" spans="1:13" ht="15.75" hidden="1" outlineLevel="1" thickBot="1">
      <c r="A271" s="450" t="s">
        <v>2960</v>
      </c>
      <c r="B271" s="1182" t="s">
        <v>1289</v>
      </c>
      <c r="C271" s="1182" t="s">
        <v>285</v>
      </c>
      <c r="D271" s="1182">
        <v>1</v>
      </c>
      <c r="E271" s="1183">
        <v>1</v>
      </c>
      <c r="F271" s="1034">
        <f t="shared" si="60"/>
        <v>1</v>
      </c>
      <c r="G271" s="1184">
        <f t="shared" si="61"/>
        <v>0.125</v>
      </c>
      <c r="H271" s="1032">
        <v>1</v>
      </c>
      <c r="I271" s="1184">
        <f t="shared" si="62"/>
        <v>1</v>
      </c>
      <c r="J271" s="1086">
        <f>APU!$J$634*D271</f>
        <v>734696.18110499997</v>
      </c>
      <c r="L271"/>
    </row>
    <row r="272" spans="1:13" ht="15.75" hidden="1" outlineLevel="1" thickBot="1">
      <c r="A272" s="450" t="s">
        <v>2961</v>
      </c>
      <c r="B272" s="1182" t="s">
        <v>1290</v>
      </c>
      <c r="C272" s="1182" t="s">
        <v>285</v>
      </c>
      <c r="D272" s="1182">
        <v>1</v>
      </c>
      <c r="E272" s="1183">
        <v>1</v>
      </c>
      <c r="F272" s="1034">
        <f t="shared" si="60"/>
        <v>1</v>
      </c>
      <c r="G272" s="1184">
        <f t="shared" si="61"/>
        <v>0.125</v>
      </c>
      <c r="H272" s="1032">
        <v>1</v>
      </c>
      <c r="I272" s="1184">
        <f t="shared" si="62"/>
        <v>1</v>
      </c>
      <c r="J272" s="1086">
        <f>'Estructura de Presupuesto'!$H$107</f>
        <v>734696.18110499997</v>
      </c>
      <c r="L272" s="1408"/>
    </row>
    <row r="273" spans="1:13" ht="15.75" hidden="1" outlineLevel="1" thickBot="1">
      <c r="A273" s="450" t="s">
        <v>2962</v>
      </c>
      <c r="B273" s="1182" t="s">
        <v>1291</v>
      </c>
      <c r="C273" s="1182" t="s">
        <v>285</v>
      </c>
      <c r="D273" s="1182">
        <v>1</v>
      </c>
      <c r="E273" s="1183">
        <v>1</v>
      </c>
      <c r="F273" s="1034">
        <f t="shared" si="60"/>
        <v>1</v>
      </c>
      <c r="G273" s="1184">
        <f t="shared" si="61"/>
        <v>0.125</v>
      </c>
      <c r="H273" s="1032">
        <v>1</v>
      </c>
      <c r="I273" s="1184">
        <f t="shared" si="62"/>
        <v>1</v>
      </c>
      <c r="J273" s="1086">
        <f>'Estructura de Presupuesto'!$H$108</f>
        <v>734696.18110499997</v>
      </c>
      <c r="L273" s="1408"/>
    </row>
    <row r="274" spans="1:13" ht="15.75" hidden="1" outlineLevel="1" thickBot="1">
      <c r="A274" s="450" t="s">
        <v>2963</v>
      </c>
      <c r="B274" s="1182" t="s">
        <v>1354</v>
      </c>
      <c r="C274" s="1182" t="s">
        <v>345</v>
      </c>
      <c r="D274" s="1182">
        <f>'10. Perfilería de metal'!$N$15</f>
        <v>48.886339827602704</v>
      </c>
      <c r="E274" s="1183">
        <v>1</v>
      </c>
      <c r="F274" s="1034">
        <f t="shared" si="60"/>
        <v>48.886339827602704</v>
      </c>
      <c r="G274" s="1184">
        <f t="shared" si="61"/>
        <v>6.110792478450338</v>
      </c>
      <c r="H274" s="1032">
        <v>3</v>
      </c>
      <c r="I274" s="1184">
        <f t="shared" si="62"/>
        <v>3</v>
      </c>
      <c r="J274" s="1086">
        <f>APU!$J$662*D274</f>
        <v>9188513.4664937556</v>
      </c>
      <c r="L274" s="812"/>
    </row>
    <row r="275" spans="1:13" ht="15.75" hidden="1" outlineLevel="1" thickBot="1">
      <c r="A275" s="450" t="s">
        <v>2964</v>
      </c>
      <c r="B275" s="1182" t="s">
        <v>1059</v>
      </c>
      <c r="C275" s="1182" t="s">
        <v>55</v>
      </c>
      <c r="D275" s="1207">
        <f>'Estructura de Presupuesto'!$G$114</f>
        <v>10.482279999999999</v>
      </c>
      <c r="E275" s="1207">
        <f>APU!$F$744</f>
        <v>1.0516522868540681</v>
      </c>
      <c r="F275" s="1034">
        <f t="shared" si="60"/>
        <v>11.02371373344466</v>
      </c>
      <c r="G275" s="1184">
        <f t="shared" si="61"/>
        <v>1.3779642166805826</v>
      </c>
      <c r="H275" s="1032">
        <v>3</v>
      </c>
      <c r="I275" s="1184">
        <f t="shared" si="62"/>
        <v>1</v>
      </c>
      <c r="J275" s="1086">
        <f>'Estructura de Presupuesto'!$H$114*D275</f>
        <v>1972922.7494912001</v>
      </c>
      <c r="L275" s="812"/>
    </row>
    <row r="276" spans="1:13" ht="15.75" hidden="1" outlineLevel="1" thickBot="1">
      <c r="A276" s="450" t="s">
        <v>2965</v>
      </c>
      <c r="B276" s="1182" t="s">
        <v>1060</v>
      </c>
      <c r="C276" s="1182" t="s">
        <v>55</v>
      </c>
      <c r="D276" s="1207">
        <f>'Estructura de Presupuesto'!$G$115</f>
        <v>9.6069499999999994</v>
      </c>
      <c r="E276" s="1207">
        <f>APU!$F$744</f>
        <v>1.0516522868540681</v>
      </c>
      <c r="F276" s="1034">
        <f t="shared" si="60"/>
        <v>10.103170937192688</v>
      </c>
      <c r="G276" s="1184">
        <f t="shared" si="61"/>
        <v>1.262896367149086</v>
      </c>
      <c r="H276" s="1032">
        <v>3</v>
      </c>
      <c r="I276" s="1184">
        <f t="shared" si="62"/>
        <v>1</v>
      </c>
      <c r="J276" s="1086">
        <f>'Estructura de Presupuesto'!$I$114</f>
        <v>1972922.7494912001</v>
      </c>
      <c r="L276" s="812"/>
    </row>
    <row r="277" spans="1:13" ht="15.75" hidden="1" outlineLevel="1" thickBot="1">
      <c r="A277" s="450" t="s">
        <v>2966</v>
      </c>
      <c r="B277" s="1182" t="s">
        <v>1066</v>
      </c>
      <c r="C277" s="1182" t="s">
        <v>55</v>
      </c>
      <c r="D277" s="1207">
        <f>'Estructura de Presupuesto'!$G$121</f>
        <v>6.5039999999999996</v>
      </c>
      <c r="E277" s="1207">
        <f>APU!$F$744</f>
        <v>1.0516522868540681</v>
      </c>
      <c r="F277" s="1034">
        <f t="shared" si="60"/>
        <v>6.8399464736988582</v>
      </c>
      <c r="G277" s="1184">
        <f t="shared" si="61"/>
        <v>0.85499330921235728</v>
      </c>
      <c r="H277" s="1032">
        <v>3</v>
      </c>
      <c r="I277" s="1184">
        <f t="shared" si="62"/>
        <v>1</v>
      </c>
      <c r="J277" s="1087">
        <f>'Estructura de Presupuesto'!$I$121</f>
        <v>1224150.6201599999</v>
      </c>
      <c r="L277" s="812"/>
    </row>
    <row r="278" spans="1:13" ht="15.75" hidden="1" outlineLevel="1" thickBot="1">
      <c r="A278" s="450" t="s">
        <v>2967</v>
      </c>
      <c r="B278" s="1182" t="s">
        <v>1069</v>
      </c>
      <c r="C278" s="1182" t="s">
        <v>55</v>
      </c>
      <c r="D278" s="1207">
        <f>'Estructura de Presupuesto'!$G$124</f>
        <v>8.129999999999999</v>
      </c>
      <c r="E278" s="1207">
        <f>APU!$F$744</f>
        <v>1.0516522868540681</v>
      </c>
      <c r="F278" s="1034">
        <f t="shared" si="60"/>
        <v>8.5499330921235721</v>
      </c>
      <c r="G278" s="1184">
        <f t="shared" si="61"/>
        <v>1.0687416365154465</v>
      </c>
      <c r="H278" s="1032">
        <v>3</v>
      </c>
      <c r="I278" s="1184">
        <f t="shared" si="62"/>
        <v>1</v>
      </c>
      <c r="J278" s="1086">
        <f>'Estructura de Presupuesto'!$I$124</f>
        <v>1530188.2751999998</v>
      </c>
      <c r="L278"/>
    </row>
    <row r="279" spans="1:13" ht="15.75" hidden="1" outlineLevel="1" thickBot="1">
      <c r="A279" s="1937" t="s">
        <v>824</v>
      </c>
      <c r="B279" s="1938"/>
      <c r="C279" s="1938"/>
      <c r="D279" s="1938"/>
      <c r="E279" s="1938"/>
      <c r="F279" s="1938"/>
      <c r="G279" s="1938"/>
      <c r="H279" s="1938"/>
      <c r="I279" s="1938"/>
      <c r="J279" s="1240">
        <f>SUM(J280:J288)</f>
        <v>33066082.915333755</v>
      </c>
      <c r="L279"/>
    </row>
    <row r="280" spans="1:13" ht="15.75" hidden="1" outlineLevel="1" thickBot="1">
      <c r="A280" s="450" t="s">
        <v>2968</v>
      </c>
      <c r="B280" s="1182" t="s">
        <v>1281</v>
      </c>
      <c r="C280" s="1182" t="s">
        <v>285</v>
      </c>
      <c r="D280" s="1182">
        <v>2</v>
      </c>
      <c r="E280" s="1183">
        <v>1</v>
      </c>
      <c r="F280" s="1034">
        <f>D280*E280</f>
        <v>2</v>
      </c>
      <c r="G280" s="1184">
        <f t="shared" ref="G280" si="63">F280/8</f>
        <v>0.25</v>
      </c>
      <c r="H280" s="1032">
        <v>1</v>
      </c>
      <c r="I280" s="1184">
        <f t="shared" ref="I280:I286" si="64">ROUNDUP(G280/H280,0)</f>
        <v>1</v>
      </c>
      <c r="J280" s="1086">
        <f>APU!$J$578*D280</f>
        <v>1469392.3622099999</v>
      </c>
      <c r="L280" s="1408"/>
      <c r="M280" s="1395"/>
    </row>
    <row r="281" spans="1:13" ht="15.75" hidden="1" outlineLevel="1" thickBot="1">
      <c r="A281" s="450" t="s">
        <v>2969</v>
      </c>
      <c r="B281" s="1182" t="s">
        <v>1282</v>
      </c>
      <c r="C281" s="1182" t="s">
        <v>285</v>
      </c>
      <c r="D281" s="1182">
        <v>1</v>
      </c>
      <c r="E281" s="1183">
        <v>1</v>
      </c>
      <c r="F281" s="1034">
        <f t="shared" ref="F281:F288" si="65">D281*E281</f>
        <v>1</v>
      </c>
      <c r="G281" s="1184">
        <f t="shared" ref="G281:G288" si="66">F281/8</f>
        <v>0.125</v>
      </c>
      <c r="H281" s="1032">
        <v>1</v>
      </c>
      <c r="I281" s="1184">
        <f t="shared" si="64"/>
        <v>1</v>
      </c>
      <c r="J281" s="1086">
        <f>'Estructura de Presupuesto'!$H$99</f>
        <v>734696.18110499997</v>
      </c>
      <c r="L281" s="1408"/>
      <c r="M281" s="1395"/>
    </row>
    <row r="282" spans="1:13" ht="15.75" hidden="1" outlineLevel="1" thickBot="1">
      <c r="A282" s="450" t="s">
        <v>2970</v>
      </c>
      <c r="B282" s="1182" t="s">
        <v>1286</v>
      </c>
      <c r="C282" s="1182" t="s">
        <v>285</v>
      </c>
      <c r="D282" s="1182">
        <v>2</v>
      </c>
      <c r="E282" s="1183">
        <v>1</v>
      </c>
      <c r="F282" s="1034">
        <f t="shared" si="65"/>
        <v>2</v>
      </c>
      <c r="G282" s="1184">
        <f t="shared" si="66"/>
        <v>0.25</v>
      </c>
      <c r="H282" s="1032">
        <v>1</v>
      </c>
      <c r="I282" s="1184">
        <f t="shared" si="64"/>
        <v>1</v>
      </c>
      <c r="J282" s="1086">
        <f>'Estructura de Presupuesto'!H103*D282</f>
        <v>1469392.3622099999</v>
      </c>
      <c r="L282" s="812"/>
    </row>
    <row r="283" spans="1:13" ht="15.75" hidden="1" outlineLevel="1" thickBot="1">
      <c r="A283" s="450" t="s">
        <v>2971</v>
      </c>
      <c r="B283" s="1182" t="s">
        <v>1289</v>
      </c>
      <c r="C283" s="1182" t="s">
        <v>285</v>
      </c>
      <c r="D283" s="1182">
        <v>1</v>
      </c>
      <c r="E283" s="1183">
        <v>1</v>
      </c>
      <c r="F283" s="1034">
        <f t="shared" si="65"/>
        <v>1</v>
      </c>
      <c r="G283" s="1184">
        <f t="shared" si="66"/>
        <v>0.125</v>
      </c>
      <c r="H283" s="1032">
        <v>1</v>
      </c>
      <c r="I283" s="1184">
        <f t="shared" si="64"/>
        <v>1</v>
      </c>
      <c r="J283" s="1086">
        <f>APU!$J$634*D283</f>
        <v>734696.18110499997</v>
      </c>
      <c r="L283" s="812"/>
      <c r="M283" s="1395"/>
    </row>
    <row r="284" spans="1:13" ht="15.75" hidden="1" outlineLevel="1" thickBot="1">
      <c r="A284" s="450" t="s">
        <v>2972</v>
      </c>
      <c r="B284" s="1182" t="s">
        <v>1290</v>
      </c>
      <c r="C284" s="1182" t="s">
        <v>285</v>
      </c>
      <c r="D284" s="1182">
        <v>1</v>
      </c>
      <c r="E284" s="1183">
        <v>1</v>
      </c>
      <c r="F284" s="1034">
        <f t="shared" si="65"/>
        <v>1</v>
      </c>
      <c r="G284" s="1184">
        <f t="shared" si="66"/>
        <v>0.125</v>
      </c>
      <c r="H284" s="1032">
        <v>1</v>
      </c>
      <c r="I284" s="1184">
        <f t="shared" si="64"/>
        <v>1</v>
      </c>
      <c r="J284" s="1086">
        <f>'Estructura de Presupuesto'!$H$107</f>
        <v>734696.18110499997</v>
      </c>
      <c r="L284" s="812"/>
      <c r="M284" s="1395"/>
    </row>
    <row r="285" spans="1:13" ht="15.75" hidden="1" outlineLevel="1" thickBot="1">
      <c r="A285" s="450" t="s">
        <v>2973</v>
      </c>
      <c r="B285" s="1182" t="s">
        <v>1291</v>
      </c>
      <c r="C285" s="1182" t="s">
        <v>285</v>
      </c>
      <c r="D285" s="1182">
        <v>1</v>
      </c>
      <c r="E285" s="1183">
        <v>1</v>
      </c>
      <c r="F285" s="1034">
        <f t="shared" si="65"/>
        <v>1</v>
      </c>
      <c r="G285" s="1184">
        <f t="shared" si="66"/>
        <v>0.125</v>
      </c>
      <c r="H285" s="1032">
        <v>1</v>
      </c>
      <c r="I285" s="1184">
        <f t="shared" si="64"/>
        <v>1</v>
      </c>
      <c r="J285" s="1086">
        <f>'Estructura de Presupuesto'!$H$108</f>
        <v>734696.18110499997</v>
      </c>
      <c r="L285" s="812"/>
    </row>
    <row r="286" spans="1:13" ht="15.75" hidden="1" outlineLevel="1" thickBot="1">
      <c r="A286" s="450" t="s">
        <v>2974</v>
      </c>
      <c r="B286" s="497" t="s">
        <v>1354</v>
      </c>
      <c r="C286" s="497" t="s">
        <v>345</v>
      </c>
      <c r="D286" s="497">
        <f>'10. Perfilería de metal'!$N$15</f>
        <v>48.886339827602704</v>
      </c>
      <c r="E286" s="1183">
        <v>1</v>
      </c>
      <c r="F286" s="987">
        <f t="shared" si="65"/>
        <v>48.886339827602704</v>
      </c>
      <c r="G286" s="1157">
        <f t="shared" si="66"/>
        <v>6.110792478450338</v>
      </c>
      <c r="H286" s="968">
        <v>3</v>
      </c>
      <c r="I286" s="1157">
        <f t="shared" si="64"/>
        <v>3</v>
      </c>
      <c r="J286" s="1087">
        <f>APU!$J$662*D286</f>
        <v>9188513.4664937556</v>
      </c>
      <c r="L286"/>
    </row>
    <row r="287" spans="1:13" ht="15.75" hidden="1" outlineLevel="1" thickBot="1">
      <c r="A287" s="450" t="s">
        <v>2975</v>
      </c>
      <c r="B287" s="1396" t="s">
        <v>3599</v>
      </c>
      <c r="C287" s="1396" t="s">
        <v>285</v>
      </c>
      <c r="D287" s="1396">
        <v>2</v>
      </c>
      <c r="E287" s="1396">
        <v>1</v>
      </c>
      <c r="F287" s="987">
        <f t="shared" si="65"/>
        <v>2</v>
      </c>
      <c r="G287" s="1157">
        <f t="shared" si="66"/>
        <v>0.25</v>
      </c>
      <c r="H287" s="968">
        <v>1</v>
      </c>
      <c r="I287" s="1157">
        <v>5</v>
      </c>
      <c r="J287" s="1087">
        <f>+D287*4500000</f>
        <v>9000000</v>
      </c>
      <c r="L287"/>
    </row>
    <row r="288" spans="1:13" ht="15.75" hidden="1" outlineLevel="1" thickBot="1">
      <c r="A288" s="1404" t="s">
        <v>2976</v>
      </c>
      <c r="B288" s="1405" t="s">
        <v>3289</v>
      </c>
      <c r="C288" s="1405" t="s">
        <v>285</v>
      </c>
      <c r="D288" s="1405">
        <v>2</v>
      </c>
      <c r="E288" s="1405">
        <v>1</v>
      </c>
      <c r="F288" s="1406">
        <f t="shared" si="65"/>
        <v>2</v>
      </c>
      <c r="G288" s="1407">
        <f t="shared" si="66"/>
        <v>0.25</v>
      </c>
      <c r="H288" s="983">
        <v>1</v>
      </c>
      <c r="I288" s="1407">
        <v>5</v>
      </c>
      <c r="J288" s="1088">
        <f>+D288*4500000</f>
        <v>9000000</v>
      </c>
      <c r="L288" s="1408"/>
    </row>
    <row r="289" spans="1:13" ht="15.75" hidden="1" outlineLevel="1" thickBot="1">
      <c r="A289" s="1937" t="s">
        <v>2255</v>
      </c>
      <c r="B289" s="1938"/>
      <c r="C289" s="1938"/>
      <c r="D289" s="1938"/>
      <c r="E289" s="1938"/>
      <c r="F289" s="1938"/>
      <c r="G289" s="1938"/>
      <c r="H289" s="1938"/>
      <c r="I289" s="1938"/>
      <c r="J289" s="1240">
        <f>SUM(J290:J304)</f>
        <v>61074667.742020749</v>
      </c>
      <c r="L289" s="1408"/>
    </row>
    <row r="290" spans="1:13" ht="15.75" hidden="1" outlineLevel="1" thickBot="1">
      <c r="A290" s="450" t="s">
        <v>2975</v>
      </c>
      <c r="B290" s="1182" t="s">
        <v>1281</v>
      </c>
      <c r="C290" s="1182" t="s">
        <v>285</v>
      </c>
      <c r="D290" s="1182">
        <v>2</v>
      </c>
      <c r="E290" s="1183">
        <v>1</v>
      </c>
      <c r="F290" s="1034">
        <f>D290*E290</f>
        <v>2</v>
      </c>
      <c r="G290" s="1184">
        <f t="shared" ref="G290:G314" si="67">F290/8</f>
        <v>0.25</v>
      </c>
      <c r="H290" s="1032">
        <v>1</v>
      </c>
      <c r="I290" s="1184">
        <f t="shared" ref="I290:I302" si="68">ROUNDUP(G290/H290,0)</f>
        <v>1</v>
      </c>
      <c r="J290" s="1086">
        <f>APU!$J$578*D290</f>
        <v>1469392.3622099999</v>
      </c>
      <c r="L290" s="812"/>
      <c r="M290" s="1395"/>
    </row>
    <row r="291" spans="1:13" ht="15.75" hidden="1" outlineLevel="1" thickBot="1">
      <c r="A291" s="450" t="s">
        <v>2976</v>
      </c>
      <c r="B291" s="1182" t="s">
        <v>1283</v>
      </c>
      <c r="C291" s="1182" t="s">
        <v>285</v>
      </c>
      <c r="D291" s="1182">
        <v>1</v>
      </c>
      <c r="E291" s="1183">
        <v>1</v>
      </c>
      <c r="F291" s="1034">
        <f t="shared" ref="F291:F304" si="69">D291*E291</f>
        <v>1</v>
      </c>
      <c r="G291" s="1184">
        <f t="shared" si="67"/>
        <v>0.125</v>
      </c>
      <c r="H291" s="1032">
        <v>1</v>
      </c>
      <c r="I291" s="1184">
        <f t="shared" si="68"/>
        <v>1</v>
      </c>
      <c r="J291" s="1086">
        <f>APU!$J$599</f>
        <v>734696.18110499997</v>
      </c>
      <c r="L291" s="812"/>
      <c r="M291" s="1395"/>
    </row>
    <row r="292" spans="1:13" ht="15.75" hidden="1" outlineLevel="1" thickBot="1">
      <c r="A292" s="450" t="s">
        <v>2977</v>
      </c>
      <c r="B292" s="1182" t="s">
        <v>1285</v>
      </c>
      <c r="C292" s="1182" t="s">
        <v>285</v>
      </c>
      <c r="D292" s="1182">
        <v>1</v>
      </c>
      <c r="E292" s="1183">
        <v>1</v>
      </c>
      <c r="F292" s="1034">
        <f t="shared" si="69"/>
        <v>1</v>
      </c>
      <c r="G292" s="1184">
        <f t="shared" si="67"/>
        <v>0.125</v>
      </c>
      <c r="H292" s="1032">
        <v>1</v>
      </c>
      <c r="I292" s="1184">
        <f t="shared" si="68"/>
        <v>1</v>
      </c>
      <c r="J292" s="1086">
        <f>APU!$J$606*D292</f>
        <v>734696.18110499997</v>
      </c>
      <c r="L292" s="812"/>
      <c r="M292" s="1395"/>
    </row>
    <row r="293" spans="1:13" ht="15.75" hidden="1" outlineLevel="1" thickBot="1">
      <c r="A293" s="450" t="s">
        <v>2978</v>
      </c>
      <c r="B293" s="1182" t="s">
        <v>1289</v>
      </c>
      <c r="C293" s="1182" t="s">
        <v>285</v>
      </c>
      <c r="D293" s="1182">
        <v>1</v>
      </c>
      <c r="E293" s="1183">
        <v>1</v>
      </c>
      <c r="F293" s="1034">
        <f t="shared" si="69"/>
        <v>1</v>
      </c>
      <c r="G293" s="1184">
        <f t="shared" si="67"/>
        <v>0.125</v>
      </c>
      <c r="H293" s="1032">
        <v>1</v>
      </c>
      <c r="I293" s="1184">
        <f t="shared" si="68"/>
        <v>1</v>
      </c>
      <c r="J293" s="1086">
        <f>APU!$J$634*D293</f>
        <v>734696.18110499997</v>
      </c>
      <c r="L293" s="812"/>
      <c r="M293" s="1395"/>
    </row>
    <row r="294" spans="1:13" ht="15.75" hidden="1" outlineLevel="1" thickBot="1">
      <c r="A294" s="450" t="s">
        <v>2979</v>
      </c>
      <c r="B294" s="1182" t="s">
        <v>1290</v>
      </c>
      <c r="C294" s="1182" t="s">
        <v>285</v>
      </c>
      <c r="D294" s="1182">
        <v>1</v>
      </c>
      <c r="E294" s="1183">
        <v>1</v>
      </c>
      <c r="F294" s="1034">
        <f t="shared" si="69"/>
        <v>1</v>
      </c>
      <c r="G294" s="1184">
        <f t="shared" si="67"/>
        <v>0.125</v>
      </c>
      <c r="H294" s="1032">
        <v>1</v>
      </c>
      <c r="I294" s="1184">
        <f t="shared" si="68"/>
        <v>1</v>
      </c>
      <c r="J294" s="1086">
        <f>'Estructura de Presupuesto'!$H$107</f>
        <v>734696.18110499997</v>
      </c>
      <c r="L294"/>
    </row>
    <row r="295" spans="1:13" ht="15.75" hidden="1" outlineLevel="1" thickBot="1">
      <c r="A295" s="450" t="s">
        <v>2980</v>
      </c>
      <c r="B295" s="1182" t="s">
        <v>1291</v>
      </c>
      <c r="C295" s="1182" t="s">
        <v>285</v>
      </c>
      <c r="D295" s="1182">
        <v>1</v>
      </c>
      <c r="E295" s="1183">
        <v>1</v>
      </c>
      <c r="F295" s="1034">
        <f t="shared" si="69"/>
        <v>1</v>
      </c>
      <c r="G295" s="1184">
        <f t="shared" si="67"/>
        <v>0.125</v>
      </c>
      <c r="H295" s="1032">
        <v>1</v>
      </c>
      <c r="I295" s="1184">
        <f t="shared" si="68"/>
        <v>1</v>
      </c>
      <c r="J295" s="1086">
        <f>'Estructura de Presupuesto'!$H$108</f>
        <v>734696.18110499997</v>
      </c>
      <c r="L295"/>
    </row>
    <row r="296" spans="1:13" ht="15.75" hidden="1" outlineLevel="1" thickBot="1">
      <c r="A296" s="450" t="s">
        <v>2981</v>
      </c>
      <c r="B296" s="1182" t="s">
        <v>1354</v>
      </c>
      <c r="C296" s="1182" t="s">
        <v>345</v>
      </c>
      <c r="D296" s="1182">
        <f>'10. Perfilería de metal'!$N$15</f>
        <v>48.886339827602704</v>
      </c>
      <c r="E296" s="1183">
        <v>1</v>
      </c>
      <c r="F296" s="1034">
        <f t="shared" si="69"/>
        <v>48.886339827602704</v>
      </c>
      <c r="G296" s="1184">
        <f t="shared" si="67"/>
        <v>6.110792478450338</v>
      </c>
      <c r="H296" s="1032">
        <v>3</v>
      </c>
      <c r="I296" s="1184">
        <f t="shared" si="68"/>
        <v>3</v>
      </c>
      <c r="J296" s="1086">
        <f>APU!$J$662*D296</f>
        <v>9188513.4664937556</v>
      </c>
      <c r="L296" s="1408"/>
    </row>
    <row r="297" spans="1:13" ht="15.75" hidden="1" outlineLevel="1" thickBot="1">
      <c r="A297" s="450" t="s">
        <v>2982</v>
      </c>
      <c r="B297" s="1182" t="s">
        <v>1058</v>
      </c>
      <c r="C297" s="1182" t="s">
        <v>55</v>
      </c>
      <c r="D297" s="1207">
        <f>'Estructura de Presupuesto'!$G$113</f>
        <v>12.330499999999999</v>
      </c>
      <c r="E297" s="1207">
        <f>APU!$F$744</f>
        <v>1.0516522868540681</v>
      </c>
      <c r="F297" s="987">
        <f t="shared" si="69"/>
        <v>12.967398523054085</v>
      </c>
      <c r="G297" s="1157">
        <f t="shared" si="67"/>
        <v>1.6209248153817606</v>
      </c>
      <c r="H297" s="968">
        <v>3</v>
      </c>
      <c r="I297" s="1157">
        <f t="shared" si="68"/>
        <v>1</v>
      </c>
      <c r="J297" s="1087">
        <f>'Estructura de Presupuesto'!$I$113</f>
        <v>2320785.5507199997</v>
      </c>
      <c r="L297" s="1408"/>
    </row>
    <row r="298" spans="1:13" ht="15.75" hidden="1" outlineLevel="1" thickBot="1">
      <c r="A298" s="450" t="s">
        <v>2983</v>
      </c>
      <c r="B298" s="1182" t="s">
        <v>1059</v>
      </c>
      <c r="C298" s="1182" t="s">
        <v>55</v>
      </c>
      <c r="D298" s="1207">
        <f>'Estructura de Presupuesto'!$G$114</f>
        <v>10.482279999999999</v>
      </c>
      <c r="E298" s="1207">
        <f>APU!$F$744</f>
        <v>1.0516522868540681</v>
      </c>
      <c r="F298" s="987">
        <f t="shared" si="69"/>
        <v>11.02371373344466</v>
      </c>
      <c r="G298" s="1157">
        <f t="shared" si="67"/>
        <v>1.3779642166805826</v>
      </c>
      <c r="H298" s="968">
        <v>3</v>
      </c>
      <c r="I298" s="1157">
        <f t="shared" si="68"/>
        <v>1</v>
      </c>
      <c r="J298" s="1087">
        <f>'Estructura de Presupuesto'!$I$114</f>
        <v>1972922.7494912001</v>
      </c>
      <c r="L298" s="812"/>
    </row>
    <row r="299" spans="1:13" ht="15.75" hidden="1" outlineLevel="1" thickBot="1">
      <c r="A299" s="450" t="s">
        <v>2984</v>
      </c>
      <c r="B299" s="1182" t="s">
        <v>1060</v>
      </c>
      <c r="C299" s="1182" t="s">
        <v>55</v>
      </c>
      <c r="D299" s="1207">
        <f>'Estructura de Presupuesto'!$G$115</f>
        <v>9.6069499999999994</v>
      </c>
      <c r="E299" s="1207">
        <f>APU!$F$744</f>
        <v>1.0516522868540681</v>
      </c>
      <c r="F299" s="987">
        <f t="shared" si="69"/>
        <v>10.103170937192688</v>
      </c>
      <c r="G299" s="1157">
        <f t="shared" si="67"/>
        <v>1.262896367149086</v>
      </c>
      <c r="H299" s="968">
        <v>3</v>
      </c>
      <c r="I299" s="1157">
        <f t="shared" si="68"/>
        <v>1</v>
      </c>
      <c r="J299" s="1087">
        <f>'Estructura de Presupuesto'!$I$115</f>
        <v>1808172.4785279999</v>
      </c>
      <c r="L299" s="812"/>
    </row>
    <row r="300" spans="1:13" ht="15.75" hidden="1" outlineLevel="1" thickBot="1">
      <c r="A300" s="450" t="s">
        <v>2985</v>
      </c>
      <c r="B300" s="1182" t="s">
        <v>1061</v>
      </c>
      <c r="C300" s="1182" t="s">
        <v>55</v>
      </c>
      <c r="D300" s="1207">
        <f>'12. Acabados y accesorios'!$L$9</f>
        <v>18.428000000000001</v>
      </c>
      <c r="E300" s="1207">
        <f>APU!$F$744</f>
        <v>1.0516522868540681</v>
      </c>
      <c r="F300" s="987">
        <f t="shared" si="69"/>
        <v>19.379848342146769</v>
      </c>
      <c r="G300" s="1157">
        <f t="shared" si="67"/>
        <v>2.4224810427683461</v>
      </c>
      <c r="H300" s="968">
        <v>3</v>
      </c>
      <c r="I300" s="1157">
        <f t="shared" si="68"/>
        <v>1</v>
      </c>
      <c r="J300" s="1087">
        <f>'Estructura de Presupuesto'!$I$116</f>
        <v>13873707.028480001</v>
      </c>
      <c r="L300" s="812"/>
    </row>
    <row r="301" spans="1:13" ht="15.75" hidden="1" outlineLevel="1" thickBot="1">
      <c r="A301" s="450" t="s">
        <v>2986</v>
      </c>
      <c r="B301" s="1182" t="s">
        <v>1062</v>
      </c>
      <c r="C301" s="1182" t="s">
        <v>55</v>
      </c>
      <c r="D301" s="1207">
        <f>'Estructura de Presupuesto'!$G$117</f>
        <v>9.8914999999999988</v>
      </c>
      <c r="E301" s="1207">
        <f>APU!$F$744</f>
        <v>1.0516522868540681</v>
      </c>
      <c r="F301" s="987">
        <f t="shared" si="69"/>
        <v>10.402418595417013</v>
      </c>
      <c r="G301" s="1157">
        <f t="shared" si="67"/>
        <v>1.3003023244271266</v>
      </c>
      <c r="H301" s="968">
        <v>3</v>
      </c>
      <c r="I301" s="1157">
        <f t="shared" si="68"/>
        <v>1</v>
      </c>
      <c r="J301" s="1087">
        <f>'Estructura de Presupuesto'!$I$117</f>
        <v>1861729.0681599998</v>
      </c>
      <c r="L301" s="812"/>
    </row>
    <row r="302" spans="1:13" ht="15.75" hidden="1" outlineLevel="1" thickBot="1">
      <c r="A302" s="450" t="s">
        <v>2987</v>
      </c>
      <c r="B302" s="1182" t="s">
        <v>1188</v>
      </c>
      <c r="C302" s="1182" t="s">
        <v>55</v>
      </c>
      <c r="D302" s="1182">
        <f>'12. Acabados y accesorios'!$H$33</f>
        <v>36.691882499999998</v>
      </c>
      <c r="E302" s="1207">
        <f>APU!$F$744</f>
        <v>1.0516522868540681</v>
      </c>
      <c r="F302" s="1034">
        <f t="shared" si="69"/>
        <v>38.587102140105756</v>
      </c>
      <c r="G302" s="1184">
        <f t="shared" si="67"/>
        <v>4.8233877675132195</v>
      </c>
      <c r="H302" s="1032">
        <v>3</v>
      </c>
      <c r="I302" s="1184">
        <f t="shared" si="68"/>
        <v>2</v>
      </c>
      <c r="J302" s="1086">
        <f>'Estructura de Presupuesto'!$H$140*D302</f>
        <v>6905964.1324127996</v>
      </c>
      <c r="L302"/>
    </row>
    <row r="303" spans="1:13" ht="15.75" hidden="1" outlineLevel="1" thickBot="1">
      <c r="A303" s="450" t="s">
        <v>2988</v>
      </c>
      <c r="B303" s="1396" t="s">
        <v>3599</v>
      </c>
      <c r="C303" s="1396" t="s">
        <v>285</v>
      </c>
      <c r="D303" s="1396">
        <v>2</v>
      </c>
      <c r="E303" s="1396">
        <v>1</v>
      </c>
      <c r="F303" s="987">
        <f t="shared" si="69"/>
        <v>2</v>
      </c>
      <c r="G303" s="1157">
        <f t="shared" si="67"/>
        <v>0.25</v>
      </c>
      <c r="H303" s="968">
        <v>1</v>
      </c>
      <c r="I303" s="1157">
        <v>5</v>
      </c>
      <c r="J303" s="1087">
        <f>+D303*4500000</f>
        <v>9000000</v>
      </c>
      <c r="L303"/>
    </row>
    <row r="304" spans="1:13" ht="15.75" hidden="1" outlineLevel="1" thickBot="1">
      <c r="A304" s="450" t="s">
        <v>2989</v>
      </c>
      <c r="B304" s="1396" t="s">
        <v>3289</v>
      </c>
      <c r="C304" s="1396" t="s">
        <v>285</v>
      </c>
      <c r="D304" s="1396">
        <v>2</v>
      </c>
      <c r="E304" s="1396">
        <v>1</v>
      </c>
      <c r="F304" s="987">
        <f t="shared" si="69"/>
        <v>2</v>
      </c>
      <c r="G304" s="1157">
        <f t="shared" si="67"/>
        <v>0.25</v>
      </c>
      <c r="H304" s="968">
        <v>1</v>
      </c>
      <c r="I304" s="1157">
        <v>5</v>
      </c>
      <c r="J304" s="1087">
        <f>+D304*4500000</f>
        <v>9000000</v>
      </c>
      <c r="L304" s="1408"/>
    </row>
    <row r="305" spans="1:13" ht="15.75" hidden="1" outlineLevel="1" thickBot="1">
      <c r="A305" s="1937" t="s">
        <v>2258</v>
      </c>
      <c r="B305" s="1938"/>
      <c r="C305" s="1938"/>
      <c r="D305" s="1938"/>
      <c r="E305" s="1938"/>
      <c r="F305" s="1938"/>
      <c r="G305" s="1938"/>
      <c r="H305" s="1938"/>
      <c r="I305" s="1938"/>
      <c r="J305" s="1240">
        <f>SUM(J306:J324)</f>
        <v>66647435.330198556</v>
      </c>
      <c r="L305" s="1408"/>
    </row>
    <row r="306" spans="1:13" ht="15.75" hidden="1" outlineLevel="1" thickBot="1">
      <c r="A306" s="1209" t="s">
        <v>2988</v>
      </c>
      <c r="B306" s="1182" t="s">
        <v>1281</v>
      </c>
      <c r="C306" s="1182" t="s">
        <v>285</v>
      </c>
      <c r="D306" s="1182">
        <v>2</v>
      </c>
      <c r="E306" s="1183">
        <v>1</v>
      </c>
      <c r="F306" s="1034">
        <f t="shared" ref="F306:F314" si="70">D306*E306</f>
        <v>2</v>
      </c>
      <c r="G306" s="1184">
        <f t="shared" si="67"/>
        <v>0.25</v>
      </c>
      <c r="H306" s="1032">
        <v>1</v>
      </c>
      <c r="I306" s="1184">
        <f t="shared" ref="I306:I314" si="71">ROUNDUP(G306/H306,0)</f>
        <v>1</v>
      </c>
      <c r="J306" s="1086">
        <f>APU!$J$578*D306</f>
        <v>1469392.3622099999</v>
      </c>
      <c r="L306" s="812"/>
      <c r="M306" s="1395"/>
    </row>
    <row r="307" spans="1:13" ht="15.75" hidden="1" outlineLevel="1" thickBot="1">
      <c r="A307" s="1209" t="s">
        <v>2989</v>
      </c>
      <c r="B307" s="1182" t="s">
        <v>1283</v>
      </c>
      <c r="C307" s="1182" t="s">
        <v>285</v>
      </c>
      <c r="D307" s="1182">
        <v>1</v>
      </c>
      <c r="E307" s="1183">
        <v>1</v>
      </c>
      <c r="F307" s="1034">
        <f t="shared" si="70"/>
        <v>1</v>
      </c>
      <c r="G307" s="1184">
        <f t="shared" si="67"/>
        <v>0.125</v>
      </c>
      <c r="H307" s="1032">
        <v>1</v>
      </c>
      <c r="I307" s="1184">
        <f t="shared" si="71"/>
        <v>1</v>
      </c>
      <c r="J307" s="1086">
        <f>APU!$J$599</f>
        <v>734696.18110499997</v>
      </c>
      <c r="L307" s="812"/>
      <c r="M307" s="1395"/>
    </row>
    <row r="308" spans="1:13" ht="15.75" hidden="1" outlineLevel="1" thickBot="1">
      <c r="A308" s="1209" t="s">
        <v>2990</v>
      </c>
      <c r="B308" s="1182" t="s">
        <v>1285</v>
      </c>
      <c r="C308" s="1182" t="s">
        <v>285</v>
      </c>
      <c r="D308" s="1182">
        <v>1</v>
      </c>
      <c r="E308" s="1183">
        <v>1</v>
      </c>
      <c r="F308" s="1034">
        <f t="shared" si="70"/>
        <v>1</v>
      </c>
      <c r="G308" s="1184">
        <f t="shared" si="67"/>
        <v>0.125</v>
      </c>
      <c r="H308" s="1032">
        <v>1</v>
      </c>
      <c r="I308" s="1184">
        <f t="shared" si="71"/>
        <v>1</v>
      </c>
      <c r="J308" s="1086">
        <f>APU!$J$606*D308</f>
        <v>734696.18110499997</v>
      </c>
      <c r="L308" s="812"/>
      <c r="M308" s="1395"/>
    </row>
    <row r="309" spans="1:13" ht="15.75" hidden="1" outlineLevel="1" thickBot="1">
      <c r="A309" s="1209" t="s">
        <v>2991</v>
      </c>
      <c r="B309" s="1182" t="s">
        <v>1289</v>
      </c>
      <c r="C309" s="1182" t="s">
        <v>285</v>
      </c>
      <c r="D309" s="1182">
        <v>1</v>
      </c>
      <c r="E309" s="1183">
        <v>1</v>
      </c>
      <c r="F309" s="1034">
        <f t="shared" si="70"/>
        <v>1</v>
      </c>
      <c r="G309" s="1184">
        <f t="shared" si="67"/>
        <v>0.125</v>
      </c>
      <c r="H309" s="1032">
        <v>1</v>
      </c>
      <c r="I309" s="1184">
        <f t="shared" si="71"/>
        <v>1</v>
      </c>
      <c r="J309" s="1086">
        <f>APU!$J$634*D309</f>
        <v>734696.18110499997</v>
      </c>
      <c r="L309" s="812"/>
      <c r="M309" s="1395"/>
    </row>
    <row r="310" spans="1:13" ht="15.75" hidden="1" outlineLevel="1" thickBot="1">
      <c r="A310" s="1209" t="s">
        <v>2992</v>
      </c>
      <c r="B310" s="1182" t="s">
        <v>1290</v>
      </c>
      <c r="C310" s="1182" t="s">
        <v>285</v>
      </c>
      <c r="D310" s="1182">
        <v>1</v>
      </c>
      <c r="E310" s="1183">
        <v>1</v>
      </c>
      <c r="F310" s="1034">
        <f t="shared" si="70"/>
        <v>1</v>
      </c>
      <c r="G310" s="1184">
        <f t="shared" si="67"/>
        <v>0.125</v>
      </c>
      <c r="H310" s="1032">
        <v>1</v>
      </c>
      <c r="I310" s="1184">
        <f t="shared" si="71"/>
        <v>1</v>
      </c>
      <c r="J310" s="1086">
        <f>'Estructura de Presupuesto'!$H$107</f>
        <v>734696.18110499997</v>
      </c>
      <c r="L310"/>
    </row>
    <row r="311" spans="1:13" ht="15.75" hidden="1" outlineLevel="1" thickBot="1">
      <c r="A311" s="1209" t="s">
        <v>2993</v>
      </c>
      <c r="B311" s="1182" t="s">
        <v>1291</v>
      </c>
      <c r="C311" s="1182" t="s">
        <v>285</v>
      </c>
      <c r="D311" s="1182">
        <v>1</v>
      </c>
      <c r="E311" s="1183">
        <v>1</v>
      </c>
      <c r="F311" s="1034">
        <f t="shared" si="70"/>
        <v>1</v>
      </c>
      <c r="G311" s="1184">
        <f t="shared" si="67"/>
        <v>0.125</v>
      </c>
      <c r="H311" s="1032">
        <v>1</v>
      </c>
      <c r="I311" s="1184">
        <f t="shared" si="71"/>
        <v>1</v>
      </c>
      <c r="J311" s="1086">
        <f>'Estructura de Presupuesto'!$H$108</f>
        <v>734696.18110499997</v>
      </c>
      <c r="L311"/>
    </row>
    <row r="312" spans="1:13" ht="15.75" hidden="1" outlineLevel="1" thickBot="1">
      <c r="A312" s="1209" t="s">
        <v>2994</v>
      </c>
      <c r="B312" s="1182" t="s">
        <v>1354</v>
      </c>
      <c r="C312" s="1182" t="s">
        <v>345</v>
      </c>
      <c r="D312" s="1182">
        <f>'10. Perfilería de metal'!$N$15</f>
        <v>48.886339827602704</v>
      </c>
      <c r="E312" s="1183">
        <v>1</v>
      </c>
      <c r="F312" s="1034">
        <f t="shared" si="70"/>
        <v>48.886339827602704</v>
      </c>
      <c r="G312" s="1184">
        <f t="shared" si="67"/>
        <v>6.110792478450338</v>
      </c>
      <c r="H312" s="1032">
        <v>3</v>
      </c>
      <c r="I312" s="1184">
        <f t="shared" si="71"/>
        <v>3</v>
      </c>
      <c r="J312" s="1086">
        <f>APU!$J$662*D312</f>
        <v>9188513.4664937556</v>
      </c>
      <c r="L312" s="1408"/>
    </row>
    <row r="313" spans="1:13" ht="15.75" hidden="1" outlineLevel="1" thickBot="1">
      <c r="A313" s="1209" t="s">
        <v>2995</v>
      </c>
      <c r="B313" s="1182" t="s">
        <v>1287</v>
      </c>
      <c r="C313" s="1182" t="s">
        <v>285</v>
      </c>
      <c r="D313" s="1182">
        <v>1</v>
      </c>
      <c r="E313" s="1183">
        <v>1</v>
      </c>
      <c r="F313" s="1034">
        <f t="shared" si="70"/>
        <v>1</v>
      </c>
      <c r="G313" s="1184">
        <f t="shared" si="67"/>
        <v>0.125</v>
      </c>
      <c r="H313" s="1032">
        <v>3</v>
      </c>
      <c r="I313" s="1184">
        <f t="shared" si="71"/>
        <v>1</v>
      </c>
      <c r="J313" s="1086">
        <f>'Estructura de Presupuesto'!$I$104</f>
        <v>734696.18110499997</v>
      </c>
      <c r="L313" s="1408"/>
    </row>
    <row r="314" spans="1:13" ht="15.75" hidden="1" outlineLevel="1" thickBot="1">
      <c r="A314" s="1209" t="s">
        <v>2996</v>
      </c>
      <c r="B314" s="1182" t="s">
        <v>1288</v>
      </c>
      <c r="C314" s="1182" t="s">
        <v>285</v>
      </c>
      <c r="D314" s="1182">
        <v>1</v>
      </c>
      <c r="E314" s="1183">
        <v>1</v>
      </c>
      <c r="F314" s="1034">
        <f t="shared" si="70"/>
        <v>1</v>
      </c>
      <c r="G314" s="1184">
        <f t="shared" si="67"/>
        <v>0.125</v>
      </c>
      <c r="H314" s="1032">
        <v>3</v>
      </c>
      <c r="I314" s="1184">
        <f t="shared" si="71"/>
        <v>1</v>
      </c>
      <c r="J314" s="1086">
        <f>'Estructura de Presupuesto'!$I$105</f>
        <v>734696.18110499997</v>
      </c>
      <c r="L314" s="812"/>
    </row>
    <row r="315" spans="1:13" ht="15.75" hidden="1" outlineLevel="1" thickBot="1">
      <c r="A315" s="1209" t="s">
        <v>2997</v>
      </c>
      <c r="B315" s="1182" t="s">
        <v>1072</v>
      </c>
      <c r="C315" s="1182" t="s">
        <v>55</v>
      </c>
      <c r="D315" s="1182">
        <f>'12. Acabados y accesorios'!$L$20</f>
        <v>5.5284000000000004</v>
      </c>
      <c r="E315" s="1207">
        <f>APU!$F$744</f>
        <v>1.0516522868540681</v>
      </c>
      <c r="F315" s="1034">
        <f t="shared" ref="F315:F321" si="72">D315*E315</f>
        <v>5.8139545026440302</v>
      </c>
      <c r="G315" s="1184">
        <f t="shared" ref="G315:G321" si="73">F315/8</f>
        <v>0.72674431283050378</v>
      </c>
      <c r="H315" s="1032">
        <v>3</v>
      </c>
      <c r="I315" s="1184">
        <f t="shared" ref="I315:I321" si="74">ROUNDUP(G315/H315,0)</f>
        <v>1</v>
      </c>
      <c r="J315" s="1086">
        <f>'Estructura de Presupuesto'!$H$127*D296</f>
        <v>4874703.3313629963</v>
      </c>
      <c r="L315" s="812"/>
    </row>
    <row r="316" spans="1:13" ht="15.75" hidden="1" outlineLevel="1" thickBot="1">
      <c r="A316" s="1209" t="s">
        <v>2998</v>
      </c>
      <c r="B316" s="1182" t="s">
        <v>1073</v>
      </c>
      <c r="C316" s="1182" t="s">
        <v>55</v>
      </c>
      <c r="D316" s="1182">
        <f>'12. Acabados y accesorios'!$L$21</f>
        <v>19.349399999999999</v>
      </c>
      <c r="E316" s="1207">
        <f>APU!$F$744</f>
        <v>1.0516522868540681</v>
      </c>
      <c r="F316" s="1034">
        <f t="shared" si="72"/>
        <v>20.348840759254106</v>
      </c>
      <c r="G316" s="1184">
        <f t="shared" si="73"/>
        <v>2.5436050949067632</v>
      </c>
      <c r="H316" s="1032">
        <v>3</v>
      </c>
      <c r="I316" s="1184">
        <f t="shared" si="74"/>
        <v>1</v>
      </c>
      <c r="J316" s="1086">
        <f>'Estructura de Presupuesto'!$H$128*D315</f>
        <v>551264.62713599997</v>
      </c>
      <c r="L316" s="812"/>
    </row>
    <row r="317" spans="1:13" ht="15.75" hidden="1" outlineLevel="1" thickBot="1">
      <c r="A317" s="1209" t="s">
        <v>2999</v>
      </c>
      <c r="B317" s="1182" t="s">
        <v>1074</v>
      </c>
      <c r="C317" s="1182" t="s">
        <v>55</v>
      </c>
      <c r="D317" s="1182">
        <f>'12. Acabados y accesorios'!$L$22</f>
        <v>8.3196999999999992</v>
      </c>
      <c r="E317" s="1207">
        <f>APU!$F$744</f>
        <v>1.0516522868540681</v>
      </c>
      <c r="F317" s="1034">
        <f t="shared" si="72"/>
        <v>8.7494315309397894</v>
      </c>
      <c r="G317" s="1184">
        <f t="shared" si="73"/>
        <v>1.0936789413674737</v>
      </c>
      <c r="H317" s="1032">
        <v>3</v>
      </c>
      <c r="I317" s="1184">
        <f t="shared" si="74"/>
        <v>1</v>
      </c>
      <c r="J317" s="1086">
        <f>'Estructura de Presupuesto'!$H$129*D316</f>
        <v>3641848.094976</v>
      </c>
      <c r="L317" s="812"/>
    </row>
    <row r="318" spans="1:13" ht="15.75" hidden="1" outlineLevel="1" thickBot="1">
      <c r="A318" s="1209" t="s">
        <v>3000</v>
      </c>
      <c r="B318" s="1182" t="s">
        <v>1075</v>
      </c>
      <c r="C318" s="1182" t="s">
        <v>55</v>
      </c>
      <c r="D318" s="1182">
        <f>'12. Acabados y accesorios'!$L$23</f>
        <v>27.018700000000003</v>
      </c>
      <c r="E318" s="1207">
        <f>APU!$F$744</f>
        <v>1.0516522868540681</v>
      </c>
      <c r="F318" s="1034">
        <f t="shared" si="72"/>
        <v>28.414277642824011</v>
      </c>
      <c r="G318" s="1184">
        <f t="shared" si="73"/>
        <v>3.5517847053530014</v>
      </c>
      <c r="H318" s="1032">
        <v>3</v>
      </c>
      <c r="I318" s="1184">
        <f t="shared" si="74"/>
        <v>2</v>
      </c>
      <c r="J318" s="1086">
        <f>'Estructura de Presupuesto'!$H$130*D317</f>
        <v>1565892.6682879999</v>
      </c>
      <c r="L318"/>
    </row>
    <row r="319" spans="1:13" ht="15.75" hidden="1" outlineLevel="1" thickBot="1">
      <c r="A319" s="1209" t="s">
        <v>3001</v>
      </c>
      <c r="B319" s="1182" t="s">
        <v>1076</v>
      </c>
      <c r="C319" s="1182" t="s">
        <v>55</v>
      </c>
      <c r="D319" s="1182">
        <f>'12. Acabados y accesorios'!$L$24</f>
        <v>43.603899999999996</v>
      </c>
      <c r="E319" s="1207">
        <f>APU!$F$744</f>
        <v>1.0516522868540681</v>
      </c>
      <c r="F319" s="1034">
        <f t="shared" si="72"/>
        <v>45.856141150756095</v>
      </c>
      <c r="G319" s="1184">
        <f t="shared" si="73"/>
        <v>5.7320176438445118</v>
      </c>
      <c r="H319" s="1032">
        <v>3</v>
      </c>
      <c r="I319" s="1184">
        <f t="shared" si="74"/>
        <v>2</v>
      </c>
      <c r="J319" s="1086">
        <f>'Estructura de Presupuesto'!$H$131*D318</f>
        <v>5085325.7012480004</v>
      </c>
      <c r="L319"/>
    </row>
    <row r="320" spans="1:13" ht="15.75" hidden="1" outlineLevel="1" thickBot="1">
      <c r="A320" s="1209" t="s">
        <v>3002</v>
      </c>
      <c r="B320" s="1182" t="s">
        <v>1077</v>
      </c>
      <c r="C320" s="1182" t="s">
        <v>55</v>
      </c>
      <c r="D320" s="1182">
        <f>'12. Acabados y accesorios'!$L$25</f>
        <v>10.704499999999999</v>
      </c>
      <c r="E320" s="1207">
        <f>APU!$F$744</f>
        <v>1.0516522868540681</v>
      </c>
      <c r="F320" s="1034">
        <f t="shared" si="72"/>
        <v>11.257411904629372</v>
      </c>
      <c r="G320" s="1184">
        <f t="shared" si="73"/>
        <v>1.4071764880786715</v>
      </c>
      <c r="H320" s="1032">
        <v>3</v>
      </c>
      <c r="I320" s="1184">
        <f t="shared" si="74"/>
        <v>1</v>
      </c>
      <c r="J320" s="1086">
        <f>'Estructura de Presupuesto'!$H$132*D319</f>
        <v>8206909.782656</v>
      </c>
      <c r="L320" s="1408"/>
    </row>
    <row r="321" spans="1:13" ht="15.75" hidden="1" outlineLevel="1" thickBot="1">
      <c r="A321" s="1209" t="s">
        <v>3003</v>
      </c>
      <c r="B321" s="1182" t="s">
        <v>1078</v>
      </c>
      <c r="C321" s="1182" t="s">
        <v>55</v>
      </c>
      <c r="D321" s="1182">
        <f>'12. Acabados y accesorios'!$L$26</f>
        <v>12.3034</v>
      </c>
      <c r="E321" s="1207">
        <f>APU!$F$744</f>
        <v>1.0516522868540681</v>
      </c>
      <c r="F321" s="1034">
        <f t="shared" si="72"/>
        <v>12.938898746080341</v>
      </c>
      <c r="G321" s="1184">
        <f t="shared" si="73"/>
        <v>1.6173623432600426</v>
      </c>
      <c r="H321" s="1032">
        <v>3</v>
      </c>
      <c r="I321" s="1184">
        <f t="shared" si="74"/>
        <v>1</v>
      </c>
      <c r="J321" s="1086">
        <f>'Estructura de Presupuesto'!$H$133*D320</f>
        <v>2014747.8956800001</v>
      </c>
      <c r="L321" s="1408"/>
    </row>
    <row r="322" spans="1:13" ht="15.75" hidden="1" outlineLevel="1" thickBot="1">
      <c r="A322" s="1209" t="s">
        <v>3004</v>
      </c>
      <c r="B322" s="1182" t="s">
        <v>1188</v>
      </c>
      <c r="C322" s="1182" t="s">
        <v>55</v>
      </c>
      <c r="D322" s="1182">
        <f>'12. Acabados y accesorios'!$H$33</f>
        <v>36.691882499999998</v>
      </c>
      <c r="E322" s="1207">
        <f>APU!$F$744</f>
        <v>1.0516522868540681</v>
      </c>
      <c r="F322" s="1034">
        <f>D322*E322</f>
        <v>38.587102140105756</v>
      </c>
      <c r="G322" s="1184">
        <f>F322/8</f>
        <v>4.8233877675132195</v>
      </c>
      <c r="H322" s="1032">
        <v>3</v>
      </c>
      <c r="I322" s="1184">
        <f>ROUNDUP(G322/H322,0)</f>
        <v>2</v>
      </c>
      <c r="J322" s="1086">
        <f>'Estructura de Presupuesto'!$H$140*D322</f>
        <v>6905964.1324127996</v>
      </c>
      <c r="L322" s="812"/>
    </row>
    <row r="323" spans="1:13" ht="15.75" hidden="1" outlineLevel="1" thickBot="1">
      <c r="A323" s="1209" t="s">
        <v>3005</v>
      </c>
      <c r="B323" s="1396" t="s">
        <v>3599</v>
      </c>
      <c r="C323" s="1396" t="s">
        <v>285</v>
      </c>
      <c r="D323" s="1396">
        <v>2</v>
      </c>
      <c r="E323" s="1396">
        <v>1</v>
      </c>
      <c r="F323" s="987">
        <f t="shared" ref="F323:F324" si="75">D323*E323</f>
        <v>2</v>
      </c>
      <c r="G323" s="1157">
        <f t="shared" ref="G323:G324" si="76">F323/8</f>
        <v>0.25</v>
      </c>
      <c r="H323" s="968">
        <v>1</v>
      </c>
      <c r="I323" s="1157">
        <v>5</v>
      </c>
      <c r="J323" s="1087">
        <f>+D323*4500000</f>
        <v>9000000</v>
      </c>
      <c r="L323" s="812"/>
    </row>
    <row r="324" spans="1:13" ht="15.75" hidden="1" outlineLevel="1" thickBot="1">
      <c r="A324" s="1209" t="s">
        <v>3006</v>
      </c>
      <c r="B324" s="1396" t="s">
        <v>3289</v>
      </c>
      <c r="C324" s="1396" t="s">
        <v>285</v>
      </c>
      <c r="D324" s="1396">
        <v>2</v>
      </c>
      <c r="E324" s="1396">
        <v>1</v>
      </c>
      <c r="F324" s="987">
        <f t="shared" si="75"/>
        <v>2</v>
      </c>
      <c r="G324" s="1157">
        <f t="shared" si="76"/>
        <v>0.25</v>
      </c>
      <c r="H324" s="968">
        <v>1</v>
      </c>
      <c r="I324" s="1157">
        <v>5</v>
      </c>
      <c r="J324" s="1087">
        <f>+D324*4500000</f>
        <v>9000000</v>
      </c>
      <c r="L324" s="812"/>
    </row>
    <row r="325" spans="1:13" ht="15.75" hidden="1" outlineLevel="1" thickBot="1">
      <c r="A325" s="1937" t="s">
        <v>2261</v>
      </c>
      <c r="B325" s="1938"/>
      <c r="C325" s="1938"/>
      <c r="D325" s="1938"/>
      <c r="E325" s="1938"/>
      <c r="F325" s="1938"/>
      <c r="G325" s="1938"/>
      <c r="H325" s="1938"/>
      <c r="I325" s="1938"/>
      <c r="J325" s="1240">
        <f>SUM(J326:J344)</f>
        <v>63702158.193811558</v>
      </c>
      <c r="L325" s="812"/>
    </row>
    <row r="326" spans="1:13" ht="15.75" hidden="1" outlineLevel="1" thickBot="1">
      <c r="A326" s="450" t="s">
        <v>3005</v>
      </c>
      <c r="B326" s="1182" t="s">
        <v>1281</v>
      </c>
      <c r="C326" s="1182" t="s">
        <v>285</v>
      </c>
      <c r="D326" s="1182">
        <v>2</v>
      </c>
      <c r="E326" s="1183">
        <v>1</v>
      </c>
      <c r="F326" s="1034">
        <f t="shared" ref="F326:F334" si="77">D326*E326</f>
        <v>2</v>
      </c>
      <c r="G326" s="1184">
        <f t="shared" ref="G326:G334" si="78">F326/8</f>
        <v>0.25</v>
      </c>
      <c r="H326" s="1032">
        <v>1</v>
      </c>
      <c r="I326" s="1184">
        <f t="shared" ref="I326:I334" si="79">ROUNDUP(G326/H326,0)</f>
        <v>1</v>
      </c>
      <c r="J326" s="1086">
        <f>APU!$J$578*D326</f>
        <v>1469392.3622099999</v>
      </c>
      <c r="L326"/>
      <c r="M326" s="1395"/>
    </row>
    <row r="327" spans="1:13" ht="15.75" hidden="1" outlineLevel="1" thickBot="1">
      <c r="A327" s="450" t="s">
        <v>3006</v>
      </c>
      <c r="B327" s="1182" t="s">
        <v>1283</v>
      </c>
      <c r="C327" s="1182" t="s">
        <v>285</v>
      </c>
      <c r="D327" s="1182">
        <v>1</v>
      </c>
      <c r="E327" s="1183">
        <v>1</v>
      </c>
      <c r="F327" s="1034">
        <f t="shared" si="77"/>
        <v>1</v>
      </c>
      <c r="G327" s="1184">
        <f t="shared" si="78"/>
        <v>0.125</v>
      </c>
      <c r="H327" s="1032">
        <v>1</v>
      </c>
      <c r="I327" s="1184">
        <f t="shared" si="79"/>
        <v>1</v>
      </c>
      <c r="J327" s="1086">
        <f>APU!$J$599</f>
        <v>734696.18110499997</v>
      </c>
      <c r="L327"/>
      <c r="M327" s="1395"/>
    </row>
    <row r="328" spans="1:13" ht="15.75" hidden="1" outlineLevel="1" thickBot="1">
      <c r="A328" s="450" t="s">
        <v>3007</v>
      </c>
      <c r="B328" s="1182" t="s">
        <v>1285</v>
      </c>
      <c r="C328" s="1182" t="s">
        <v>285</v>
      </c>
      <c r="D328" s="1182">
        <v>1</v>
      </c>
      <c r="E328" s="1183">
        <v>1</v>
      </c>
      <c r="F328" s="1034">
        <f t="shared" si="77"/>
        <v>1</v>
      </c>
      <c r="G328" s="1184">
        <f t="shared" si="78"/>
        <v>0.125</v>
      </c>
      <c r="H328" s="1032">
        <v>1</v>
      </c>
      <c r="I328" s="1184">
        <f t="shared" si="79"/>
        <v>1</v>
      </c>
      <c r="J328" s="1086">
        <f>APU!$J$606*D328</f>
        <v>734696.18110499997</v>
      </c>
      <c r="L328" s="1408"/>
      <c r="M328" s="1395"/>
    </row>
    <row r="329" spans="1:13" ht="15.75" hidden="1" outlineLevel="1" thickBot="1">
      <c r="A329" s="450" t="s">
        <v>3008</v>
      </c>
      <c r="B329" s="1182" t="s">
        <v>1289</v>
      </c>
      <c r="C329" s="1182" t="s">
        <v>285</v>
      </c>
      <c r="D329" s="1182">
        <v>1</v>
      </c>
      <c r="E329" s="1183">
        <v>1</v>
      </c>
      <c r="F329" s="1034">
        <f t="shared" si="77"/>
        <v>1</v>
      </c>
      <c r="G329" s="1184">
        <f t="shared" si="78"/>
        <v>0.125</v>
      </c>
      <c r="H329" s="1032">
        <v>1</v>
      </c>
      <c r="I329" s="1184">
        <f t="shared" si="79"/>
        <v>1</v>
      </c>
      <c r="J329" s="1086">
        <f>APU!$J$634*D329</f>
        <v>734696.18110499997</v>
      </c>
      <c r="L329" s="1408"/>
      <c r="M329" s="1395"/>
    </row>
    <row r="330" spans="1:13" ht="15.75" hidden="1" outlineLevel="1" thickBot="1">
      <c r="A330" s="450" t="s">
        <v>3009</v>
      </c>
      <c r="B330" s="1182" t="s">
        <v>1290</v>
      </c>
      <c r="C330" s="1182" t="s">
        <v>285</v>
      </c>
      <c r="D330" s="1182">
        <v>1</v>
      </c>
      <c r="E330" s="1183">
        <v>1</v>
      </c>
      <c r="F330" s="1034">
        <f t="shared" si="77"/>
        <v>1</v>
      </c>
      <c r="G330" s="1184">
        <f t="shared" si="78"/>
        <v>0.125</v>
      </c>
      <c r="H330" s="1032">
        <v>1</v>
      </c>
      <c r="I330" s="1184">
        <f t="shared" si="79"/>
        <v>1</v>
      </c>
      <c r="J330" s="1086">
        <f>'Estructura de Presupuesto'!$H$107</f>
        <v>734696.18110499997</v>
      </c>
      <c r="L330" s="812"/>
    </row>
    <row r="331" spans="1:13" ht="15.75" hidden="1" outlineLevel="1" thickBot="1">
      <c r="A331" s="450" t="s">
        <v>3010</v>
      </c>
      <c r="B331" s="1182" t="s">
        <v>1291</v>
      </c>
      <c r="C331" s="1182" t="s">
        <v>285</v>
      </c>
      <c r="D331" s="1182">
        <v>1</v>
      </c>
      <c r="E331" s="1183">
        <v>1</v>
      </c>
      <c r="F331" s="1034">
        <f t="shared" si="77"/>
        <v>1</v>
      </c>
      <c r="G331" s="1184">
        <f t="shared" si="78"/>
        <v>0.125</v>
      </c>
      <c r="H331" s="1032">
        <v>1</v>
      </c>
      <c r="I331" s="1184">
        <f t="shared" si="79"/>
        <v>1</v>
      </c>
      <c r="J331" s="1086">
        <f>'Estructura de Presupuesto'!$H$108</f>
        <v>734696.18110499997</v>
      </c>
      <c r="L331" s="812"/>
    </row>
    <row r="332" spans="1:13" ht="15.75" hidden="1" outlineLevel="1" thickBot="1">
      <c r="A332" s="450" t="s">
        <v>3011</v>
      </c>
      <c r="B332" s="1182" t="s">
        <v>1354</v>
      </c>
      <c r="C332" s="1182" t="s">
        <v>345</v>
      </c>
      <c r="D332" s="1182">
        <f>'10. Perfilería de metal'!$N$15</f>
        <v>48.886339827602704</v>
      </c>
      <c r="E332" s="1183">
        <v>1</v>
      </c>
      <c r="F332" s="1034">
        <f t="shared" si="77"/>
        <v>48.886339827602704</v>
      </c>
      <c r="G332" s="1184">
        <f t="shared" si="78"/>
        <v>6.110792478450338</v>
      </c>
      <c r="H332" s="1032">
        <v>3</v>
      </c>
      <c r="I332" s="1184">
        <f t="shared" si="79"/>
        <v>3</v>
      </c>
      <c r="J332" s="1086">
        <f>APU!$J$662*D332</f>
        <v>9188513.4664937556</v>
      </c>
      <c r="L332" s="812"/>
    </row>
    <row r="333" spans="1:13" ht="15.75" hidden="1" outlineLevel="1" thickBot="1">
      <c r="A333" s="450" t="s">
        <v>3012</v>
      </c>
      <c r="B333" s="1182" t="s">
        <v>1287</v>
      </c>
      <c r="C333" s="1182" t="s">
        <v>285</v>
      </c>
      <c r="D333" s="1182">
        <v>1</v>
      </c>
      <c r="E333" s="1183">
        <v>1</v>
      </c>
      <c r="F333" s="1034">
        <f t="shared" si="77"/>
        <v>1</v>
      </c>
      <c r="G333" s="1184">
        <f t="shared" si="78"/>
        <v>0.125</v>
      </c>
      <c r="H333" s="1032">
        <v>3</v>
      </c>
      <c r="I333" s="1184">
        <f t="shared" si="79"/>
        <v>1</v>
      </c>
      <c r="J333" s="1086">
        <f>'Estructura de Presupuesto'!$I$104</f>
        <v>734696.18110499997</v>
      </c>
      <c r="L333" s="812"/>
    </row>
    <row r="334" spans="1:13" ht="15.75" hidden="1" outlineLevel="1" thickBot="1">
      <c r="A334" s="450" t="s">
        <v>3013</v>
      </c>
      <c r="B334" s="1182" t="s">
        <v>1288</v>
      </c>
      <c r="C334" s="1182" t="s">
        <v>285</v>
      </c>
      <c r="D334" s="1182">
        <v>1</v>
      </c>
      <c r="E334" s="1183">
        <v>1</v>
      </c>
      <c r="F334" s="1034">
        <f t="shared" si="77"/>
        <v>1</v>
      </c>
      <c r="G334" s="1184">
        <f t="shared" si="78"/>
        <v>0.125</v>
      </c>
      <c r="H334" s="1032">
        <v>3</v>
      </c>
      <c r="I334" s="1184">
        <f t="shared" si="79"/>
        <v>1</v>
      </c>
      <c r="J334" s="1086">
        <f>'Estructura de Presupuesto'!$I$105</f>
        <v>734696.18110499997</v>
      </c>
      <c r="L334"/>
    </row>
    <row r="335" spans="1:13" ht="15.75" hidden="1" outlineLevel="1" thickBot="1">
      <c r="A335" s="450" t="s">
        <v>3014</v>
      </c>
      <c r="B335" s="1182" t="s">
        <v>1072</v>
      </c>
      <c r="C335" s="1182" t="s">
        <v>55</v>
      </c>
      <c r="D335" s="1182">
        <f>'12. Acabados y accesorios'!$L$20</f>
        <v>5.5284000000000004</v>
      </c>
      <c r="E335" s="1207">
        <f>APU!$F$744</f>
        <v>1.0516522868540681</v>
      </c>
      <c r="F335" s="1034">
        <f t="shared" ref="F335:F341" si="80">D335*E335</f>
        <v>5.8139545026440302</v>
      </c>
      <c r="G335" s="1184">
        <f t="shared" ref="G335:G341" si="81">F335/8</f>
        <v>0.72674431283050378</v>
      </c>
      <c r="H335" s="1032">
        <v>3</v>
      </c>
      <c r="I335" s="1184">
        <f t="shared" ref="I335:I341" si="82">ROUNDUP(G335/H335,0)</f>
        <v>1</v>
      </c>
      <c r="J335" s="1086">
        <f>'Estructura de Presupuesto'!$H$127*D316</f>
        <v>1929426.1949759999</v>
      </c>
      <c r="L335"/>
    </row>
    <row r="336" spans="1:13" ht="15.75" hidden="1" outlineLevel="1" thickBot="1">
      <c r="A336" s="450" t="s">
        <v>3015</v>
      </c>
      <c r="B336" s="1182" t="s">
        <v>1073</v>
      </c>
      <c r="C336" s="1182" t="s">
        <v>55</v>
      </c>
      <c r="D336" s="1182">
        <f>'12. Acabados y accesorios'!$L$21</f>
        <v>19.349399999999999</v>
      </c>
      <c r="E336" s="1207">
        <f>APU!$F$744</f>
        <v>1.0516522868540681</v>
      </c>
      <c r="F336" s="1034">
        <f t="shared" si="80"/>
        <v>20.348840759254106</v>
      </c>
      <c r="G336" s="1184">
        <f t="shared" si="81"/>
        <v>2.5436050949067632</v>
      </c>
      <c r="H336" s="1032">
        <v>3</v>
      </c>
      <c r="I336" s="1184">
        <f t="shared" si="82"/>
        <v>1</v>
      </c>
      <c r="J336" s="1086">
        <f>'Estructura de Presupuesto'!$H$128*D335</f>
        <v>551264.62713599997</v>
      </c>
      <c r="L336" s="1408"/>
    </row>
    <row r="337" spans="1:13" ht="15.75" hidden="1" outlineLevel="1" thickBot="1">
      <c r="A337" s="450" t="s">
        <v>3016</v>
      </c>
      <c r="B337" s="1182" t="s">
        <v>1074</v>
      </c>
      <c r="C337" s="1182" t="s">
        <v>55</v>
      </c>
      <c r="D337" s="1182">
        <f>'12. Acabados y accesorios'!$L$22</f>
        <v>8.3196999999999992</v>
      </c>
      <c r="E337" s="1207">
        <f>APU!$F$744</f>
        <v>1.0516522868540681</v>
      </c>
      <c r="F337" s="1034">
        <f t="shared" si="80"/>
        <v>8.7494315309397894</v>
      </c>
      <c r="G337" s="1184">
        <f t="shared" si="81"/>
        <v>1.0936789413674737</v>
      </c>
      <c r="H337" s="1032">
        <v>3</v>
      </c>
      <c r="I337" s="1184">
        <f t="shared" si="82"/>
        <v>1</v>
      </c>
      <c r="J337" s="1086">
        <f>'Estructura de Presupuesto'!$H$129*D336</f>
        <v>3641848.094976</v>
      </c>
      <c r="L337" s="1408"/>
    </row>
    <row r="338" spans="1:13" ht="15.75" hidden="1" outlineLevel="1" thickBot="1">
      <c r="A338" s="450" t="s">
        <v>3017</v>
      </c>
      <c r="B338" s="1182" t="s">
        <v>1075</v>
      </c>
      <c r="C338" s="1182" t="s">
        <v>55</v>
      </c>
      <c r="D338" s="1182">
        <f>'12. Acabados y accesorios'!$L$23</f>
        <v>27.018700000000003</v>
      </c>
      <c r="E338" s="1207">
        <f>APU!$F$744</f>
        <v>1.0516522868540681</v>
      </c>
      <c r="F338" s="1034">
        <f t="shared" si="80"/>
        <v>28.414277642824011</v>
      </c>
      <c r="G338" s="1184">
        <f t="shared" si="81"/>
        <v>3.5517847053530014</v>
      </c>
      <c r="H338" s="1032">
        <v>3</v>
      </c>
      <c r="I338" s="1184">
        <f t="shared" si="82"/>
        <v>2</v>
      </c>
      <c r="J338" s="1086">
        <f>'Estructura de Presupuesto'!$H$130*D337</f>
        <v>1565892.6682879999</v>
      </c>
      <c r="L338" s="812"/>
    </row>
    <row r="339" spans="1:13" ht="15.75" hidden="1" outlineLevel="1" thickBot="1">
      <c r="A339" s="450" t="s">
        <v>3018</v>
      </c>
      <c r="B339" s="1182" t="s">
        <v>1076</v>
      </c>
      <c r="C339" s="1182" t="s">
        <v>55</v>
      </c>
      <c r="D339" s="1182">
        <f>'12. Acabados y accesorios'!$L$24</f>
        <v>43.603899999999996</v>
      </c>
      <c r="E339" s="1207">
        <f>APU!$F$744</f>
        <v>1.0516522868540681</v>
      </c>
      <c r="F339" s="1034">
        <f t="shared" si="80"/>
        <v>45.856141150756095</v>
      </c>
      <c r="G339" s="1184">
        <f t="shared" si="81"/>
        <v>5.7320176438445118</v>
      </c>
      <c r="H339" s="1032">
        <v>3</v>
      </c>
      <c r="I339" s="1184">
        <f t="shared" si="82"/>
        <v>2</v>
      </c>
      <c r="J339" s="1086">
        <f>'Estructura de Presupuesto'!$H$131*D338</f>
        <v>5085325.7012480004</v>
      </c>
      <c r="L339" s="812"/>
    </row>
    <row r="340" spans="1:13" ht="15.75" hidden="1" outlineLevel="1" thickBot="1">
      <c r="A340" s="450" t="s">
        <v>3019</v>
      </c>
      <c r="B340" s="1182" t="s">
        <v>1077</v>
      </c>
      <c r="C340" s="1182" t="s">
        <v>55</v>
      </c>
      <c r="D340" s="1182">
        <f>'12. Acabados y accesorios'!$L$25</f>
        <v>10.704499999999999</v>
      </c>
      <c r="E340" s="1207">
        <f>APU!$F$744</f>
        <v>1.0516522868540681</v>
      </c>
      <c r="F340" s="1034">
        <f t="shared" si="80"/>
        <v>11.257411904629372</v>
      </c>
      <c r="G340" s="1184">
        <f t="shared" si="81"/>
        <v>1.4071764880786715</v>
      </c>
      <c r="H340" s="1032">
        <v>3</v>
      </c>
      <c r="I340" s="1184">
        <f t="shared" si="82"/>
        <v>1</v>
      </c>
      <c r="J340" s="1086">
        <f>'Estructura de Presupuesto'!$H$132*D339</f>
        <v>8206909.782656</v>
      </c>
      <c r="L340" s="812"/>
    </row>
    <row r="341" spans="1:13" ht="15.75" hidden="1" outlineLevel="1" thickBot="1">
      <c r="A341" s="450" t="s">
        <v>3020</v>
      </c>
      <c r="B341" s="1182" t="s">
        <v>1078</v>
      </c>
      <c r="C341" s="1182" t="s">
        <v>55</v>
      </c>
      <c r="D341" s="1182">
        <f>'12. Acabados y accesorios'!$L$26</f>
        <v>12.3034</v>
      </c>
      <c r="E341" s="1207">
        <f>APU!$F$744</f>
        <v>1.0516522868540681</v>
      </c>
      <c r="F341" s="1034">
        <f t="shared" si="80"/>
        <v>12.938898746080341</v>
      </c>
      <c r="G341" s="1184">
        <f t="shared" si="81"/>
        <v>1.6173623432600426</v>
      </c>
      <c r="H341" s="1032">
        <v>3</v>
      </c>
      <c r="I341" s="1184">
        <f t="shared" si="82"/>
        <v>1</v>
      </c>
      <c r="J341" s="1086">
        <f>'Estructura de Presupuesto'!$H$133*D340</f>
        <v>2014747.8956800001</v>
      </c>
      <c r="L341" s="812"/>
    </row>
    <row r="342" spans="1:13" ht="15.75" hidden="1" outlineLevel="1" thickBot="1">
      <c r="A342" s="450" t="s">
        <v>3021</v>
      </c>
      <c r="B342" s="1182" t="s">
        <v>1188</v>
      </c>
      <c r="C342" s="1182" t="s">
        <v>55</v>
      </c>
      <c r="D342" s="1182">
        <f>'12. Acabados y accesorios'!$H$33</f>
        <v>36.691882499999998</v>
      </c>
      <c r="E342" s="1207">
        <f>APU!$F$744</f>
        <v>1.0516522868540681</v>
      </c>
      <c r="F342" s="1034">
        <f>D342*E342</f>
        <v>38.587102140105756</v>
      </c>
      <c r="G342" s="1184">
        <f>F342/8</f>
        <v>4.8233877675132195</v>
      </c>
      <c r="H342" s="1032">
        <v>3</v>
      </c>
      <c r="I342" s="1184">
        <f>ROUNDUP(G342/H342,0)</f>
        <v>2</v>
      </c>
      <c r="J342" s="1086">
        <f>'Estructura de Presupuesto'!$H$140*D342</f>
        <v>6905964.1324127996</v>
      </c>
      <c r="L342"/>
    </row>
    <row r="343" spans="1:13" ht="15.75" hidden="1" outlineLevel="1" thickBot="1">
      <c r="A343" s="450" t="s">
        <v>3600</v>
      </c>
      <c r="B343" s="1396" t="s">
        <v>3599</v>
      </c>
      <c r="C343" s="1396" t="s">
        <v>285</v>
      </c>
      <c r="D343" s="1396">
        <v>2</v>
      </c>
      <c r="E343" s="1396">
        <v>1</v>
      </c>
      <c r="F343" s="987">
        <f t="shared" ref="F343:F344" si="83">D343*E343</f>
        <v>2</v>
      </c>
      <c r="G343" s="1157">
        <f t="shared" ref="G343:G344" si="84">F343/8</f>
        <v>0.25</v>
      </c>
      <c r="H343" s="968">
        <v>1</v>
      </c>
      <c r="I343" s="1157">
        <v>5</v>
      </c>
      <c r="J343" s="1087">
        <f>+D343*4500000</f>
        <v>9000000</v>
      </c>
      <c r="L343"/>
    </row>
    <row r="344" spans="1:13" ht="15.75" hidden="1" outlineLevel="1" thickBot="1">
      <c r="A344" s="450" t="s">
        <v>3601</v>
      </c>
      <c r="B344" s="1396" t="s">
        <v>3289</v>
      </c>
      <c r="C344" s="1396" t="s">
        <v>285</v>
      </c>
      <c r="D344" s="1396">
        <v>2</v>
      </c>
      <c r="E344" s="1396">
        <v>1</v>
      </c>
      <c r="F344" s="987">
        <f t="shared" si="83"/>
        <v>2</v>
      </c>
      <c r="G344" s="1157">
        <f t="shared" si="84"/>
        <v>0.25</v>
      </c>
      <c r="H344" s="968">
        <v>1</v>
      </c>
      <c r="I344" s="1157">
        <v>5</v>
      </c>
      <c r="J344" s="1087">
        <f>+D344*4500000</f>
        <v>9000000</v>
      </c>
      <c r="L344" s="1408"/>
    </row>
    <row r="345" spans="1:13" ht="15.75" hidden="1" outlineLevel="1" thickBot="1">
      <c r="A345" s="1937" t="s">
        <v>2264</v>
      </c>
      <c r="B345" s="1938"/>
      <c r="C345" s="1938"/>
      <c r="D345" s="1938"/>
      <c r="E345" s="1938"/>
      <c r="F345" s="1938"/>
      <c r="G345" s="1938"/>
      <c r="H345" s="1938"/>
      <c r="I345" s="1938"/>
      <c r="J345" s="1240">
        <f>SUM(J346:J357)</f>
        <v>27083172.472787801</v>
      </c>
      <c r="L345" s="1408"/>
    </row>
    <row r="346" spans="1:13" ht="15.75" hidden="1" outlineLevel="1" thickBot="1">
      <c r="A346" s="1209">
        <v>11107</v>
      </c>
      <c r="B346" s="1182" t="s">
        <v>1287</v>
      </c>
      <c r="C346" s="1182" t="s">
        <v>285</v>
      </c>
      <c r="D346" s="1182">
        <v>1</v>
      </c>
      <c r="E346" s="1183">
        <v>1</v>
      </c>
      <c r="F346" s="916">
        <v>1</v>
      </c>
      <c r="G346" s="1184">
        <f>F346/8</f>
        <v>0.125</v>
      </c>
      <c r="H346" s="1032">
        <v>1</v>
      </c>
      <c r="I346" s="1184">
        <f>ROUNDUP(G346/H346,0)</f>
        <v>1</v>
      </c>
      <c r="J346" s="1086">
        <f>'Estructura de Presupuesto'!I104</f>
        <v>734696.18110499997</v>
      </c>
      <c r="L346" s="812"/>
      <c r="M346" s="1395"/>
    </row>
    <row r="347" spans="1:13" ht="15.75" hidden="1" outlineLevel="1" thickBot="1">
      <c r="A347" s="1209">
        <v>11108</v>
      </c>
      <c r="B347" s="1182" t="s">
        <v>1281</v>
      </c>
      <c r="C347" s="1182" t="s">
        <v>285</v>
      </c>
      <c r="D347" s="1182">
        <v>2</v>
      </c>
      <c r="E347" s="1183">
        <v>1</v>
      </c>
      <c r="F347" s="1034">
        <f>D347*E347</f>
        <v>2</v>
      </c>
      <c r="G347" s="1184">
        <f>F347/8</f>
        <v>0.25</v>
      </c>
      <c r="H347" s="1032">
        <v>1</v>
      </c>
      <c r="I347" s="1184">
        <f>ROUNDUP(G347/H347,0)</f>
        <v>1</v>
      </c>
      <c r="J347" s="1086">
        <f>APU!$J$578*D347</f>
        <v>1469392.3622099999</v>
      </c>
      <c r="L347" s="812"/>
      <c r="M347" s="1395"/>
    </row>
    <row r="348" spans="1:13" ht="15.75" hidden="1" outlineLevel="1" thickBot="1">
      <c r="A348" s="1209">
        <v>11109</v>
      </c>
      <c r="B348" s="1182" t="s">
        <v>1288</v>
      </c>
      <c r="C348" s="1182" t="s">
        <v>285</v>
      </c>
      <c r="D348" s="1182">
        <v>1</v>
      </c>
      <c r="E348" s="1183">
        <v>1</v>
      </c>
      <c r="F348" s="1034">
        <f t="shared" ref="F348:F357" si="85">D348*E348</f>
        <v>1</v>
      </c>
      <c r="G348" s="1184">
        <f t="shared" ref="G348:G357" si="86">F348/8</f>
        <v>0.125</v>
      </c>
      <c r="H348" s="1032">
        <v>1</v>
      </c>
      <c r="I348" s="1184">
        <f t="shared" ref="I348:I357" si="87">ROUNDUP(G348/H348,0)</f>
        <v>1</v>
      </c>
      <c r="J348" s="1086">
        <f>'Estructura de Presupuesto'!$I$105</f>
        <v>734696.18110499997</v>
      </c>
      <c r="L348" s="812"/>
      <c r="M348" s="1395"/>
    </row>
    <row r="349" spans="1:13" ht="15.75" hidden="1" outlineLevel="1" thickBot="1">
      <c r="A349" s="1209">
        <v>11110</v>
      </c>
      <c r="B349" s="1182" t="s">
        <v>1289</v>
      </c>
      <c r="C349" s="1182" t="s">
        <v>285</v>
      </c>
      <c r="D349" s="1182">
        <v>1</v>
      </c>
      <c r="E349" s="1183">
        <v>1</v>
      </c>
      <c r="F349" s="1034">
        <f t="shared" si="85"/>
        <v>1</v>
      </c>
      <c r="G349" s="1184">
        <f t="shared" si="86"/>
        <v>0.125</v>
      </c>
      <c r="H349" s="1032">
        <v>1</v>
      </c>
      <c r="I349" s="1184">
        <f t="shared" si="87"/>
        <v>1</v>
      </c>
      <c r="J349" s="1086">
        <f>APU!$J$634*D349</f>
        <v>734696.18110499997</v>
      </c>
      <c r="L349" s="812"/>
      <c r="M349" s="1395"/>
    </row>
    <row r="350" spans="1:13" ht="15.75" hidden="1" outlineLevel="1" thickBot="1">
      <c r="A350" s="1209">
        <v>11111</v>
      </c>
      <c r="B350" s="1182" t="s">
        <v>1290</v>
      </c>
      <c r="C350" s="1182" t="s">
        <v>285</v>
      </c>
      <c r="D350" s="1182">
        <v>1</v>
      </c>
      <c r="E350" s="1183">
        <v>1</v>
      </c>
      <c r="F350" s="1034">
        <f t="shared" si="85"/>
        <v>1</v>
      </c>
      <c r="G350" s="1184">
        <f t="shared" si="86"/>
        <v>0.125</v>
      </c>
      <c r="H350" s="1032">
        <v>1</v>
      </c>
      <c r="I350" s="1184">
        <f t="shared" si="87"/>
        <v>1</v>
      </c>
      <c r="J350" s="1086">
        <f>'Estructura de Presupuesto'!$H$107</f>
        <v>734696.18110499997</v>
      </c>
      <c r="L350"/>
    </row>
    <row r="351" spans="1:13" ht="15.75" hidden="1" outlineLevel="1" thickBot="1">
      <c r="A351" s="1209">
        <v>11112</v>
      </c>
      <c r="B351" s="1182" t="s">
        <v>1291</v>
      </c>
      <c r="C351" s="1182" t="s">
        <v>285</v>
      </c>
      <c r="D351" s="1182">
        <v>1</v>
      </c>
      <c r="E351" s="1183">
        <v>1</v>
      </c>
      <c r="F351" s="1034">
        <f t="shared" si="85"/>
        <v>1</v>
      </c>
      <c r="G351" s="1184">
        <f t="shared" si="86"/>
        <v>0.125</v>
      </c>
      <c r="H351" s="1032">
        <v>1</v>
      </c>
      <c r="I351" s="1184">
        <f t="shared" si="87"/>
        <v>1</v>
      </c>
      <c r="J351" s="1086">
        <f>'Estructura de Presupuesto'!$H$108</f>
        <v>734696.18110499997</v>
      </c>
      <c r="L351"/>
    </row>
    <row r="352" spans="1:13" ht="15.75" hidden="1" outlineLevel="1" thickBot="1">
      <c r="A352" s="1209">
        <v>11113</v>
      </c>
      <c r="B352" s="1182" t="s">
        <v>1079</v>
      </c>
      <c r="C352" s="1182" t="s">
        <v>55</v>
      </c>
      <c r="D352" s="1207">
        <f>'Estructura de Presupuesto'!G134</f>
        <v>13.279</v>
      </c>
      <c r="E352" s="1207">
        <f>APU!$F$744</f>
        <v>1.0516522868540681</v>
      </c>
      <c r="F352" s="1034">
        <f t="shared" si="85"/>
        <v>13.964890717135169</v>
      </c>
      <c r="G352" s="1184">
        <f t="shared" si="86"/>
        <v>1.7456113396418962</v>
      </c>
      <c r="H352" s="1032">
        <v>3</v>
      </c>
      <c r="I352" s="1184">
        <f t="shared" si="87"/>
        <v>1</v>
      </c>
      <c r="J352" s="1086">
        <f>'Estructura de Presupuesto'!I134</f>
        <v>2499307.5161600001</v>
      </c>
      <c r="L352" s="1408"/>
    </row>
    <row r="353" spans="1:12" ht="15.75" hidden="1" outlineLevel="1" thickBot="1">
      <c r="A353" s="1209">
        <v>11114</v>
      </c>
      <c r="B353" s="1182" t="s">
        <v>1080</v>
      </c>
      <c r="C353" s="1182" t="s">
        <v>55</v>
      </c>
      <c r="D353" s="1207">
        <f>'Estructura de Presupuesto'!G135</f>
        <v>49.999499999999998</v>
      </c>
      <c r="E353" s="1207">
        <f>APU!$F$744</f>
        <v>1.0516522868540681</v>
      </c>
      <c r="F353" s="1034">
        <f t="shared" si="85"/>
        <v>52.582088516559978</v>
      </c>
      <c r="G353" s="1184">
        <f t="shared" si="86"/>
        <v>6.5727610645699972</v>
      </c>
      <c r="H353" s="1032">
        <v>3</v>
      </c>
      <c r="I353" s="1184">
        <f t="shared" si="87"/>
        <v>3</v>
      </c>
      <c r="J353" s="1086">
        <f>'Estructura de Presupuesto'!I135</f>
        <v>9410657.8924800009</v>
      </c>
      <c r="L353" s="1408"/>
    </row>
    <row r="354" spans="1:12" ht="15.75" hidden="1" outlineLevel="1" thickBot="1">
      <c r="A354" s="1209">
        <v>11115</v>
      </c>
      <c r="B354" s="1182" t="s">
        <v>1081</v>
      </c>
      <c r="C354" s="1182" t="s">
        <v>55</v>
      </c>
      <c r="D354" s="1207">
        <f>'Estructura de Presupuesto'!G136</f>
        <v>11.25</v>
      </c>
      <c r="E354" s="1207">
        <f>APU!$F$744</f>
        <v>1.0516522868540681</v>
      </c>
      <c r="F354" s="1034">
        <f t="shared" si="85"/>
        <v>11.831088227108266</v>
      </c>
      <c r="G354" s="1184">
        <f t="shared" si="86"/>
        <v>1.4788860283885332</v>
      </c>
      <c r="H354" s="1032">
        <v>3</v>
      </c>
      <c r="I354" s="1184">
        <f t="shared" si="87"/>
        <v>1</v>
      </c>
      <c r="J354" s="1086">
        <f>'Estructura de Presupuesto'!I136</f>
        <v>2117419.2000000002</v>
      </c>
      <c r="L354" s="812"/>
    </row>
    <row r="355" spans="1:12" ht="15.75" hidden="1" outlineLevel="1" thickBot="1">
      <c r="A355" s="1209">
        <v>11116</v>
      </c>
      <c r="B355" s="1182" t="s">
        <v>1271</v>
      </c>
      <c r="C355" s="1182" t="s">
        <v>55</v>
      </c>
      <c r="D355" s="1207">
        <f>'Estructura de Presupuesto'!G137</f>
        <v>3</v>
      </c>
      <c r="E355" s="1207">
        <f>APU!$F$744</f>
        <v>1.0516522868540681</v>
      </c>
      <c r="F355" s="1034">
        <f t="shared" si="85"/>
        <v>3.154956860562204</v>
      </c>
      <c r="G355" s="1184">
        <f t="shared" si="86"/>
        <v>0.3943696075702755</v>
      </c>
      <c r="H355" s="1032">
        <v>3</v>
      </c>
      <c r="I355" s="1184">
        <f t="shared" si="87"/>
        <v>1</v>
      </c>
      <c r="J355" s="1086">
        <f>'Estructura de Presupuesto'!I137</f>
        <v>564645.12</v>
      </c>
      <c r="L355" s="812"/>
    </row>
    <row r="356" spans="1:12" ht="15.75" hidden="1" outlineLevel="1" thickBot="1">
      <c r="A356" s="1209">
        <v>11117</v>
      </c>
      <c r="B356" s="1182" t="s">
        <v>1270</v>
      </c>
      <c r="C356" s="1182" t="s">
        <v>55</v>
      </c>
      <c r="D356" s="1207">
        <f>'Estructura de Presupuesto'!G138</f>
        <v>2.35</v>
      </c>
      <c r="E356" s="1207">
        <f>APU!$F$744</f>
        <v>1.0516522868540681</v>
      </c>
      <c r="F356" s="1034">
        <f t="shared" si="85"/>
        <v>2.4713828741070603</v>
      </c>
      <c r="G356" s="1184">
        <f t="shared" si="86"/>
        <v>0.30892285926338253</v>
      </c>
      <c r="H356" s="1032">
        <v>3</v>
      </c>
      <c r="I356" s="1184">
        <f t="shared" si="87"/>
        <v>1</v>
      </c>
      <c r="J356" s="1086">
        <f>'Estructura de Presupuesto'!I138</f>
        <v>442305.34400000004</v>
      </c>
      <c r="L356" s="812"/>
    </row>
    <row r="357" spans="1:12" ht="15.75" hidden="1" outlineLevel="1" thickBot="1">
      <c r="A357" s="1209">
        <v>11118</v>
      </c>
      <c r="B357" s="1182" t="s">
        <v>1188</v>
      </c>
      <c r="C357" s="1182" t="s">
        <v>55</v>
      </c>
      <c r="D357" s="1182">
        <f>'12. Acabados y accesorios'!$H$33</f>
        <v>36.691882499999998</v>
      </c>
      <c r="E357" s="1207">
        <f>APU!$F$744</f>
        <v>1.0516522868540681</v>
      </c>
      <c r="F357" s="1034">
        <f t="shared" si="85"/>
        <v>38.587102140105756</v>
      </c>
      <c r="G357" s="1184">
        <f t="shared" si="86"/>
        <v>4.8233877675132195</v>
      </c>
      <c r="H357" s="1032">
        <v>3</v>
      </c>
      <c r="I357" s="1184">
        <f t="shared" si="87"/>
        <v>2</v>
      </c>
      <c r="J357" s="1086">
        <f>'Estructura de Presupuesto'!$H$140*D357</f>
        <v>6905964.1324127996</v>
      </c>
      <c r="L357" s="812"/>
    </row>
    <row r="358" spans="1:12" ht="15.75" collapsed="1" thickBot="1">
      <c r="A358" s="1042">
        <v>12</v>
      </c>
      <c r="B358" s="1943" t="s">
        <v>2507</v>
      </c>
      <c r="C358" s="1944"/>
      <c r="D358" s="1944"/>
      <c r="E358" s="1944"/>
      <c r="F358" s="1944"/>
      <c r="G358" s="1944"/>
      <c r="H358" s="1944"/>
      <c r="I358" s="1944"/>
      <c r="J358" s="1237">
        <f>SUM(J359,J364,J368,J371,J374,J377,J380,J384,J387,)</f>
        <v>20600078.27</v>
      </c>
      <c r="L358" s="1412"/>
    </row>
    <row r="359" spans="1:12" ht="15.75" hidden="1" outlineLevel="1" thickBot="1">
      <c r="A359" s="1937" t="s">
        <v>820</v>
      </c>
      <c r="B359" s="1938"/>
      <c r="C359" s="1938"/>
      <c r="D359" s="1938"/>
      <c r="E359" s="1938"/>
      <c r="F359" s="1938"/>
      <c r="G359" s="1938"/>
      <c r="H359" s="1938"/>
      <c r="I359" s="1938"/>
      <c r="J359" s="1241">
        <f>SUM(J360:J363)</f>
        <v>1147382.55</v>
      </c>
      <c r="L359"/>
    </row>
    <row r="360" spans="1:12" ht="15.75" hidden="1" outlineLevel="1" thickBot="1">
      <c r="A360" s="928"/>
      <c r="B360" s="988" t="s">
        <v>2659</v>
      </c>
      <c r="C360" s="919" t="s">
        <v>285</v>
      </c>
      <c r="D360" s="582">
        <f>'11. Carpintería en madera'!J6</f>
        <v>2</v>
      </c>
      <c r="E360" s="993">
        <f>APU!$F$882</f>
        <v>1.5</v>
      </c>
      <c r="F360" s="938">
        <f>D360*E360</f>
        <v>3</v>
      </c>
      <c r="G360" s="1005">
        <f>F360/8</f>
        <v>0.375</v>
      </c>
      <c r="H360" s="997">
        <v>1</v>
      </c>
      <c r="I360" s="1001">
        <f>ROUNDUP(G360/H360,0)</f>
        <v>1</v>
      </c>
      <c r="J360" s="999">
        <f>APU!$J$891*D360</f>
        <v>439347.82</v>
      </c>
      <c r="L360" s="1408"/>
    </row>
    <row r="361" spans="1:12" ht="15.75" hidden="1" outlineLevel="1" thickBot="1">
      <c r="A361" s="929"/>
      <c r="B361" s="988" t="s">
        <v>2660</v>
      </c>
      <c r="C361" s="919" t="s">
        <v>285</v>
      </c>
      <c r="D361" s="583">
        <f>'11. Carpintería en madera'!J7</f>
        <v>1</v>
      </c>
      <c r="E361" s="994">
        <f>APU!$F$895</f>
        <v>1.5</v>
      </c>
      <c r="F361" s="938">
        <f>D361*E361</f>
        <v>1.5</v>
      </c>
      <c r="G361" s="1005">
        <f>F361/8</f>
        <v>0.1875</v>
      </c>
      <c r="H361" s="997">
        <v>1</v>
      </c>
      <c r="I361" s="1001">
        <f>ROUNDUP(G361/H361,0)</f>
        <v>1</v>
      </c>
      <c r="J361" s="1006">
        <f>D361*APU!$J$904</f>
        <v>219673.91</v>
      </c>
      <c r="L361" s="1408"/>
    </row>
    <row r="362" spans="1:12" ht="15.75" hidden="1" outlineLevel="1" thickBot="1">
      <c r="A362" s="929"/>
      <c r="B362" s="988" t="s">
        <v>2660</v>
      </c>
      <c r="C362" s="919" t="s">
        <v>285</v>
      </c>
      <c r="D362" s="583">
        <f>'11. Carpintería en madera'!J8</f>
        <v>1</v>
      </c>
      <c r="E362" s="994">
        <f>APU!$F$908</f>
        <v>1.5</v>
      </c>
      <c r="F362" s="938">
        <f>D362*E362</f>
        <v>1.5</v>
      </c>
      <c r="G362" s="1005">
        <f>F362/8</f>
        <v>0.1875</v>
      </c>
      <c r="H362" s="997">
        <v>1</v>
      </c>
      <c r="I362" s="1001">
        <f>ROUNDUP(G362/H362,0)</f>
        <v>1</v>
      </c>
      <c r="J362" s="1006">
        <f>D362*APU!$J$917</f>
        <v>219673.91</v>
      </c>
      <c r="L362" s="812"/>
    </row>
    <row r="363" spans="1:12" ht="15.75" hidden="1" outlineLevel="1" thickBot="1">
      <c r="A363" s="921"/>
      <c r="B363" s="988" t="s">
        <v>2663</v>
      </c>
      <c r="C363" s="921" t="s">
        <v>285</v>
      </c>
      <c r="D363" s="583">
        <f>'11. Carpintería en madera'!J11</f>
        <v>1</v>
      </c>
      <c r="E363" s="994">
        <f>APU!$F$946</f>
        <v>0.7</v>
      </c>
      <c r="F363" s="938">
        <f>D363*E363</f>
        <v>0.7</v>
      </c>
      <c r="G363" s="1005">
        <f>F363/8</f>
        <v>8.7499999999999994E-2</v>
      </c>
      <c r="H363" s="997">
        <v>1</v>
      </c>
      <c r="I363" s="1001">
        <f>ROUNDUP(G363/H363,0)</f>
        <v>1</v>
      </c>
      <c r="J363" s="1000">
        <f>D363*APU!$J$956</f>
        <v>268686.91000000003</v>
      </c>
      <c r="L363" s="812"/>
    </row>
    <row r="364" spans="1:12" ht="15.75" hidden="1" outlineLevel="1" thickBot="1">
      <c r="A364" s="1937" t="s">
        <v>2241</v>
      </c>
      <c r="B364" s="1938"/>
      <c r="C364" s="1938"/>
      <c r="D364" s="1938"/>
      <c r="E364" s="1938"/>
      <c r="F364" s="1938"/>
      <c r="G364" s="1938"/>
      <c r="H364" s="1938"/>
      <c r="I364" s="1938"/>
      <c r="J364" s="1241">
        <f>SUM(J365:J367)</f>
        <v>1367056.46</v>
      </c>
      <c r="L364" s="812"/>
    </row>
    <row r="365" spans="1:12" ht="15.75" hidden="1" outlineLevel="1" thickBot="1">
      <c r="A365" s="919"/>
      <c r="B365" s="988" t="s">
        <v>2659</v>
      </c>
      <c r="C365" s="919" t="s">
        <v>285</v>
      </c>
      <c r="D365" s="582">
        <f>'11. Carpintería en madera'!K6</f>
        <v>4</v>
      </c>
      <c r="E365" s="993">
        <f>APU!$F$882</f>
        <v>1.5</v>
      </c>
      <c r="F365" s="940">
        <f>E365*D365</f>
        <v>6</v>
      </c>
      <c r="G365" s="1005">
        <f>F365/8</f>
        <v>0.75</v>
      </c>
      <c r="H365" s="997">
        <v>1</v>
      </c>
      <c r="I365" s="1001">
        <f>ROUNDUP(G365/H365,0)</f>
        <v>1</v>
      </c>
      <c r="J365" s="999">
        <f>APU!$J$891*D365</f>
        <v>878695.64</v>
      </c>
      <c r="L365" s="812"/>
    </row>
    <row r="366" spans="1:12" ht="15.75" hidden="1" outlineLevel="1" thickBot="1">
      <c r="A366" s="921"/>
      <c r="B366" s="988" t="s">
        <v>2660</v>
      </c>
      <c r="C366" s="921" t="s">
        <v>285</v>
      </c>
      <c r="D366" s="583">
        <f>'11. Carpintería en madera'!K8</f>
        <v>1</v>
      </c>
      <c r="E366" s="994">
        <f>APU!$F$908</f>
        <v>1.5</v>
      </c>
      <c r="F366" s="940">
        <f>E366*D366</f>
        <v>1.5</v>
      </c>
      <c r="G366" s="1005">
        <f>F366/8</f>
        <v>0.1875</v>
      </c>
      <c r="H366" s="1002">
        <v>1</v>
      </c>
      <c r="I366" s="1001">
        <f>ROUNDUP(G366/H366,0)</f>
        <v>1</v>
      </c>
      <c r="J366" s="1006">
        <f>D366*APU!$J$917</f>
        <v>219673.91</v>
      </c>
      <c r="L366"/>
    </row>
    <row r="367" spans="1:12" ht="15.75" hidden="1" outlineLevel="1" thickBot="1">
      <c r="A367" s="921"/>
      <c r="B367" s="988" t="s">
        <v>2663</v>
      </c>
      <c r="C367" s="921" t="s">
        <v>285</v>
      </c>
      <c r="D367" s="583">
        <f>'11. Carpintería en madera'!K12</f>
        <v>1</v>
      </c>
      <c r="E367" s="994">
        <f>APU!$F$959</f>
        <v>0.7</v>
      </c>
      <c r="F367" s="940">
        <f>E367*D367</f>
        <v>0.7</v>
      </c>
      <c r="G367" s="1005">
        <f>F367/8</f>
        <v>8.7499999999999994E-2</v>
      </c>
      <c r="H367" s="998">
        <v>1</v>
      </c>
      <c r="I367" s="1001">
        <f>ROUNDUP(G367/H367,0)</f>
        <v>1</v>
      </c>
      <c r="J367" s="1000">
        <f>D367*APU!$J$956</f>
        <v>268686.91000000003</v>
      </c>
      <c r="L367"/>
    </row>
    <row r="368" spans="1:12" ht="15.75" hidden="1" outlineLevel="1" thickBot="1">
      <c r="A368" s="1937" t="s">
        <v>2246</v>
      </c>
      <c r="B368" s="1938"/>
      <c r="C368" s="1938"/>
      <c r="D368" s="1938"/>
      <c r="E368" s="1938"/>
      <c r="F368" s="1938"/>
      <c r="G368" s="1938"/>
      <c r="H368" s="1938"/>
      <c r="I368" s="1938"/>
      <c r="J368" s="1241">
        <f>SUM(J369:J370)</f>
        <v>1318043.46</v>
      </c>
      <c r="L368" s="1408"/>
    </row>
    <row r="369" spans="1:12" ht="15.75" hidden="1" outlineLevel="1" thickBot="1">
      <c r="A369" s="919"/>
      <c r="B369" s="988" t="s">
        <v>2659</v>
      </c>
      <c r="C369" s="919" t="s">
        <v>285</v>
      </c>
      <c r="D369" s="582">
        <f>'11. Carpintería en madera'!L6</f>
        <v>5</v>
      </c>
      <c r="E369" s="993">
        <f>APU!$F$882</f>
        <v>1.5</v>
      </c>
      <c r="F369" s="940">
        <f>E369*D369</f>
        <v>7.5</v>
      </c>
      <c r="G369" s="1005">
        <f>F369/8</f>
        <v>0.9375</v>
      </c>
      <c r="H369" s="997">
        <v>1</v>
      </c>
      <c r="I369" s="1001">
        <f>ROUNDUP(G369/H369,0)</f>
        <v>1</v>
      </c>
      <c r="J369" s="999">
        <f>APU!$J$891*D369</f>
        <v>1098369.55</v>
      </c>
      <c r="L369" s="1408"/>
    </row>
    <row r="370" spans="1:12" ht="15.75" hidden="1" outlineLevel="1" thickBot="1">
      <c r="A370" s="921"/>
      <c r="B370" s="988" t="s">
        <v>2660</v>
      </c>
      <c r="C370" s="921" t="s">
        <v>285</v>
      </c>
      <c r="D370" s="583">
        <f>'11. Carpintería en madera'!L8</f>
        <v>1</v>
      </c>
      <c r="E370" s="994">
        <f>APU!$F$908</f>
        <v>1.5</v>
      </c>
      <c r="F370" s="940">
        <f>E370*D370</f>
        <v>1.5</v>
      </c>
      <c r="G370" s="1005">
        <f>F370/8</f>
        <v>0.1875</v>
      </c>
      <c r="H370" s="1002">
        <v>1</v>
      </c>
      <c r="I370" s="1001">
        <f>ROUNDUP(G370/H370,0)</f>
        <v>1</v>
      </c>
      <c r="J370" s="1006">
        <f>D370*APU!$J$917</f>
        <v>219673.91</v>
      </c>
      <c r="L370" s="812"/>
    </row>
    <row r="371" spans="1:12" ht="15.75" hidden="1" outlineLevel="1" thickBot="1">
      <c r="A371" s="1937" t="s">
        <v>801</v>
      </c>
      <c r="B371" s="1938"/>
      <c r="C371" s="1938"/>
      <c r="D371" s="1938"/>
      <c r="E371" s="1938"/>
      <c r="F371" s="1938"/>
      <c r="G371" s="1938"/>
      <c r="H371" s="1938"/>
      <c r="I371" s="1938"/>
      <c r="J371" s="1241">
        <f>SUM(J372:J373)</f>
        <v>878695.64</v>
      </c>
      <c r="L371" s="812"/>
    </row>
    <row r="372" spans="1:12" ht="15.75" hidden="1" outlineLevel="1" thickBot="1">
      <c r="A372" s="919"/>
      <c r="B372" s="988" t="s">
        <v>2659</v>
      </c>
      <c r="C372" s="919" t="s">
        <v>285</v>
      </c>
      <c r="D372" s="582">
        <f>'11. Carpintería en madera'!M6</f>
        <v>3</v>
      </c>
      <c r="E372" s="993">
        <f>APU!$F$882</f>
        <v>1.5</v>
      </c>
      <c r="F372" s="940">
        <f>E372*D372</f>
        <v>4.5</v>
      </c>
      <c r="G372" s="1005">
        <f>F372/8</f>
        <v>0.5625</v>
      </c>
      <c r="H372" s="997">
        <v>1</v>
      </c>
      <c r="I372" s="1001">
        <f>ROUNDUP(G372/H372,0)</f>
        <v>1</v>
      </c>
      <c r="J372" s="999">
        <f>APU!$J$891*D372</f>
        <v>659021.73</v>
      </c>
      <c r="L372" s="812"/>
    </row>
    <row r="373" spans="1:12" ht="15.75" hidden="1" outlineLevel="1" thickBot="1">
      <c r="A373" s="921"/>
      <c r="B373" s="988" t="s">
        <v>2660</v>
      </c>
      <c r="C373" s="921" t="s">
        <v>285</v>
      </c>
      <c r="D373" s="583">
        <f>'11. Carpintería en madera'!M8</f>
        <v>1</v>
      </c>
      <c r="E373" s="994">
        <f>APU!$F$908</f>
        <v>1.5</v>
      </c>
      <c r="F373" s="940">
        <f>E373*D373</f>
        <v>1.5</v>
      </c>
      <c r="G373" s="1005">
        <f>F373/8</f>
        <v>0.1875</v>
      </c>
      <c r="H373" s="1002">
        <v>1</v>
      </c>
      <c r="I373" s="1001">
        <f>ROUNDUP(G373/H373,0)</f>
        <v>1</v>
      </c>
      <c r="J373" s="1006">
        <f>D373*APU!$J$917</f>
        <v>219673.91</v>
      </c>
      <c r="L373" s="812"/>
    </row>
    <row r="374" spans="1:12" ht="15.75" hidden="1" outlineLevel="1" thickBot="1">
      <c r="A374" s="1937" t="s">
        <v>824</v>
      </c>
      <c r="B374" s="1938"/>
      <c r="C374" s="1938"/>
      <c r="D374" s="1938"/>
      <c r="E374" s="1938"/>
      <c r="F374" s="1938"/>
      <c r="G374" s="1938"/>
      <c r="H374" s="1938"/>
      <c r="I374" s="1938"/>
      <c r="J374" s="1241">
        <f>SUM(J375:J376)</f>
        <v>487955.73</v>
      </c>
      <c r="L374"/>
    </row>
    <row r="375" spans="1:12" ht="15.75" hidden="1" outlineLevel="1" thickBot="1">
      <c r="A375" s="919"/>
      <c r="B375" s="988" t="s">
        <v>2662</v>
      </c>
      <c r="C375" s="919" t="s">
        <v>285</v>
      </c>
      <c r="D375" s="582">
        <f>'11. Carpintería en madera'!N10</f>
        <v>1</v>
      </c>
      <c r="E375" s="993">
        <f>APU!$F$934</f>
        <v>1.5</v>
      </c>
      <c r="F375" s="940">
        <f>E375*D375</f>
        <v>1.5</v>
      </c>
      <c r="G375" s="1005">
        <f>F375/8</f>
        <v>0.1875</v>
      </c>
      <c r="H375" s="997">
        <v>1</v>
      </c>
      <c r="I375" s="1001">
        <f>ROUNDUP(G375/H375,0)</f>
        <v>1</v>
      </c>
      <c r="J375" s="1006">
        <f>D375*APU!$J$943</f>
        <v>219673.91</v>
      </c>
      <c r="L375"/>
    </row>
    <row r="376" spans="1:12" ht="15.75" hidden="1" outlineLevel="1" thickBot="1">
      <c r="A376" s="921"/>
      <c r="B376" s="991" t="s">
        <v>2665</v>
      </c>
      <c r="C376" s="921" t="s">
        <v>285</v>
      </c>
      <c r="D376" s="583">
        <f>'11. Carpintería en madera'!N13</f>
        <v>1</v>
      </c>
      <c r="E376" s="994">
        <f>APU!$F$972</f>
        <v>0.7</v>
      </c>
      <c r="F376" s="940">
        <f>E376*D376</f>
        <v>0.7</v>
      </c>
      <c r="G376" s="1005">
        <f>F376/8</f>
        <v>8.7499999999999994E-2</v>
      </c>
      <c r="H376" s="1002">
        <v>1</v>
      </c>
      <c r="I376" s="1001">
        <f>ROUNDUP(G376/H376,0)</f>
        <v>1</v>
      </c>
      <c r="J376" s="1006">
        <f>D376*APU!$J$981</f>
        <v>268281.82</v>
      </c>
      <c r="L376" s="1408"/>
    </row>
    <row r="377" spans="1:12" ht="15.75" hidden="1" outlineLevel="1" thickBot="1">
      <c r="A377" s="1937" t="s">
        <v>2255</v>
      </c>
      <c r="B377" s="1938"/>
      <c r="C377" s="1938"/>
      <c r="D377" s="1938"/>
      <c r="E377" s="1938"/>
      <c r="F377" s="1938"/>
      <c r="G377" s="1938"/>
      <c r="H377" s="1938"/>
      <c r="I377" s="1938"/>
      <c r="J377" s="1241">
        <f>SUM(J378:J379)</f>
        <v>4222412.2</v>
      </c>
      <c r="L377" s="1408"/>
    </row>
    <row r="378" spans="1:12" ht="15.75" hidden="1" outlineLevel="1" thickBot="1">
      <c r="A378" s="919"/>
      <c r="B378" s="988" t="s">
        <v>2661</v>
      </c>
      <c r="C378" s="919" t="s">
        <v>285</v>
      </c>
      <c r="D378" s="582">
        <f>'11. Carpintería en madera'!O9</f>
        <v>18</v>
      </c>
      <c r="E378" s="993">
        <f>APU!$F$921</f>
        <v>1.5</v>
      </c>
      <c r="F378" s="940">
        <f>E378*D378</f>
        <v>27</v>
      </c>
      <c r="G378" s="1005">
        <f>F378/8</f>
        <v>3.375</v>
      </c>
      <c r="H378" s="997">
        <v>2</v>
      </c>
      <c r="I378" s="1001">
        <f>ROUNDUP(G378/H378,0)</f>
        <v>2</v>
      </c>
      <c r="J378" s="999">
        <f>D378*APU!$J$930</f>
        <v>3954130.38</v>
      </c>
      <c r="L378" s="812"/>
    </row>
    <row r="379" spans="1:12" ht="15.75" hidden="1" outlineLevel="1" thickBot="1">
      <c r="A379" s="921"/>
      <c r="B379" s="991" t="s">
        <v>2665</v>
      </c>
      <c r="C379" s="921" t="s">
        <v>285</v>
      </c>
      <c r="D379" s="583">
        <f>'11. Carpintería en madera'!O13</f>
        <v>1</v>
      </c>
      <c r="E379" s="994">
        <f>APU!$F$972</f>
        <v>0.7</v>
      </c>
      <c r="F379" s="940">
        <f>E379*D379</f>
        <v>0.7</v>
      </c>
      <c r="G379" s="1005">
        <f>F379/8</f>
        <v>8.7499999999999994E-2</v>
      </c>
      <c r="H379" s="1002">
        <v>1</v>
      </c>
      <c r="I379" s="1001">
        <f>ROUNDUP(G379/H379,0)</f>
        <v>1</v>
      </c>
      <c r="J379" s="1006">
        <f>D379*APU!$J$981</f>
        <v>268281.82</v>
      </c>
      <c r="L379" s="812"/>
    </row>
    <row r="380" spans="1:12" ht="15.75" hidden="1" outlineLevel="1" thickBot="1">
      <c r="A380" s="1937" t="s">
        <v>2258</v>
      </c>
      <c r="B380" s="1938"/>
      <c r="C380" s="1938"/>
      <c r="D380" s="1938"/>
      <c r="E380" s="1938"/>
      <c r="F380" s="1938"/>
      <c r="G380" s="1938"/>
      <c r="H380" s="1938"/>
      <c r="I380" s="1938"/>
      <c r="J380" s="1241">
        <f>SUM(J381:J383)</f>
        <v>5369794.7500000009</v>
      </c>
      <c r="L380" s="812"/>
    </row>
    <row r="381" spans="1:12" ht="15.75" hidden="1" outlineLevel="1" thickBot="1">
      <c r="A381" s="919"/>
      <c r="B381" s="988" t="s">
        <v>2661</v>
      </c>
      <c r="C381" s="919" t="s">
        <v>285</v>
      </c>
      <c r="D381" s="582">
        <f>'11. Carpintería en madera'!P9</f>
        <v>22</v>
      </c>
      <c r="E381" s="993">
        <f>APU!$F$921</f>
        <v>1.5</v>
      </c>
      <c r="F381" s="940">
        <f>E381*D381</f>
        <v>33</v>
      </c>
      <c r="G381" s="1005">
        <f>F381/8</f>
        <v>4.125</v>
      </c>
      <c r="H381" s="997">
        <v>2</v>
      </c>
      <c r="I381" s="1001">
        <f>ROUNDUP(G381/H381,0)</f>
        <v>3</v>
      </c>
      <c r="J381" s="999">
        <f>D381*APU!$J$930</f>
        <v>4832826.0200000005</v>
      </c>
      <c r="L381" s="812"/>
    </row>
    <row r="382" spans="1:12" ht="15.75" hidden="1" outlineLevel="1" thickBot="1">
      <c r="A382" s="921"/>
      <c r="B382" s="991" t="s">
        <v>2665</v>
      </c>
      <c r="C382" s="921" t="s">
        <v>285</v>
      </c>
      <c r="D382" s="583">
        <f>'11. Carpintería en madera'!P13</f>
        <v>1</v>
      </c>
      <c r="E382" s="994">
        <f>APU!$F$972</f>
        <v>0.7</v>
      </c>
      <c r="F382" s="940">
        <f>E382*D382</f>
        <v>0.7</v>
      </c>
      <c r="G382" s="1005">
        <f>F382/8</f>
        <v>8.7499999999999994E-2</v>
      </c>
      <c r="H382" s="1002">
        <v>1</v>
      </c>
      <c r="I382" s="1001">
        <f>ROUNDUP(G382/H382,0)</f>
        <v>1</v>
      </c>
      <c r="J382" s="1006">
        <f>D382*APU!$J$981</f>
        <v>268281.82</v>
      </c>
      <c r="L382"/>
    </row>
    <row r="383" spans="1:12" ht="15.75" hidden="1" outlineLevel="1" thickBot="1">
      <c r="A383" s="921"/>
      <c r="B383" s="991" t="s">
        <v>2666</v>
      </c>
      <c r="C383" s="921" t="s">
        <v>285</v>
      </c>
      <c r="D383" s="583">
        <f>'11. Carpintería en madera'!P14</f>
        <v>1</v>
      </c>
      <c r="E383" s="994">
        <f>APU!$F$984</f>
        <v>0.7</v>
      </c>
      <c r="F383" s="940">
        <f>E383*D383</f>
        <v>0.7</v>
      </c>
      <c r="G383" s="1005">
        <f>F383/8</f>
        <v>8.7499999999999994E-2</v>
      </c>
      <c r="H383" s="1002">
        <v>1</v>
      </c>
      <c r="I383" s="1001">
        <f>ROUNDUP(G383/H383,0)</f>
        <v>1</v>
      </c>
      <c r="J383" s="1006">
        <f>D383*APU!$J$994</f>
        <v>268686.91000000003</v>
      </c>
      <c r="L383"/>
    </row>
    <row r="384" spans="1:12" ht="15.75" hidden="1" outlineLevel="1" thickBot="1">
      <c r="A384" s="1937" t="s">
        <v>2261</v>
      </c>
      <c r="B384" s="1938"/>
      <c r="C384" s="1938"/>
      <c r="D384" s="1938"/>
      <c r="E384" s="1938"/>
      <c r="F384" s="1938"/>
      <c r="G384" s="1938"/>
      <c r="H384" s="1938"/>
      <c r="I384" s="1938"/>
      <c r="J384" s="1241">
        <f>SUM(J385:J386)</f>
        <v>5101107.8400000008</v>
      </c>
      <c r="L384" s="1408"/>
    </row>
    <row r="385" spans="1:12" ht="15.75" hidden="1" outlineLevel="1" thickBot="1">
      <c r="A385" s="919"/>
      <c r="B385" s="988" t="s">
        <v>2661</v>
      </c>
      <c r="C385" s="919" t="s">
        <v>285</v>
      </c>
      <c r="D385" s="582">
        <f>'11. Carpintería en madera'!Q9</f>
        <v>22</v>
      </c>
      <c r="E385" s="993">
        <f>APU!$F$921</f>
        <v>1.5</v>
      </c>
      <c r="F385" s="940">
        <f>E385*D385</f>
        <v>33</v>
      </c>
      <c r="G385" s="1005">
        <f>F385/8</f>
        <v>4.125</v>
      </c>
      <c r="H385" s="997">
        <v>2</v>
      </c>
      <c r="I385" s="1001">
        <f>ROUNDUP(G385/H385,0)</f>
        <v>3</v>
      </c>
      <c r="J385" s="999">
        <f>D385*APU!$J$930</f>
        <v>4832826.0200000005</v>
      </c>
      <c r="L385" s="1408"/>
    </row>
    <row r="386" spans="1:12" ht="15.75" hidden="1" outlineLevel="1" thickBot="1">
      <c r="A386" s="921"/>
      <c r="B386" s="991" t="s">
        <v>2665</v>
      </c>
      <c r="C386" s="921" t="s">
        <v>285</v>
      </c>
      <c r="D386" s="583">
        <f>'11. Carpintería en madera'!Q13</f>
        <v>1</v>
      </c>
      <c r="E386" s="994">
        <f>APU!$F$972</f>
        <v>0.7</v>
      </c>
      <c r="F386" s="940">
        <f>E386*D386</f>
        <v>0.7</v>
      </c>
      <c r="G386" s="1005">
        <f>F386/8</f>
        <v>8.7499999999999994E-2</v>
      </c>
      <c r="H386" s="1002">
        <v>1</v>
      </c>
      <c r="I386" s="1001">
        <f>ROUNDUP(G386/H386,0)</f>
        <v>1</v>
      </c>
      <c r="J386" s="1006">
        <f>D386*APU!$J$981</f>
        <v>268281.82</v>
      </c>
      <c r="L386" s="812"/>
    </row>
    <row r="387" spans="1:12" ht="15.75" hidden="1" outlineLevel="1" thickBot="1">
      <c r="A387" s="1937" t="s">
        <v>2264</v>
      </c>
      <c r="B387" s="1938"/>
      <c r="C387" s="1938"/>
      <c r="D387" s="1938"/>
      <c r="E387" s="1938"/>
      <c r="F387" s="1938"/>
      <c r="G387" s="1938"/>
      <c r="H387" s="1938"/>
      <c r="I387" s="1938"/>
      <c r="J387" s="1241">
        <f>SUM(J388:J390)</f>
        <v>707629.64</v>
      </c>
      <c r="L387" s="812"/>
    </row>
    <row r="388" spans="1:12" ht="15.75" hidden="1" outlineLevel="1" thickBot="1">
      <c r="A388" s="919"/>
      <c r="B388" s="988" t="s">
        <v>2659</v>
      </c>
      <c r="C388" s="919" t="s">
        <v>285</v>
      </c>
      <c r="D388" s="582">
        <f>'11. Carpintería en madera'!R6</f>
        <v>1</v>
      </c>
      <c r="E388" s="993">
        <f>APU!$F$882</f>
        <v>1.5</v>
      </c>
      <c r="F388" s="940">
        <f>E388*D388</f>
        <v>1.5</v>
      </c>
      <c r="G388" s="1005">
        <f>F388/8</f>
        <v>0.1875</v>
      </c>
      <c r="H388" s="997">
        <v>1</v>
      </c>
      <c r="I388" s="1001">
        <f>ROUNDUP(G388/H388,0)</f>
        <v>1</v>
      </c>
      <c r="J388" s="999">
        <f>APU!$J$891*D388</f>
        <v>219673.91</v>
      </c>
      <c r="L388" s="812"/>
    </row>
    <row r="389" spans="1:12" ht="15.75" hidden="1" outlineLevel="1" thickBot="1">
      <c r="A389" s="919"/>
      <c r="B389" s="988" t="s">
        <v>2661</v>
      </c>
      <c r="C389" s="919" t="s">
        <v>285</v>
      </c>
      <c r="D389" s="582">
        <f>'11. Carpintería en madera'!R9</f>
        <v>1</v>
      </c>
      <c r="E389" s="993">
        <f>APU!$F$921</f>
        <v>1.5</v>
      </c>
      <c r="F389" s="940">
        <f>E389*D389</f>
        <v>1.5</v>
      </c>
      <c r="G389" s="1005">
        <f>F389/8</f>
        <v>0.1875</v>
      </c>
      <c r="H389" s="997">
        <v>1</v>
      </c>
      <c r="I389" s="1001">
        <f>ROUNDUP(G389/H389,0)</f>
        <v>1</v>
      </c>
      <c r="J389" s="999">
        <f>D389*APU!$J$930</f>
        <v>219673.91</v>
      </c>
      <c r="L389" s="812"/>
    </row>
    <row r="390" spans="1:12" ht="15.75" hidden="1" outlineLevel="1" thickBot="1">
      <c r="A390" s="921"/>
      <c r="B390" s="991" t="s">
        <v>2665</v>
      </c>
      <c r="C390" s="921" t="s">
        <v>285</v>
      </c>
      <c r="D390" s="583">
        <f>'11. Carpintería en madera'!R13</f>
        <v>1</v>
      </c>
      <c r="E390" s="994">
        <f>APU!$F$972</f>
        <v>0.7</v>
      </c>
      <c r="F390" s="940">
        <f>E390*D390</f>
        <v>0.7</v>
      </c>
      <c r="G390" s="1005">
        <f>F390/8</f>
        <v>8.7499999999999994E-2</v>
      </c>
      <c r="H390" s="1002">
        <v>1</v>
      </c>
      <c r="I390" s="1001">
        <f>ROUNDUP(G390/H390,0)</f>
        <v>1</v>
      </c>
      <c r="J390" s="1006">
        <f>D390*APU!$J$981</f>
        <v>268281.82</v>
      </c>
      <c r="L390"/>
    </row>
    <row r="391" spans="1:12" ht="15.75" collapsed="1" thickBot="1">
      <c r="A391" s="1042">
        <v>13</v>
      </c>
      <c r="B391" s="1943" t="s">
        <v>1899</v>
      </c>
      <c r="C391" s="1944"/>
      <c r="D391" s="1944"/>
      <c r="E391" s="1944"/>
      <c r="F391" s="1944"/>
      <c r="G391" s="1944"/>
      <c r="H391" s="1944"/>
      <c r="I391" s="1944"/>
      <c r="J391" s="1236">
        <f>SUM(J392,J403,J418,J429,J444,J459,J470,J481,J492)</f>
        <v>202648186.22564396</v>
      </c>
      <c r="L391" s="1410"/>
    </row>
    <row r="392" spans="1:12" ht="15.75" hidden="1" outlineLevel="1" thickBot="1">
      <c r="A392" s="1937" t="s">
        <v>820</v>
      </c>
      <c r="B392" s="1938"/>
      <c r="C392" s="1938"/>
      <c r="D392" s="1938"/>
      <c r="E392" s="1938"/>
      <c r="F392" s="1938"/>
      <c r="G392" s="1938"/>
      <c r="H392" s="1938"/>
      <c r="I392" s="1938"/>
      <c r="J392" s="1472">
        <f>SUM(J393:J402)</f>
        <v>21448630.306290995</v>
      </c>
      <c r="L392" s="1408"/>
    </row>
    <row r="393" spans="1:12" hidden="1" outlineLevel="1">
      <c r="A393" s="929" t="s">
        <v>1965</v>
      </c>
      <c r="B393" s="991" t="s">
        <v>1189</v>
      </c>
      <c r="C393" s="991" t="s">
        <v>285</v>
      </c>
      <c r="D393" s="991">
        <v>10</v>
      </c>
      <c r="E393" s="1181">
        <f>APU!$F$1001</f>
        <v>3</v>
      </c>
      <c r="F393" s="1034">
        <f t="shared" ref="F393:F402" si="88">D393*E393</f>
        <v>30</v>
      </c>
      <c r="G393" s="1184">
        <f t="shared" ref="G393:G417" si="89">F393/8</f>
        <v>3.75</v>
      </c>
      <c r="H393" s="1032">
        <v>2</v>
      </c>
      <c r="I393" s="1184">
        <f t="shared" ref="I393:I402" si="90">ROUNDUP(G393/H393,0)</f>
        <v>2</v>
      </c>
      <c r="J393" s="1086">
        <f>'Estructura de Presupuesto'!$H$143*D393</f>
        <v>5507136.5039999988</v>
      </c>
      <c r="L393" s="1408"/>
    </row>
    <row r="394" spans="1:12" hidden="1" outlineLevel="1">
      <c r="A394" s="929" t="s">
        <v>1966</v>
      </c>
      <c r="B394" s="991" t="s">
        <v>1939</v>
      </c>
      <c r="C394" s="991" t="s">
        <v>285</v>
      </c>
      <c r="D394" s="991">
        <v>9</v>
      </c>
      <c r="E394" s="1181">
        <f>APU!$F$1013</f>
        <v>4</v>
      </c>
      <c r="F394" s="1034">
        <f t="shared" si="88"/>
        <v>36</v>
      </c>
      <c r="G394" s="1184">
        <f t="shared" si="89"/>
        <v>4.5</v>
      </c>
      <c r="H394" s="1032">
        <v>2</v>
      </c>
      <c r="I394" s="1184">
        <f t="shared" si="90"/>
        <v>3</v>
      </c>
      <c r="J394" s="1086">
        <f>'Estructura de Presupuesto'!$H$144*D394</f>
        <v>10362470.074415999</v>
      </c>
      <c r="L394" s="812"/>
    </row>
    <row r="395" spans="1:12" hidden="1" outlineLevel="1">
      <c r="A395" s="929" t="s">
        <v>1967</v>
      </c>
      <c r="B395" s="991" t="s">
        <v>1190</v>
      </c>
      <c r="C395" s="991" t="s">
        <v>285</v>
      </c>
      <c r="D395" s="991">
        <v>3</v>
      </c>
      <c r="E395" s="1181">
        <f>APU!$F$1028</f>
        <v>0.25</v>
      </c>
      <c r="F395" s="1034">
        <f t="shared" si="88"/>
        <v>0.75</v>
      </c>
      <c r="G395" s="1184">
        <f t="shared" si="89"/>
        <v>9.375E-2</v>
      </c>
      <c r="H395" s="1032">
        <v>1</v>
      </c>
      <c r="I395" s="1184">
        <f t="shared" si="90"/>
        <v>1</v>
      </c>
      <c r="J395" s="1086">
        <f>'Estructura de Presupuesto'!$H$145*D395</f>
        <v>145105.14637500001</v>
      </c>
      <c r="L395" s="812"/>
    </row>
    <row r="396" spans="1:12" hidden="1" outlineLevel="1">
      <c r="A396" s="929" t="s">
        <v>1968</v>
      </c>
      <c r="B396" s="991" t="s">
        <v>1951</v>
      </c>
      <c r="C396" s="991" t="s">
        <v>285</v>
      </c>
      <c r="D396" s="991">
        <v>3</v>
      </c>
      <c r="E396" s="1181">
        <f>APU!$F$1034</f>
        <v>1</v>
      </c>
      <c r="F396" s="1034">
        <f t="shared" si="88"/>
        <v>3</v>
      </c>
      <c r="G396" s="1184">
        <f t="shared" si="89"/>
        <v>0.375</v>
      </c>
      <c r="H396" s="1032">
        <v>1</v>
      </c>
      <c r="I396" s="1184">
        <f t="shared" si="90"/>
        <v>1</v>
      </c>
      <c r="J396" s="1086">
        <f>'Estructura de Presupuesto'!$H$146*D396</f>
        <v>233718.97050000005</v>
      </c>
      <c r="L396" s="812"/>
    </row>
    <row r="397" spans="1:12" hidden="1" outlineLevel="1">
      <c r="A397" s="929" t="s">
        <v>1969</v>
      </c>
      <c r="B397" s="991" t="s">
        <v>1952</v>
      </c>
      <c r="C397" s="991" t="s">
        <v>285</v>
      </c>
      <c r="D397" s="991">
        <v>2</v>
      </c>
      <c r="E397" s="1181">
        <f>APU!$F$1040</f>
        <v>1</v>
      </c>
      <c r="F397" s="1034">
        <f t="shared" si="88"/>
        <v>2</v>
      </c>
      <c r="G397" s="1184">
        <f t="shared" si="89"/>
        <v>0.25</v>
      </c>
      <c r="H397" s="1032">
        <v>1</v>
      </c>
      <c r="I397" s="1184">
        <f t="shared" si="90"/>
        <v>1</v>
      </c>
      <c r="J397" s="1086">
        <f>'Estructura de Presupuesto'!$H$147*D397</f>
        <v>214012.64700000003</v>
      </c>
      <c r="L397" s="812"/>
    </row>
    <row r="398" spans="1:12" hidden="1" outlineLevel="1">
      <c r="A398" s="929" t="s">
        <v>1970</v>
      </c>
      <c r="B398" s="991" t="s">
        <v>1948</v>
      </c>
      <c r="C398" s="991" t="s">
        <v>285</v>
      </c>
      <c r="D398" s="991">
        <v>8</v>
      </c>
      <c r="E398" s="1181">
        <f>APU!$F$1046</f>
        <v>0.3</v>
      </c>
      <c r="F398" s="1034">
        <f t="shared" si="88"/>
        <v>2.4</v>
      </c>
      <c r="G398" s="1184">
        <f t="shared" si="89"/>
        <v>0.3</v>
      </c>
      <c r="H398" s="1032">
        <v>1</v>
      </c>
      <c r="I398" s="1184">
        <f t="shared" si="90"/>
        <v>1</v>
      </c>
      <c r="J398" s="1086">
        <f>'Estructura de Presupuesto'!$H$148*D398</f>
        <v>73435.199999999997</v>
      </c>
      <c r="L398"/>
    </row>
    <row r="399" spans="1:12" hidden="1" outlineLevel="1">
      <c r="A399" s="929" t="s">
        <v>1936</v>
      </c>
      <c r="B399" s="991" t="s">
        <v>1950</v>
      </c>
      <c r="C399" s="991" t="s">
        <v>285</v>
      </c>
      <c r="D399" s="991">
        <v>5</v>
      </c>
      <c r="E399" s="1181">
        <f>APU!$F$1053</f>
        <v>1</v>
      </c>
      <c r="F399" s="1034">
        <f t="shared" si="88"/>
        <v>5</v>
      </c>
      <c r="G399" s="1184">
        <f t="shared" si="89"/>
        <v>0.625</v>
      </c>
      <c r="H399" s="1032">
        <v>1</v>
      </c>
      <c r="I399" s="1184">
        <f t="shared" si="90"/>
        <v>1</v>
      </c>
      <c r="J399" s="1086">
        <f>'Estructura de Presupuesto'!$H$149*D399</f>
        <v>374531.61750000005</v>
      </c>
      <c r="L399"/>
    </row>
    <row r="400" spans="1:12" hidden="1" outlineLevel="1">
      <c r="A400" s="929" t="s">
        <v>1971</v>
      </c>
      <c r="B400" s="991" t="s">
        <v>1949</v>
      </c>
      <c r="C400" s="991" t="s">
        <v>285</v>
      </c>
      <c r="D400" s="991">
        <v>6</v>
      </c>
      <c r="E400" s="1181">
        <f>APU!$F$1059</f>
        <v>1</v>
      </c>
      <c r="F400" s="1034">
        <f t="shared" si="88"/>
        <v>6</v>
      </c>
      <c r="G400" s="1184">
        <f t="shared" si="89"/>
        <v>0.75</v>
      </c>
      <c r="H400" s="1032">
        <v>1</v>
      </c>
      <c r="I400" s="1184">
        <f t="shared" si="90"/>
        <v>1</v>
      </c>
      <c r="J400" s="1086">
        <f>'Estructura de Presupuesto'!$H$150*D400</f>
        <v>2321437.9410000001</v>
      </c>
      <c r="L400" s="1408"/>
    </row>
    <row r="401" spans="1:12" hidden="1" outlineLevel="1">
      <c r="A401" s="929" t="s">
        <v>1972</v>
      </c>
      <c r="B401" s="991" t="s">
        <v>1953</v>
      </c>
      <c r="C401" s="991" t="s">
        <v>285</v>
      </c>
      <c r="D401" s="991">
        <v>8</v>
      </c>
      <c r="E401" s="1181">
        <f>APU!$F$1065</f>
        <v>1</v>
      </c>
      <c r="F401" s="1034">
        <f t="shared" si="88"/>
        <v>8</v>
      </c>
      <c r="G401" s="1184">
        <f t="shared" si="89"/>
        <v>1</v>
      </c>
      <c r="H401" s="1032">
        <v>1</v>
      </c>
      <c r="I401" s="1184">
        <f t="shared" si="90"/>
        <v>1</v>
      </c>
      <c r="J401" s="1086">
        <f>'Estructura de Presupuesto'!$H$151*D401</f>
        <v>1167250.588</v>
      </c>
      <c r="L401" s="1408"/>
    </row>
    <row r="402" spans="1:12" ht="15.75" hidden="1" outlineLevel="1" thickBot="1">
      <c r="A402" s="929" t="s">
        <v>1973</v>
      </c>
      <c r="B402" s="991" t="s">
        <v>1954</v>
      </c>
      <c r="C402" s="991" t="s">
        <v>285</v>
      </c>
      <c r="D402" s="991">
        <v>5</v>
      </c>
      <c r="E402" s="1181">
        <f>APU!$F$1071</f>
        <v>1</v>
      </c>
      <c r="F402" s="1034">
        <f t="shared" si="88"/>
        <v>5</v>
      </c>
      <c r="G402" s="1184">
        <f t="shared" si="89"/>
        <v>0.625</v>
      </c>
      <c r="H402" s="1032">
        <v>1</v>
      </c>
      <c r="I402" s="1184">
        <f t="shared" si="90"/>
        <v>1</v>
      </c>
      <c r="J402" s="1086">
        <f>'Estructura de Presupuesto'!$H$152*D402</f>
        <v>1049531.6174999999</v>
      </c>
      <c r="L402" s="812"/>
    </row>
    <row r="403" spans="1:12" ht="15.75" hidden="1" outlineLevel="1" thickBot="1">
      <c r="A403" s="1937" t="s">
        <v>2241</v>
      </c>
      <c r="B403" s="1938"/>
      <c r="C403" s="1938"/>
      <c r="D403" s="1938"/>
      <c r="E403" s="1938"/>
      <c r="F403" s="1938"/>
      <c r="G403" s="1938"/>
      <c r="H403" s="1938"/>
      <c r="I403" s="1938"/>
      <c r="J403" s="1472">
        <f>SUM(J404:J417)</f>
        <v>24626753.926665999</v>
      </c>
      <c r="L403" s="812"/>
    </row>
    <row r="404" spans="1:12" hidden="1" outlineLevel="1">
      <c r="A404" s="929" t="s">
        <v>1974</v>
      </c>
      <c r="B404" s="991" t="s">
        <v>1189</v>
      </c>
      <c r="C404" s="1211" t="s">
        <v>285</v>
      </c>
      <c r="D404" s="991">
        <v>10</v>
      </c>
      <c r="E404" s="1181">
        <f>APU!$F$1001</f>
        <v>3</v>
      </c>
      <c r="F404" s="1034">
        <f t="shared" ref="F404:F417" si="91">D404*E404</f>
        <v>30</v>
      </c>
      <c r="G404" s="1184">
        <f t="shared" si="89"/>
        <v>3.75</v>
      </c>
      <c r="H404" s="1032">
        <v>2</v>
      </c>
      <c r="I404" s="1184">
        <f t="shared" ref="I404:I417" si="92">ROUNDUP(G404/H404,0)</f>
        <v>2</v>
      </c>
      <c r="J404" s="1086">
        <f>'Estructura de Presupuesto'!$H$143*D404</f>
        <v>5507136.5039999988</v>
      </c>
      <c r="L404" s="812"/>
    </row>
    <row r="405" spans="1:12" hidden="1" outlineLevel="1">
      <c r="A405" s="929" t="s">
        <v>1975</v>
      </c>
      <c r="B405" s="991" t="s">
        <v>1939</v>
      </c>
      <c r="C405" s="1211" t="s">
        <v>285</v>
      </c>
      <c r="D405" s="991">
        <v>9</v>
      </c>
      <c r="E405" s="1181">
        <f>APU!$F$1013</f>
        <v>4</v>
      </c>
      <c r="F405" s="1034">
        <f t="shared" si="91"/>
        <v>36</v>
      </c>
      <c r="G405" s="1184">
        <f t="shared" si="89"/>
        <v>4.5</v>
      </c>
      <c r="H405" s="1032">
        <v>2</v>
      </c>
      <c r="I405" s="1184">
        <f t="shared" si="92"/>
        <v>3</v>
      </c>
      <c r="J405" s="1086">
        <f>'Estructura de Presupuesto'!$H$144*D405</f>
        <v>10362470.074415999</v>
      </c>
      <c r="L405" s="812"/>
    </row>
    <row r="406" spans="1:12" hidden="1" outlineLevel="1">
      <c r="A406" s="929" t="s">
        <v>1976</v>
      </c>
      <c r="B406" s="991" t="s">
        <v>1190</v>
      </c>
      <c r="C406" s="1211" t="s">
        <v>285</v>
      </c>
      <c r="D406" s="991">
        <v>4</v>
      </c>
      <c r="E406" s="1181">
        <f>APU!$F$1028</f>
        <v>0.25</v>
      </c>
      <c r="F406" s="1034">
        <f t="shared" si="91"/>
        <v>1</v>
      </c>
      <c r="G406" s="1184">
        <f t="shared" si="89"/>
        <v>0.125</v>
      </c>
      <c r="H406" s="1032">
        <v>1</v>
      </c>
      <c r="I406" s="1184">
        <f t="shared" si="92"/>
        <v>1</v>
      </c>
      <c r="J406" s="1086">
        <f>'Estructura de Presupuesto'!$H$145*D406</f>
        <v>193473.52850000001</v>
      </c>
      <c r="L406"/>
    </row>
    <row r="407" spans="1:12" hidden="1" outlineLevel="1">
      <c r="A407" s="929" t="s">
        <v>1977</v>
      </c>
      <c r="B407" s="991" t="s">
        <v>1951</v>
      </c>
      <c r="C407" s="1211" t="s">
        <v>285</v>
      </c>
      <c r="D407" s="991">
        <v>3</v>
      </c>
      <c r="E407" s="1181">
        <f>APU!$F$1034</f>
        <v>1</v>
      </c>
      <c r="F407" s="1034">
        <f t="shared" si="91"/>
        <v>3</v>
      </c>
      <c r="G407" s="1184">
        <f t="shared" si="89"/>
        <v>0.375</v>
      </c>
      <c r="H407" s="1032">
        <v>1</v>
      </c>
      <c r="I407" s="1184">
        <f t="shared" si="92"/>
        <v>1</v>
      </c>
      <c r="J407" s="1086">
        <f>'Estructura de Presupuesto'!$H$146*D407+1659</f>
        <v>235377.97050000005</v>
      </c>
      <c r="L407"/>
    </row>
    <row r="408" spans="1:12" hidden="1" outlineLevel="1">
      <c r="A408" s="929" t="s">
        <v>3022</v>
      </c>
      <c r="B408" s="991" t="s">
        <v>1952</v>
      </c>
      <c r="C408" s="1211" t="s">
        <v>285</v>
      </c>
      <c r="D408" s="991">
        <v>2</v>
      </c>
      <c r="E408" s="1181">
        <f>APU!$F$1040</f>
        <v>1</v>
      </c>
      <c r="F408" s="1034">
        <f t="shared" si="91"/>
        <v>2</v>
      </c>
      <c r="G408" s="1184">
        <f t="shared" si="89"/>
        <v>0.25</v>
      </c>
      <c r="H408" s="1032">
        <v>1</v>
      </c>
      <c r="I408" s="1184">
        <f t="shared" si="92"/>
        <v>1</v>
      </c>
      <c r="J408" s="1086">
        <f>'Estructura de Presupuesto'!$H$147*D408</f>
        <v>214012.64700000003</v>
      </c>
      <c r="L408" s="1408"/>
    </row>
    <row r="409" spans="1:12" hidden="1" outlineLevel="1">
      <c r="A409" s="929" t="s">
        <v>3023</v>
      </c>
      <c r="B409" s="991" t="s">
        <v>1948</v>
      </c>
      <c r="C409" s="1211" t="s">
        <v>285</v>
      </c>
      <c r="D409" s="991">
        <v>8</v>
      </c>
      <c r="E409" s="1181">
        <f>APU!$F$1046</f>
        <v>0.3</v>
      </c>
      <c r="F409" s="1034">
        <f t="shared" si="91"/>
        <v>2.4</v>
      </c>
      <c r="G409" s="1184">
        <f t="shared" si="89"/>
        <v>0.3</v>
      </c>
      <c r="H409" s="1032">
        <v>1</v>
      </c>
      <c r="I409" s="1184">
        <f t="shared" si="92"/>
        <v>1</v>
      </c>
      <c r="J409" s="1086">
        <f>'Estructura de Presupuesto'!$H$148*D409</f>
        <v>73435.199999999997</v>
      </c>
      <c r="L409" s="1408"/>
    </row>
    <row r="410" spans="1:12" hidden="1" outlineLevel="1">
      <c r="A410" s="929" t="s">
        <v>3024</v>
      </c>
      <c r="B410" s="991" t="s">
        <v>1950</v>
      </c>
      <c r="C410" s="1211" t="s">
        <v>285</v>
      </c>
      <c r="D410" s="991">
        <v>5</v>
      </c>
      <c r="E410" s="1181">
        <f>APU!$F$1053</f>
        <v>1</v>
      </c>
      <c r="F410" s="1034">
        <f t="shared" si="91"/>
        <v>5</v>
      </c>
      <c r="G410" s="1184">
        <f t="shared" si="89"/>
        <v>0.625</v>
      </c>
      <c r="H410" s="1032">
        <v>1</v>
      </c>
      <c r="I410" s="1184">
        <f t="shared" si="92"/>
        <v>1</v>
      </c>
      <c r="J410" s="1086">
        <f>'Estructura de Presupuesto'!$H$149*D410</f>
        <v>374531.61750000005</v>
      </c>
      <c r="L410" s="812"/>
    </row>
    <row r="411" spans="1:12" hidden="1" outlineLevel="1">
      <c r="A411" s="929" t="s">
        <v>3025</v>
      </c>
      <c r="B411" s="991" t="s">
        <v>1949</v>
      </c>
      <c r="C411" s="1211" t="s">
        <v>285</v>
      </c>
      <c r="D411" s="991">
        <v>6</v>
      </c>
      <c r="E411" s="1181">
        <f>APU!$F$1059</f>
        <v>1</v>
      </c>
      <c r="F411" s="1034">
        <f t="shared" si="91"/>
        <v>6</v>
      </c>
      <c r="G411" s="1184">
        <f t="shared" si="89"/>
        <v>0.75</v>
      </c>
      <c r="H411" s="1032">
        <v>1</v>
      </c>
      <c r="I411" s="1184">
        <f t="shared" si="92"/>
        <v>1</v>
      </c>
      <c r="J411" s="1086">
        <f>'Estructura de Presupuesto'!$H$150*D411</f>
        <v>2321437.9410000001</v>
      </c>
      <c r="L411" s="812"/>
    </row>
    <row r="412" spans="1:12" hidden="1" outlineLevel="1">
      <c r="A412" s="929" t="s">
        <v>3026</v>
      </c>
      <c r="B412" s="991" t="s">
        <v>1953</v>
      </c>
      <c r="C412" s="1211" t="s">
        <v>285</v>
      </c>
      <c r="D412" s="991">
        <v>8</v>
      </c>
      <c r="E412" s="1181">
        <f>APU!$F$1065</f>
        <v>1</v>
      </c>
      <c r="F412" s="1034">
        <f t="shared" si="91"/>
        <v>8</v>
      </c>
      <c r="G412" s="1184">
        <f t="shared" si="89"/>
        <v>1</v>
      </c>
      <c r="H412" s="1032">
        <v>1</v>
      </c>
      <c r="I412" s="1184">
        <f t="shared" si="92"/>
        <v>1</v>
      </c>
      <c r="J412" s="1086">
        <f>'Estructura de Presupuesto'!$H$151*D412</f>
        <v>1167250.588</v>
      </c>
      <c r="L412" s="812"/>
    </row>
    <row r="413" spans="1:12" hidden="1" outlineLevel="1">
      <c r="A413" s="929" t="s">
        <v>3027</v>
      </c>
      <c r="B413" s="991" t="s">
        <v>1954</v>
      </c>
      <c r="C413" s="1211" t="s">
        <v>285</v>
      </c>
      <c r="D413" s="991">
        <v>5</v>
      </c>
      <c r="E413" s="1181">
        <f>APU!$F$1071</f>
        <v>1</v>
      </c>
      <c r="F413" s="1034">
        <f t="shared" si="91"/>
        <v>5</v>
      </c>
      <c r="G413" s="1184">
        <f t="shared" si="89"/>
        <v>0.625</v>
      </c>
      <c r="H413" s="1032">
        <v>1</v>
      </c>
      <c r="I413" s="1184">
        <f t="shared" si="92"/>
        <v>1</v>
      </c>
      <c r="J413" s="1086">
        <f>'Estructura de Presupuesto'!$H$152*D413</f>
        <v>1049531.6174999999</v>
      </c>
      <c r="L413" s="812"/>
    </row>
    <row r="414" spans="1:12" hidden="1" outlineLevel="1">
      <c r="A414" s="929" t="s">
        <v>3028</v>
      </c>
      <c r="B414" s="991" t="s">
        <v>1946</v>
      </c>
      <c r="C414" s="1211" t="s">
        <v>285</v>
      </c>
      <c r="D414" s="991">
        <v>1</v>
      </c>
      <c r="E414" s="1181">
        <f>APU!$F$1077</f>
        <v>0.5</v>
      </c>
      <c r="F414" s="1034">
        <f t="shared" si="91"/>
        <v>0.5</v>
      </c>
      <c r="G414" s="1184">
        <f t="shared" si="89"/>
        <v>6.25E-2</v>
      </c>
      <c r="H414" s="1032">
        <v>1</v>
      </c>
      <c r="I414" s="1184">
        <f t="shared" si="92"/>
        <v>1</v>
      </c>
      <c r="J414" s="1086">
        <f>'Estructura de Presupuesto'!$H$153*D414</f>
        <v>438753.33724999998</v>
      </c>
      <c r="L414"/>
    </row>
    <row r="415" spans="1:12" hidden="1" outlineLevel="1">
      <c r="A415" s="929" t="s">
        <v>3029</v>
      </c>
      <c r="B415" s="991" t="s">
        <v>1959</v>
      </c>
      <c r="C415" s="1211" t="s">
        <v>285</v>
      </c>
      <c r="D415" s="991">
        <v>1</v>
      </c>
      <c r="E415" s="1181">
        <f>APU!$F$1087</f>
        <v>5</v>
      </c>
      <c r="F415" s="1034">
        <f t="shared" si="91"/>
        <v>5</v>
      </c>
      <c r="G415" s="1184">
        <f t="shared" si="89"/>
        <v>0.625</v>
      </c>
      <c r="H415" s="1032">
        <v>1</v>
      </c>
      <c r="I415" s="1184">
        <f t="shared" si="92"/>
        <v>1</v>
      </c>
      <c r="J415" s="1086">
        <f>'Estructura de Presupuesto'!$H$154*D415</f>
        <v>1095701.7885</v>
      </c>
      <c r="L415"/>
    </row>
    <row r="416" spans="1:12" hidden="1" outlineLevel="1">
      <c r="A416" s="929" t="s">
        <v>3030</v>
      </c>
      <c r="B416" s="991" t="s">
        <v>1962</v>
      </c>
      <c r="C416" s="1211" t="s">
        <v>285</v>
      </c>
      <c r="D416" s="991">
        <v>2</v>
      </c>
      <c r="E416" s="1181">
        <f>APU!$F$1094</f>
        <v>5</v>
      </c>
      <c r="F416" s="1034">
        <f t="shared" si="91"/>
        <v>10</v>
      </c>
      <c r="G416" s="1184">
        <f t="shared" si="89"/>
        <v>1.25</v>
      </c>
      <c r="H416" s="1032">
        <v>1</v>
      </c>
      <c r="I416" s="1184">
        <f t="shared" si="92"/>
        <v>2</v>
      </c>
      <c r="J416" s="1086">
        <f>'Estructura de Presupuesto'!$H$155*D416</f>
        <v>261856.44500000001</v>
      </c>
      <c r="L416" s="1408"/>
    </row>
    <row r="417" spans="1:12" ht="15.75" hidden="1" outlineLevel="1" thickBot="1">
      <c r="A417" s="929" t="s">
        <v>3031</v>
      </c>
      <c r="B417" s="991" t="s">
        <v>1963</v>
      </c>
      <c r="C417" s="1211" t="s">
        <v>285</v>
      </c>
      <c r="D417" s="991">
        <v>3</v>
      </c>
      <c r="E417" s="1181">
        <f>APU!$F$1101</f>
        <v>5</v>
      </c>
      <c r="F417" s="1034">
        <f t="shared" si="91"/>
        <v>15</v>
      </c>
      <c r="G417" s="1184">
        <f t="shared" si="89"/>
        <v>1.875</v>
      </c>
      <c r="H417" s="1032">
        <v>1</v>
      </c>
      <c r="I417" s="1184">
        <f t="shared" si="92"/>
        <v>2</v>
      </c>
      <c r="J417" s="1086">
        <f>'Estructura de Presupuesto'!$H$156*D417</f>
        <v>1331784.6675</v>
      </c>
      <c r="L417" s="1408"/>
    </row>
    <row r="418" spans="1:12" ht="15.75" hidden="1" outlineLevel="1" thickBot="1">
      <c r="A418" s="1937" t="s">
        <v>2246</v>
      </c>
      <c r="B418" s="1938"/>
      <c r="C418" s="1938"/>
      <c r="D418" s="1938"/>
      <c r="E418" s="1938"/>
      <c r="F418" s="1938"/>
      <c r="G418" s="1938"/>
      <c r="H418" s="1938"/>
      <c r="I418" s="1938"/>
      <c r="J418" s="1472">
        <f>SUM(J419:J428)</f>
        <v>21341623.982790995</v>
      </c>
      <c r="L418" s="812"/>
    </row>
    <row r="419" spans="1:12" hidden="1" outlineLevel="1">
      <c r="A419" s="929" t="s">
        <v>3032</v>
      </c>
      <c r="B419" s="991" t="s">
        <v>1189</v>
      </c>
      <c r="C419" s="1211" t="s">
        <v>285</v>
      </c>
      <c r="D419" s="991">
        <v>10</v>
      </c>
      <c r="E419" s="1181">
        <f>APU!$F$1001</f>
        <v>3</v>
      </c>
      <c r="F419" s="1034">
        <f t="shared" ref="F419:F428" si="93">D419*E419</f>
        <v>30</v>
      </c>
      <c r="G419" s="1184">
        <f t="shared" ref="G419:G428" si="94">F419/8</f>
        <v>3.75</v>
      </c>
      <c r="H419" s="1032">
        <v>2</v>
      </c>
      <c r="I419" s="1184">
        <f t="shared" ref="I419:I428" si="95">ROUNDUP(G419/H419,0)</f>
        <v>2</v>
      </c>
      <c r="J419" s="1086">
        <f>'Estructura de Presupuesto'!$H$143*D419</f>
        <v>5507136.5039999988</v>
      </c>
      <c r="L419" s="812"/>
    </row>
    <row r="420" spans="1:12" hidden="1" outlineLevel="1">
      <c r="A420" s="929" t="s">
        <v>3033</v>
      </c>
      <c r="B420" s="991" t="s">
        <v>1939</v>
      </c>
      <c r="C420" s="1211" t="s">
        <v>285</v>
      </c>
      <c r="D420" s="991">
        <v>9</v>
      </c>
      <c r="E420" s="1181">
        <f>APU!$F$1013</f>
        <v>4</v>
      </c>
      <c r="F420" s="1034">
        <f t="shared" si="93"/>
        <v>36</v>
      </c>
      <c r="G420" s="1184">
        <f t="shared" si="94"/>
        <v>4.5</v>
      </c>
      <c r="H420" s="1032">
        <v>2</v>
      </c>
      <c r="I420" s="1184">
        <f t="shared" si="95"/>
        <v>3</v>
      </c>
      <c r="J420" s="1086">
        <f>'Estructura de Presupuesto'!$H$144*D420</f>
        <v>10362470.074415999</v>
      </c>
      <c r="L420" s="812"/>
    </row>
    <row r="421" spans="1:12" hidden="1" outlineLevel="1">
      <c r="A421" s="929" t="s">
        <v>3034</v>
      </c>
      <c r="B421" s="991" t="s">
        <v>1190</v>
      </c>
      <c r="C421" s="1211" t="s">
        <v>285</v>
      </c>
      <c r="D421" s="991">
        <v>3</v>
      </c>
      <c r="E421" s="1181">
        <f>APU!$F$1028</f>
        <v>0.25</v>
      </c>
      <c r="F421" s="1034">
        <f t="shared" si="93"/>
        <v>0.75</v>
      </c>
      <c r="G421" s="1184">
        <f t="shared" si="94"/>
        <v>9.375E-2</v>
      </c>
      <c r="H421" s="1032">
        <v>1</v>
      </c>
      <c r="I421" s="1184">
        <f t="shared" si="95"/>
        <v>1</v>
      </c>
      <c r="J421" s="1086">
        <f>'Estructura de Presupuesto'!$H$145*D421</f>
        <v>145105.14637500001</v>
      </c>
      <c r="L421" s="812"/>
    </row>
    <row r="422" spans="1:12" hidden="1" outlineLevel="1">
      <c r="A422" s="929" t="s">
        <v>3035</v>
      </c>
      <c r="B422" s="991" t="s">
        <v>1951</v>
      </c>
      <c r="C422" s="1211" t="s">
        <v>285</v>
      </c>
      <c r="D422" s="991">
        <v>3</v>
      </c>
      <c r="E422" s="1181">
        <f>APU!$F$1034</f>
        <v>1</v>
      </c>
      <c r="F422" s="1034">
        <f t="shared" si="93"/>
        <v>3</v>
      </c>
      <c r="G422" s="1184">
        <f t="shared" si="94"/>
        <v>0.375</v>
      </c>
      <c r="H422" s="1032">
        <v>1</v>
      </c>
      <c r="I422" s="1184">
        <f t="shared" si="95"/>
        <v>1</v>
      </c>
      <c r="J422" s="1086">
        <f>'Estructura de Presupuesto'!$H$146*D422</f>
        <v>233718.97050000005</v>
      </c>
      <c r="L422"/>
    </row>
    <row r="423" spans="1:12" hidden="1" outlineLevel="1">
      <c r="A423" s="929" t="s">
        <v>3036</v>
      </c>
      <c r="B423" s="991" t="s">
        <v>1952</v>
      </c>
      <c r="C423" s="1211" t="s">
        <v>285</v>
      </c>
      <c r="D423" s="991">
        <v>1</v>
      </c>
      <c r="E423" s="1181">
        <f>APU!$F$1040</f>
        <v>1</v>
      </c>
      <c r="F423" s="1034">
        <f t="shared" si="93"/>
        <v>1</v>
      </c>
      <c r="G423" s="1184">
        <f t="shared" si="94"/>
        <v>0.125</v>
      </c>
      <c r="H423" s="1032">
        <v>1</v>
      </c>
      <c r="I423" s="1184">
        <f t="shared" si="95"/>
        <v>1</v>
      </c>
      <c r="J423" s="1086">
        <f>'Estructura de Presupuesto'!$H$147*D423</f>
        <v>107006.32350000001</v>
      </c>
      <c r="L423"/>
    </row>
    <row r="424" spans="1:12" hidden="1" outlineLevel="1">
      <c r="A424" s="929" t="s">
        <v>3037</v>
      </c>
      <c r="B424" s="991" t="s">
        <v>1948</v>
      </c>
      <c r="C424" s="1211" t="s">
        <v>285</v>
      </c>
      <c r="D424" s="991">
        <v>8</v>
      </c>
      <c r="E424" s="1181">
        <f>APU!$F$1046</f>
        <v>0.3</v>
      </c>
      <c r="F424" s="1034">
        <f t="shared" si="93"/>
        <v>2.4</v>
      </c>
      <c r="G424" s="1184">
        <f t="shared" si="94"/>
        <v>0.3</v>
      </c>
      <c r="H424" s="1032">
        <v>1</v>
      </c>
      <c r="I424" s="1184">
        <f t="shared" si="95"/>
        <v>1</v>
      </c>
      <c r="J424" s="1086">
        <f>'Estructura de Presupuesto'!$H$148*D424</f>
        <v>73435.199999999997</v>
      </c>
      <c r="L424" s="1408"/>
    </row>
    <row r="425" spans="1:12" hidden="1" outlineLevel="1">
      <c r="A425" s="929" t="s">
        <v>3038</v>
      </c>
      <c r="B425" s="991" t="s">
        <v>1950</v>
      </c>
      <c r="C425" s="1211" t="s">
        <v>285</v>
      </c>
      <c r="D425" s="991">
        <v>5</v>
      </c>
      <c r="E425" s="1181">
        <f>APU!$F$1053</f>
        <v>1</v>
      </c>
      <c r="F425" s="1034">
        <f t="shared" si="93"/>
        <v>5</v>
      </c>
      <c r="G425" s="1184">
        <f t="shared" si="94"/>
        <v>0.625</v>
      </c>
      <c r="H425" s="1032">
        <v>1</v>
      </c>
      <c r="I425" s="1184">
        <f t="shared" si="95"/>
        <v>1</v>
      </c>
      <c r="J425" s="1086">
        <f>'Estructura de Presupuesto'!$H$149*D425</f>
        <v>374531.61750000005</v>
      </c>
      <c r="L425" s="1408"/>
    </row>
    <row r="426" spans="1:12" hidden="1" outlineLevel="1">
      <c r="A426" s="929" t="s">
        <v>3039</v>
      </c>
      <c r="B426" s="991" t="s">
        <v>1949</v>
      </c>
      <c r="C426" s="1211" t="s">
        <v>285</v>
      </c>
      <c r="D426" s="991">
        <v>6</v>
      </c>
      <c r="E426" s="1181">
        <f>APU!$F$1059</f>
        <v>1</v>
      </c>
      <c r="F426" s="1034">
        <f t="shared" si="93"/>
        <v>6</v>
      </c>
      <c r="G426" s="1184">
        <f t="shared" si="94"/>
        <v>0.75</v>
      </c>
      <c r="H426" s="1032">
        <v>1</v>
      </c>
      <c r="I426" s="1184">
        <f t="shared" si="95"/>
        <v>1</v>
      </c>
      <c r="J426" s="1086">
        <f>'Estructura de Presupuesto'!$H$150*D426</f>
        <v>2321437.9410000001</v>
      </c>
      <c r="L426" s="812"/>
    </row>
    <row r="427" spans="1:12" hidden="1" outlineLevel="1">
      <c r="A427" s="929" t="s">
        <v>3040</v>
      </c>
      <c r="B427" s="991" t="s">
        <v>1953</v>
      </c>
      <c r="C427" s="1211" t="s">
        <v>285</v>
      </c>
      <c r="D427" s="991">
        <v>8</v>
      </c>
      <c r="E427" s="1181">
        <f>APU!$F$1065</f>
        <v>1</v>
      </c>
      <c r="F427" s="1034">
        <f t="shared" si="93"/>
        <v>8</v>
      </c>
      <c r="G427" s="1184">
        <f t="shared" si="94"/>
        <v>1</v>
      </c>
      <c r="H427" s="1032">
        <v>1</v>
      </c>
      <c r="I427" s="1184">
        <f t="shared" si="95"/>
        <v>1</v>
      </c>
      <c r="J427" s="1086">
        <f>'Estructura de Presupuesto'!$H$151*D427</f>
        <v>1167250.588</v>
      </c>
      <c r="L427" s="812"/>
    </row>
    <row r="428" spans="1:12" ht="15.75" hidden="1" outlineLevel="1" thickBot="1">
      <c r="A428" s="929" t="s">
        <v>3041</v>
      </c>
      <c r="B428" s="991" t="s">
        <v>1954</v>
      </c>
      <c r="C428" s="1211" t="s">
        <v>285</v>
      </c>
      <c r="D428" s="991">
        <v>5</v>
      </c>
      <c r="E428" s="1181">
        <f>APU!$F$1071</f>
        <v>1</v>
      </c>
      <c r="F428" s="1034">
        <f t="shared" si="93"/>
        <v>5</v>
      </c>
      <c r="G428" s="1184">
        <f t="shared" si="94"/>
        <v>0.625</v>
      </c>
      <c r="H428" s="1032">
        <v>1</v>
      </c>
      <c r="I428" s="1184">
        <f t="shared" si="95"/>
        <v>1</v>
      </c>
      <c r="J428" s="1086">
        <f>'Estructura de Presupuesto'!$H$152*D428</f>
        <v>1049531.6174999999</v>
      </c>
      <c r="L428" s="812"/>
    </row>
    <row r="429" spans="1:12" ht="15.75" hidden="1" outlineLevel="1" thickBot="1">
      <c r="A429" s="1937" t="s">
        <v>801</v>
      </c>
      <c r="B429" s="1938"/>
      <c r="C429" s="1938"/>
      <c r="D429" s="1938"/>
      <c r="E429" s="1938"/>
      <c r="F429" s="1938"/>
      <c r="G429" s="1938"/>
      <c r="H429" s="1938"/>
      <c r="I429" s="1938"/>
      <c r="J429" s="1472">
        <f>SUM(J430:J443)</f>
        <v>24469720.221040998</v>
      </c>
      <c r="L429" s="812"/>
    </row>
    <row r="430" spans="1:12" hidden="1" outlineLevel="1">
      <c r="A430" s="929" t="s">
        <v>3042</v>
      </c>
      <c r="B430" s="991" t="s">
        <v>1189</v>
      </c>
      <c r="C430" s="1211" t="s">
        <v>285</v>
      </c>
      <c r="D430" s="991">
        <v>10</v>
      </c>
      <c r="E430" s="1181">
        <f>APU!$F$1001</f>
        <v>3</v>
      </c>
      <c r="F430" s="1034">
        <f t="shared" ref="F430:F443" si="96">D430*E430</f>
        <v>30</v>
      </c>
      <c r="G430" s="1184">
        <f t="shared" ref="G430:G443" si="97">F430/8</f>
        <v>3.75</v>
      </c>
      <c r="H430" s="1032">
        <v>2</v>
      </c>
      <c r="I430" s="1184">
        <f t="shared" ref="I430:I443" si="98">ROUNDUP(G430/H430,0)</f>
        <v>2</v>
      </c>
      <c r="J430" s="1086">
        <f>'Estructura de Presupuesto'!$H$143*D430</f>
        <v>5507136.5039999988</v>
      </c>
      <c r="L430"/>
    </row>
    <row r="431" spans="1:12" hidden="1" outlineLevel="1">
      <c r="A431" s="929" t="s">
        <v>3043</v>
      </c>
      <c r="B431" s="991" t="s">
        <v>1939</v>
      </c>
      <c r="C431" s="1211" t="s">
        <v>285</v>
      </c>
      <c r="D431" s="991">
        <v>9</v>
      </c>
      <c r="E431" s="1181">
        <f>APU!$F$1013</f>
        <v>4</v>
      </c>
      <c r="F431" s="1034">
        <f t="shared" si="96"/>
        <v>36</v>
      </c>
      <c r="G431" s="1184">
        <f t="shared" si="97"/>
        <v>4.5</v>
      </c>
      <c r="H431" s="1032">
        <v>2</v>
      </c>
      <c r="I431" s="1184">
        <f t="shared" si="98"/>
        <v>3</v>
      </c>
      <c r="J431" s="1086">
        <f>'Estructura de Presupuesto'!$H$144*D431</f>
        <v>10362470.074415999</v>
      </c>
      <c r="L431"/>
    </row>
    <row r="432" spans="1:12" hidden="1" outlineLevel="1">
      <c r="A432" s="929" t="s">
        <v>3044</v>
      </c>
      <c r="B432" s="991" t="s">
        <v>1190</v>
      </c>
      <c r="C432" s="1211" t="s">
        <v>285</v>
      </c>
      <c r="D432" s="991">
        <v>3</v>
      </c>
      <c r="E432" s="1181">
        <f>APU!$F$1028</f>
        <v>0.25</v>
      </c>
      <c r="F432" s="1034">
        <f t="shared" si="96"/>
        <v>0.75</v>
      </c>
      <c r="G432" s="1184">
        <f t="shared" si="97"/>
        <v>9.375E-2</v>
      </c>
      <c r="H432" s="1032">
        <v>1</v>
      </c>
      <c r="I432" s="1184">
        <f t="shared" si="98"/>
        <v>1</v>
      </c>
      <c r="J432" s="1086">
        <f>'Estructura de Presupuesto'!$H$145*D432</f>
        <v>145105.14637500001</v>
      </c>
      <c r="L432" s="1408"/>
    </row>
    <row r="433" spans="1:12" hidden="1" outlineLevel="1">
      <c r="A433" s="929" t="s">
        <v>3045</v>
      </c>
      <c r="B433" s="991" t="s">
        <v>1951</v>
      </c>
      <c r="C433" s="1211" t="s">
        <v>285</v>
      </c>
      <c r="D433" s="991">
        <v>3</v>
      </c>
      <c r="E433" s="1181">
        <f>APU!$F$1034</f>
        <v>1</v>
      </c>
      <c r="F433" s="1034">
        <f t="shared" si="96"/>
        <v>3</v>
      </c>
      <c r="G433" s="1184">
        <f t="shared" si="97"/>
        <v>0.375</v>
      </c>
      <c r="H433" s="1032">
        <v>1</v>
      </c>
      <c r="I433" s="1184">
        <f t="shared" si="98"/>
        <v>1</v>
      </c>
      <c r="J433" s="1086">
        <f>'Estructura de Presupuesto'!$H$146*D433</f>
        <v>233718.97050000005</v>
      </c>
      <c r="L433" s="1408"/>
    </row>
    <row r="434" spans="1:12" hidden="1" outlineLevel="1">
      <c r="A434" s="929" t="s">
        <v>3046</v>
      </c>
      <c r="B434" s="991" t="s">
        <v>1952</v>
      </c>
      <c r="C434" s="1211" t="s">
        <v>285</v>
      </c>
      <c r="D434" s="991">
        <v>1</v>
      </c>
      <c r="E434" s="1181">
        <f>APU!$F$1040</f>
        <v>1</v>
      </c>
      <c r="F434" s="1034">
        <f t="shared" si="96"/>
        <v>1</v>
      </c>
      <c r="G434" s="1184">
        <f t="shared" si="97"/>
        <v>0.125</v>
      </c>
      <c r="H434" s="1032">
        <v>1</v>
      </c>
      <c r="I434" s="1184">
        <f t="shared" si="98"/>
        <v>1</v>
      </c>
      <c r="J434" s="1086">
        <f>'Estructura de Presupuesto'!$H$147*D434</f>
        <v>107006.32350000001</v>
      </c>
      <c r="L434" s="812"/>
    </row>
    <row r="435" spans="1:12" hidden="1" outlineLevel="1">
      <c r="A435" s="929" t="s">
        <v>3047</v>
      </c>
      <c r="B435" s="991" t="s">
        <v>1948</v>
      </c>
      <c r="C435" s="1211" t="s">
        <v>285</v>
      </c>
      <c r="D435" s="991">
        <v>8</v>
      </c>
      <c r="E435" s="1181">
        <f>APU!$F$1046</f>
        <v>0.3</v>
      </c>
      <c r="F435" s="1034">
        <f t="shared" si="96"/>
        <v>2.4</v>
      </c>
      <c r="G435" s="1184">
        <f t="shared" si="97"/>
        <v>0.3</v>
      </c>
      <c r="H435" s="1032">
        <v>1</v>
      </c>
      <c r="I435" s="1184">
        <f t="shared" si="98"/>
        <v>1</v>
      </c>
      <c r="J435" s="1086">
        <f>'Estructura de Presupuesto'!$H$148*D435</f>
        <v>73435.199999999997</v>
      </c>
      <c r="L435" s="812"/>
    </row>
    <row r="436" spans="1:12" hidden="1" outlineLevel="1">
      <c r="A436" s="929" t="s">
        <v>3048</v>
      </c>
      <c r="B436" s="991" t="s">
        <v>1950</v>
      </c>
      <c r="C436" s="1211" t="s">
        <v>285</v>
      </c>
      <c r="D436" s="991">
        <v>5</v>
      </c>
      <c r="E436" s="1181">
        <f>APU!$F$1053</f>
        <v>1</v>
      </c>
      <c r="F436" s="1034">
        <f t="shared" si="96"/>
        <v>5</v>
      </c>
      <c r="G436" s="1184">
        <f t="shared" si="97"/>
        <v>0.625</v>
      </c>
      <c r="H436" s="1032">
        <v>1</v>
      </c>
      <c r="I436" s="1184">
        <f t="shared" si="98"/>
        <v>1</v>
      </c>
      <c r="J436" s="1086">
        <f>'Estructura de Presupuesto'!$H$149*D436</f>
        <v>374531.61750000005</v>
      </c>
      <c r="L436" s="812"/>
    </row>
    <row r="437" spans="1:12" hidden="1" outlineLevel="1">
      <c r="A437" s="929" t="s">
        <v>3049</v>
      </c>
      <c r="B437" s="991" t="s">
        <v>1949</v>
      </c>
      <c r="C437" s="1211" t="s">
        <v>285</v>
      </c>
      <c r="D437" s="991">
        <v>6</v>
      </c>
      <c r="E437" s="1181">
        <f>APU!$F$1059</f>
        <v>1</v>
      </c>
      <c r="F437" s="1034">
        <f t="shared" si="96"/>
        <v>6</v>
      </c>
      <c r="G437" s="1184">
        <f t="shared" si="97"/>
        <v>0.75</v>
      </c>
      <c r="H437" s="1032">
        <v>1</v>
      </c>
      <c r="I437" s="1184">
        <f t="shared" si="98"/>
        <v>1</v>
      </c>
      <c r="J437" s="1086">
        <f>'Estructura de Presupuesto'!$H$150*D437</f>
        <v>2321437.9410000001</v>
      </c>
      <c r="L437" s="812"/>
    </row>
    <row r="438" spans="1:12" hidden="1" outlineLevel="1">
      <c r="A438" s="929" t="s">
        <v>3050</v>
      </c>
      <c r="B438" s="991" t="s">
        <v>1953</v>
      </c>
      <c r="C438" s="1211" t="s">
        <v>285</v>
      </c>
      <c r="D438" s="991">
        <v>8</v>
      </c>
      <c r="E438" s="1181">
        <f>APU!$F$1065</f>
        <v>1</v>
      </c>
      <c r="F438" s="1034">
        <f t="shared" si="96"/>
        <v>8</v>
      </c>
      <c r="G438" s="1184">
        <f t="shared" si="97"/>
        <v>1</v>
      </c>
      <c r="H438" s="1032">
        <v>1</v>
      </c>
      <c r="I438" s="1184">
        <f t="shared" si="98"/>
        <v>1</v>
      </c>
      <c r="J438" s="1086">
        <f>'Estructura de Presupuesto'!$H$151*D438</f>
        <v>1167250.588</v>
      </c>
      <c r="L438"/>
    </row>
    <row r="439" spans="1:12" hidden="1" outlineLevel="1">
      <c r="A439" s="929" t="s">
        <v>3051</v>
      </c>
      <c r="B439" s="991" t="s">
        <v>1954</v>
      </c>
      <c r="C439" s="1211" t="s">
        <v>285</v>
      </c>
      <c r="D439" s="991">
        <v>5</v>
      </c>
      <c r="E439" s="1181">
        <f>APU!$F$1071</f>
        <v>1</v>
      </c>
      <c r="F439" s="1034">
        <f t="shared" si="96"/>
        <v>5</v>
      </c>
      <c r="G439" s="1184">
        <f t="shared" si="97"/>
        <v>0.625</v>
      </c>
      <c r="H439" s="1032">
        <v>1</v>
      </c>
      <c r="I439" s="1184">
        <f t="shared" si="98"/>
        <v>1</v>
      </c>
      <c r="J439" s="1086">
        <f>'Estructura de Presupuesto'!$H$152*D439</f>
        <v>1049531.6174999999</v>
      </c>
      <c r="L439"/>
    </row>
    <row r="440" spans="1:12" hidden="1" outlineLevel="1">
      <c r="A440" s="929" t="s">
        <v>3052</v>
      </c>
      <c r="B440" s="991" t="s">
        <v>1946</v>
      </c>
      <c r="C440" s="1211" t="s">
        <v>285</v>
      </c>
      <c r="D440" s="991">
        <v>1</v>
      </c>
      <c r="E440" s="1181">
        <f>APU!$F$1077</f>
        <v>0.5</v>
      </c>
      <c r="F440" s="1034">
        <f t="shared" si="96"/>
        <v>0.5</v>
      </c>
      <c r="G440" s="1184">
        <f t="shared" si="97"/>
        <v>6.25E-2</v>
      </c>
      <c r="H440" s="1032">
        <v>1</v>
      </c>
      <c r="I440" s="1184">
        <f t="shared" si="98"/>
        <v>1</v>
      </c>
      <c r="J440" s="1086">
        <f>'Estructura de Presupuesto'!$H$153*D440</f>
        <v>438753.33724999998</v>
      </c>
      <c r="L440" s="1408"/>
    </row>
    <row r="441" spans="1:12" hidden="1" outlineLevel="1">
      <c r="A441" s="929" t="s">
        <v>3053</v>
      </c>
      <c r="B441" s="991" t="s">
        <v>1959</v>
      </c>
      <c r="C441" s="1211" t="s">
        <v>285</v>
      </c>
      <c r="D441" s="991">
        <v>1</v>
      </c>
      <c r="E441" s="1181">
        <f>APU!$F$1087</f>
        <v>5</v>
      </c>
      <c r="F441" s="1034">
        <f t="shared" si="96"/>
        <v>5</v>
      </c>
      <c r="G441" s="1184">
        <f t="shared" si="97"/>
        <v>0.625</v>
      </c>
      <c r="H441" s="1032">
        <v>1</v>
      </c>
      <c r="I441" s="1184">
        <f t="shared" si="98"/>
        <v>1</v>
      </c>
      <c r="J441" s="1086">
        <f>'Estructura de Presupuesto'!$H$154*D441</f>
        <v>1095701.7885</v>
      </c>
      <c r="L441" s="1408"/>
    </row>
    <row r="442" spans="1:12" hidden="1" outlineLevel="1">
      <c r="A442" s="929" t="s">
        <v>3054</v>
      </c>
      <c r="B442" s="991" t="s">
        <v>1962</v>
      </c>
      <c r="C442" s="1211" t="s">
        <v>285</v>
      </c>
      <c r="D442" s="991">
        <v>2</v>
      </c>
      <c r="E442" s="1181">
        <f>APU!$F$1094</f>
        <v>5</v>
      </c>
      <c r="F442" s="1034">
        <f t="shared" si="96"/>
        <v>10</v>
      </c>
      <c r="G442" s="1184">
        <f t="shared" si="97"/>
        <v>1.25</v>
      </c>
      <c r="H442" s="1032">
        <v>1</v>
      </c>
      <c r="I442" s="1184">
        <f t="shared" si="98"/>
        <v>2</v>
      </c>
      <c r="J442" s="1086">
        <f>'Estructura de Presupuesto'!$H$155*D442</f>
        <v>261856.44500000001</v>
      </c>
      <c r="L442" s="812"/>
    </row>
    <row r="443" spans="1:12" ht="15.75" hidden="1" outlineLevel="1" thickBot="1">
      <c r="A443" s="929" t="s">
        <v>3055</v>
      </c>
      <c r="B443" s="991" t="s">
        <v>1963</v>
      </c>
      <c r="C443" s="1211" t="s">
        <v>285</v>
      </c>
      <c r="D443" s="991">
        <v>3</v>
      </c>
      <c r="E443" s="1181">
        <f>APU!$F$1101</f>
        <v>5</v>
      </c>
      <c r="F443" s="1034">
        <f t="shared" si="96"/>
        <v>15</v>
      </c>
      <c r="G443" s="1184">
        <f t="shared" si="97"/>
        <v>1.875</v>
      </c>
      <c r="H443" s="1032">
        <v>1</v>
      </c>
      <c r="I443" s="1184">
        <f t="shared" si="98"/>
        <v>2</v>
      </c>
      <c r="J443" s="1086">
        <f>'Estructura de Presupuesto'!$H$156*D443</f>
        <v>1331784.6675</v>
      </c>
      <c r="L443" s="812"/>
    </row>
    <row r="444" spans="1:12" ht="15.75" hidden="1" outlineLevel="1" thickBot="1">
      <c r="A444" s="1937" t="s">
        <v>824</v>
      </c>
      <c r="B444" s="1938"/>
      <c r="C444" s="1938"/>
      <c r="D444" s="1938"/>
      <c r="E444" s="1938"/>
      <c r="F444" s="1938"/>
      <c r="G444" s="1938"/>
      <c r="H444" s="1938"/>
      <c r="I444" s="1938"/>
      <c r="J444" s="1472">
        <f>SUM(J445:J458)</f>
        <v>24469720.221040998</v>
      </c>
      <c r="L444" s="812"/>
    </row>
    <row r="445" spans="1:12" hidden="1" outlineLevel="1">
      <c r="A445" s="929" t="s">
        <v>3056</v>
      </c>
      <c r="B445" s="991" t="s">
        <v>1189</v>
      </c>
      <c r="C445" s="1211" t="s">
        <v>285</v>
      </c>
      <c r="D445" s="991">
        <v>10</v>
      </c>
      <c r="E445" s="1181">
        <f>APU!$F$1001</f>
        <v>3</v>
      </c>
      <c r="F445" s="1034">
        <f t="shared" ref="F445:F458" si="99">D445*E445</f>
        <v>30</v>
      </c>
      <c r="G445" s="1184">
        <f t="shared" ref="G445:G458" si="100">F445/8</f>
        <v>3.75</v>
      </c>
      <c r="H445" s="1032">
        <v>2</v>
      </c>
      <c r="I445" s="1184">
        <f t="shared" ref="I445:I458" si="101">ROUNDUP(G445/H445,0)</f>
        <v>2</v>
      </c>
      <c r="J445" s="1086">
        <f>'Estructura de Presupuesto'!$H$143*D445</f>
        <v>5507136.5039999988</v>
      </c>
      <c r="L445" s="812"/>
    </row>
    <row r="446" spans="1:12" hidden="1" outlineLevel="1">
      <c r="A446" s="929" t="s">
        <v>3057</v>
      </c>
      <c r="B446" s="991" t="s">
        <v>1939</v>
      </c>
      <c r="C446" s="1211" t="s">
        <v>285</v>
      </c>
      <c r="D446" s="991">
        <v>9</v>
      </c>
      <c r="E446" s="1181">
        <f>APU!$F$1013</f>
        <v>4</v>
      </c>
      <c r="F446" s="1034">
        <f t="shared" si="99"/>
        <v>36</v>
      </c>
      <c r="G446" s="1184">
        <f t="shared" si="100"/>
        <v>4.5</v>
      </c>
      <c r="H446" s="1032">
        <v>2</v>
      </c>
      <c r="I446" s="1184">
        <f t="shared" si="101"/>
        <v>3</v>
      </c>
      <c r="J446" s="1086">
        <f>'Estructura de Presupuesto'!$H$144*D446</f>
        <v>10362470.074415999</v>
      </c>
      <c r="L446"/>
    </row>
    <row r="447" spans="1:12" hidden="1" outlineLevel="1">
      <c r="A447" s="929" t="s">
        <v>3058</v>
      </c>
      <c r="B447" s="991" t="s">
        <v>1190</v>
      </c>
      <c r="C447" s="1211" t="s">
        <v>285</v>
      </c>
      <c r="D447" s="991">
        <v>3</v>
      </c>
      <c r="E447" s="1181">
        <f>APU!$F$1028</f>
        <v>0.25</v>
      </c>
      <c r="F447" s="1034">
        <f t="shared" si="99"/>
        <v>0.75</v>
      </c>
      <c r="G447" s="1184">
        <f t="shared" si="100"/>
        <v>9.375E-2</v>
      </c>
      <c r="H447" s="1032">
        <v>1</v>
      </c>
      <c r="I447" s="1184">
        <f t="shared" si="101"/>
        <v>1</v>
      </c>
      <c r="J447" s="1086">
        <f>'Estructura de Presupuesto'!$H$145*D447</f>
        <v>145105.14637500001</v>
      </c>
      <c r="L447"/>
    </row>
    <row r="448" spans="1:12" hidden="1" outlineLevel="1">
      <c r="A448" s="929" t="s">
        <v>3059</v>
      </c>
      <c r="B448" s="991" t="s">
        <v>1951</v>
      </c>
      <c r="C448" s="1211" t="s">
        <v>285</v>
      </c>
      <c r="D448" s="991">
        <v>3</v>
      </c>
      <c r="E448" s="1181">
        <f>APU!$F$1034</f>
        <v>1</v>
      </c>
      <c r="F448" s="1034">
        <f t="shared" si="99"/>
        <v>3</v>
      </c>
      <c r="G448" s="1184">
        <f t="shared" si="100"/>
        <v>0.375</v>
      </c>
      <c r="H448" s="1032">
        <v>1</v>
      </c>
      <c r="I448" s="1184">
        <f t="shared" si="101"/>
        <v>1</v>
      </c>
      <c r="J448" s="1086">
        <f>'Estructura de Presupuesto'!$H$146*D448</f>
        <v>233718.97050000005</v>
      </c>
      <c r="L448" s="1408"/>
    </row>
    <row r="449" spans="1:12" hidden="1" outlineLevel="1">
      <c r="A449" s="929" t="s">
        <v>3060</v>
      </c>
      <c r="B449" s="991" t="s">
        <v>1952</v>
      </c>
      <c r="C449" s="1211" t="s">
        <v>285</v>
      </c>
      <c r="D449" s="991">
        <v>1</v>
      </c>
      <c r="E449" s="1181">
        <f>APU!$F$1040</f>
        <v>1</v>
      </c>
      <c r="F449" s="1034">
        <f t="shared" si="99"/>
        <v>1</v>
      </c>
      <c r="G449" s="1184">
        <f t="shared" si="100"/>
        <v>0.125</v>
      </c>
      <c r="H449" s="1032">
        <v>1</v>
      </c>
      <c r="I449" s="1184">
        <f t="shared" si="101"/>
        <v>1</v>
      </c>
      <c r="J449" s="1086">
        <f>'Estructura de Presupuesto'!$H$147*D449</f>
        <v>107006.32350000001</v>
      </c>
      <c r="L449" s="1408"/>
    </row>
    <row r="450" spans="1:12" hidden="1" outlineLevel="1">
      <c r="A450" s="929" t="s">
        <v>3061</v>
      </c>
      <c r="B450" s="991" t="s">
        <v>1948</v>
      </c>
      <c r="C450" s="1211" t="s">
        <v>285</v>
      </c>
      <c r="D450" s="991">
        <v>8</v>
      </c>
      <c r="E450" s="1181">
        <f>APU!$F$1046</f>
        <v>0.3</v>
      </c>
      <c r="F450" s="1034">
        <f t="shared" si="99"/>
        <v>2.4</v>
      </c>
      <c r="G450" s="1184">
        <f t="shared" si="100"/>
        <v>0.3</v>
      </c>
      <c r="H450" s="1032">
        <v>1</v>
      </c>
      <c r="I450" s="1184">
        <f t="shared" si="101"/>
        <v>1</v>
      </c>
      <c r="J450" s="1086">
        <f>'Estructura de Presupuesto'!$H$148*D450</f>
        <v>73435.199999999997</v>
      </c>
      <c r="L450" s="812"/>
    </row>
    <row r="451" spans="1:12" hidden="1" outlineLevel="1">
      <c r="A451" s="929" t="s">
        <v>3062</v>
      </c>
      <c r="B451" s="991" t="s">
        <v>1950</v>
      </c>
      <c r="C451" s="1211" t="s">
        <v>285</v>
      </c>
      <c r="D451" s="991">
        <v>5</v>
      </c>
      <c r="E451" s="1181">
        <f>APU!$F$1053</f>
        <v>1</v>
      </c>
      <c r="F451" s="1034">
        <f t="shared" si="99"/>
        <v>5</v>
      </c>
      <c r="G451" s="1184">
        <f t="shared" si="100"/>
        <v>0.625</v>
      </c>
      <c r="H451" s="1032">
        <v>1</v>
      </c>
      <c r="I451" s="1184">
        <f t="shared" si="101"/>
        <v>1</v>
      </c>
      <c r="J451" s="1086">
        <f>'Estructura de Presupuesto'!$H$149*D451</f>
        <v>374531.61750000005</v>
      </c>
      <c r="L451" s="812"/>
    </row>
    <row r="452" spans="1:12" hidden="1" outlineLevel="1">
      <c r="A452" s="929" t="s">
        <v>3063</v>
      </c>
      <c r="B452" s="991" t="s">
        <v>1949</v>
      </c>
      <c r="C452" s="1211" t="s">
        <v>285</v>
      </c>
      <c r="D452" s="991">
        <v>6</v>
      </c>
      <c r="E452" s="1181">
        <f>APU!$F$1059</f>
        <v>1</v>
      </c>
      <c r="F452" s="1034">
        <f t="shared" si="99"/>
        <v>6</v>
      </c>
      <c r="G452" s="1184">
        <f t="shared" si="100"/>
        <v>0.75</v>
      </c>
      <c r="H452" s="1032">
        <v>1</v>
      </c>
      <c r="I452" s="1184">
        <f t="shared" si="101"/>
        <v>1</v>
      </c>
      <c r="J452" s="1086">
        <f>'Estructura de Presupuesto'!$H$150*D452</f>
        <v>2321437.9410000001</v>
      </c>
      <c r="L452" s="812"/>
    </row>
    <row r="453" spans="1:12" hidden="1" outlineLevel="1">
      <c r="A453" s="929" t="s">
        <v>3064</v>
      </c>
      <c r="B453" s="991" t="s">
        <v>1953</v>
      </c>
      <c r="C453" s="1211" t="s">
        <v>285</v>
      </c>
      <c r="D453" s="991">
        <v>8</v>
      </c>
      <c r="E453" s="1181">
        <f>APU!$F$1065</f>
        <v>1</v>
      </c>
      <c r="F453" s="1034">
        <f t="shared" si="99"/>
        <v>8</v>
      </c>
      <c r="G453" s="1184">
        <f t="shared" si="100"/>
        <v>1</v>
      </c>
      <c r="H453" s="1032">
        <v>1</v>
      </c>
      <c r="I453" s="1184">
        <f t="shared" si="101"/>
        <v>1</v>
      </c>
      <c r="J453" s="1086">
        <f>'Estructura de Presupuesto'!$H$151*D453</f>
        <v>1167250.588</v>
      </c>
      <c r="L453" s="812"/>
    </row>
    <row r="454" spans="1:12" hidden="1" outlineLevel="1">
      <c r="A454" s="929" t="s">
        <v>3065</v>
      </c>
      <c r="B454" s="991" t="s">
        <v>1954</v>
      </c>
      <c r="C454" s="1211" t="s">
        <v>285</v>
      </c>
      <c r="D454" s="991">
        <v>5</v>
      </c>
      <c r="E454" s="1181">
        <f>APU!$F$1071</f>
        <v>1</v>
      </c>
      <c r="F454" s="1034">
        <f t="shared" si="99"/>
        <v>5</v>
      </c>
      <c r="G454" s="1184">
        <f t="shared" si="100"/>
        <v>0.625</v>
      </c>
      <c r="H454" s="1032">
        <v>1</v>
      </c>
      <c r="I454" s="1184">
        <f t="shared" si="101"/>
        <v>1</v>
      </c>
      <c r="J454" s="1086">
        <f>'Estructura de Presupuesto'!$H$152*D454</f>
        <v>1049531.6174999999</v>
      </c>
      <c r="L454"/>
    </row>
    <row r="455" spans="1:12" hidden="1" outlineLevel="1">
      <c r="A455" s="929" t="s">
        <v>3066</v>
      </c>
      <c r="B455" s="991" t="s">
        <v>1946</v>
      </c>
      <c r="C455" s="1211" t="s">
        <v>285</v>
      </c>
      <c r="D455" s="991">
        <v>1</v>
      </c>
      <c r="E455" s="1181">
        <f>APU!$F$1077</f>
        <v>0.5</v>
      </c>
      <c r="F455" s="1034">
        <f t="shared" si="99"/>
        <v>0.5</v>
      </c>
      <c r="G455" s="1184">
        <f t="shared" si="100"/>
        <v>6.25E-2</v>
      </c>
      <c r="H455" s="1032">
        <v>1</v>
      </c>
      <c r="I455" s="1184">
        <f t="shared" si="101"/>
        <v>1</v>
      </c>
      <c r="J455" s="1086">
        <f>'Estructura de Presupuesto'!$H$153*D455</f>
        <v>438753.33724999998</v>
      </c>
      <c r="L455"/>
    </row>
    <row r="456" spans="1:12" hidden="1" outlineLevel="1">
      <c r="A456" s="929" t="s">
        <v>3067</v>
      </c>
      <c r="B456" s="991" t="s">
        <v>1959</v>
      </c>
      <c r="C456" s="1211" t="s">
        <v>285</v>
      </c>
      <c r="D456" s="991">
        <v>1</v>
      </c>
      <c r="E456" s="1181">
        <f>APU!$F$1087</f>
        <v>5</v>
      </c>
      <c r="F456" s="1034">
        <f t="shared" si="99"/>
        <v>5</v>
      </c>
      <c r="G456" s="1184">
        <f t="shared" si="100"/>
        <v>0.625</v>
      </c>
      <c r="H456" s="1032">
        <v>1</v>
      </c>
      <c r="I456" s="1184">
        <f t="shared" si="101"/>
        <v>1</v>
      </c>
      <c r="J456" s="1086">
        <f>'Estructura de Presupuesto'!$H$154*D456</f>
        <v>1095701.7885</v>
      </c>
      <c r="L456" s="1408"/>
    </row>
    <row r="457" spans="1:12" hidden="1" outlineLevel="1">
      <c r="A457" s="929" t="s">
        <v>3068</v>
      </c>
      <c r="B457" s="991" t="s">
        <v>1962</v>
      </c>
      <c r="C457" s="1211" t="s">
        <v>285</v>
      </c>
      <c r="D457" s="991">
        <v>2</v>
      </c>
      <c r="E457" s="1181">
        <f>APU!$F$1094</f>
        <v>5</v>
      </c>
      <c r="F457" s="1034">
        <f t="shared" si="99"/>
        <v>10</v>
      </c>
      <c r="G457" s="1184">
        <f t="shared" si="100"/>
        <v>1.25</v>
      </c>
      <c r="H457" s="1032">
        <v>1</v>
      </c>
      <c r="I457" s="1184">
        <f t="shared" si="101"/>
        <v>2</v>
      </c>
      <c r="J457" s="1086">
        <f>'Estructura de Presupuesto'!$H$155*D457</f>
        <v>261856.44500000001</v>
      </c>
      <c r="L457" s="1408"/>
    </row>
    <row r="458" spans="1:12" ht="15.75" hidden="1" outlineLevel="1" thickBot="1">
      <c r="A458" s="929" t="s">
        <v>3069</v>
      </c>
      <c r="B458" s="991" t="s">
        <v>1963</v>
      </c>
      <c r="C458" s="1211" t="s">
        <v>285</v>
      </c>
      <c r="D458" s="991">
        <v>3</v>
      </c>
      <c r="E458" s="1181">
        <f>APU!$F$1101</f>
        <v>5</v>
      </c>
      <c r="F458" s="1034">
        <f t="shared" si="99"/>
        <v>15</v>
      </c>
      <c r="G458" s="1184">
        <f t="shared" si="100"/>
        <v>1.875</v>
      </c>
      <c r="H458" s="1032">
        <v>1</v>
      </c>
      <c r="I458" s="1184">
        <f t="shared" si="101"/>
        <v>2</v>
      </c>
      <c r="J458" s="1086">
        <f>'Estructura de Presupuesto'!$H$156*D458</f>
        <v>1331784.6675</v>
      </c>
      <c r="L458" s="812"/>
    </row>
    <row r="459" spans="1:12" ht="15.75" hidden="1" outlineLevel="1" thickBot="1">
      <c r="A459" s="1937" t="s">
        <v>2255</v>
      </c>
      <c r="B459" s="1938"/>
      <c r="C459" s="1938"/>
      <c r="D459" s="1938"/>
      <c r="E459" s="1938"/>
      <c r="F459" s="1938"/>
      <c r="G459" s="1938"/>
      <c r="H459" s="1938"/>
      <c r="I459" s="1938"/>
      <c r="J459" s="1472">
        <f>SUM(J460:J469)</f>
        <v>20790910.332390998</v>
      </c>
      <c r="L459" s="812"/>
    </row>
    <row r="460" spans="1:12" hidden="1" outlineLevel="1">
      <c r="A460" s="929" t="s">
        <v>3070</v>
      </c>
      <c r="B460" s="991" t="s">
        <v>1189</v>
      </c>
      <c r="C460" s="1211" t="s">
        <v>285</v>
      </c>
      <c r="D460" s="991">
        <v>9</v>
      </c>
      <c r="E460" s="1181">
        <f>APU!$F$1001</f>
        <v>3</v>
      </c>
      <c r="F460" s="1034">
        <f t="shared" ref="F460:F469" si="102">D460*E460</f>
        <v>27</v>
      </c>
      <c r="G460" s="1184">
        <f t="shared" ref="G460:G469" si="103">F460/8</f>
        <v>3.375</v>
      </c>
      <c r="H460" s="1032">
        <v>2</v>
      </c>
      <c r="I460" s="1184">
        <f t="shared" ref="I460:I469" si="104">ROUNDUP(G460/H460,0)</f>
        <v>2</v>
      </c>
      <c r="J460" s="1086">
        <f>'Estructura de Presupuesto'!$H$143*D460</f>
        <v>4956422.8535999991</v>
      </c>
      <c r="L460" s="812"/>
    </row>
    <row r="461" spans="1:12" hidden="1" outlineLevel="1">
      <c r="A461" s="929" t="s">
        <v>3071</v>
      </c>
      <c r="B461" s="991" t="s">
        <v>1939</v>
      </c>
      <c r="C461" s="1211" t="s">
        <v>285</v>
      </c>
      <c r="D461" s="991">
        <v>9</v>
      </c>
      <c r="E461" s="1181">
        <f>APU!$F$1013</f>
        <v>4</v>
      </c>
      <c r="F461" s="1034">
        <f t="shared" si="102"/>
        <v>36</v>
      </c>
      <c r="G461" s="1184">
        <f t="shared" si="103"/>
        <v>4.5</v>
      </c>
      <c r="H461" s="1032">
        <v>2</v>
      </c>
      <c r="I461" s="1184">
        <f t="shared" si="104"/>
        <v>3</v>
      </c>
      <c r="J461" s="1086">
        <f>'Estructura de Presupuesto'!$H$144*D461</f>
        <v>10362470.074415999</v>
      </c>
      <c r="L461" s="812"/>
    </row>
    <row r="462" spans="1:12" hidden="1" outlineLevel="1">
      <c r="A462" s="929" t="s">
        <v>3072</v>
      </c>
      <c r="B462" s="991" t="s">
        <v>1190</v>
      </c>
      <c r="C462" s="1211" t="s">
        <v>285</v>
      </c>
      <c r="D462" s="991">
        <v>3</v>
      </c>
      <c r="E462" s="1181">
        <f>APU!$F$1028</f>
        <v>0.25</v>
      </c>
      <c r="F462" s="1034">
        <f t="shared" si="102"/>
        <v>0.75</v>
      </c>
      <c r="G462" s="1184">
        <f t="shared" si="103"/>
        <v>9.375E-2</v>
      </c>
      <c r="H462" s="1032">
        <v>1</v>
      </c>
      <c r="I462" s="1184">
        <f t="shared" si="104"/>
        <v>1</v>
      </c>
      <c r="J462" s="1086">
        <f>'Estructura de Presupuesto'!$H$145*D462</f>
        <v>145105.14637500001</v>
      </c>
      <c r="L462"/>
    </row>
    <row r="463" spans="1:12" hidden="1" outlineLevel="1">
      <c r="A463" s="929" t="s">
        <v>3073</v>
      </c>
      <c r="B463" s="991" t="s">
        <v>1951</v>
      </c>
      <c r="C463" s="1211" t="s">
        <v>285</v>
      </c>
      <c r="D463" s="991">
        <v>3</v>
      </c>
      <c r="E463" s="1181">
        <f>APU!$F$1034</f>
        <v>1</v>
      </c>
      <c r="F463" s="1034">
        <f t="shared" si="102"/>
        <v>3</v>
      </c>
      <c r="G463" s="1184">
        <f t="shared" si="103"/>
        <v>0.375</v>
      </c>
      <c r="H463" s="1032">
        <v>1</v>
      </c>
      <c r="I463" s="1184">
        <f t="shared" si="104"/>
        <v>1</v>
      </c>
      <c r="J463" s="1086">
        <f>'Estructura de Presupuesto'!$H$146*D463</f>
        <v>233718.97050000005</v>
      </c>
      <c r="L463"/>
    </row>
    <row r="464" spans="1:12" hidden="1" outlineLevel="1">
      <c r="A464" s="929" t="s">
        <v>3074</v>
      </c>
      <c r="B464" s="991" t="s">
        <v>1952</v>
      </c>
      <c r="C464" s="1211" t="s">
        <v>285</v>
      </c>
      <c r="D464" s="991">
        <v>1</v>
      </c>
      <c r="E464" s="1181">
        <f>APU!$F$1040</f>
        <v>1</v>
      </c>
      <c r="F464" s="1034">
        <f t="shared" si="102"/>
        <v>1</v>
      </c>
      <c r="G464" s="1184">
        <f t="shared" si="103"/>
        <v>0.125</v>
      </c>
      <c r="H464" s="1032">
        <v>1</v>
      </c>
      <c r="I464" s="1184">
        <f t="shared" si="104"/>
        <v>1</v>
      </c>
      <c r="J464" s="1086">
        <f>'Estructura de Presupuesto'!$H$147*D464</f>
        <v>107006.32350000001</v>
      </c>
      <c r="L464" s="1408"/>
    </row>
    <row r="465" spans="1:12" hidden="1" outlineLevel="1">
      <c r="A465" s="929" t="s">
        <v>3075</v>
      </c>
      <c r="B465" s="991" t="s">
        <v>1948</v>
      </c>
      <c r="C465" s="1211" t="s">
        <v>285</v>
      </c>
      <c r="D465" s="991">
        <v>8</v>
      </c>
      <c r="E465" s="1181">
        <f>APU!$F$1046</f>
        <v>0.3</v>
      </c>
      <c r="F465" s="1034">
        <f t="shared" si="102"/>
        <v>2.4</v>
      </c>
      <c r="G465" s="1184">
        <f t="shared" si="103"/>
        <v>0.3</v>
      </c>
      <c r="H465" s="1032">
        <v>1</v>
      </c>
      <c r="I465" s="1184">
        <f t="shared" si="104"/>
        <v>1</v>
      </c>
      <c r="J465" s="1086">
        <f>'Estructura de Presupuesto'!$H$148*D465</f>
        <v>73435.199999999997</v>
      </c>
      <c r="L465" s="1408"/>
    </row>
    <row r="466" spans="1:12" hidden="1" outlineLevel="1">
      <c r="A466" s="929" t="s">
        <v>3076</v>
      </c>
      <c r="B466" s="991" t="s">
        <v>1950</v>
      </c>
      <c r="C466" s="1211" t="s">
        <v>285</v>
      </c>
      <c r="D466" s="991">
        <v>5</v>
      </c>
      <c r="E466" s="1181">
        <f>APU!$F$1053</f>
        <v>1</v>
      </c>
      <c r="F466" s="1034">
        <f t="shared" si="102"/>
        <v>5</v>
      </c>
      <c r="G466" s="1184">
        <f t="shared" si="103"/>
        <v>0.625</v>
      </c>
      <c r="H466" s="1032">
        <v>1</v>
      </c>
      <c r="I466" s="1184">
        <f t="shared" si="104"/>
        <v>1</v>
      </c>
      <c r="J466" s="1086">
        <f>'Estructura de Presupuesto'!$H$149*D466</f>
        <v>374531.61750000005</v>
      </c>
      <c r="L466" s="812"/>
    </row>
    <row r="467" spans="1:12" hidden="1" outlineLevel="1">
      <c r="A467" s="929" t="s">
        <v>3077</v>
      </c>
      <c r="B467" s="991" t="s">
        <v>1949</v>
      </c>
      <c r="C467" s="1211" t="s">
        <v>285</v>
      </c>
      <c r="D467" s="991">
        <v>6</v>
      </c>
      <c r="E467" s="1181">
        <f>APU!$F$1059</f>
        <v>1</v>
      </c>
      <c r="F467" s="1034">
        <f t="shared" si="102"/>
        <v>6</v>
      </c>
      <c r="G467" s="1184">
        <f t="shared" si="103"/>
        <v>0.75</v>
      </c>
      <c r="H467" s="1032">
        <v>1</v>
      </c>
      <c r="I467" s="1184">
        <f t="shared" si="104"/>
        <v>1</v>
      </c>
      <c r="J467" s="1086">
        <f>'Estructura de Presupuesto'!$H$150*D467</f>
        <v>2321437.9410000001</v>
      </c>
      <c r="L467" s="812"/>
    </row>
    <row r="468" spans="1:12" hidden="1" outlineLevel="1">
      <c r="A468" s="929" t="s">
        <v>3078</v>
      </c>
      <c r="B468" s="991" t="s">
        <v>1953</v>
      </c>
      <c r="C468" s="1211" t="s">
        <v>285</v>
      </c>
      <c r="D468" s="991">
        <v>8</v>
      </c>
      <c r="E468" s="1181">
        <f>APU!$F$1065</f>
        <v>1</v>
      </c>
      <c r="F468" s="1034">
        <f t="shared" si="102"/>
        <v>8</v>
      </c>
      <c r="G468" s="1184">
        <f t="shared" si="103"/>
        <v>1</v>
      </c>
      <c r="H468" s="1032">
        <v>1</v>
      </c>
      <c r="I468" s="1184">
        <f t="shared" si="104"/>
        <v>1</v>
      </c>
      <c r="J468" s="1086">
        <f>'Estructura de Presupuesto'!$H$151*D468</f>
        <v>1167250.588</v>
      </c>
      <c r="L468" s="812"/>
    </row>
    <row r="469" spans="1:12" ht="15.75" hidden="1" outlineLevel="1" thickBot="1">
      <c r="A469" s="929" t="s">
        <v>3079</v>
      </c>
      <c r="B469" s="991" t="s">
        <v>1954</v>
      </c>
      <c r="C469" s="1211" t="s">
        <v>285</v>
      </c>
      <c r="D469" s="991">
        <v>5</v>
      </c>
      <c r="E469" s="1181">
        <f>APU!$F$1071</f>
        <v>1</v>
      </c>
      <c r="F469" s="1034">
        <f t="shared" si="102"/>
        <v>5</v>
      </c>
      <c r="G469" s="1184">
        <f t="shared" si="103"/>
        <v>0.625</v>
      </c>
      <c r="H469" s="1032">
        <v>1</v>
      </c>
      <c r="I469" s="1184">
        <f t="shared" si="104"/>
        <v>1</v>
      </c>
      <c r="J469" s="1086">
        <f>'Estructura de Presupuesto'!$H$152*D469</f>
        <v>1049531.6174999999</v>
      </c>
      <c r="L469" s="812"/>
    </row>
    <row r="470" spans="1:12" ht="15.75" hidden="1" outlineLevel="1" thickBot="1">
      <c r="A470" s="1937" t="s">
        <v>2258</v>
      </c>
      <c r="B470" s="1938"/>
      <c r="C470" s="1938"/>
      <c r="D470" s="1938"/>
      <c r="E470" s="1938"/>
      <c r="F470" s="1938"/>
      <c r="G470" s="1938"/>
      <c r="H470" s="1938"/>
      <c r="I470" s="1938"/>
      <c r="J470" s="1472">
        <f>SUM(J471:J480)</f>
        <v>20790910.332390998</v>
      </c>
      <c r="L470"/>
    </row>
    <row r="471" spans="1:12" hidden="1" outlineLevel="1">
      <c r="A471" s="929" t="s">
        <v>3080</v>
      </c>
      <c r="B471" s="991" t="s">
        <v>1189</v>
      </c>
      <c r="C471" s="1211" t="s">
        <v>285</v>
      </c>
      <c r="D471" s="991">
        <v>9</v>
      </c>
      <c r="E471" s="1181">
        <f>APU!$F$1001</f>
        <v>3</v>
      </c>
      <c r="F471" s="1034">
        <f t="shared" ref="F471:F480" si="105">D471*E471</f>
        <v>27</v>
      </c>
      <c r="G471" s="1184">
        <f t="shared" ref="G471:G480" si="106">F471/8</f>
        <v>3.375</v>
      </c>
      <c r="H471" s="1032">
        <v>2</v>
      </c>
      <c r="I471" s="1184">
        <f t="shared" ref="I471:I480" si="107">ROUNDUP(G471/H471,0)</f>
        <v>2</v>
      </c>
      <c r="J471" s="1086">
        <f>'Estructura de Presupuesto'!$H$143*D471</f>
        <v>4956422.8535999991</v>
      </c>
      <c r="L471"/>
    </row>
    <row r="472" spans="1:12" hidden="1" outlineLevel="1">
      <c r="A472" s="929" t="s">
        <v>3081</v>
      </c>
      <c r="B472" s="991" t="s">
        <v>1939</v>
      </c>
      <c r="C472" s="1211" t="s">
        <v>285</v>
      </c>
      <c r="D472" s="991">
        <v>9</v>
      </c>
      <c r="E472" s="1181">
        <f>APU!$F$1013</f>
        <v>4</v>
      </c>
      <c r="F472" s="1034">
        <f t="shared" si="105"/>
        <v>36</v>
      </c>
      <c r="G472" s="1184">
        <f t="shared" si="106"/>
        <v>4.5</v>
      </c>
      <c r="H472" s="1032">
        <v>2</v>
      </c>
      <c r="I472" s="1184">
        <f t="shared" si="107"/>
        <v>3</v>
      </c>
      <c r="J472" s="1086">
        <f>'Estructura de Presupuesto'!$H$144*D472</f>
        <v>10362470.074415999</v>
      </c>
      <c r="L472" s="1408"/>
    </row>
    <row r="473" spans="1:12" hidden="1" outlineLevel="1">
      <c r="A473" s="929" t="s">
        <v>3082</v>
      </c>
      <c r="B473" s="991" t="s">
        <v>1190</v>
      </c>
      <c r="C473" s="1211" t="s">
        <v>285</v>
      </c>
      <c r="D473" s="991">
        <v>3</v>
      </c>
      <c r="E473" s="1181">
        <f>APU!$F$1028</f>
        <v>0.25</v>
      </c>
      <c r="F473" s="1034">
        <f t="shared" si="105"/>
        <v>0.75</v>
      </c>
      <c r="G473" s="1184">
        <f t="shared" si="106"/>
        <v>9.375E-2</v>
      </c>
      <c r="H473" s="1032">
        <v>1</v>
      </c>
      <c r="I473" s="1184">
        <f t="shared" si="107"/>
        <v>1</v>
      </c>
      <c r="J473" s="1086">
        <f>'Estructura de Presupuesto'!$H$145*D473</f>
        <v>145105.14637500001</v>
      </c>
      <c r="L473" s="1408"/>
    </row>
    <row r="474" spans="1:12" hidden="1" outlineLevel="1">
      <c r="A474" s="929" t="s">
        <v>3083</v>
      </c>
      <c r="B474" s="991" t="s">
        <v>1951</v>
      </c>
      <c r="C474" s="1211" t="s">
        <v>285</v>
      </c>
      <c r="D474" s="991">
        <v>3</v>
      </c>
      <c r="E474" s="1181">
        <f>APU!$F$1034</f>
        <v>1</v>
      </c>
      <c r="F474" s="1034">
        <f t="shared" si="105"/>
        <v>3</v>
      </c>
      <c r="G474" s="1184">
        <f t="shared" si="106"/>
        <v>0.375</v>
      </c>
      <c r="H474" s="1032">
        <v>1</v>
      </c>
      <c r="I474" s="1184">
        <f t="shared" si="107"/>
        <v>1</v>
      </c>
      <c r="J474" s="1086">
        <f>'Estructura de Presupuesto'!$H$146*D474</f>
        <v>233718.97050000005</v>
      </c>
      <c r="L474" s="812"/>
    </row>
    <row r="475" spans="1:12" hidden="1" outlineLevel="1">
      <c r="A475" s="929" t="s">
        <v>3084</v>
      </c>
      <c r="B475" s="991" t="s">
        <v>1952</v>
      </c>
      <c r="C475" s="1211" t="s">
        <v>285</v>
      </c>
      <c r="D475" s="991">
        <v>1</v>
      </c>
      <c r="E475" s="1181">
        <f>APU!$F$1040</f>
        <v>1</v>
      </c>
      <c r="F475" s="1034">
        <f t="shared" si="105"/>
        <v>1</v>
      </c>
      <c r="G475" s="1184">
        <f t="shared" si="106"/>
        <v>0.125</v>
      </c>
      <c r="H475" s="1032">
        <v>1</v>
      </c>
      <c r="I475" s="1184">
        <f t="shared" si="107"/>
        <v>1</v>
      </c>
      <c r="J475" s="1086">
        <f>'Estructura de Presupuesto'!$H$147*D475</f>
        <v>107006.32350000001</v>
      </c>
      <c r="L475" s="812"/>
    </row>
    <row r="476" spans="1:12" hidden="1" outlineLevel="1">
      <c r="A476" s="929" t="s">
        <v>3085</v>
      </c>
      <c r="B476" s="991" t="s">
        <v>1948</v>
      </c>
      <c r="C476" s="1211" t="s">
        <v>285</v>
      </c>
      <c r="D476" s="991">
        <v>8</v>
      </c>
      <c r="E476" s="1181">
        <f>APU!$F$1046</f>
        <v>0.3</v>
      </c>
      <c r="F476" s="1034">
        <f t="shared" si="105"/>
        <v>2.4</v>
      </c>
      <c r="G476" s="1184">
        <f t="shared" si="106"/>
        <v>0.3</v>
      </c>
      <c r="H476" s="1032">
        <v>1</v>
      </c>
      <c r="I476" s="1184">
        <f t="shared" si="107"/>
        <v>1</v>
      </c>
      <c r="J476" s="1086">
        <f>'Estructura de Presupuesto'!$H$148*D476</f>
        <v>73435.199999999997</v>
      </c>
      <c r="L476" s="812"/>
    </row>
    <row r="477" spans="1:12" hidden="1" outlineLevel="1">
      <c r="A477" s="929" t="s">
        <v>3086</v>
      </c>
      <c r="B477" s="991" t="s">
        <v>1950</v>
      </c>
      <c r="C477" s="1211" t="s">
        <v>285</v>
      </c>
      <c r="D477" s="991">
        <v>5</v>
      </c>
      <c r="E477" s="1181">
        <f>APU!$F$1053</f>
        <v>1</v>
      </c>
      <c r="F477" s="1034">
        <f t="shared" si="105"/>
        <v>5</v>
      </c>
      <c r="G477" s="1184">
        <f t="shared" si="106"/>
        <v>0.625</v>
      </c>
      <c r="H477" s="1032">
        <v>1</v>
      </c>
      <c r="I477" s="1184">
        <f t="shared" si="107"/>
        <v>1</v>
      </c>
      <c r="J477" s="1086">
        <f>'Estructura de Presupuesto'!$H$149*D477</f>
        <v>374531.61750000005</v>
      </c>
      <c r="L477" s="812"/>
    </row>
    <row r="478" spans="1:12" hidden="1" outlineLevel="1">
      <c r="A478" s="929" t="s">
        <v>3087</v>
      </c>
      <c r="B478" s="991" t="s">
        <v>1949</v>
      </c>
      <c r="C478" s="1211" t="s">
        <v>285</v>
      </c>
      <c r="D478" s="991">
        <v>6</v>
      </c>
      <c r="E478" s="1181">
        <f>APU!$F$1059</f>
        <v>1</v>
      </c>
      <c r="F478" s="1034">
        <f t="shared" si="105"/>
        <v>6</v>
      </c>
      <c r="G478" s="1184">
        <f t="shared" si="106"/>
        <v>0.75</v>
      </c>
      <c r="H478" s="1032">
        <v>1</v>
      </c>
      <c r="I478" s="1184">
        <f t="shared" si="107"/>
        <v>1</v>
      </c>
      <c r="J478" s="1086">
        <f>'Estructura de Presupuesto'!$H$150*D478</f>
        <v>2321437.9410000001</v>
      </c>
      <c r="L478"/>
    </row>
    <row r="479" spans="1:12" hidden="1" outlineLevel="1">
      <c r="A479" s="929" t="s">
        <v>3088</v>
      </c>
      <c r="B479" s="991" t="s">
        <v>1953</v>
      </c>
      <c r="C479" s="1211" t="s">
        <v>285</v>
      </c>
      <c r="D479" s="991">
        <v>8</v>
      </c>
      <c r="E479" s="1181">
        <f>APU!$F$1065</f>
        <v>1</v>
      </c>
      <c r="F479" s="1034">
        <f t="shared" si="105"/>
        <v>8</v>
      </c>
      <c r="G479" s="1184">
        <f t="shared" si="106"/>
        <v>1</v>
      </c>
      <c r="H479" s="1032">
        <v>1</v>
      </c>
      <c r="I479" s="1184">
        <f t="shared" si="107"/>
        <v>1</v>
      </c>
      <c r="J479" s="1086">
        <f>'Estructura de Presupuesto'!$H$151*D479</f>
        <v>1167250.588</v>
      </c>
      <c r="L479"/>
    </row>
    <row r="480" spans="1:12" ht="15.75" hidden="1" outlineLevel="1" thickBot="1">
      <c r="A480" s="929" t="s">
        <v>3089</v>
      </c>
      <c r="B480" s="991" t="s">
        <v>1954</v>
      </c>
      <c r="C480" s="1211" t="s">
        <v>285</v>
      </c>
      <c r="D480" s="991">
        <v>5</v>
      </c>
      <c r="E480" s="1181">
        <f>APU!$F$1071</f>
        <v>1</v>
      </c>
      <c r="F480" s="1034">
        <f t="shared" si="105"/>
        <v>5</v>
      </c>
      <c r="G480" s="1184">
        <f t="shared" si="106"/>
        <v>0.625</v>
      </c>
      <c r="H480" s="1032">
        <v>1</v>
      </c>
      <c r="I480" s="1184">
        <f t="shared" si="107"/>
        <v>1</v>
      </c>
      <c r="J480" s="1086">
        <f>'Estructura de Presupuesto'!$H$152*D480</f>
        <v>1049531.6174999999</v>
      </c>
      <c r="L480" s="1408"/>
    </row>
    <row r="481" spans="1:12" ht="15.75" hidden="1" outlineLevel="1" thickBot="1">
      <c r="A481" s="1937" t="s">
        <v>2261</v>
      </c>
      <c r="B481" s="1938"/>
      <c r="C481" s="1938"/>
      <c r="D481" s="1938"/>
      <c r="E481" s="1938"/>
      <c r="F481" s="1938"/>
      <c r="G481" s="1938"/>
      <c r="H481" s="1938"/>
      <c r="I481" s="1938"/>
      <c r="J481" s="1472">
        <f>SUM(J482:J491)</f>
        <v>20790910.332390998</v>
      </c>
      <c r="L481" s="1408"/>
    </row>
    <row r="482" spans="1:12" hidden="1" outlineLevel="1">
      <c r="A482" s="929" t="s">
        <v>3090</v>
      </c>
      <c r="B482" s="991" t="s">
        <v>1189</v>
      </c>
      <c r="C482" s="1211" t="s">
        <v>285</v>
      </c>
      <c r="D482" s="991">
        <v>9</v>
      </c>
      <c r="E482" s="1181">
        <f>APU!$F$1001</f>
        <v>3</v>
      </c>
      <c r="F482" s="1034">
        <f t="shared" ref="F482:F491" si="108">D482*E482</f>
        <v>27</v>
      </c>
      <c r="G482" s="1184">
        <f t="shared" ref="G482:G491" si="109">F482/8</f>
        <v>3.375</v>
      </c>
      <c r="H482" s="1032">
        <v>2</v>
      </c>
      <c r="I482" s="1184">
        <f t="shared" ref="I482:I491" si="110">ROUNDUP(G482/H482,0)</f>
        <v>2</v>
      </c>
      <c r="J482" s="1086">
        <f>'Estructura de Presupuesto'!$H$143*D482</f>
        <v>4956422.8535999991</v>
      </c>
      <c r="L482" s="812"/>
    </row>
    <row r="483" spans="1:12" hidden="1" outlineLevel="1">
      <c r="A483" s="929" t="s">
        <v>3091</v>
      </c>
      <c r="B483" s="991" t="s">
        <v>1939</v>
      </c>
      <c r="C483" s="1211" t="s">
        <v>285</v>
      </c>
      <c r="D483" s="991">
        <v>9</v>
      </c>
      <c r="E483" s="1181">
        <f>APU!$F$1013</f>
        <v>4</v>
      </c>
      <c r="F483" s="1034">
        <f t="shared" si="108"/>
        <v>36</v>
      </c>
      <c r="G483" s="1184">
        <f t="shared" si="109"/>
        <v>4.5</v>
      </c>
      <c r="H483" s="1032">
        <v>2</v>
      </c>
      <c r="I483" s="1184">
        <f t="shared" si="110"/>
        <v>3</v>
      </c>
      <c r="J483" s="1086">
        <f>'Estructura de Presupuesto'!$H$144*D483</f>
        <v>10362470.074415999</v>
      </c>
      <c r="L483" s="812"/>
    </row>
    <row r="484" spans="1:12" hidden="1" outlineLevel="1">
      <c r="A484" s="929" t="s">
        <v>3092</v>
      </c>
      <c r="B484" s="991" t="s">
        <v>1190</v>
      </c>
      <c r="C484" s="1211" t="s">
        <v>285</v>
      </c>
      <c r="D484" s="991">
        <v>3</v>
      </c>
      <c r="E484" s="1181">
        <f>APU!$F$1028</f>
        <v>0.25</v>
      </c>
      <c r="F484" s="1034">
        <f t="shared" si="108"/>
        <v>0.75</v>
      </c>
      <c r="G484" s="1184">
        <f t="shared" si="109"/>
        <v>9.375E-2</v>
      </c>
      <c r="H484" s="1032">
        <v>1</v>
      </c>
      <c r="I484" s="1184">
        <f t="shared" si="110"/>
        <v>1</v>
      </c>
      <c r="J484" s="1086">
        <f>'Estructura de Presupuesto'!$H$145*D484</f>
        <v>145105.14637500001</v>
      </c>
      <c r="L484" s="812"/>
    </row>
    <row r="485" spans="1:12" hidden="1" outlineLevel="1">
      <c r="A485" s="929" t="s">
        <v>3093</v>
      </c>
      <c r="B485" s="991" t="s">
        <v>1951</v>
      </c>
      <c r="C485" s="1211" t="s">
        <v>285</v>
      </c>
      <c r="D485" s="991">
        <v>3</v>
      </c>
      <c r="E485" s="1181">
        <f>APU!$F$1034</f>
        <v>1</v>
      </c>
      <c r="F485" s="1034">
        <f t="shared" si="108"/>
        <v>3</v>
      </c>
      <c r="G485" s="1184">
        <f t="shared" si="109"/>
        <v>0.375</v>
      </c>
      <c r="H485" s="1032">
        <v>1</v>
      </c>
      <c r="I485" s="1184">
        <f t="shared" si="110"/>
        <v>1</v>
      </c>
      <c r="J485" s="1086">
        <f>'Estructura de Presupuesto'!$H$146*D485</f>
        <v>233718.97050000005</v>
      </c>
      <c r="L485" s="812"/>
    </row>
    <row r="486" spans="1:12" hidden="1" outlineLevel="1">
      <c r="A486" s="929" t="s">
        <v>3094</v>
      </c>
      <c r="B486" s="991" t="s">
        <v>1952</v>
      </c>
      <c r="C486" s="1211" t="s">
        <v>285</v>
      </c>
      <c r="D486" s="991">
        <v>1</v>
      </c>
      <c r="E486" s="1181">
        <f>APU!$F$1040</f>
        <v>1</v>
      </c>
      <c r="F486" s="1034">
        <f t="shared" si="108"/>
        <v>1</v>
      </c>
      <c r="G486" s="1184">
        <f t="shared" si="109"/>
        <v>0.125</v>
      </c>
      <c r="H486" s="1032">
        <v>1</v>
      </c>
      <c r="I486" s="1184">
        <f t="shared" si="110"/>
        <v>1</v>
      </c>
      <c r="J486" s="1086">
        <f>'Estructura de Presupuesto'!$H$147*D486</f>
        <v>107006.32350000001</v>
      </c>
      <c r="L486"/>
    </row>
    <row r="487" spans="1:12" hidden="1" outlineLevel="1">
      <c r="A487" s="929" t="s">
        <v>3095</v>
      </c>
      <c r="B487" s="991" t="s">
        <v>1948</v>
      </c>
      <c r="C487" s="1211" t="s">
        <v>285</v>
      </c>
      <c r="D487" s="991">
        <v>8</v>
      </c>
      <c r="E487" s="1181">
        <f>APU!$F$1046</f>
        <v>0.3</v>
      </c>
      <c r="F487" s="1034">
        <f t="shared" si="108"/>
        <v>2.4</v>
      </c>
      <c r="G487" s="1184">
        <f t="shared" si="109"/>
        <v>0.3</v>
      </c>
      <c r="H487" s="1032">
        <v>1</v>
      </c>
      <c r="I487" s="1184">
        <f t="shared" si="110"/>
        <v>1</v>
      </c>
      <c r="J487" s="1086">
        <f>'Estructura de Presupuesto'!$H$148*D487</f>
        <v>73435.199999999997</v>
      </c>
      <c r="L487"/>
    </row>
    <row r="488" spans="1:12" hidden="1" outlineLevel="1">
      <c r="A488" s="929" t="s">
        <v>3096</v>
      </c>
      <c r="B488" s="991" t="s">
        <v>1950</v>
      </c>
      <c r="C488" s="1211" t="s">
        <v>285</v>
      </c>
      <c r="D488" s="991">
        <v>5</v>
      </c>
      <c r="E488" s="1181">
        <f>APU!$F$1053</f>
        <v>1</v>
      </c>
      <c r="F488" s="1034">
        <f t="shared" si="108"/>
        <v>5</v>
      </c>
      <c r="G488" s="1184">
        <f t="shared" si="109"/>
        <v>0.625</v>
      </c>
      <c r="H488" s="1032">
        <v>1</v>
      </c>
      <c r="I488" s="1184">
        <f t="shared" si="110"/>
        <v>1</v>
      </c>
      <c r="J488" s="1086">
        <f>'Estructura de Presupuesto'!$H$149*D488</f>
        <v>374531.61750000005</v>
      </c>
      <c r="L488" s="1408"/>
    </row>
    <row r="489" spans="1:12" hidden="1" outlineLevel="1">
      <c r="A489" s="929" t="s">
        <v>3097</v>
      </c>
      <c r="B489" s="991" t="s">
        <v>1949</v>
      </c>
      <c r="C489" s="1211" t="s">
        <v>285</v>
      </c>
      <c r="D489" s="991">
        <v>6</v>
      </c>
      <c r="E489" s="1181">
        <f>APU!$F$1059</f>
        <v>1</v>
      </c>
      <c r="F489" s="1034">
        <f t="shared" si="108"/>
        <v>6</v>
      </c>
      <c r="G489" s="1184">
        <f t="shared" si="109"/>
        <v>0.75</v>
      </c>
      <c r="H489" s="1032">
        <v>1</v>
      </c>
      <c r="I489" s="1184">
        <f t="shared" si="110"/>
        <v>1</v>
      </c>
      <c r="J489" s="1086">
        <f>'Estructura de Presupuesto'!$H$150*D489</f>
        <v>2321437.9410000001</v>
      </c>
      <c r="L489" s="1408"/>
    </row>
    <row r="490" spans="1:12" hidden="1" outlineLevel="1">
      <c r="A490" s="929" t="s">
        <v>3098</v>
      </c>
      <c r="B490" s="991" t="s">
        <v>1953</v>
      </c>
      <c r="C490" s="1211" t="s">
        <v>285</v>
      </c>
      <c r="D490" s="991">
        <v>8</v>
      </c>
      <c r="E490" s="1181">
        <f>APU!$F$1065</f>
        <v>1</v>
      </c>
      <c r="F490" s="1034">
        <f t="shared" si="108"/>
        <v>8</v>
      </c>
      <c r="G490" s="1184">
        <f t="shared" si="109"/>
        <v>1</v>
      </c>
      <c r="H490" s="1032">
        <v>1</v>
      </c>
      <c r="I490" s="1184">
        <f t="shared" si="110"/>
        <v>1</v>
      </c>
      <c r="J490" s="1086">
        <f>'Estructura de Presupuesto'!$H$151*D490</f>
        <v>1167250.588</v>
      </c>
      <c r="L490" s="812"/>
    </row>
    <row r="491" spans="1:12" ht="15.75" hidden="1" outlineLevel="1" thickBot="1">
      <c r="A491" s="929" t="s">
        <v>3099</v>
      </c>
      <c r="B491" s="991" t="s">
        <v>1954</v>
      </c>
      <c r="C491" s="1211" t="s">
        <v>285</v>
      </c>
      <c r="D491" s="991">
        <v>5</v>
      </c>
      <c r="E491" s="1181">
        <f>APU!$F$1071</f>
        <v>1</v>
      </c>
      <c r="F491" s="1034">
        <f t="shared" si="108"/>
        <v>5</v>
      </c>
      <c r="G491" s="1184">
        <f t="shared" si="109"/>
        <v>0.625</v>
      </c>
      <c r="H491" s="1032">
        <v>1</v>
      </c>
      <c r="I491" s="1184">
        <f t="shared" si="110"/>
        <v>1</v>
      </c>
      <c r="J491" s="1086">
        <f>'Estructura de Presupuesto'!$H$152*D491</f>
        <v>1049531.6174999999</v>
      </c>
      <c r="L491" s="812"/>
    </row>
    <row r="492" spans="1:12" ht="15.75" hidden="1" outlineLevel="1" thickBot="1">
      <c r="A492" s="1937" t="s">
        <v>2264</v>
      </c>
      <c r="B492" s="1938"/>
      <c r="C492" s="1938"/>
      <c r="D492" s="1938"/>
      <c r="E492" s="1938"/>
      <c r="F492" s="1938"/>
      <c r="G492" s="1938"/>
      <c r="H492" s="1938"/>
      <c r="I492" s="1938"/>
      <c r="J492" s="1472">
        <f>SUM(J493:J506)</f>
        <v>23919006.570641</v>
      </c>
      <c r="L492" s="812"/>
    </row>
    <row r="493" spans="1:12" hidden="1" outlineLevel="1">
      <c r="A493" s="929" t="s">
        <v>3100</v>
      </c>
      <c r="B493" s="991" t="s">
        <v>1189</v>
      </c>
      <c r="C493" s="1211" t="s">
        <v>285</v>
      </c>
      <c r="D493" s="991">
        <v>9</v>
      </c>
      <c r="E493" s="1181">
        <f>APU!$F$1001</f>
        <v>3</v>
      </c>
      <c r="F493" s="1034">
        <f t="shared" ref="F493:F506" si="111">D493*E493</f>
        <v>27</v>
      </c>
      <c r="G493" s="1184">
        <f t="shared" ref="G493:G506" si="112">F493/8</f>
        <v>3.375</v>
      </c>
      <c r="H493" s="1032">
        <v>2</v>
      </c>
      <c r="I493" s="1184">
        <f t="shared" ref="I493:I506" si="113">ROUNDUP(G493/H493,0)</f>
        <v>2</v>
      </c>
      <c r="J493" s="1086">
        <f>'Estructura de Presupuesto'!$H$143*D493</f>
        <v>4956422.8535999991</v>
      </c>
      <c r="L493" s="812"/>
    </row>
    <row r="494" spans="1:12" hidden="1" outlineLevel="1">
      <c r="A494" s="929" t="s">
        <v>3101</v>
      </c>
      <c r="B494" s="991" t="s">
        <v>1939</v>
      </c>
      <c r="C494" s="1211" t="s">
        <v>285</v>
      </c>
      <c r="D494" s="991">
        <v>9</v>
      </c>
      <c r="E494" s="1181">
        <f>APU!$F$1013</f>
        <v>4</v>
      </c>
      <c r="F494" s="1034">
        <f t="shared" si="111"/>
        <v>36</v>
      </c>
      <c r="G494" s="1184">
        <f t="shared" si="112"/>
        <v>4.5</v>
      </c>
      <c r="H494" s="1032">
        <v>2</v>
      </c>
      <c r="I494" s="1184">
        <f t="shared" si="113"/>
        <v>3</v>
      </c>
      <c r="J494" s="1086">
        <f>'Estructura de Presupuesto'!$H$144*D494</f>
        <v>10362470.074415999</v>
      </c>
      <c r="L494"/>
    </row>
    <row r="495" spans="1:12" hidden="1" outlineLevel="1">
      <c r="A495" s="929" t="s">
        <v>3102</v>
      </c>
      <c r="B495" s="991" t="s">
        <v>1190</v>
      </c>
      <c r="C495" s="1211" t="s">
        <v>285</v>
      </c>
      <c r="D495" s="991">
        <v>3</v>
      </c>
      <c r="E495" s="1181">
        <f>APU!$F$1028</f>
        <v>0.25</v>
      </c>
      <c r="F495" s="1034">
        <f t="shared" si="111"/>
        <v>0.75</v>
      </c>
      <c r="G495" s="1184">
        <f t="shared" si="112"/>
        <v>9.375E-2</v>
      </c>
      <c r="H495" s="1032">
        <v>1</v>
      </c>
      <c r="I495" s="1184">
        <f t="shared" si="113"/>
        <v>1</v>
      </c>
      <c r="J495" s="1086">
        <f>'Estructura de Presupuesto'!$H$145*D495</f>
        <v>145105.14637500001</v>
      </c>
      <c r="L495"/>
    </row>
    <row r="496" spans="1:12" hidden="1" outlineLevel="1">
      <c r="A496" s="929" t="s">
        <v>3103</v>
      </c>
      <c r="B496" s="991" t="s">
        <v>1951</v>
      </c>
      <c r="C496" s="1211" t="s">
        <v>285</v>
      </c>
      <c r="D496" s="991">
        <v>3</v>
      </c>
      <c r="E496" s="1181">
        <f>APU!$F$1034</f>
        <v>1</v>
      </c>
      <c r="F496" s="1034">
        <f t="shared" si="111"/>
        <v>3</v>
      </c>
      <c r="G496" s="1184">
        <f t="shared" si="112"/>
        <v>0.375</v>
      </c>
      <c r="H496" s="1032">
        <v>1</v>
      </c>
      <c r="I496" s="1184">
        <f t="shared" si="113"/>
        <v>1</v>
      </c>
      <c r="J496" s="1086">
        <f>'Estructura de Presupuesto'!$H$146*D496</f>
        <v>233718.97050000005</v>
      </c>
      <c r="L496" s="1408"/>
    </row>
    <row r="497" spans="1:15" hidden="1" outlineLevel="1">
      <c r="A497" s="929" t="s">
        <v>3104</v>
      </c>
      <c r="B497" s="991" t="s">
        <v>1952</v>
      </c>
      <c r="C497" s="1211" t="s">
        <v>285</v>
      </c>
      <c r="D497" s="991">
        <v>1</v>
      </c>
      <c r="E497" s="1181">
        <f>APU!$F$1040</f>
        <v>1</v>
      </c>
      <c r="F497" s="1034">
        <f t="shared" si="111"/>
        <v>1</v>
      </c>
      <c r="G497" s="1184">
        <f t="shared" si="112"/>
        <v>0.125</v>
      </c>
      <c r="H497" s="1032">
        <v>1</v>
      </c>
      <c r="I497" s="1184">
        <f t="shared" si="113"/>
        <v>1</v>
      </c>
      <c r="J497" s="1086">
        <f>'Estructura de Presupuesto'!$H$147*D497</f>
        <v>107006.32350000001</v>
      </c>
      <c r="L497" s="1408"/>
    </row>
    <row r="498" spans="1:15" hidden="1" outlineLevel="1">
      <c r="A498" s="929" t="s">
        <v>3105</v>
      </c>
      <c r="B498" s="991" t="s">
        <v>1948</v>
      </c>
      <c r="C498" s="1211" t="s">
        <v>285</v>
      </c>
      <c r="D498" s="991">
        <v>8</v>
      </c>
      <c r="E498" s="1181">
        <f>APU!$F$1046</f>
        <v>0.3</v>
      </c>
      <c r="F498" s="1034">
        <f t="shared" si="111"/>
        <v>2.4</v>
      </c>
      <c r="G498" s="1184">
        <f t="shared" si="112"/>
        <v>0.3</v>
      </c>
      <c r="H498" s="1032">
        <v>1</v>
      </c>
      <c r="I498" s="1184">
        <f t="shared" si="113"/>
        <v>1</v>
      </c>
      <c r="J498" s="1086">
        <f>'Estructura de Presupuesto'!$H$148*D498</f>
        <v>73435.199999999997</v>
      </c>
      <c r="L498" s="812"/>
    </row>
    <row r="499" spans="1:15" hidden="1" outlineLevel="1">
      <c r="A499" s="929" t="s">
        <v>3106</v>
      </c>
      <c r="B499" s="991" t="s">
        <v>1950</v>
      </c>
      <c r="C499" s="1211" t="s">
        <v>285</v>
      </c>
      <c r="D499" s="991">
        <v>5</v>
      </c>
      <c r="E499" s="1181">
        <f>APU!$F$1053</f>
        <v>1</v>
      </c>
      <c r="F499" s="1034">
        <f t="shared" si="111"/>
        <v>5</v>
      </c>
      <c r="G499" s="1184">
        <f t="shared" si="112"/>
        <v>0.625</v>
      </c>
      <c r="H499" s="1032">
        <v>1</v>
      </c>
      <c r="I499" s="1184">
        <f t="shared" si="113"/>
        <v>1</v>
      </c>
      <c r="J499" s="1086">
        <f>'Estructura de Presupuesto'!$H$149*D499</f>
        <v>374531.61750000005</v>
      </c>
      <c r="L499" s="812"/>
    </row>
    <row r="500" spans="1:15" hidden="1" outlineLevel="1">
      <c r="A500" s="929" t="s">
        <v>3107</v>
      </c>
      <c r="B500" s="991" t="s">
        <v>1949</v>
      </c>
      <c r="C500" s="1211" t="s">
        <v>285</v>
      </c>
      <c r="D500" s="991">
        <v>6</v>
      </c>
      <c r="E500" s="1181">
        <f>APU!$F$1059</f>
        <v>1</v>
      </c>
      <c r="F500" s="1034">
        <f t="shared" si="111"/>
        <v>6</v>
      </c>
      <c r="G500" s="1184">
        <f t="shared" si="112"/>
        <v>0.75</v>
      </c>
      <c r="H500" s="1032">
        <v>1</v>
      </c>
      <c r="I500" s="1184">
        <f t="shared" si="113"/>
        <v>1</v>
      </c>
      <c r="J500" s="1086">
        <f>'Estructura de Presupuesto'!$H$150*D500</f>
        <v>2321437.9410000001</v>
      </c>
      <c r="L500" s="812"/>
    </row>
    <row r="501" spans="1:15" hidden="1" outlineLevel="1">
      <c r="A501" s="929" t="s">
        <v>3108</v>
      </c>
      <c r="B501" s="991" t="s">
        <v>1953</v>
      </c>
      <c r="C501" s="1211" t="s">
        <v>285</v>
      </c>
      <c r="D501" s="991">
        <v>8</v>
      </c>
      <c r="E501" s="1181">
        <f>APU!$F$1065</f>
        <v>1</v>
      </c>
      <c r="F501" s="1034">
        <f t="shared" si="111"/>
        <v>8</v>
      </c>
      <c r="G501" s="1184">
        <f t="shared" si="112"/>
        <v>1</v>
      </c>
      <c r="H501" s="1032">
        <v>1</v>
      </c>
      <c r="I501" s="1184">
        <f t="shared" si="113"/>
        <v>1</v>
      </c>
      <c r="J501" s="1086">
        <f>'Estructura de Presupuesto'!$H$151*D501</f>
        <v>1167250.588</v>
      </c>
      <c r="L501" s="812"/>
    </row>
    <row r="502" spans="1:15" hidden="1" outlineLevel="1">
      <c r="A502" s="929" t="s">
        <v>3109</v>
      </c>
      <c r="B502" s="991" t="s">
        <v>1954</v>
      </c>
      <c r="C502" s="1211" t="s">
        <v>285</v>
      </c>
      <c r="D502" s="991">
        <v>5</v>
      </c>
      <c r="E502" s="1181">
        <f>APU!$F$1071</f>
        <v>1</v>
      </c>
      <c r="F502" s="1034">
        <f t="shared" si="111"/>
        <v>5</v>
      </c>
      <c r="G502" s="1184">
        <f t="shared" si="112"/>
        <v>0.625</v>
      </c>
      <c r="H502" s="1032">
        <v>1</v>
      </c>
      <c r="I502" s="1184">
        <f t="shared" si="113"/>
        <v>1</v>
      </c>
      <c r="J502" s="1086">
        <f>'Estructura de Presupuesto'!$H$152*D502</f>
        <v>1049531.6174999999</v>
      </c>
      <c r="L502"/>
    </row>
    <row r="503" spans="1:15" hidden="1" outlineLevel="1">
      <c r="A503" s="929" t="s">
        <v>3110</v>
      </c>
      <c r="B503" s="991" t="s">
        <v>1946</v>
      </c>
      <c r="C503" s="1211" t="s">
        <v>285</v>
      </c>
      <c r="D503" s="991">
        <v>1</v>
      </c>
      <c r="E503" s="1181">
        <f>APU!$F$1077</f>
        <v>0.5</v>
      </c>
      <c r="F503" s="1034">
        <f t="shared" si="111"/>
        <v>0.5</v>
      </c>
      <c r="G503" s="1184">
        <f t="shared" si="112"/>
        <v>6.25E-2</v>
      </c>
      <c r="H503" s="1032">
        <v>1</v>
      </c>
      <c r="I503" s="1184">
        <f t="shared" si="113"/>
        <v>1</v>
      </c>
      <c r="J503" s="1086">
        <f>'Estructura de Presupuesto'!$H$153*D503</f>
        <v>438753.33724999998</v>
      </c>
      <c r="L503"/>
    </row>
    <row r="504" spans="1:15" hidden="1" outlineLevel="1">
      <c r="A504" s="929" t="s">
        <v>3111</v>
      </c>
      <c r="B504" s="991" t="s">
        <v>1959</v>
      </c>
      <c r="C504" s="1211" t="s">
        <v>285</v>
      </c>
      <c r="D504" s="991">
        <v>1</v>
      </c>
      <c r="E504" s="1181">
        <f>APU!$F$1087</f>
        <v>5</v>
      </c>
      <c r="F504" s="1034">
        <f t="shared" si="111"/>
        <v>5</v>
      </c>
      <c r="G504" s="1184">
        <f t="shared" si="112"/>
        <v>0.625</v>
      </c>
      <c r="H504" s="1032">
        <v>1</v>
      </c>
      <c r="I504" s="1184">
        <f t="shared" si="113"/>
        <v>1</v>
      </c>
      <c r="J504" s="1086">
        <f>'Estructura de Presupuesto'!$H$154*D504</f>
        <v>1095701.7885</v>
      </c>
      <c r="L504" s="1408"/>
    </row>
    <row r="505" spans="1:15" hidden="1" outlineLevel="1">
      <c r="A505" s="929" t="s">
        <v>3112</v>
      </c>
      <c r="B505" s="991" t="s">
        <v>1962</v>
      </c>
      <c r="C505" s="1211" t="s">
        <v>285</v>
      </c>
      <c r="D505" s="991">
        <v>2</v>
      </c>
      <c r="E505" s="1181">
        <f>APU!$F$1094</f>
        <v>5</v>
      </c>
      <c r="F505" s="1034">
        <f t="shared" si="111"/>
        <v>10</v>
      </c>
      <c r="G505" s="1184">
        <f t="shared" si="112"/>
        <v>1.25</v>
      </c>
      <c r="H505" s="1032">
        <v>1</v>
      </c>
      <c r="I505" s="1184">
        <f t="shared" si="113"/>
        <v>2</v>
      </c>
      <c r="J505" s="1086">
        <f>'Estructura de Presupuesto'!$H$155*D505</f>
        <v>261856.44500000001</v>
      </c>
      <c r="L505" s="1408"/>
    </row>
    <row r="506" spans="1:15" ht="15.75" hidden="1" outlineLevel="1" thickBot="1">
      <c r="A506" s="929" t="s">
        <v>3113</v>
      </c>
      <c r="B506" s="991" t="s">
        <v>1963</v>
      </c>
      <c r="C506" s="1211" t="s">
        <v>285</v>
      </c>
      <c r="D506" s="991">
        <v>3</v>
      </c>
      <c r="E506" s="1181">
        <f>APU!$F$1101</f>
        <v>5</v>
      </c>
      <c r="F506" s="1034">
        <f t="shared" si="111"/>
        <v>15</v>
      </c>
      <c r="G506" s="1184">
        <f t="shared" si="112"/>
        <v>1.875</v>
      </c>
      <c r="H506" s="1032">
        <v>1</v>
      </c>
      <c r="I506" s="1184">
        <f t="shared" si="113"/>
        <v>2</v>
      </c>
      <c r="J506" s="1086">
        <f>'Estructura de Presupuesto'!$H$156*D506</f>
        <v>1331784.6675</v>
      </c>
      <c r="L506" s="812"/>
    </row>
    <row r="507" spans="1:15" ht="15.75" collapsed="1" thickBot="1">
      <c r="A507" s="1153">
        <v>14</v>
      </c>
      <c r="B507" s="1943" t="s">
        <v>335</v>
      </c>
      <c r="C507" s="1944"/>
      <c r="D507" s="1944"/>
      <c r="E507" s="1944"/>
      <c r="F507" s="1944"/>
      <c r="G507" s="1944"/>
      <c r="H507" s="1944"/>
      <c r="I507" s="1944"/>
      <c r="J507" s="1238">
        <f>SUM(J508:J509)</f>
        <v>206646831.91221997</v>
      </c>
      <c r="L507" s="1413"/>
    </row>
    <row r="508" spans="1:15" customFormat="1" ht="12.75" hidden="1" outlineLevel="1">
      <c r="A508" s="1144">
        <v>15.1</v>
      </c>
      <c r="B508" s="253" t="s">
        <v>1126</v>
      </c>
      <c r="C508" s="1082" t="s">
        <v>345</v>
      </c>
      <c r="D508" s="1168">
        <f>'14. Inst. Hidro-Sanitarias'!H74</f>
        <v>82</v>
      </c>
      <c r="E508" s="1168">
        <f>+APU!F1109/2</f>
        <v>0.2</v>
      </c>
      <c r="F508" s="1168">
        <f>+D508*E508</f>
        <v>16.400000000000002</v>
      </c>
      <c r="G508" s="1168">
        <f>+F508/8</f>
        <v>2.0500000000000003</v>
      </c>
      <c r="H508" s="997">
        <v>2</v>
      </c>
      <c r="I508" s="1150">
        <f>+ROUNDUP(G508/H508,0)</f>
        <v>2</v>
      </c>
      <c r="J508" s="1169">
        <f>+APU!J1111</f>
        <v>2903339.56</v>
      </c>
      <c r="L508" s="812"/>
    </row>
    <row r="509" spans="1:15" customFormat="1" ht="13.5" hidden="1" outlineLevel="1" thickBot="1">
      <c r="A509" s="1144">
        <v>15.2</v>
      </c>
      <c r="B509" s="5" t="s">
        <v>2734</v>
      </c>
      <c r="C509" s="920" t="s">
        <v>55</v>
      </c>
      <c r="D509" s="373">
        <f>+'3.Concreto'!C68</f>
        <v>885.01089999999988</v>
      </c>
      <c r="E509" s="232">
        <f>+F509/D509</f>
        <v>0.12655211365193356</v>
      </c>
      <c r="F509" s="232">
        <f>+G509*8</f>
        <v>112</v>
      </c>
      <c r="G509" s="232">
        <v>14</v>
      </c>
      <c r="H509" s="1144">
        <v>1</v>
      </c>
      <c r="I509" s="1144">
        <v>14</v>
      </c>
      <c r="J509" s="1152">
        <f>+APU!J1115</f>
        <v>203743492.35221997</v>
      </c>
      <c r="L509" s="812"/>
    </row>
    <row r="510" spans="1:15" ht="15.75" collapsed="1" thickBot="1">
      <c r="A510" s="1042">
        <v>15</v>
      </c>
      <c r="B510" s="1943" t="s">
        <v>278</v>
      </c>
      <c r="C510" s="1944"/>
      <c r="D510" s="1944"/>
      <c r="E510" s="1944"/>
      <c r="F510" s="1944"/>
      <c r="G510" s="1944"/>
      <c r="H510" s="1944"/>
      <c r="I510" s="1944"/>
      <c r="J510" s="1237">
        <f>SUM(J511,J530,J540,J555,J574,J583,J598,J611,J624)</f>
        <v>185075786</v>
      </c>
      <c r="L510" s="1412"/>
    </row>
    <row r="511" spans="1:15" ht="15.75" hidden="1" outlineLevel="1" thickBot="1">
      <c r="A511" s="1937" t="s">
        <v>820</v>
      </c>
      <c r="B511" s="1938"/>
      <c r="C511" s="1938"/>
      <c r="D511" s="1938"/>
      <c r="E511" s="1938"/>
      <c r="F511" s="1938"/>
      <c r="G511" s="1938"/>
      <c r="H511" s="1938"/>
      <c r="I511" s="1938"/>
      <c r="J511" s="1241">
        <f>SUM(J512:J529)</f>
        <v>17538499</v>
      </c>
      <c r="L511"/>
      <c r="M511" s="1473"/>
      <c r="N511" s="1461">
        <f>J511+J639+J789</f>
        <v>21603997.809605446</v>
      </c>
      <c r="O511" s="1461">
        <f>N511+N520</f>
        <v>29943998.144485444</v>
      </c>
    </row>
    <row r="512" spans="1:15" hidden="1" outlineLevel="1">
      <c r="A512" s="928"/>
      <c r="B512" s="988" t="s">
        <v>2547</v>
      </c>
      <c r="C512" s="582" t="str">
        <f>'13. Instalaciones Eléctricas'!F11</f>
        <v>uni</v>
      </c>
      <c r="D512" s="582">
        <f>'13. Instalaciones Eléctricas'!E11</f>
        <v>8</v>
      </c>
      <c r="E512" s="938">
        <f>APU!$F$1136</f>
        <v>1.25</v>
      </c>
      <c r="F512" s="938">
        <f>D512*E512</f>
        <v>10</v>
      </c>
      <c r="G512" s="1005">
        <f>F512/8</f>
        <v>1.25</v>
      </c>
      <c r="H512" s="997">
        <v>1</v>
      </c>
      <c r="I512" s="1001">
        <f>ROUNDUP(G512/H512,0)</f>
        <v>2</v>
      </c>
      <c r="J512" s="999">
        <f>D512*APU!$J$1144</f>
        <v>828792</v>
      </c>
      <c r="L512" s="1408"/>
      <c r="M512" s="1473"/>
      <c r="N512" s="1461">
        <f>J530+J655+J802</f>
        <v>14697490.366952449</v>
      </c>
    </row>
    <row r="513" spans="1:14" hidden="1" outlineLevel="1">
      <c r="A513" s="929"/>
      <c r="B513" s="988" t="s">
        <v>2548</v>
      </c>
      <c r="C513" s="583" t="str">
        <f>'13. Instalaciones Eléctricas'!F7</f>
        <v>uni</v>
      </c>
      <c r="D513" s="583">
        <f>'13. Instalaciones Eléctricas'!E7</f>
        <v>3</v>
      </c>
      <c r="E513" s="938">
        <f>APU!$F$1152</f>
        <v>1.25</v>
      </c>
      <c r="F513" s="938">
        <f t="shared" ref="F513:F529" si="114">D513*E513</f>
        <v>3.75</v>
      </c>
      <c r="G513" s="1005">
        <f>F513/8</f>
        <v>0.46875</v>
      </c>
      <c r="H513" s="997">
        <v>1</v>
      </c>
      <c r="I513" s="1001">
        <f t="shared" ref="I513:I529" si="115">ROUNDUP(G513/H513,0)</f>
        <v>1</v>
      </c>
      <c r="J513" s="1006">
        <f>D513*APU!$J$1160</f>
        <v>342699</v>
      </c>
      <c r="L513" s="1408"/>
      <c r="M513" s="1473"/>
      <c r="N513" s="1461">
        <f>J540+J672+J816</f>
        <v>22065205.445161704</v>
      </c>
    </row>
    <row r="514" spans="1:14" hidden="1" outlineLevel="1">
      <c r="A514" s="929"/>
      <c r="B514" s="988" t="s">
        <v>2549</v>
      </c>
      <c r="C514" s="583" t="str">
        <f>'13. Instalaciones Eléctricas'!F10</f>
        <v>uni</v>
      </c>
      <c r="D514" s="583">
        <f>'13. Instalaciones Eléctricas'!E10</f>
        <v>15</v>
      </c>
      <c r="E514" s="938">
        <f>APU!$F$1168</f>
        <v>1.25</v>
      </c>
      <c r="F514" s="938">
        <f t="shared" si="114"/>
        <v>18.75</v>
      </c>
      <c r="G514" s="1005">
        <f t="shared" ref="G514:G529" si="116">F514/8</f>
        <v>2.34375</v>
      </c>
      <c r="H514" s="997">
        <v>2</v>
      </c>
      <c r="I514" s="1001">
        <f t="shared" si="115"/>
        <v>2</v>
      </c>
      <c r="J514" s="1006">
        <f>D514*APU!$J$1176</f>
        <v>1553985</v>
      </c>
      <c r="L514" s="812"/>
      <c r="M514" s="1473"/>
      <c r="N514" s="1461">
        <f>J555+J693+J828</f>
        <v>43488767.176673107</v>
      </c>
    </row>
    <row r="515" spans="1:14" hidden="1" outlineLevel="1">
      <c r="A515" s="921"/>
      <c r="B515" s="988" t="s">
        <v>2550</v>
      </c>
      <c r="C515" s="583" t="str">
        <f>'13. Instalaciones Eléctricas'!F8</f>
        <v>uni</v>
      </c>
      <c r="D515" s="583">
        <f>'13. Instalaciones Eléctricas'!E8</f>
        <v>18</v>
      </c>
      <c r="E515" s="938">
        <f>APU!$F$1184</f>
        <v>1.25</v>
      </c>
      <c r="F515" s="938">
        <f t="shared" si="114"/>
        <v>22.5</v>
      </c>
      <c r="G515" s="1005">
        <f t="shared" si="116"/>
        <v>2.8125</v>
      </c>
      <c r="H515" s="997">
        <v>2</v>
      </c>
      <c r="I515" s="1001">
        <f t="shared" si="115"/>
        <v>2</v>
      </c>
      <c r="J515" s="1000">
        <f>D515*APU!$J$1192</f>
        <v>2056194</v>
      </c>
      <c r="L515" s="812"/>
      <c r="M515" s="1473"/>
      <c r="N515" s="1461">
        <f>J574+J715+J850</f>
        <v>14252051.311135104</v>
      </c>
    </row>
    <row r="516" spans="1:14" hidden="1" outlineLevel="1">
      <c r="A516" s="929"/>
      <c r="B516" s="991" t="s">
        <v>2551</v>
      </c>
      <c r="C516" s="583" t="str">
        <f>'13. Instalaciones Eléctricas'!F9</f>
        <v>uni</v>
      </c>
      <c r="D516" s="583">
        <f>'13. Instalaciones Eléctricas'!E9</f>
        <v>1</v>
      </c>
      <c r="E516" s="938">
        <f>APU!$F$1262</f>
        <v>2</v>
      </c>
      <c r="F516" s="938">
        <f t="shared" si="114"/>
        <v>2</v>
      </c>
      <c r="G516" s="1005">
        <f t="shared" si="116"/>
        <v>0.25</v>
      </c>
      <c r="H516" s="997">
        <v>1</v>
      </c>
      <c r="I516" s="1001">
        <f t="shared" si="115"/>
        <v>1</v>
      </c>
      <c r="J516" s="1006">
        <f>D516*APU!$J$1266</f>
        <v>49258</v>
      </c>
      <c r="L516" s="812"/>
      <c r="M516" s="1473"/>
      <c r="N516" s="1461">
        <f>J583+J734+J867</f>
        <v>31907936.200796917</v>
      </c>
    </row>
    <row r="517" spans="1:14" hidden="1" outlineLevel="1">
      <c r="A517" s="921"/>
      <c r="B517" s="991" t="s">
        <v>2552</v>
      </c>
      <c r="C517" s="583" t="str">
        <f>'13. Instalaciones Eléctricas'!F13</f>
        <v>uni</v>
      </c>
      <c r="D517" s="583">
        <f>'13. Instalaciones Eléctricas'!E13</f>
        <v>3</v>
      </c>
      <c r="E517" s="938">
        <f>APU!$F$1272</f>
        <v>2.25</v>
      </c>
      <c r="F517" s="938">
        <f t="shared" si="114"/>
        <v>6.75</v>
      </c>
      <c r="G517" s="1005">
        <f t="shared" si="116"/>
        <v>0.84375</v>
      </c>
      <c r="H517" s="997">
        <v>1</v>
      </c>
      <c r="I517" s="1001">
        <f t="shared" si="115"/>
        <v>1</v>
      </c>
      <c r="J517" s="1000">
        <f>D517*APU!$J$1273</f>
        <v>5228001</v>
      </c>
      <c r="L517" s="812"/>
      <c r="M517" s="1473"/>
      <c r="N517" s="1461">
        <f>J598+J747+J880</f>
        <v>28602390.805595916</v>
      </c>
    </row>
    <row r="518" spans="1:14" hidden="1" outlineLevel="1">
      <c r="A518" s="921"/>
      <c r="B518" s="991" t="s">
        <v>2840</v>
      </c>
      <c r="C518" s="583" t="str">
        <f>'13. Instalaciones Eléctricas'!L14</f>
        <v>uni</v>
      </c>
      <c r="D518" s="583">
        <f>'13. Instalaciones Eléctricas'!K14</f>
        <v>1</v>
      </c>
      <c r="E518" s="916">
        <f>APU!$F$1254</f>
        <v>1.25</v>
      </c>
      <c r="F518" s="938">
        <f t="shared" si="114"/>
        <v>1.25</v>
      </c>
      <c r="G518" s="1005">
        <f t="shared" si="116"/>
        <v>0.15625</v>
      </c>
      <c r="H518" s="997">
        <v>1</v>
      </c>
      <c r="I518" s="1001">
        <f t="shared" si="115"/>
        <v>1</v>
      </c>
      <c r="J518" s="1000">
        <f>D518*APU!$J$1255</f>
        <v>97285</v>
      </c>
      <c r="L518"/>
      <c r="M518" s="1473"/>
      <c r="N518" s="1461">
        <f>J611+J760+J893</f>
        <v>28748295.715295918</v>
      </c>
    </row>
    <row r="519" spans="1:14" hidden="1" outlineLevel="1">
      <c r="A519" s="921"/>
      <c r="B519" s="991" t="s">
        <v>2553</v>
      </c>
      <c r="C519" s="583" t="str">
        <f>'13. Instalaciones Eléctricas'!R7</f>
        <v>uni</v>
      </c>
      <c r="D519" s="583">
        <f>'13. Instalaciones Eléctricas'!Q7</f>
        <v>8</v>
      </c>
      <c r="E519" s="938">
        <f>APU!$F$1278</f>
        <v>0.5</v>
      </c>
      <c r="F519" s="938">
        <f t="shared" si="114"/>
        <v>4</v>
      </c>
      <c r="G519" s="1005">
        <f t="shared" si="116"/>
        <v>0.5</v>
      </c>
      <c r="H519" s="997">
        <v>1</v>
      </c>
      <c r="I519" s="1001">
        <f t="shared" si="115"/>
        <v>1</v>
      </c>
      <c r="J519" s="1006">
        <f>D519*APU!$J$1281</f>
        <v>228088</v>
      </c>
      <c r="L519"/>
      <c r="M519" s="1473"/>
      <c r="N519" s="1461">
        <f>J624+J773+J906</f>
        <v>36221433.029713921</v>
      </c>
    </row>
    <row r="520" spans="1:14" hidden="1" outlineLevel="1">
      <c r="A520" s="921"/>
      <c r="B520" s="991" t="s">
        <v>2554</v>
      </c>
      <c r="C520" s="636" t="str">
        <f>'13. Instalaciones Eléctricas'!R8</f>
        <v>uni</v>
      </c>
      <c r="D520" s="636">
        <f>'13. Instalaciones Eléctricas'!Q8</f>
        <v>7</v>
      </c>
      <c r="E520" s="938">
        <f>APU!$F$1286</f>
        <v>0.5</v>
      </c>
      <c r="F520" s="938">
        <f t="shared" si="114"/>
        <v>3.5</v>
      </c>
      <c r="G520" s="1005">
        <f t="shared" si="116"/>
        <v>0.4375</v>
      </c>
      <c r="H520" s="997">
        <v>1</v>
      </c>
      <c r="I520" s="1001">
        <f t="shared" si="115"/>
        <v>1</v>
      </c>
      <c r="J520" s="1008">
        <f>D520*APU!$J$1289</f>
        <v>199577</v>
      </c>
      <c r="L520" s="1408"/>
      <c r="N520" s="1474">
        <f>J784+J919</f>
        <v>8340000.33488</v>
      </c>
    </row>
    <row r="521" spans="1:14" hidden="1" outlineLevel="1">
      <c r="A521" s="921"/>
      <c r="B521" s="991" t="s">
        <v>2555</v>
      </c>
      <c r="C521" s="583" t="str">
        <f>'13. Instalaciones Eléctricas'!R9</f>
        <v>uni</v>
      </c>
      <c r="D521" s="583">
        <f>'13. Instalaciones Eléctricas'!Q9</f>
        <v>9</v>
      </c>
      <c r="E521" s="938">
        <f>APU!$F$1294</f>
        <v>0.5</v>
      </c>
      <c r="F521" s="938">
        <f t="shared" si="114"/>
        <v>4.5</v>
      </c>
      <c r="G521" s="1005">
        <f t="shared" si="116"/>
        <v>0.5625</v>
      </c>
      <c r="H521" s="997">
        <v>1</v>
      </c>
      <c r="I521" s="1001">
        <f t="shared" si="115"/>
        <v>1</v>
      </c>
      <c r="J521" s="1006">
        <f>D521*APU!$J$1297</f>
        <v>256599</v>
      </c>
      <c r="L521" s="1408"/>
    </row>
    <row r="522" spans="1:14" hidden="1" outlineLevel="1">
      <c r="A522" s="929"/>
      <c r="B522" s="988" t="s">
        <v>2556</v>
      </c>
      <c r="C522" s="583" t="str">
        <f>'13. Instalaciones Eléctricas'!R10</f>
        <v>uni</v>
      </c>
      <c r="D522" s="583">
        <f>'13. Instalaciones Eléctricas'!Q10</f>
        <v>5</v>
      </c>
      <c r="E522" s="938">
        <f>APU!$F$1302</f>
        <v>0.5</v>
      </c>
      <c r="F522" s="938">
        <f t="shared" si="114"/>
        <v>2.5</v>
      </c>
      <c r="G522" s="1005">
        <f t="shared" si="116"/>
        <v>0.3125</v>
      </c>
      <c r="H522" s="997">
        <v>1</v>
      </c>
      <c r="I522" s="1001">
        <f t="shared" si="115"/>
        <v>1</v>
      </c>
      <c r="J522" s="1006">
        <f>D522*APU!$J$1305</f>
        <v>142555</v>
      </c>
      <c r="L522" s="812"/>
    </row>
    <row r="523" spans="1:14" hidden="1" outlineLevel="1">
      <c r="A523" s="1065"/>
      <c r="B523" s="988" t="s">
        <v>2557</v>
      </c>
      <c r="C523" s="583" t="str">
        <f>'13. Instalaciones Eléctricas'!R11</f>
        <v>uni</v>
      </c>
      <c r="D523" s="583">
        <f>'13. Instalaciones Eléctricas'!Q11</f>
        <v>3</v>
      </c>
      <c r="E523" s="938">
        <f>APU!$F$1310</f>
        <v>0.5</v>
      </c>
      <c r="F523" s="938">
        <f t="shared" si="114"/>
        <v>1.5</v>
      </c>
      <c r="G523" s="1005">
        <f t="shared" si="116"/>
        <v>0.1875</v>
      </c>
      <c r="H523" s="997">
        <v>1</v>
      </c>
      <c r="I523" s="1001">
        <f t="shared" si="115"/>
        <v>1</v>
      </c>
      <c r="J523" s="1006">
        <f>D523*APU!$J$1313</f>
        <v>85533</v>
      </c>
      <c r="L523" s="812"/>
    </row>
    <row r="524" spans="1:14" hidden="1" outlineLevel="1">
      <c r="A524" s="1065"/>
      <c r="B524" s="988" t="s">
        <v>2558</v>
      </c>
      <c r="C524" s="583" t="str">
        <f>'13. Instalaciones Eléctricas'!R12</f>
        <v>uni</v>
      </c>
      <c r="D524" s="583">
        <f>'13. Instalaciones Eléctricas'!Q12</f>
        <v>1</v>
      </c>
      <c r="E524" s="938">
        <f>APU!$F$1318</f>
        <v>1.44</v>
      </c>
      <c r="F524" s="938">
        <f t="shared" si="114"/>
        <v>1.44</v>
      </c>
      <c r="G524" s="1005">
        <f t="shared" si="116"/>
        <v>0.18</v>
      </c>
      <c r="H524" s="997">
        <v>1</v>
      </c>
      <c r="I524" s="1001">
        <f t="shared" si="115"/>
        <v>1</v>
      </c>
      <c r="J524" s="1006">
        <f>D524*APU!$J$1321</f>
        <v>147249</v>
      </c>
      <c r="L524" s="812"/>
    </row>
    <row r="525" spans="1:14" hidden="1" outlineLevel="1">
      <c r="A525" s="1065"/>
      <c r="B525" s="988" t="s">
        <v>2559</v>
      </c>
      <c r="C525" s="583" t="str">
        <f>'13. Instalaciones Eléctricas'!X7</f>
        <v>uni</v>
      </c>
      <c r="D525" s="583">
        <f>'13. Instalaciones Eléctricas'!W7</f>
        <v>1</v>
      </c>
      <c r="E525" s="938">
        <f>APU!$F$1361</f>
        <v>1.25</v>
      </c>
      <c r="F525" s="938">
        <f t="shared" si="114"/>
        <v>1.25</v>
      </c>
      <c r="G525" s="1005">
        <f t="shared" si="116"/>
        <v>0.15625</v>
      </c>
      <c r="H525" s="997">
        <v>1</v>
      </c>
      <c r="I525" s="1001">
        <f t="shared" si="115"/>
        <v>1</v>
      </c>
      <c r="J525" s="1006">
        <f>D525*APU!$J$1369</f>
        <v>109515</v>
      </c>
      <c r="L525" s="812"/>
    </row>
    <row r="526" spans="1:14" hidden="1" outlineLevel="1">
      <c r="A526" s="1065"/>
      <c r="B526" s="988" t="s">
        <v>2560</v>
      </c>
      <c r="C526" s="583" t="str">
        <f>'13. Instalaciones Eléctricas'!AV7</f>
        <v>uni</v>
      </c>
      <c r="D526" s="583">
        <f>'13. Instalaciones Eléctricas'!AU7</f>
        <v>1</v>
      </c>
      <c r="E526" s="938">
        <f>APU!$F$1388</f>
        <v>4.5</v>
      </c>
      <c r="F526" s="938">
        <f t="shared" si="114"/>
        <v>4.5</v>
      </c>
      <c r="G526" s="1005">
        <f t="shared" si="116"/>
        <v>0.5625</v>
      </c>
      <c r="H526" s="997">
        <v>1</v>
      </c>
      <c r="I526" s="1001">
        <f t="shared" si="115"/>
        <v>1</v>
      </c>
      <c r="J526" s="1006">
        <f>D526*APU!$J$1392</f>
        <v>1723641</v>
      </c>
      <c r="L526"/>
    </row>
    <row r="527" spans="1:14" hidden="1" outlineLevel="1">
      <c r="A527" s="1065"/>
      <c r="B527" s="988" t="s">
        <v>2561</v>
      </c>
      <c r="C527" s="583" t="str">
        <f>'13. Instalaciones Eléctricas'!AV9</f>
        <v>uni</v>
      </c>
      <c r="D527" s="583">
        <f>'13. Instalaciones Eléctricas'!AU9</f>
        <v>1</v>
      </c>
      <c r="E527" s="1004">
        <f>APU!$F$1396</f>
        <v>0.95996916152692124</v>
      </c>
      <c r="F527" s="1004">
        <f t="shared" si="114"/>
        <v>0.95996916152692124</v>
      </c>
      <c r="G527" s="1005">
        <f t="shared" si="116"/>
        <v>0.11999614519086516</v>
      </c>
      <c r="H527" s="997">
        <v>1</v>
      </c>
      <c r="I527" s="1001">
        <f t="shared" si="115"/>
        <v>1</v>
      </c>
      <c r="J527" s="1006">
        <f>D527*APU!$J$1397</f>
        <v>35000</v>
      </c>
      <c r="L527"/>
    </row>
    <row r="528" spans="1:14" hidden="1" outlineLevel="1">
      <c r="A528" s="1065"/>
      <c r="B528" s="988" t="s">
        <v>2562</v>
      </c>
      <c r="C528" s="583" t="str">
        <f>'13. Instalaciones Eléctricas'!AV11</f>
        <v>uni</v>
      </c>
      <c r="D528" s="583">
        <f>'13. Instalaciones Eléctricas'!AU11</f>
        <v>7</v>
      </c>
      <c r="E528" s="938">
        <f>APU!$F$1404</f>
        <v>2</v>
      </c>
      <c r="F528" s="938">
        <f t="shared" si="114"/>
        <v>14</v>
      </c>
      <c r="G528" s="1005">
        <f t="shared" si="116"/>
        <v>1.75</v>
      </c>
      <c r="H528" s="997">
        <v>1</v>
      </c>
      <c r="I528" s="1001">
        <f t="shared" si="115"/>
        <v>2</v>
      </c>
      <c r="J528" s="1006">
        <f>D528*APU!$J$1408</f>
        <v>4048457</v>
      </c>
      <c r="L528" s="1408"/>
    </row>
    <row r="529" spans="1:12" ht="15.75" hidden="1" outlineLevel="1" thickBot="1">
      <c r="A529" s="1065"/>
      <c r="B529" s="988" t="s">
        <v>2563</v>
      </c>
      <c r="C529" s="583" t="str">
        <f>'13. Instalaciones Eléctricas'!BB7</f>
        <v>uni</v>
      </c>
      <c r="D529" s="583">
        <f>'13. Instalaciones Eléctricas'!BA7</f>
        <v>1</v>
      </c>
      <c r="E529" s="938">
        <f>APU!$F$1412</f>
        <v>1.25</v>
      </c>
      <c r="F529" s="938">
        <f t="shared" si="114"/>
        <v>1.25</v>
      </c>
      <c r="G529" s="1005">
        <f t="shared" si="116"/>
        <v>0.15625</v>
      </c>
      <c r="H529" s="997">
        <v>1</v>
      </c>
      <c r="I529" s="1001">
        <f t="shared" si="115"/>
        <v>1</v>
      </c>
      <c r="J529" s="1006">
        <f>D529*APU!$J$1413</f>
        <v>406071</v>
      </c>
      <c r="L529" s="1408"/>
    </row>
    <row r="530" spans="1:12" ht="15.75" hidden="1" outlineLevel="1" thickBot="1">
      <c r="A530" s="1937" t="s">
        <v>2241</v>
      </c>
      <c r="B530" s="1938"/>
      <c r="C530" s="1938"/>
      <c r="D530" s="1938"/>
      <c r="E530" s="1938"/>
      <c r="F530" s="1938"/>
      <c r="G530" s="1938"/>
      <c r="H530" s="1938"/>
      <c r="I530" s="1938"/>
      <c r="J530" s="1241">
        <f>SUM(J531:J539)</f>
        <v>10601411</v>
      </c>
      <c r="L530" s="812"/>
    </row>
    <row r="531" spans="1:12" hidden="1" outlineLevel="1">
      <c r="A531" s="929"/>
      <c r="B531" s="988" t="s">
        <v>2564</v>
      </c>
      <c r="C531" s="583" t="str">
        <f>'13. Instalaciones Eléctricas'!F21</f>
        <v>uni</v>
      </c>
      <c r="D531" s="583">
        <f>'13. Instalaciones Eléctricas'!E21</f>
        <v>12</v>
      </c>
      <c r="E531" s="938">
        <f>APU!$F$1136</f>
        <v>1.25</v>
      </c>
      <c r="F531" s="938">
        <f>D531*E531</f>
        <v>15</v>
      </c>
      <c r="G531" s="1005">
        <f>F531/8</f>
        <v>1.875</v>
      </c>
      <c r="H531" s="997">
        <v>1</v>
      </c>
      <c r="I531" s="1001">
        <f>ROUNDUP(G531/H531,0)</f>
        <v>2</v>
      </c>
      <c r="J531" s="999">
        <f>D531*APU!$J$1144</f>
        <v>1243188</v>
      </c>
      <c r="L531" s="812"/>
    </row>
    <row r="532" spans="1:12" hidden="1" outlineLevel="1">
      <c r="A532" s="929"/>
      <c r="B532" s="988" t="s">
        <v>2565</v>
      </c>
      <c r="C532" s="583" t="str">
        <f>'13. Instalaciones Eléctricas'!F19</f>
        <v>uni</v>
      </c>
      <c r="D532" s="583">
        <f>'13. Instalaciones Eléctricas'!E19</f>
        <v>15</v>
      </c>
      <c r="E532" s="938">
        <f>APU!$F$1168</f>
        <v>1.25</v>
      </c>
      <c r="F532" s="938">
        <f t="shared" ref="F532:F539" si="117">D532*E532</f>
        <v>18.75</v>
      </c>
      <c r="G532" s="1005">
        <f t="shared" ref="G532:G539" si="118">F532/8</f>
        <v>2.34375</v>
      </c>
      <c r="H532" s="997">
        <v>2</v>
      </c>
      <c r="I532" s="1001">
        <f t="shared" ref="I532:I600" si="119">ROUNDUP(G532/H532,0)</f>
        <v>2</v>
      </c>
      <c r="J532" s="1006">
        <f>D532*APU!$J$1176</f>
        <v>1553985</v>
      </c>
      <c r="L532" s="812"/>
    </row>
    <row r="533" spans="1:12" hidden="1" outlineLevel="1">
      <c r="A533" s="921"/>
      <c r="B533" s="988" t="s">
        <v>2566</v>
      </c>
      <c r="C533" s="583" t="str">
        <f>'13. Instalaciones Eléctricas'!F18</f>
        <v>uni</v>
      </c>
      <c r="D533" s="583">
        <f>'13. Instalaciones Eléctricas'!E18</f>
        <v>15</v>
      </c>
      <c r="E533" s="938">
        <f>APU!$F$1184</f>
        <v>1.25</v>
      </c>
      <c r="F533" s="938">
        <f t="shared" si="117"/>
        <v>18.75</v>
      </c>
      <c r="G533" s="1005">
        <f t="shared" si="118"/>
        <v>2.34375</v>
      </c>
      <c r="H533" s="997">
        <v>2</v>
      </c>
      <c r="I533" s="1001">
        <f t="shared" si="119"/>
        <v>2</v>
      </c>
      <c r="J533" s="1000">
        <f>D533*APU!$J$1192</f>
        <v>1713495</v>
      </c>
      <c r="L533" s="812"/>
    </row>
    <row r="534" spans="1:12" hidden="1" outlineLevel="1">
      <c r="A534" s="921"/>
      <c r="B534" s="988" t="s">
        <v>2567</v>
      </c>
      <c r="C534" s="583" t="str">
        <f>'13. Instalaciones Eléctricas'!F20</f>
        <v>uni</v>
      </c>
      <c r="D534" s="583">
        <f>'13. Instalaciones Eléctricas'!E20</f>
        <v>1</v>
      </c>
      <c r="E534" s="938">
        <f>APU!$F$1200</f>
        <v>1.25</v>
      </c>
      <c r="F534" s="938">
        <f t="shared" si="117"/>
        <v>1.25</v>
      </c>
      <c r="G534" s="1005">
        <f t="shared" si="118"/>
        <v>0.15625</v>
      </c>
      <c r="H534" s="997">
        <v>1</v>
      </c>
      <c r="I534" s="1001">
        <f t="shared" si="119"/>
        <v>1</v>
      </c>
      <c r="J534" s="1006">
        <f>D534*APU!$J$1208</f>
        <v>114233</v>
      </c>
      <c r="L534"/>
    </row>
    <row r="535" spans="1:12" hidden="1" outlineLevel="1">
      <c r="A535" s="921"/>
      <c r="B535" s="991" t="s">
        <v>2568</v>
      </c>
      <c r="C535" s="583" t="str">
        <f>'13. Instalaciones Eléctricas'!F23</f>
        <v>uni</v>
      </c>
      <c r="D535" s="583">
        <f>'13. Instalaciones Eléctricas'!E23</f>
        <v>3</v>
      </c>
      <c r="E535" s="938">
        <f>APU!$F$1272</f>
        <v>2.25</v>
      </c>
      <c r="F535" s="938">
        <f t="shared" si="117"/>
        <v>6.75</v>
      </c>
      <c r="G535" s="1005">
        <f t="shared" si="118"/>
        <v>0.84375</v>
      </c>
      <c r="H535" s="997">
        <v>1</v>
      </c>
      <c r="I535" s="1001">
        <f t="shared" si="119"/>
        <v>1</v>
      </c>
      <c r="J535" s="1000">
        <f>D535*APU!$J$1273</f>
        <v>5228001</v>
      </c>
      <c r="L535"/>
    </row>
    <row r="536" spans="1:12" hidden="1" outlineLevel="1">
      <c r="A536" s="921"/>
      <c r="B536" s="991" t="s">
        <v>2841</v>
      </c>
      <c r="C536" s="583" t="str">
        <f>'13. Instalaciones Eléctricas'!L25</f>
        <v>uni</v>
      </c>
      <c r="D536" s="583">
        <f>'13. Instalaciones Eléctricas'!K25</f>
        <v>1</v>
      </c>
      <c r="E536" s="916">
        <f>APU!$F$1254</f>
        <v>1.25</v>
      </c>
      <c r="F536" s="938">
        <f t="shared" si="117"/>
        <v>1.25</v>
      </c>
      <c r="G536" s="1005">
        <f t="shared" si="118"/>
        <v>0.15625</v>
      </c>
      <c r="H536" s="997">
        <v>1</v>
      </c>
      <c r="I536" s="1001">
        <f t="shared" si="119"/>
        <v>1</v>
      </c>
      <c r="J536" s="1000">
        <f>D536*APU!$J$1255</f>
        <v>97285</v>
      </c>
      <c r="L536" s="1408"/>
    </row>
    <row r="537" spans="1:12" hidden="1" outlineLevel="1">
      <c r="A537" s="921"/>
      <c r="B537" s="991" t="s">
        <v>2569</v>
      </c>
      <c r="C537" s="583" t="str">
        <f>'13. Instalaciones Eléctricas'!R18</f>
        <v>uni</v>
      </c>
      <c r="D537" s="583">
        <f>'13. Instalaciones Eléctricas'!Q18</f>
        <v>16</v>
      </c>
      <c r="E537" s="938">
        <f>APU!$F$1278</f>
        <v>0.5</v>
      </c>
      <c r="F537" s="938">
        <f t="shared" si="117"/>
        <v>8</v>
      </c>
      <c r="G537" s="1005">
        <f t="shared" si="118"/>
        <v>1</v>
      </c>
      <c r="H537" s="997">
        <v>1</v>
      </c>
      <c r="I537" s="1001">
        <f t="shared" si="119"/>
        <v>1</v>
      </c>
      <c r="J537" s="1006">
        <f>D537*APU!$J$1281</f>
        <v>456176</v>
      </c>
      <c r="L537" s="1408"/>
    </row>
    <row r="538" spans="1:12" hidden="1" outlineLevel="1">
      <c r="A538" s="921"/>
      <c r="B538" s="991" t="s">
        <v>2570</v>
      </c>
      <c r="C538" s="583" t="str">
        <f>'13. Instalaciones Eléctricas'!R19</f>
        <v>uni</v>
      </c>
      <c r="D538" s="583">
        <f>'13. Instalaciones Eléctricas'!Q19</f>
        <v>3</v>
      </c>
      <c r="E538" s="938">
        <f>APU!$F$1294</f>
        <v>0.5</v>
      </c>
      <c r="F538" s="938">
        <f t="shared" si="117"/>
        <v>1.5</v>
      </c>
      <c r="G538" s="1005">
        <f t="shared" si="118"/>
        <v>0.1875</v>
      </c>
      <c r="H538" s="997">
        <v>1</v>
      </c>
      <c r="I538" s="1001">
        <f t="shared" si="119"/>
        <v>1</v>
      </c>
      <c r="J538" s="1006">
        <f>D538*APU!$J$1297</f>
        <v>85533</v>
      </c>
      <c r="L538" s="812"/>
    </row>
    <row r="539" spans="1:12" ht="15.75" hidden="1" outlineLevel="1" thickBot="1">
      <c r="A539" s="1065"/>
      <c r="B539" s="988" t="s">
        <v>2571</v>
      </c>
      <c r="C539" s="583" t="str">
        <f>'13. Instalaciones Eléctricas'!X18</f>
        <v>uni</v>
      </c>
      <c r="D539" s="583">
        <f>'13. Instalaciones Eléctricas'!W18</f>
        <v>1</v>
      </c>
      <c r="E539" s="938">
        <f>APU!$F$1361</f>
        <v>1.25</v>
      </c>
      <c r="F539" s="938">
        <f t="shared" si="117"/>
        <v>1.25</v>
      </c>
      <c r="G539" s="1005">
        <f t="shared" si="118"/>
        <v>0.15625</v>
      </c>
      <c r="H539" s="997">
        <v>1</v>
      </c>
      <c r="I539" s="1001">
        <f t="shared" si="119"/>
        <v>1</v>
      </c>
      <c r="J539" s="1006">
        <f>D539*APU!$J$1369</f>
        <v>109515</v>
      </c>
      <c r="L539" s="812"/>
    </row>
    <row r="540" spans="1:12" ht="15.75" hidden="1" outlineLevel="1" thickBot="1">
      <c r="A540" s="1937" t="s">
        <v>2246</v>
      </c>
      <c r="B540" s="1938"/>
      <c r="C540" s="1938"/>
      <c r="D540" s="1938"/>
      <c r="E540" s="1938"/>
      <c r="F540" s="1938"/>
      <c r="G540" s="1938"/>
      <c r="H540" s="1938"/>
      <c r="I540" s="1938"/>
      <c r="J540" s="1241">
        <f>SUM(J541:J554)</f>
        <v>16737365</v>
      </c>
      <c r="L540" s="812"/>
    </row>
    <row r="541" spans="1:12" hidden="1" outlineLevel="1">
      <c r="A541" s="928"/>
      <c r="B541" s="988" t="s">
        <v>2572</v>
      </c>
      <c r="C541" s="582" t="str">
        <f>'13. Instalaciones Eléctricas'!F33</f>
        <v>uni</v>
      </c>
      <c r="D541" s="582">
        <f>'13. Instalaciones Eléctricas'!E33</f>
        <v>15</v>
      </c>
      <c r="E541" s="938">
        <f>APU!$F$1136</f>
        <v>1.25</v>
      </c>
      <c r="F541" s="938">
        <f>E541*D541</f>
        <v>18.75</v>
      </c>
      <c r="G541" s="1005">
        <f>F541/8</f>
        <v>2.34375</v>
      </c>
      <c r="H541" s="997">
        <v>2</v>
      </c>
      <c r="I541" s="1001">
        <f t="shared" si="119"/>
        <v>2</v>
      </c>
      <c r="J541" s="999">
        <f>D541*APU!$J$1144</f>
        <v>1553985</v>
      </c>
      <c r="L541" s="812"/>
    </row>
    <row r="542" spans="1:12" hidden="1" outlineLevel="1">
      <c r="A542" s="929"/>
      <c r="B542" s="988" t="s">
        <v>2573</v>
      </c>
      <c r="C542" s="583" t="str">
        <f>'13. Instalaciones Eléctricas'!F28</f>
        <v>uni</v>
      </c>
      <c r="D542" s="583">
        <f>'13. Instalaciones Eléctricas'!E28</f>
        <v>6</v>
      </c>
      <c r="E542" s="938">
        <f>APU!$F$1152</f>
        <v>1.25</v>
      </c>
      <c r="F542" s="938">
        <f t="shared" ref="F542:F554" si="120">E542*D542</f>
        <v>7.5</v>
      </c>
      <c r="G542" s="1005">
        <f t="shared" ref="G542:G554" si="121">F542/8</f>
        <v>0.9375</v>
      </c>
      <c r="H542" s="997">
        <v>1</v>
      </c>
      <c r="I542" s="1001">
        <f t="shared" si="119"/>
        <v>1</v>
      </c>
      <c r="J542" s="1006">
        <f>D542*APU!$J$1160</f>
        <v>685398</v>
      </c>
      <c r="L542"/>
    </row>
    <row r="543" spans="1:12" hidden="1" outlineLevel="1">
      <c r="A543" s="929"/>
      <c r="B543" s="988" t="s">
        <v>2574</v>
      </c>
      <c r="C543" s="583" t="str">
        <f>'13. Instalaciones Eléctricas'!F32</f>
        <v>uni</v>
      </c>
      <c r="D543" s="583">
        <f>'13. Instalaciones Eléctricas'!E32</f>
        <v>22</v>
      </c>
      <c r="E543" s="938">
        <f>APU!$F$1168</f>
        <v>1.25</v>
      </c>
      <c r="F543" s="938">
        <f t="shared" si="120"/>
        <v>27.5</v>
      </c>
      <c r="G543" s="1005">
        <f t="shared" si="121"/>
        <v>3.4375</v>
      </c>
      <c r="H543" s="997">
        <v>2</v>
      </c>
      <c r="I543" s="1001">
        <f t="shared" si="119"/>
        <v>2</v>
      </c>
      <c r="J543" s="1006">
        <f>D543*APU!$J$1176</f>
        <v>2279178</v>
      </c>
      <c r="L543"/>
    </row>
    <row r="544" spans="1:12" hidden="1" outlineLevel="1">
      <c r="A544" s="921"/>
      <c r="B544" s="988" t="s">
        <v>2575</v>
      </c>
      <c r="C544" s="583" t="str">
        <f>'13. Instalaciones Eléctricas'!F29</f>
        <v>uni</v>
      </c>
      <c r="D544" s="583">
        <f>'13. Instalaciones Eléctricas'!E29</f>
        <v>22</v>
      </c>
      <c r="E544" s="938">
        <f>APU!$F$1184</f>
        <v>1.25</v>
      </c>
      <c r="F544" s="938">
        <f t="shared" si="120"/>
        <v>27.5</v>
      </c>
      <c r="G544" s="1005">
        <f t="shared" si="121"/>
        <v>3.4375</v>
      </c>
      <c r="H544" s="997">
        <v>2</v>
      </c>
      <c r="I544" s="1001">
        <f t="shared" si="119"/>
        <v>2</v>
      </c>
      <c r="J544" s="1000">
        <f>D544*APU!$J$1192</f>
        <v>2513126</v>
      </c>
      <c r="L544" s="1408"/>
    </row>
    <row r="545" spans="1:12" hidden="1" outlineLevel="1">
      <c r="A545" s="921"/>
      <c r="B545" s="988" t="s">
        <v>2576</v>
      </c>
      <c r="C545" s="583" t="str">
        <f>'13. Instalaciones Eléctricas'!F30</f>
        <v>uni</v>
      </c>
      <c r="D545" s="583">
        <f>'13. Instalaciones Eléctricas'!E30</f>
        <v>1</v>
      </c>
      <c r="E545" s="938">
        <f>APU!$F$1200</f>
        <v>1.25</v>
      </c>
      <c r="F545" s="938">
        <f t="shared" si="120"/>
        <v>1.25</v>
      </c>
      <c r="G545" s="1005">
        <f t="shared" si="121"/>
        <v>0.15625</v>
      </c>
      <c r="H545" s="997">
        <v>1</v>
      </c>
      <c r="I545" s="1001">
        <f t="shared" si="119"/>
        <v>1</v>
      </c>
      <c r="J545" s="1006">
        <f>D545*APU!$J$1208</f>
        <v>114233</v>
      </c>
      <c r="L545" s="1408"/>
    </row>
    <row r="546" spans="1:12" hidden="1" outlineLevel="1">
      <c r="A546" s="929"/>
      <c r="B546" s="991" t="s">
        <v>2577</v>
      </c>
      <c r="C546" s="583" t="str">
        <f>'13. Instalaciones Eléctricas'!F31</f>
        <v>uni</v>
      </c>
      <c r="D546" s="583">
        <f>'13. Instalaciones Eléctricas'!E31</f>
        <v>1</v>
      </c>
      <c r="E546" s="938">
        <f>APU!$F$1262</f>
        <v>2</v>
      </c>
      <c r="F546" s="938">
        <f t="shared" si="120"/>
        <v>2</v>
      </c>
      <c r="G546" s="1005">
        <f t="shared" si="121"/>
        <v>0.25</v>
      </c>
      <c r="H546" s="997">
        <v>1</v>
      </c>
      <c r="I546" s="1001">
        <f t="shared" si="119"/>
        <v>1</v>
      </c>
      <c r="J546" s="1006">
        <f>D546*APU!$J$1266</f>
        <v>49258</v>
      </c>
      <c r="L546" s="812"/>
    </row>
    <row r="547" spans="1:12" hidden="1" outlineLevel="1">
      <c r="A547" s="921"/>
      <c r="B547" s="991" t="s">
        <v>2578</v>
      </c>
      <c r="C547" s="583" t="str">
        <f>'13. Instalaciones Eléctricas'!F35</f>
        <v>uni</v>
      </c>
      <c r="D547" s="583">
        <f>'13. Instalaciones Eléctricas'!E35</f>
        <v>4</v>
      </c>
      <c r="E547" s="938">
        <f>APU!$F$1272</f>
        <v>2.25</v>
      </c>
      <c r="F547" s="938">
        <f t="shared" si="120"/>
        <v>9</v>
      </c>
      <c r="G547" s="1005">
        <f t="shared" si="121"/>
        <v>1.125</v>
      </c>
      <c r="H547" s="997">
        <v>1</v>
      </c>
      <c r="I547" s="1001">
        <f t="shared" si="119"/>
        <v>2</v>
      </c>
      <c r="J547" s="1000">
        <f>D547*APU!$J$1273</f>
        <v>6970668</v>
      </c>
      <c r="L547" s="812"/>
    </row>
    <row r="548" spans="1:12" hidden="1" outlineLevel="1">
      <c r="A548" s="921"/>
      <c r="B548" s="991" t="s">
        <v>2842</v>
      </c>
      <c r="C548" s="583" t="str">
        <f>'13. Instalaciones Eléctricas'!L34</f>
        <v>uni</v>
      </c>
      <c r="D548" s="583">
        <f>'13. Instalaciones Eléctricas'!K34</f>
        <v>9</v>
      </c>
      <c r="E548" s="916">
        <f>APU!$F$1254</f>
        <v>1.25</v>
      </c>
      <c r="F548" s="938">
        <f t="shared" si="120"/>
        <v>11.25</v>
      </c>
      <c r="G548" s="1005">
        <f t="shared" si="121"/>
        <v>1.40625</v>
      </c>
      <c r="H548" s="997">
        <v>1</v>
      </c>
      <c r="I548" s="1001">
        <f t="shared" si="119"/>
        <v>2</v>
      </c>
      <c r="J548" s="1000">
        <f>D548*APU!$J$1255</f>
        <v>875565</v>
      </c>
      <c r="L548" s="812"/>
    </row>
    <row r="549" spans="1:12" hidden="1" outlineLevel="1">
      <c r="A549" s="921"/>
      <c r="B549" s="991" t="s">
        <v>2579</v>
      </c>
      <c r="C549" s="583" t="str">
        <f>'13. Instalaciones Eléctricas'!R28</f>
        <v>uni</v>
      </c>
      <c r="D549" s="583">
        <f>'13. Instalaciones Eléctricas'!Q28</f>
        <v>23</v>
      </c>
      <c r="E549" s="938">
        <f>APU!$F$1278</f>
        <v>0.5</v>
      </c>
      <c r="F549" s="938">
        <f t="shared" si="120"/>
        <v>11.5</v>
      </c>
      <c r="G549" s="1005">
        <f t="shared" si="121"/>
        <v>1.4375</v>
      </c>
      <c r="H549" s="997">
        <v>1</v>
      </c>
      <c r="I549" s="1001">
        <f t="shared" si="119"/>
        <v>2</v>
      </c>
      <c r="J549" s="1006">
        <f>D549*APU!$J$1281</f>
        <v>655753</v>
      </c>
      <c r="L549" s="812"/>
    </row>
    <row r="550" spans="1:12" hidden="1" outlineLevel="1">
      <c r="A550" s="921"/>
      <c r="B550" s="991" t="s">
        <v>2580</v>
      </c>
      <c r="C550" s="583" t="str">
        <f>'13. Instalaciones Eléctricas'!R29</f>
        <v>uni</v>
      </c>
      <c r="D550" s="583">
        <f>'13. Instalaciones Eléctricas'!Q29</f>
        <v>6</v>
      </c>
      <c r="E550" s="938">
        <f>APU!$F$1294</f>
        <v>0.5</v>
      </c>
      <c r="F550" s="938">
        <f t="shared" si="120"/>
        <v>3</v>
      </c>
      <c r="G550" s="1005">
        <f t="shared" si="121"/>
        <v>0.375</v>
      </c>
      <c r="H550" s="997">
        <v>1</v>
      </c>
      <c r="I550" s="1001">
        <f t="shared" si="119"/>
        <v>1</v>
      </c>
      <c r="J550" s="1006">
        <f>D550*APU!$J$1297</f>
        <v>171066</v>
      </c>
      <c r="L550"/>
    </row>
    <row r="551" spans="1:12" hidden="1" outlineLevel="1">
      <c r="A551" s="1065"/>
      <c r="B551" s="988" t="s">
        <v>2581</v>
      </c>
      <c r="C551" s="583" t="str">
        <f>'13. Instalaciones Eléctricas'!R30</f>
        <v>uni</v>
      </c>
      <c r="D551" s="583">
        <f>'13. Instalaciones Eléctricas'!Q30</f>
        <v>1</v>
      </c>
      <c r="E551" s="938">
        <f>APU!$F$1310</f>
        <v>0.5</v>
      </c>
      <c r="F551" s="938">
        <f t="shared" si="120"/>
        <v>0.5</v>
      </c>
      <c r="G551" s="1005">
        <f t="shared" si="121"/>
        <v>6.25E-2</v>
      </c>
      <c r="H551" s="997">
        <v>1</v>
      </c>
      <c r="I551" s="1001">
        <f t="shared" si="119"/>
        <v>1</v>
      </c>
      <c r="J551" s="1006">
        <f>D551*APU!$J$1313</f>
        <v>28511</v>
      </c>
      <c r="L551"/>
    </row>
    <row r="552" spans="1:12" hidden="1" outlineLevel="1">
      <c r="A552" s="1065"/>
      <c r="B552" s="988" t="s">
        <v>2582</v>
      </c>
      <c r="C552" s="583" t="str">
        <f>'13. Instalaciones Eléctricas'!R32</f>
        <v>uni</v>
      </c>
      <c r="D552" s="583">
        <f>'13. Instalaciones Eléctricas'!Q32</f>
        <v>3</v>
      </c>
      <c r="E552" s="938">
        <f>APU!$F$1329</f>
        <v>1.25</v>
      </c>
      <c r="F552" s="938">
        <f t="shared" si="120"/>
        <v>3.75</v>
      </c>
      <c r="G552" s="1005">
        <f t="shared" si="121"/>
        <v>0.46875</v>
      </c>
      <c r="H552" s="997">
        <v>1</v>
      </c>
      <c r="I552" s="1001">
        <f t="shared" si="119"/>
        <v>1</v>
      </c>
      <c r="J552" s="1006">
        <f>D552*APU!$J$1337</f>
        <v>310797</v>
      </c>
      <c r="L552" s="1408"/>
    </row>
    <row r="553" spans="1:12" hidden="1" outlineLevel="1">
      <c r="A553" s="1065"/>
      <c r="B553" s="988" t="s">
        <v>2583</v>
      </c>
      <c r="C553" s="583" t="str">
        <f>'13. Instalaciones Eléctricas'!R31</f>
        <v>uni</v>
      </c>
      <c r="D553" s="583">
        <f>'13. Instalaciones Eléctricas'!Q31</f>
        <v>3</v>
      </c>
      <c r="E553" s="938">
        <f>APU!$F$1345</f>
        <v>1.25</v>
      </c>
      <c r="F553" s="938">
        <f t="shared" si="120"/>
        <v>3.75</v>
      </c>
      <c r="G553" s="1005">
        <f t="shared" si="121"/>
        <v>0.46875</v>
      </c>
      <c r="H553" s="997">
        <v>1</v>
      </c>
      <c r="I553" s="1001">
        <f t="shared" si="119"/>
        <v>1</v>
      </c>
      <c r="J553" s="1006">
        <f>D553*APU!$J$1353</f>
        <v>310797</v>
      </c>
      <c r="L553" s="1408"/>
    </row>
    <row r="554" spans="1:12" ht="15.75" hidden="1" outlineLevel="1" thickBot="1">
      <c r="A554" s="1065"/>
      <c r="B554" s="988" t="s">
        <v>2584</v>
      </c>
      <c r="C554" s="583" t="str">
        <f>'13. Instalaciones Eléctricas'!X28</f>
        <v>uni</v>
      </c>
      <c r="D554" s="583">
        <f>'13. Instalaciones Eléctricas'!W28</f>
        <v>2</v>
      </c>
      <c r="E554" s="938">
        <f>APU!$F$1361</f>
        <v>1.25</v>
      </c>
      <c r="F554" s="938">
        <f t="shared" si="120"/>
        <v>2.5</v>
      </c>
      <c r="G554" s="1005">
        <f t="shared" si="121"/>
        <v>0.3125</v>
      </c>
      <c r="H554" s="997">
        <v>1</v>
      </c>
      <c r="I554" s="1001">
        <f t="shared" si="119"/>
        <v>1</v>
      </c>
      <c r="J554" s="1006">
        <f>D554*APU!$J$1369</f>
        <v>219030</v>
      </c>
      <c r="L554" s="812"/>
    </row>
    <row r="555" spans="1:12" ht="15.75" hidden="1" outlineLevel="1" thickBot="1">
      <c r="A555" s="1937" t="s">
        <v>801</v>
      </c>
      <c r="B555" s="1938"/>
      <c r="C555" s="1938"/>
      <c r="D555" s="1938"/>
      <c r="E555" s="1938"/>
      <c r="F555" s="1938"/>
      <c r="G555" s="1938"/>
      <c r="H555" s="1938"/>
      <c r="I555" s="1938"/>
      <c r="J555" s="1241">
        <f>SUM(J556:J573)</f>
        <v>29813467</v>
      </c>
      <c r="L555" s="812"/>
    </row>
    <row r="556" spans="1:12" hidden="1" outlineLevel="1">
      <c r="A556" s="929"/>
      <c r="B556" s="988" t="s">
        <v>2585</v>
      </c>
      <c r="C556" s="919" t="str">
        <f>APU!E1128</f>
        <v>ml</v>
      </c>
      <c r="D556" s="583">
        <f>APU!F1128</f>
        <v>21</v>
      </c>
      <c r="E556" s="994">
        <f>APU!$F$1124</f>
        <v>0.75</v>
      </c>
      <c r="F556" s="938">
        <f>E556*D556</f>
        <v>15.75</v>
      </c>
      <c r="G556" s="1005">
        <f>F556/8</f>
        <v>1.96875</v>
      </c>
      <c r="H556" s="997">
        <v>1</v>
      </c>
      <c r="I556" s="1001">
        <f t="shared" si="119"/>
        <v>2</v>
      </c>
      <c r="J556" s="1006">
        <f>D556*APU!$J$1128</f>
        <v>3993717</v>
      </c>
      <c r="L556" s="812"/>
    </row>
    <row r="557" spans="1:12" hidden="1" outlineLevel="1">
      <c r="A557" s="928"/>
      <c r="B557" s="988" t="s">
        <v>2586</v>
      </c>
      <c r="C557" s="582" t="str">
        <f>'13. Instalaciones Eléctricas'!F42</f>
        <v>uni</v>
      </c>
      <c r="D557" s="582">
        <f>'13. Instalaciones Eléctricas'!E42</f>
        <v>29</v>
      </c>
      <c r="E557" s="938">
        <f>APU!$F$1136</f>
        <v>1.25</v>
      </c>
      <c r="F557" s="938">
        <f t="shared" ref="F557:F573" si="122">E557*D557</f>
        <v>36.25</v>
      </c>
      <c r="G557" s="1005">
        <f t="shared" ref="G557:G573" si="123">F557/8</f>
        <v>4.53125</v>
      </c>
      <c r="H557" s="997">
        <v>3</v>
      </c>
      <c r="I557" s="1001">
        <f t="shared" si="119"/>
        <v>2</v>
      </c>
      <c r="J557" s="999">
        <f>D557*APU!$J$1144</f>
        <v>3004371</v>
      </c>
      <c r="L557" s="812"/>
    </row>
    <row r="558" spans="1:12" hidden="1" outlineLevel="1">
      <c r="A558" s="929"/>
      <c r="B558" s="988" t="s">
        <v>2587</v>
      </c>
      <c r="C558" s="583" t="str">
        <f>'13. Instalaciones Eléctricas'!F38</f>
        <v>uni</v>
      </c>
      <c r="D558" s="583">
        <f>'13. Instalaciones Eléctricas'!E38</f>
        <v>2</v>
      </c>
      <c r="E558" s="938">
        <f>APU!$F$1152</f>
        <v>1.25</v>
      </c>
      <c r="F558" s="938">
        <f t="shared" si="122"/>
        <v>2.5</v>
      </c>
      <c r="G558" s="1005">
        <f t="shared" si="123"/>
        <v>0.3125</v>
      </c>
      <c r="H558" s="997">
        <v>1</v>
      </c>
      <c r="I558" s="1001">
        <f t="shared" si="119"/>
        <v>1</v>
      </c>
      <c r="J558" s="1006">
        <f>D558*APU!$J$1160</f>
        <v>228466</v>
      </c>
      <c r="L558"/>
    </row>
    <row r="559" spans="1:12" hidden="1" outlineLevel="1">
      <c r="A559" s="929"/>
      <c r="B559" s="988" t="s">
        <v>2588</v>
      </c>
      <c r="C559" s="583" t="str">
        <f>'13. Instalaciones Eléctricas'!F41</f>
        <v>uni</v>
      </c>
      <c r="D559" s="583">
        <f>'13. Instalaciones Eléctricas'!E41</f>
        <v>12</v>
      </c>
      <c r="E559" s="938">
        <f>APU!$F$1168</f>
        <v>1.25</v>
      </c>
      <c r="F559" s="938">
        <f t="shared" si="122"/>
        <v>15</v>
      </c>
      <c r="G559" s="1005">
        <f t="shared" si="123"/>
        <v>1.875</v>
      </c>
      <c r="H559" s="997">
        <v>1</v>
      </c>
      <c r="I559" s="1001">
        <f t="shared" si="119"/>
        <v>2</v>
      </c>
      <c r="J559" s="1006">
        <f>D559*APU!$J$1176</f>
        <v>1243188</v>
      </c>
      <c r="L559"/>
    </row>
    <row r="560" spans="1:12" hidden="1" outlineLevel="1">
      <c r="A560" s="921"/>
      <c r="B560" s="988" t="s">
        <v>2589</v>
      </c>
      <c r="C560" s="583" t="str">
        <f>'13. Instalaciones Eléctricas'!F39</f>
        <v>uni</v>
      </c>
      <c r="D560" s="583">
        <f>'13. Instalaciones Eléctricas'!E39</f>
        <v>34</v>
      </c>
      <c r="E560" s="938">
        <f>APU!$F$1184</f>
        <v>1.25</v>
      </c>
      <c r="F560" s="938">
        <f t="shared" si="122"/>
        <v>42.5</v>
      </c>
      <c r="G560" s="1005">
        <f t="shared" si="123"/>
        <v>5.3125</v>
      </c>
      <c r="H560" s="997">
        <v>3</v>
      </c>
      <c r="I560" s="1001">
        <f t="shared" si="119"/>
        <v>2</v>
      </c>
      <c r="J560" s="1000">
        <f>D560*APU!$J$1192</f>
        <v>3883922</v>
      </c>
      <c r="L560" s="1408"/>
    </row>
    <row r="561" spans="1:12" hidden="1" outlineLevel="1">
      <c r="A561" s="921"/>
      <c r="B561" s="988" t="s">
        <v>2590</v>
      </c>
      <c r="C561" s="583" t="str">
        <f>'13. Instalaciones Eléctricas'!F40</f>
        <v>uni</v>
      </c>
      <c r="D561" s="583">
        <f>'13. Instalaciones Eléctricas'!E40</f>
        <v>2</v>
      </c>
      <c r="E561" s="938">
        <f>APU!$F$1200</f>
        <v>1.25</v>
      </c>
      <c r="F561" s="938">
        <f t="shared" si="122"/>
        <v>2.5</v>
      </c>
      <c r="G561" s="1005">
        <f t="shared" si="123"/>
        <v>0.3125</v>
      </c>
      <c r="H561" s="997">
        <v>1</v>
      </c>
      <c r="I561" s="1001">
        <f t="shared" si="119"/>
        <v>1</v>
      </c>
      <c r="J561" s="1006">
        <f>D561*APU!$J$1208</f>
        <v>228466</v>
      </c>
      <c r="L561" s="1408"/>
    </row>
    <row r="562" spans="1:12" hidden="1" outlineLevel="1">
      <c r="A562" s="930"/>
      <c r="B562" s="991" t="s">
        <v>2591</v>
      </c>
      <c r="C562" s="583" t="str">
        <f>'13. Instalaciones Eléctricas'!F45</f>
        <v>uni</v>
      </c>
      <c r="D562" s="583">
        <f>'13. Instalaciones Eléctricas'!E45</f>
        <v>2</v>
      </c>
      <c r="E562" s="938">
        <f>APU!$F$1216</f>
        <v>1.25</v>
      </c>
      <c r="F562" s="938">
        <f t="shared" si="122"/>
        <v>2.5</v>
      </c>
      <c r="G562" s="1005">
        <f t="shared" si="123"/>
        <v>0.3125</v>
      </c>
      <c r="H562" s="997">
        <v>1</v>
      </c>
      <c r="I562" s="1001">
        <f t="shared" si="119"/>
        <v>1</v>
      </c>
      <c r="J562" s="1008">
        <f>D562*APU!$J$1224</f>
        <v>48364</v>
      </c>
      <c r="L562" s="812"/>
    </row>
    <row r="563" spans="1:12" hidden="1" outlineLevel="1">
      <c r="A563" s="929"/>
      <c r="B563" s="991" t="s">
        <v>2592</v>
      </c>
      <c r="C563" s="583" t="str">
        <f>'13. Instalaciones Eléctricas'!F46</f>
        <v>uni</v>
      </c>
      <c r="D563" s="583">
        <f>'13. Instalaciones Eléctricas'!E46</f>
        <v>2</v>
      </c>
      <c r="E563" s="938">
        <f>APU!$F$1232</f>
        <v>1.25</v>
      </c>
      <c r="F563" s="938">
        <f t="shared" si="122"/>
        <v>2.5</v>
      </c>
      <c r="G563" s="1005">
        <f t="shared" si="123"/>
        <v>0.3125</v>
      </c>
      <c r="H563" s="997">
        <v>1</v>
      </c>
      <c r="I563" s="1001">
        <f t="shared" si="119"/>
        <v>1</v>
      </c>
      <c r="J563" s="1006">
        <f>D563*APU!$J$1241</f>
        <v>242998</v>
      </c>
      <c r="L563" s="812"/>
    </row>
    <row r="564" spans="1:12" hidden="1" outlineLevel="1">
      <c r="A564" s="921"/>
      <c r="B564" s="991" t="s">
        <v>2593</v>
      </c>
      <c r="C564" s="583" t="str">
        <f>'13. Instalaciones Eléctricas'!F44</f>
        <v>uni</v>
      </c>
      <c r="D564" s="583">
        <f>'13. Instalaciones Eléctricas'!E44</f>
        <v>5</v>
      </c>
      <c r="E564" s="938">
        <f>APU!$F$1272</f>
        <v>2.25</v>
      </c>
      <c r="F564" s="938">
        <f t="shared" si="122"/>
        <v>11.25</v>
      </c>
      <c r="G564" s="1005">
        <f t="shared" si="123"/>
        <v>1.40625</v>
      </c>
      <c r="H564" s="997">
        <v>1</v>
      </c>
      <c r="I564" s="1001">
        <f t="shared" si="119"/>
        <v>2</v>
      </c>
      <c r="J564" s="1000">
        <f>D564*APU!$J$1273</f>
        <v>8713335</v>
      </c>
      <c r="L564" s="812"/>
    </row>
    <row r="565" spans="1:12" hidden="1" outlineLevel="1">
      <c r="A565" s="921"/>
      <c r="B565" s="991" t="s">
        <v>2843</v>
      </c>
      <c r="C565" s="583" t="str">
        <f>'13. Instalaciones Eléctricas'!L48</f>
        <v>uni</v>
      </c>
      <c r="D565" s="583">
        <f>'13. Instalaciones Eléctricas'!K48</f>
        <v>7</v>
      </c>
      <c r="E565" s="916">
        <f>APU!$F$1254</f>
        <v>1.25</v>
      </c>
      <c r="F565" s="938">
        <f t="shared" si="122"/>
        <v>8.75</v>
      </c>
      <c r="G565" s="1005">
        <f t="shared" si="123"/>
        <v>1.09375</v>
      </c>
      <c r="H565" s="997">
        <v>1</v>
      </c>
      <c r="I565" s="1001">
        <f t="shared" si="119"/>
        <v>2</v>
      </c>
      <c r="J565" s="1000">
        <f>D565*APU!$J$1255</f>
        <v>680995</v>
      </c>
      <c r="L565" s="812"/>
    </row>
    <row r="566" spans="1:12" hidden="1" outlineLevel="1">
      <c r="A566" s="921"/>
      <c r="B566" s="991" t="s">
        <v>2594</v>
      </c>
      <c r="C566" s="583" t="str">
        <f>'13. Instalaciones Eléctricas'!R38</f>
        <v>uni</v>
      </c>
      <c r="D566" s="583">
        <f>'13. Instalaciones Eléctricas'!Q38</f>
        <v>9</v>
      </c>
      <c r="E566" s="938">
        <f>APU!$F$1278</f>
        <v>0.5</v>
      </c>
      <c r="F566" s="938">
        <f t="shared" si="122"/>
        <v>4.5</v>
      </c>
      <c r="G566" s="1005">
        <f t="shared" si="123"/>
        <v>0.5625</v>
      </c>
      <c r="H566" s="997">
        <v>1</v>
      </c>
      <c r="I566" s="1001">
        <f t="shared" si="119"/>
        <v>1</v>
      </c>
      <c r="J566" s="1006">
        <f>D566*APU!$J$1281</f>
        <v>256599</v>
      </c>
      <c r="L566"/>
    </row>
    <row r="567" spans="1:12" hidden="1" outlineLevel="1">
      <c r="A567" s="921"/>
      <c r="B567" s="991" t="s">
        <v>2595</v>
      </c>
      <c r="C567" s="636" t="str">
        <f>'13. Instalaciones Eléctricas'!R41</f>
        <v>uni</v>
      </c>
      <c r="D567" s="636">
        <f>'13. Instalaciones Eléctricas'!Q41</f>
        <v>22</v>
      </c>
      <c r="E567" s="938">
        <f>APU!$F$1286</f>
        <v>0.5</v>
      </c>
      <c r="F567" s="938">
        <f t="shared" si="122"/>
        <v>11</v>
      </c>
      <c r="G567" s="1005">
        <f t="shared" si="123"/>
        <v>1.375</v>
      </c>
      <c r="H567" s="997">
        <v>1</v>
      </c>
      <c r="I567" s="1001">
        <f t="shared" si="119"/>
        <v>2</v>
      </c>
      <c r="J567" s="1008">
        <f>D567*APU!$J$1289</f>
        <v>627242</v>
      </c>
      <c r="L567"/>
    </row>
    <row r="568" spans="1:12" hidden="1" outlineLevel="1">
      <c r="A568" s="921"/>
      <c r="B568" s="991" t="s">
        <v>2596</v>
      </c>
      <c r="C568" s="583" t="str">
        <f>'13. Instalaciones Eléctricas'!R39</f>
        <v>uni</v>
      </c>
      <c r="D568" s="583">
        <f>'13. Instalaciones Eléctricas'!Q39</f>
        <v>13</v>
      </c>
      <c r="E568" s="938">
        <f>APU!$F$1294</f>
        <v>0.5</v>
      </c>
      <c r="F568" s="938">
        <f t="shared" si="122"/>
        <v>6.5</v>
      </c>
      <c r="G568" s="1005">
        <f t="shared" si="123"/>
        <v>0.8125</v>
      </c>
      <c r="H568" s="997">
        <v>1</v>
      </c>
      <c r="I568" s="1001">
        <f t="shared" si="119"/>
        <v>1</v>
      </c>
      <c r="J568" s="1006">
        <f>D568*APU!$J$1297</f>
        <v>370643</v>
      </c>
      <c r="L568" s="1408"/>
    </row>
    <row r="569" spans="1:12" hidden="1" outlineLevel="1">
      <c r="A569" s="1065"/>
      <c r="B569" s="988" t="s">
        <v>2597</v>
      </c>
      <c r="C569" s="583" t="str">
        <f>'13. Instalaciones Eléctricas'!R40</f>
        <v>uni</v>
      </c>
      <c r="D569" s="583">
        <f>'13. Instalaciones Eléctricas'!Q40</f>
        <v>1</v>
      </c>
      <c r="E569" s="938">
        <f>APU!$F$1310</f>
        <v>0.5</v>
      </c>
      <c r="F569" s="938">
        <f t="shared" si="122"/>
        <v>0.5</v>
      </c>
      <c r="G569" s="1005">
        <f t="shared" si="123"/>
        <v>6.25E-2</v>
      </c>
      <c r="H569" s="997">
        <v>1</v>
      </c>
      <c r="I569" s="1001">
        <f t="shared" si="119"/>
        <v>1</v>
      </c>
      <c r="J569" s="1006">
        <f>D569*APU!$J$1313</f>
        <v>28511</v>
      </c>
      <c r="L569" s="1408"/>
    </row>
    <row r="570" spans="1:12" hidden="1" outlineLevel="1">
      <c r="A570" s="1065"/>
      <c r="B570" s="988" t="s">
        <v>2598</v>
      </c>
      <c r="C570" s="583" t="str">
        <f>'13. Instalaciones Eléctricas'!X38</f>
        <v>uni</v>
      </c>
      <c r="D570" s="583">
        <f>'13. Instalaciones Eléctricas'!W38</f>
        <v>3</v>
      </c>
      <c r="E570" s="938">
        <f>APU!$F$1361</f>
        <v>1.25</v>
      </c>
      <c r="F570" s="938">
        <f t="shared" si="122"/>
        <v>3.75</v>
      </c>
      <c r="G570" s="1005">
        <f t="shared" si="123"/>
        <v>0.46875</v>
      </c>
      <c r="H570" s="997">
        <v>1</v>
      </c>
      <c r="I570" s="1001">
        <f t="shared" si="119"/>
        <v>1</v>
      </c>
      <c r="J570" s="1006">
        <f>D570*APU!$J$1369</f>
        <v>328545</v>
      </c>
      <c r="L570" s="812"/>
    </row>
    <row r="571" spans="1:12" hidden="1" outlineLevel="1">
      <c r="A571" s="1065"/>
      <c r="B571" s="988" t="s">
        <v>2599</v>
      </c>
      <c r="C571" s="583" t="str">
        <f>'13. Instalaciones Eléctricas'!AD41</f>
        <v>uni</v>
      </c>
      <c r="D571" s="583">
        <f>'13. Instalaciones Eléctricas'!AC41</f>
        <v>2</v>
      </c>
      <c r="E571" s="938">
        <f>APU!$F$1377</f>
        <v>1.25</v>
      </c>
      <c r="F571" s="938">
        <f t="shared" si="122"/>
        <v>2.5</v>
      </c>
      <c r="G571" s="1005">
        <f t="shared" si="123"/>
        <v>0.3125</v>
      </c>
      <c r="H571" s="997">
        <v>1</v>
      </c>
      <c r="I571" s="1001">
        <f t="shared" si="119"/>
        <v>1</v>
      </c>
      <c r="J571" s="1006">
        <f>D571*APU!$J$1385</f>
        <v>207198</v>
      </c>
      <c r="L571" s="812"/>
    </row>
    <row r="572" spans="1:12" hidden="1" outlineLevel="1">
      <c r="A572" s="1065"/>
      <c r="B572" s="988" t="s">
        <v>2600</v>
      </c>
      <c r="C572" s="583" t="str">
        <f>'13. Instalaciones Eléctricas'!BB38</f>
        <v>uni</v>
      </c>
      <c r="D572" s="583">
        <f>'13. Instalaciones Eléctricas'!BA38</f>
        <v>3</v>
      </c>
      <c r="E572" s="938">
        <f>APU!$F$1412</f>
        <v>1.25</v>
      </c>
      <c r="F572" s="938">
        <f t="shared" si="122"/>
        <v>3.75</v>
      </c>
      <c r="G572" s="1005">
        <f t="shared" si="123"/>
        <v>0.46875</v>
      </c>
      <c r="H572" s="997">
        <v>1</v>
      </c>
      <c r="I572" s="1001">
        <f t="shared" si="119"/>
        <v>1</v>
      </c>
      <c r="J572" s="1006">
        <f>D572*APU!$J$1413</f>
        <v>1218213</v>
      </c>
      <c r="L572" s="812"/>
    </row>
    <row r="573" spans="1:12" ht="15.75" hidden="1" outlineLevel="1" thickBot="1">
      <c r="A573" s="1065"/>
      <c r="B573" s="988" t="s">
        <v>2601</v>
      </c>
      <c r="C573" s="583" t="str">
        <f>'13. Instalaciones Eléctricas'!AP39</f>
        <v>uni</v>
      </c>
      <c r="D573" s="583">
        <f>'13. Instalaciones Eléctricas'!AO39</f>
        <v>1</v>
      </c>
      <c r="E573" s="938">
        <f>APU!$F$1421</f>
        <v>5</v>
      </c>
      <c r="F573" s="938">
        <f t="shared" si="122"/>
        <v>5</v>
      </c>
      <c r="G573" s="1005">
        <f t="shared" si="123"/>
        <v>0.625</v>
      </c>
      <c r="H573" s="997">
        <v>1</v>
      </c>
      <c r="I573" s="1001">
        <f t="shared" si="119"/>
        <v>1</v>
      </c>
      <c r="J573" s="1006">
        <f>D573*APU!$J$1426</f>
        <v>4508694</v>
      </c>
      <c r="L573" s="812"/>
    </row>
    <row r="574" spans="1:12" ht="15.75" hidden="1" outlineLevel="1" thickBot="1">
      <c r="A574" s="1937" t="s">
        <v>824</v>
      </c>
      <c r="B574" s="1938"/>
      <c r="C574" s="1938"/>
      <c r="D574" s="1938"/>
      <c r="E574" s="1938"/>
      <c r="F574" s="1938"/>
      <c r="G574" s="1938"/>
      <c r="H574" s="1938"/>
      <c r="I574" s="1938"/>
      <c r="J574" s="1241">
        <f>SUM(J575:J582)</f>
        <v>8228357</v>
      </c>
      <c r="L574"/>
    </row>
    <row r="575" spans="1:12" hidden="1" outlineLevel="1">
      <c r="A575" s="928"/>
      <c r="B575" s="988" t="s">
        <v>2602</v>
      </c>
      <c r="C575" s="582" t="str">
        <f>'13. Instalaciones Eléctricas'!F52</f>
        <v>uni</v>
      </c>
      <c r="D575" s="582">
        <f>'13. Instalaciones Eléctricas'!E52</f>
        <v>17</v>
      </c>
      <c r="E575" s="938">
        <f>APU!$F$1136</f>
        <v>1.25</v>
      </c>
      <c r="F575" s="938">
        <f>E575*D575</f>
        <v>21.25</v>
      </c>
      <c r="G575" s="1005">
        <f>F575/8</f>
        <v>2.65625</v>
      </c>
      <c r="H575" s="997">
        <v>2</v>
      </c>
      <c r="I575" s="1001">
        <f t="shared" si="119"/>
        <v>2</v>
      </c>
      <c r="J575" s="999">
        <f>D575*APU!$J$1144</f>
        <v>1761183</v>
      </c>
      <c r="L575"/>
    </row>
    <row r="576" spans="1:12" hidden="1" outlineLevel="1">
      <c r="A576" s="929"/>
      <c r="B576" s="988" t="s">
        <v>2603</v>
      </c>
      <c r="C576" s="583" t="str">
        <f>'13. Instalaciones Eléctricas'!F51</f>
        <v>uni</v>
      </c>
      <c r="D576" s="583">
        <f>'13. Instalaciones Eléctricas'!E51</f>
        <v>1</v>
      </c>
      <c r="E576" s="938">
        <f>APU!$F$1152</f>
        <v>1.25</v>
      </c>
      <c r="F576" s="938">
        <f t="shared" ref="F576:F582" si="124">E576*D576</f>
        <v>1.25</v>
      </c>
      <c r="G576" s="1005">
        <f t="shared" ref="G576:G582" si="125">F576/8</f>
        <v>0.15625</v>
      </c>
      <c r="H576" s="997">
        <v>1</v>
      </c>
      <c r="I576" s="1001">
        <f t="shared" si="119"/>
        <v>1</v>
      </c>
      <c r="J576" s="1006">
        <f>D576*APU!$J$1160</f>
        <v>114233</v>
      </c>
      <c r="L576" s="1408"/>
    </row>
    <row r="577" spans="1:12" hidden="1" outlineLevel="1">
      <c r="A577" s="930"/>
      <c r="B577" s="991" t="s">
        <v>2604</v>
      </c>
      <c r="C577" s="583" t="str">
        <f>'13. Instalaciones Eléctricas'!F54</f>
        <v>uni</v>
      </c>
      <c r="D577" s="583">
        <f>'13. Instalaciones Eléctricas'!E54</f>
        <v>2</v>
      </c>
      <c r="E577" s="938">
        <f>APU!$F$1216</f>
        <v>1.25</v>
      </c>
      <c r="F577" s="938">
        <f t="shared" si="124"/>
        <v>2.5</v>
      </c>
      <c r="G577" s="1005">
        <f t="shared" si="125"/>
        <v>0.3125</v>
      </c>
      <c r="H577" s="997">
        <v>1</v>
      </c>
      <c r="I577" s="1001">
        <f t="shared" si="119"/>
        <v>1</v>
      </c>
      <c r="J577" s="1008">
        <f>D577*APU!$J$1224</f>
        <v>48364</v>
      </c>
      <c r="L577" s="1408"/>
    </row>
    <row r="578" spans="1:12" hidden="1" outlineLevel="1">
      <c r="A578" s="921"/>
      <c r="B578" s="991" t="s">
        <v>2605</v>
      </c>
      <c r="C578" s="583" t="str">
        <f>'13. Instalaciones Eléctricas'!F55</f>
        <v>uni</v>
      </c>
      <c r="D578" s="583">
        <f>'13. Instalaciones Eléctricas'!E55</f>
        <v>3</v>
      </c>
      <c r="E578" s="938">
        <f>APU!$F$1272</f>
        <v>2.25</v>
      </c>
      <c r="F578" s="938">
        <f t="shared" si="124"/>
        <v>6.75</v>
      </c>
      <c r="G578" s="1005">
        <f t="shared" si="125"/>
        <v>0.84375</v>
      </c>
      <c r="H578" s="997">
        <v>1</v>
      </c>
      <c r="I578" s="1001">
        <f t="shared" si="119"/>
        <v>1</v>
      </c>
      <c r="J578" s="1000">
        <f>D578*APU!$J$1273</f>
        <v>5228001</v>
      </c>
      <c r="L578" s="812"/>
    </row>
    <row r="579" spans="1:12" hidden="1" outlineLevel="1">
      <c r="A579" s="921"/>
      <c r="B579" s="991" t="s">
        <v>2844</v>
      </c>
      <c r="C579" s="583" t="str">
        <f>'13. Instalaciones Eléctricas'!L53</f>
        <v>uni</v>
      </c>
      <c r="D579" s="583">
        <f>'13. Instalaciones Eléctricas'!K53</f>
        <v>3</v>
      </c>
      <c r="E579" s="916">
        <f>APU!$F$1254</f>
        <v>1.25</v>
      </c>
      <c r="F579" s="938">
        <f t="shared" si="124"/>
        <v>3.75</v>
      </c>
      <c r="G579" s="1005">
        <f t="shared" si="125"/>
        <v>0.46875</v>
      </c>
      <c r="H579" s="997">
        <v>1</v>
      </c>
      <c r="I579" s="1001">
        <f t="shared" si="119"/>
        <v>1</v>
      </c>
      <c r="J579" s="1000">
        <f>D579*APU!$J$1255</f>
        <v>291855</v>
      </c>
      <c r="L579" s="812"/>
    </row>
    <row r="580" spans="1:12" hidden="1" outlineLevel="1">
      <c r="A580" s="921"/>
      <c r="B580" s="991" t="s">
        <v>2606</v>
      </c>
      <c r="C580" s="583" t="str">
        <f>'13. Instalaciones Eléctricas'!R51</f>
        <v>uni</v>
      </c>
      <c r="D580" s="583">
        <f>'13. Instalaciones Eléctricas'!Q51</f>
        <v>14</v>
      </c>
      <c r="E580" s="938">
        <f>APU!$F$1294</f>
        <v>0.5</v>
      </c>
      <c r="F580" s="938">
        <f t="shared" si="124"/>
        <v>7</v>
      </c>
      <c r="G580" s="1005">
        <f t="shared" si="125"/>
        <v>0.875</v>
      </c>
      <c r="H580" s="997">
        <v>1</v>
      </c>
      <c r="I580" s="1001">
        <f t="shared" si="119"/>
        <v>1</v>
      </c>
      <c r="J580" s="1006">
        <f>D580*APU!$J$1297</f>
        <v>399154</v>
      </c>
      <c r="L580" s="812"/>
    </row>
    <row r="581" spans="1:12" hidden="1" outlineLevel="1">
      <c r="A581" s="1065"/>
      <c r="B581" s="988" t="s">
        <v>2607</v>
      </c>
      <c r="C581" s="583" t="str">
        <f>'13. Instalaciones Eléctricas'!R52</f>
        <v>uni</v>
      </c>
      <c r="D581" s="583">
        <f>'13. Instalaciones Eléctricas'!Q52</f>
        <v>2</v>
      </c>
      <c r="E581" s="938">
        <f>APU!$F$1310</f>
        <v>0.5</v>
      </c>
      <c r="F581" s="938">
        <f t="shared" si="124"/>
        <v>1</v>
      </c>
      <c r="G581" s="1005">
        <f t="shared" si="125"/>
        <v>0.125</v>
      </c>
      <c r="H581" s="997">
        <v>1</v>
      </c>
      <c r="I581" s="1001">
        <f t="shared" si="119"/>
        <v>1</v>
      </c>
      <c r="J581" s="1006">
        <f>D581*APU!$J$1313</f>
        <v>57022</v>
      </c>
      <c r="L581" s="812"/>
    </row>
    <row r="582" spans="1:12" ht="15.75" hidden="1" outlineLevel="1" thickBot="1">
      <c r="A582" s="1065"/>
      <c r="B582" s="988" t="s">
        <v>2608</v>
      </c>
      <c r="C582" s="583" t="str">
        <f>'13. Instalaciones Eléctricas'!X51</f>
        <v>uni</v>
      </c>
      <c r="D582" s="583">
        <f>'13. Instalaciones Eléctricas'!W51</f>
        <v>3</v>
      </c>
      <c r="E582" s="938">
        <f>APU!$F$1361</f>
        <v>1.25</v>
      </c>
      <c r="F582" s="938">
        <f t="shared" si="124"/>
        <v>3.75</v>
      </c>
      <c r="G582" s="1005">
        <f t="shared" si="125"/>
        <v>0.46875</v>
      </c>
      <c r="H582" s="997">
        <v>1</v>
      </c>
      <c r="I582" s="1001">
        <f t="shared" si="119"/>
        <v>1</v>
      </c>
      <c r="J582" s="1006">
        <f>D582*APU!$J$1369</f>
        <v>328545</v>
      </c>
      <c r="L582"/>
    </row>
    <row r="583" spans="1:12" ht="15.75" hidden="1" outlineLevel="1" thickBot="1">
      <c r="A583" s="1937" t="s">
        <v>2255</v>
      </c>
      <c r="B583" s="1938"/>
      <c r="C583" s="1938"/>
      <c r="D583" s="1938"/>
      <c r="E583" s="1938"/>
      <c r="F583" s="1938"/>
      <c r="G583" s="1938"/>
      <c r="H583" s="1938"/>
      <c r="I583" s="1938"/>
      <c r="J583" s="1241">
        <f>SUM(J584:J597)</f>
        <v>26126195</v>
      </c>
      <c r="L583"/>
    </row>
    <row r="584" spans="1:12" hidden="1" outlineLevel="1">
      <c r="A584" s="928"/>
      <c r="B584" s="988" t="s">
        <v>2609</v>
      </c>
      <c r="C584" s="582" t="str">
        <f>'13. Instalaciones Eléctricas'!F62</f>
        <v>uni</v>
      </c>
      <c r="D584" s="582">
        <f>'13. Instalaciones Eléctricas'!E62</f>
        <v>40</v>
      </c>
      <c r="E584" s="938">
        <f>APU!$F$1136</f>
        <v>1.25</v>
      </c>
      <c r="F584" s="938">
        <f>D584*E584</f>
        <v>50</v>
      </c>
      <c r="G584" s="1005">
        <f>F584/8</f>
        <v>6.25</v>
      </c>
      <c r="H584" s="997">
        <v>4</v>
      </c>
      <c r="I584" s="1001">
        <f t="shared" si="119"/>
        <v>2</v>
      </c>
      <c r="J584" s="999">
        <f>D584*APU!$J$1144</f>
        <v>4143960</v>
      </c>
      <c r="L584" s="1408"/>
    </row>
    <row r="585" spans="1:12" hidden="1" outlineLevel="1">
      <c r="A585" s="929"/>
      <c r="B585" s="988" t="s">
        <v>2610</v>
      </c>
      <c r="C585" s="583" t="str">
        <f>'13. Instalaciones Eléctricas'!F61</f>
        <v>uni</v>
      </c>
      <c r="D585" s="583">
        <f>'13. Instalaciones Eléctricas'!E61</f>
        <v>45</v>
      </c>
      <c r="E585" s="938">
        <f>APU!$F$1152</f>
        <v>1.25</v>
      </c>
      <c r="F585" s="938">
        <f t="shared" ref="F585:F597" si="126">D585*E585</f>
        <v>56.25</v>
      </c>
      <c r="G585" s="1005">
        <f t="shared" ref="G585:G597" si="127">F585/8</f>
        <v>7.03125</v>
      </c>
      <c r="H585" s="997">
        <v>4</v>
      </c>
      <c r="I585" s="1001">
        <f t="shared" si="119"/>
        <v>2</v>
      </c>
      <c r="J585" s="1006">
        <f>D585*APU!$J$1160</f>
        <v>5140485</v>
      </c>
      <c r="L585" s="1408"/>
    </row>
    <row r="586" spans="1:12" hidden="1" outlineLevel="1">
      <c r="A586" s="929"/>
      <c r="B586" s="988" t="s">
        <v>2611</v>
      </c>
      <c r="C586" s="583" t="str">
        <f>'13. Instalaciones Eléctricas'!F65</f>
        <v>uni</v>
      </c>
      <c r="D586" s="583">
        <f>'13. Instalaciones Eléctricas'!E65</f>
        <v>14</v>
      </c>
      <c r="E586" s="938">
        <f>APU!$F$1168</f>
        <v>1.25</v>
      </c>
      <c r="F586" s="938">
        <f t="shared" si="126"/>
        <v>17.5</v>
      </c>
      <c r="G586" s="1005">
        <f t="shared" si="127"/>
        <v>2.1875</v>
      </c>
      <c r="H586" s="997">
        <v>2</v>
      </c>
      <c r="I586" s="1001">
        <f t="shared" si="119"/>
        <v>2</v>
      </c>
      <c r="J586" s="1006">
        <f>D586*APU!$J$1176</f>
        <v>1450386</v>
      </c>
      <c r="L586" s="812"/>
    </row>
    <row r="587" spans="1:12" hidden="1" outlineLevel="1">
      <c r="A587" s="921"/>
      <c r="B587" s="988" t="s">
        <v>2612</v>
      </c>
      <c r="C587" s="583" t="str">
        <f>'13. Instalaciones Eléctricas'!F64</f>
        <v>uni</v>
      </c>
      <c r="D587" s="583">
        <f>'13. Instalaciones Eléctricas'!E64</f>
        <v>14</v>
      </c>
      <c r="E587" s="938">
        <f>APU!$F$1184</f>
        <v>1.25</v>
      </c>
      <c r="F587" s="938">
        <f t="shared" si="126"/>
        <v>17.5</v>
      </c>
      <c r="G587" s="1005">
        <f t="shared" si="127"/>
        <v>2.1875</v>
      </c>
      <c r="H587" s="997">
        <v>2</v>
      </c>
      <c r="I587" s="1001">
        <f t="shared" si="119"/>
        <v>2</v>
      </c>
      <c r="J587" s="1000">
        <f>D587*APU!$J$1192</f>
        <v>1599262</v>
      </c>
      <c r="L587" s="812"/>
    </row>
    <row r="588" spans="1:12" hidden="1" outlineLevel="1">
      <c r="A588" s="921"/>
      <c r="B588" s="991" t="s">
        <v>2613</v>
      </c>
      <c r="C588" s="583" t="str">
        <f>'13. Instalaciones Eléctricas'!F66</f>
        <v>uni</v>
      </c>
      <c r="D588" s="583">
        <f>'13. Instalaciones Eléctricas'!E66</f>
        <v>3</v>
      </c>
      <c r="E588" s="938">
        <f>APU!$F$1272</f>
        <v>2.25</v>
      </c>
      <c r="F588" s="938">
        <f t="shared" si="126"/>
        <v>6.75</v>
      </c>
      <c r="G588" s="1005">
        <f t="shared" si="127"/>
        <v>0.84375</v>
      </c>
      <c r="H588" s="997">
        <v>1</v>
      </c>
      <c r="I588" s="1001">
        <f t="shared" si="119"/>
        <v>1</v>
      </c>
      <c r="J588" s="1000">
        <f>D588*APU!$J$1273</f>
        <v>5228001</v>
      </c>
      <c r="L588" s="812"/>
    </row>
    <row r="589" spans="1:12" hidden="1" outlineLevel="1">
      <c r="A589" s="921"/>
      <c r="B589" s="991" t="s">
        <v>2845</v>
      </c>
      <c r="C589" s="583" t="str">
        <f>'13. Instalaciones Eléctricas'!L67</f>
        <v>uni</v>
      </c>
      <c r="D589" s="583">
        <f>'13. Instalaciones Eléctricas'!K67</f>
        <v>1</v>
      </c>
      <c r="E589" s="916">
        <f>APU!$F$1254</f>
        <v>1.25</v>
      </c>
      <c r="F589" s="938">
        <f t="shared" si="126"/>
        <v>1.25</v>
      </c>
      <c r="G589" s="1005">
        <f t="shared" si="127"/>
        <v>0.15625</v>
      </c>
      <c r="H589" s="997">
        <v>1</v>
      </c>
      <c r="I589" s="1001">
        <f t="shared" si="119"/>
        <v>1</v>
      </c>
      <c r="J589" s="1000">
        <f>D589*APU!$J$1255</f>
        <v>97285</v>
      </c>
      <c r="L589" s="812"/>
    </row>
    <row r="590" spans="1:12" hidden="1" outlineLevel="1">
      <c r="A590" s="921"/>
      <c r="B590" s="991" t="s">
        <v>2614</v>
      </c>
      <c r="C590" s="583" t="str">
        <f>'13. Instalaciones Eléctricas'!R62</f>
        <v>uni</v>
      </c>
      <c r="D590" s="583">
        <f>'13. Instalaciones Eléctricas'!Q62</f>
        <v>14</v>
      </c>
      <c r="E590" s="938">
        <f>APU!$F$1278</f>
        <v>0.5</v>
      </c>
      <c r="F590" s="938">
        <f t="shared" si="126"/>
        <v>7</v>
      </c>
      <c r="G590" s="1005">
        <f t="shared" si="127"/>
        <v>0.875</v>
      </c>
      <c r="H590" s="997">
        <v>1</v>
      </c>
      <c r="I590" s="1001">
        <f t="shared" si="119"/>
        <v>1</v>
      </c>
      <c r="J590" s="1006">
        <f>D590*APU!$J$1281</f>
        <v>399154</v>
      </c>
      <c r="L590"/>
    </row>
    <row r="591" spans="1:12" hidden="1" outlineLevel="1">
      <c r="A591" s="921"/>
      <c r="B591" s="991" t="s">
        <v>2615</v>
      </c>
      <c r="C591" s="583" t="str">
        <f>'13. Instalaciones Eléctricas'!R61</f>
        <v>uni</v>
      </c>
      <c r="D591" s="583">
        <f>'13. Instalaciones Eléctricas'!Q61</f>
        <v>47</v>
      </c>
      <c r="E591" s="938">
        <f>APU!$F$1294</f>
        <v>0.5</v>
      </c>
      <c r="F591" s="938">
        <f t="shared" si="126"/>
        <v>23.5</v>
      </c>
      <c r="G591" s="1005">
        <f t="shared" si="127"/>
        <v>2.9375</v>
      </c>
      <c r="H591" s="997">
        <v>2</v>
      </c>
      <c r="I591" s="1001">
        <f t="shared" si="119"/>
        <v>2</v>
      </c>
      <c r="J591" s="1006">
        <f>D591*APU!$J$1297</f>
        <v>1340017</v>
      </c>
      <c r="L591"/>
    </row>
    <row r="592" spans="1:12" hidden="1" outlineLevel="1">
      <c r="A592" s="929"/>
      <c r="B592" s="988" t="s">
        <v>2616</v>
      </c>
      <c r="C592" s="583" t="str">
        <f>'13. Instalaciones Eléctricas'!R65</f>
        <v>uni</v>
      </c>
      <c r="D592" s="583">
        <f>'13. Instalaciones Eléctricas'!Q65</f>
        <v>46</v>
      </c>
      <c r="E592" s="938">
        <f>APU!$F$1302</f>
        <v>0.5</v>
      </c>
      <c r="F592" s="938">
        <f t="shared" si="126"/>
        <v>23</v>
      </c>
      <c r="G592" s="1005">
        <f t="shared" si="127"/>
        <v>2.875</v>
      </c>
      <c r="H592" s="997">
        <v>2</v>
      </c>
      <c r="I592" s="1001">
        <f t="shared" si="119"/>
        <v>2</v>
      </c>
      <c r="J592" s="1006">
        <f>D592*APU!$J$1305</f>
        <v>1311506</v>
      </c>
      <c r="L592" s="1408"/>
    </row>
    <row r="593" spans="1:12" hidden="1" outlineLevel="1">
      <c r="A593" s="1065"/>
      <c r="B593" s="988" t="s">
        <v>2617</v>
      </c>
      <c r="C593" s="583" t="str">
        <f>'13. Instalaciones Eléctricas'!R66</f>
        <v>uni</v>
      </c>
      <c r="D593" s="583">
        <f>'13. Instalaciones Eléctricas'!Q66</f>
        <v>1</v>
      </c>
      <c r="E593" s="938">
        <f>APU!$F$1310</f>
        <v>0.5</v>
      </c>
      <c r="F593" s="938">
        <f t="shared" si="126"/>
        <v>0.5</v>
      </c>
      <c r="G593" s="1005">
        <f t="shared" si="127"/>
        <v>6.25E-2</v>
      </c>
      <c r="H593" s="997">
        <v>1</v>
      </c>
      <c r="I593" s="1001">
        <f t="shared" si="119"/>
        <v>1</v>
      </c>
      <c r="J593" s="1006">
        <f>D593*APU!$J$1313</f>
        <v>28511</v>
      </c>
      <c r="L593" s="1408"/>
    </row>
    <row r="594" spans="1:12" hidden="1" outlineLevel="1">
      <c r="A594" s="1065"/>
      <c r="B594" s="988" t="s">
        <v>2618</v>
      </c>
      <c r="C594" s="583" t="str">
        <f>'13. Instalaciones Eléctricas'!R64</f>
        <v>uni</v>
      </c>
      <c r="D594" s="583">
        <f>'13. Instalaciones Eléctricas'!Q64</f>
        <v>14</v>
      </c>
      <c r="E594" s="938">
        <f>APU!$F$1345</f>
        <v>1.25</v>
      </c>
      <c r="F594" s="938">
        <f t="shared" si="126"/>
        <v>17.5</v>
      </c>
      <c r="G594" s="1005">
        <f t="shared" si="127"/>
        <v>2.1875</v>
      </c>
      <c r="H594" s="997">
        <v>2</v>
      </c>
      <c r="I594" s="1001">
        <f t="shared" si="119"/>
        <v>2</v>
      </c>
      <c r="J594" s="1006">
        <f>D594*APU!$J$1337</f>
        <v>1450386</v>
      </c>
      <c r="L594" s="812"/>
    </row>
    <row r="595" spans="1:12" hidden="1" outlineLevel="1">
      <c r="A595" s="1065"/>
      <c r="B595" s="988" t="s">
        <v>2619</v>
      </c>
      <c r="C595" s="583" t="str">
        <f>'13. Instalaciones Eléctricas'!R63</f>
        <v>uni</v>
      </c>
      <c r="D595" s="583">
        <f>'13. Instalaciones Eléctricas'!Q63</f>
        <v>14</v>
      </c>
      <c r="E595" s="938">
        <f>APU!$F$1361</f>
        <v>1.25</v>
      </c>
      <c r="F595" s="938">
        <f t="shared" si="126"/>
        <v>17.5</v>
      </c>
      <c r="G595" s="1005">
        <f t="shared" si="127"/>
        <v>2.1875</v>
      </c>
      <c r="H595" s="997">
        <v>2</v>
      </c>
      <c r="I595" s="1001">
        <f t="shared" si="119"/>
        <v>2</v>
      </c>
      <c r="J595" s="1006">
        <f>D595*APU!$J$1353</f>
        <v>1450386</v>
      </c>
      <c r="L595" s="812"/>
    </row>
    <row r="596" spans="1:12" hidden="1" outlineLevel="1">
      <c r="A596" s="1065"/>
      <c r="B596" s="988" t="s">
        <v>2620</v>
      </c>
      <c r="C596" s="583" t="str">
        <f>'13. Instalaciones Eléctricas'!X61</f>
        <v>uni</v>
      </c>
      <c r="D596" s="583">
        <f>'13. Instalaciones Eléctricas'!W61</f>
        <v>19</v>
      </c>
      <c r="E596" s="938">
        <f>APU!$F$1361</f>
        <v>1.25</v>
      </c>
      <c r="F596" s="938">
        <f t="shared" si="126"/>
        <v>23.75</v>
      </c>
      <c r="G596" s="1005">
        <f t="shared" si="127"/>
        <v>2.96875</v>
      </c>
      <c r="H596" s="997">
        <v>2</v>
      </c>
      <c r="I596" s="1001">
        <f t="shared" si="119"/>
        <v>2</v>
      </c>
      <c r="J596" s="1006">
        <f>D596*APU!$J$1369</f>
        <v>2080785</v>
      </c>
      <c r="L596" s="812"/>
    </row>
    <row r="597" spans="1:12" ht="15.75" hidden="1" outlineLevel="1" thickBot="1">
      <c r="A597" s="1065"/>
      <c r="B597" s="988" t="s">
        <v>2621</v>
      </c>
      <c r="C597" s="583" t="str">
        <f>'13. Instalaciones Eléctricas'!BB63</f>
        <v>uni</v>
      </c>
      <c r="D597" s="583">
        <f>'13. Instalaciones Eléctricas'!BA63</f>
        <v>1</v>
      </c>
      <c r="E597" s="938">
        <f>APU!$F$1412</f>
        <v>1.25</v>
      </c>
      <c r="F597" s="938">
        <f t="shared" si="126"/>
        <v>1.25</v>
      </c>
      <c r="G597" s="1005">
        <f t="shared" si="127"/>
        <v>0.15625</v>
      </c>
      <c r="H597" s="997">
        <v>1</v>
      </c>
      <c r="I597" s="1001">
        <f t="shared" si="119"/>
        <v>1</v>
      </c>
      <c r="J597" s="1006">
        <f>D597*APU!$J$1413</f>
        <v>406071</v>
      </c>
      <c r="L597" s="812"/>
    </row>
    <row r="598" spans="1:12" ht="15.75" hidden="1" outlineLevel="1" thickBot="1">
      <c r="A598" s="1937" t="s">
        <v>2258</v>
      </c>
      <c r="B598" s="1938"/>
      <c r="C598" s="1938"/>
      <c r="D598" s="1938"/>
      <c r="E598" s="1938"/>
      <c r="F598" s="1938"/>
      <c r="G598" s="1938"/>
      <c r="H598" s="1938"/>
      <c r="I598" s="1938"/>
      <c r="J598" s="1241">
        <f>SUM(J599:J610)</f>
        <v>22630253</v>
      </c>
      <c r="L598"/>
    </row>
    <row r="599" spans="1:12" hidden="1" outlineLevel="1">
      <c r="A599" s="928"/>
      <c r="B599" s="988" t="s">
        <v>2622</v>
      </c>
      <c r="C599" s="582" t="str">
        <f>'13. Instalaciones Eléctricas'!F72</f>
        <v>uni</v>
      </c>
      <c r="D599" s="582">
        <f>'13. Instalaciones Eléctricas'!E72</f>
        <v>42</v>
      </c>
      <c r="E599" s="938">
        <f>APU!$F$1136</f>
        <v>1.25</v>
      </c>
      <c r="F599" s="938">
        <f>E599*D599</f>
        <v>52.5</v>
      </c>
      <c r="G599" s="1005">
        <f>F599/8</f>
        <v>6.5625</v>
      </c>
      <c r="H599" s="997">
        <v>4</v>
      </c>
      <c r="I599" s="1001">
        <f t="shared" si="119"/>
        <v>2</v>
      </c>
      <c r="J599" s="999">
        <f>D599*APU!$J$1144</f>
        <v>4351158</v>
      </c>
      <c r="L599"/>
    </row>
    <row r="600" spans="1:12" hidden="1" outlineLevel="1">
      <c r="A600" s="929"/>
      <c r="B600" s="988" t="s">
        <v>2623</v>
      </c>
      <c r="C600" s="583" t="str">
        <f>'13. Instalaciones Eléctricas'!F71</f>
        <v>uni</v>
      </c>
      <c r="D600" s="583">
        <f>'13. Instalaciones Eléctricas'!E71</f>
        <v>5</v>
      </c>
      <c r="E600" s="938">
        <f>APU!$F$1152</f>
        <v>1.25</v>
      </c>
      <c r="F600" s="938">
        <f t="shared" ref="F600:F610" si="128">E600*D600</f>
        <v>6.25</v>
      </c>
      <c r="G600" s="1005">
        <f t="shared" ref="G600:G610" si="129">F600/8</f>
        <v>0.78125</v>
      </c>
      <c r="H600" s="997">
        <v>1</v>
      </c>
      <c r="I600" s="1001">
        <f t="shared" si="119"/>
        <v>1</v>
      </c>
      <c r="J600" s="1006">
        <f>D600*APU!$J$1160</f>
        <v>571165</v>
      </c>
      <c r="L600" s="1408"/>
    </row>
    <row r="601" spans="1:12" hidden="1" outlineLevel="1">
      <c r="A601" s="929"/>
      <c r="B601" s="988" t="s">
        <v>2624</v>
      </c>
      <c r="C601" s="583" t="str">
        <f>'13. Instalaciones Eléctricas'!F75</f>
        <v>uni</v>
      </c>
      <c r="D601" s="583">
        <f>'13. Instalaciones Eléctricas'!E75</f>
        <v>21</v>
      </c>
      <c r="E601" s="938">
        <f>APU!$F$1168</f>
        <v>1.25</v>
      </c>
      <c r="F601" s="938">
        <f t="shared" si="128"/>
        <v>26.25</v>
      </c>
      <c r="G601" s="1005">
        <f t="shared" si="129"/>
        <v>3.28125</v>
      </c>
      <c r="H601" s="997">
        <v>2</v>
      </c>
      <c r="I601" s="1001">
        <f t="shared" ref="I601:I637" si="130">ROUNDUP(G601/H601,0)</f>
        <v>2</v>
      </c>
      <c r="J601" s="1006">
        <f>D601*APU!$J$1176</f>
        <v>2175579</v>
      </c>
      <c r="L601" s="1408"/>
    </row>
    <row r="602" spans="1:12" hidden="1" outlineLevel="1">
      <c r="A602" s="921"/>
      <c r="B602" s="988" t="s">
        <v>2625</v>
      </c>
      <c r="C602" s="583" t="str">
        <f>'13. Instalaciones Eléctricas'!F74</f>
        <v>uni</v>
      </c>
      <c r="D602" s="583">
        <f>'13. Instalaciones Eléctricas'!E74</f>
        <v>21</v>
      </c>
      <c r="E602" s="938">
        <f>APU!$F$1184</f>
        <v>1.25</v>
      </c>
      <c r="F602" s="938">
        <f t="shared" si="128"/>
        <v>26.25</v>
      </c>
      <c r="G602" s="1005">
        <f t="shared" si="129"/>
        <v>3.28125</v>
      </c>
      <c r="H602" s="997">
        <v>2</v>
      </c>
      <c r="I602" s="1001">
        <f t="shared" si="130"/>
        <v>2</v>
      </c>
      <c r="J602" s="1000">
        <f>D602*APU!$J$1192</f>
        <v>2398893</v>
      </c>
      <c r="L602" s="812"/>
    </row>
    <row r="603" spans="1:12" hidden="1" outlineLevel="1">
      <c r="A603" s="921"/>
      <c r="B603" s="991" t="s">
        <v>2626</v>
      </c>
      <c r="C603" s="583" t="str">
        <f>'13. Instalaciones Eléctricas'!F76</f>
        <v>uni</v>
      </c>
      <c r="D603" s="583">
        <f>'13. Instalaciones Eléctricas'!E76</f>
        <v>3</v>
      </c>
      <c r="E603" s="938">
        <f>APU!$F$1272</f>
        <v>2.25</v>
      </c>
      <c r="F603" s="938">
        <f t="shared" si="128"/>
        <v>6.75</v>
      </c>
      <c r="G603" s="1005">
        <f t="shared" si="129"/>
        <v>0.84375</v>
      </c>
      <c r="H603" s="997">
        <v>1</v>
      </c>
      <c r="I603" s="1001">
        <f t="shared" si="130"/>
        <v>1</v>
      </c>
      <c r="J603" s="1000">
        <f>D603*APU!$J$1273</f>
        <v>5228001</v>
      </c>
      <c r="L603" s="812"/>
    </row>
    <row r="604" spans="1:12" hidden="1" outlineLevel="1">
      <c r="A604" s="921"/>
      <c r="B604" s="991" t="s">
        <v>2627</v>
      </c>
      <c r="C604" s="583" t="str">
        <f>'13. Instalaciones Eléctricas'!R72</f>
        <v>uni</v>
      </c>
      <c r="D604" s="583">
        <f>'13. Instalaciones Eléctricas'!Q72</f>
        <v>21</v>
      </c>
      <c r="E604" s="938">
        <f>APU!$F$1278</f>
        <v>0.5</v>
      </c>
      <c r="F604" s="938">
        <f t="shared" si="128"/>
        <v>10.5</v>
      </c>
      <c r="G604" s="1005">
        <f t="shared" si="129"/>
        <v>1.3125</v>
      </c>
      <c r="H604" s="997">
        <v>1</v>
      </c>
      <c r="I604" s="1001">
        <f t="shared" si="130"/>
        <v>2</v>
      </c>
      <c r="J604" s="1006">
        <f>D604*APU!$J$1281</f>
        <v>598731</v>
      </c>
      <c r="L604" s="812"/>
    </row>
    <row r="605" spans="1:12" hidden="1" outlineLevel="1">
      <c r="A605" s="921"/>
      <c r="B605" s="991" t="s">
        <v>2628</v>
      </c>
      <c r="C605" s="583" t="str">
        <f>'13. Instalaciones Eléctricas'!R71</f>
        <v>uni</v>
      </c>
      <c r="D605" s="583">
        <f>'13. Instalaciones Eléctricas'!Q71</f>
        <v>21</v>
      </c>
      <c r="E605" s="938">
        <f>APU!$F$1294</f>
        <v>0.5</v>
      </c>
      <c r="F605" s="938">
        <f t="shared" si="128"/>
        <v>10.5</v>
      </c>
      <c r="G605" s="1005">
        <f t="shared" si="129"/>
        <v>1.3125</v>
      </c>
      <c r="H605" s="997">
        <v>1</v>
      </c>
      <c r="I605" s="1001">
        <f t="shared" si="130"/>
        <v>2</v>
      </c>
      <c r="J605" s="1006">
        <f>D605*APU!$J$1297</f>
        <v>598731</v>
      </c>
      <c r="L605" s="812"/>
    </row>
    <row r="606" spans="1:12" hidden="1" outlineLevel="1">
      <c r="A606" s="929"/>
      <c r="B606" s="988" t="s">
        <v>2629</v>
      </c>
      <c r="C606" s="583" t="str">
        <f>'13. Instalaciones Eléctricas'!R75</f>
        <v>uni</v>
      </c>
      <c r="D606" s="583">
        <f>'13. Instalaciones Eléctricas'!Q75</f>
        <v>1</v>
      </c>
      <c r="E606" s="938">
        <f>APU!$F$1302</f>
        <v>0.5</v>
      </c>
      <c r="F606" s="938">
        <f t="shared" si="128"/>
        <v>0.5</v>
      </c>
      <c r="G606" s="1005">
        <f t="shared" si="129"/>
        <v>6.25E-2</v>
      </c>
      <c r="H606" s="997">
        <v>1</v>
      </c>
      <c r="I606" s="1001">
        <f t="shared" si="130"/>
        <v>1</v>
      </c>
      <c r="J606" s="1006">
        <f>D606*APU!$J$1305</f>
        <v>28511</v>
      </c>
      <c r="L606"/>
    </row>
    <row r="607" spans="1:12" hidden="1" outlineLevel="1">
      <c r="A607" s="1065"/>
      <c r="B607" s="988" t="s">
        <v>2630</v>
      </c>
      <c r="C607" s="583" t="str">
        <f>'13. Instalaciones Eléctricas'!R76</f>
        <v>uni</v>
      </c>
      <c r="D607" s="583">
        <f>'13. Instalaciones Eléctricas'!Q76</f>
        <v>1</v>
      </c>
      <c r="E607" s="938">
        <f>APU!$F$1310</f>
        <v>0.5</v>
      </c>
      <c r="F607" s="938">
        <f t="shared" si="128"/>
        <v>0.5</v>
      </c>
      <c r="G607" s="1005">
        <f t="shared" si="129"/>
        <v>6.25E-2</v>
      </c>
      <c r="H607" s="997">
        <v>1</v>
      </c>
      <c r="I607" s="1001">
        <f t="shared" si="130"/>
        <v>1</v>
      </c>
      <c r="J607" s="1006">
        <f>D607*APU!$J$1313</f>
        <v>28511</v>
      </c>
      <c r="L607"/>
    </row>
    <row r="608" spans="1:12" hidden="1" outlineLevel="1">
      <c r="A608" s="1065"/>
      <c r="B608" s="988" t="s">
        <v>2631</v>
      </c>
      <c r="C608" s="583" t="str">
        <f>'13. Instalaciones Eléctricas'!R74</f>
        <v>uni</v>
      </c>
      <c r="D608" s="583">
        <f>'13. Instalaciones Eléctricas'!Q74</f>
        <v>21</v>
      </c>
      <c r="E608" s="938">
        <f>APU!$F$1345</f>
        <v>1.25</v>
      </c>
      <c r="F608" s="938">
        <f t="shared" si="128"/>
        <v>26.25</v>
      </c>
      <c r="G608" s="1005">
        <f t="shared" si="129"/>
        <v>3.28125</v>
      </c>
      <c r="H608" s="997">
        <v>2</v>
      </c>
      <c r="I608" s="1001">
        <f t="shared" si="130"/>
        <v>2</v>
      </c>
      <c r="J608" s="1006">
        <f>D608*APU!$J$1337</f>
        <v>2175579</v>
      </c>
      <c r="L608" s="1408"/>
    </row>
    <row r="609" spans="1:12" hidden="1" outlineLevel="1">
      <c r="A609" s="1065"/>
      <c r="B609" s="988" t="s">
        <v>2632</v>
      </c>
      <c r="C609" s="583" t="str">
        <f>'13. Instalaciones Eléctricas'!R73</f>
        <v>uni</v>
      </c>
      <c r="D609" s="583">
        <f>'13. Instalaciones Eléctricas'!Q73</f>
        <v>21</v>
      </c>
      <c r="E609" s="938">
        <f>APU!$F$1361</f>
        <v>1.25</v>
      </c>
      <c r="F609" s="938">
        <f t="shared" si="128"/>
        <v>26.25</v>
      </c>
      <c r="G609" s="1005">
        <f t="shared" si="129"/>
        <v>3.28125</v>
      </c>
      <c r="H609" s="997">
        <v>2</v>
      </c>
      <c r="I609" s="1001">
        <f t="shared" si="130"/>
        <v>2</v>
      </c>
      <c r="J609" s="1006">
        <f>D609*APU!$J$1353</f>
        <v>2175579</v>
      </c>
      <c r="L609" s="1408"/>
    </row>
    <row r="610" spans="1:12" ht="15.75" hidden="1" outlineLevel="1" thickBot="1">
      <c r="A610" s="1065"/>
      <c r="B610" s="988" t="s">
        <v>2633</v>
      </c>
      <c r="C610" s="583" t="str">
        <f>'13. Instalaciones Eléctricas'!X71</f>
        <v>uni</v>
      </c>
      <c r="D610" s="583">
        <f>'13. Instalaciones Eléctricas'!W71</f>
        <v>21</v>
      </c>
      <c r="E610" s="938">
        <f>APU!$F$1361</f>
        <v>1.25</v>
      </c>
      <c r="F610" s="938">
        <f t="shared" si="128"/>
        <v>26.25</v>
      </c>
      <c r="G610" s="1005">
        <f t="shared" si="129"/>
        <v>3.28125</v>
      </c>
      <c r="H610" s="997">
        <v>2</v>
      </c>
      <c r="I610" s="1001">
        <f t="shared" si="130"/>
        <v>2</v>
      </c>
      <c r="J610" s="1006">
        <f>D610*APU!$J$1369</f>
        <v>2299815</v>
      </c>
      <c r="L610" s="812"/>
    </row>
    <row r="611" spans="1:12" ht="15.75" hidden="1" outlineLevel="1" thickBot="1">
      <c r="A611" s="1937" t="s">
        <v>2261</v>
      </c>
      <c r="B611" s="1938"/>
      <c r="C611" s="1938"/>
      <c r="D611" s="1938"/>
      <c r="E611" s="1938"/>
      <c r="F611" s="1938"/>
      <c r="G611" s="1938"/>
      <c r="H611" s="1938"/>
      <c r="I611" s="1938"/>
      <c r="J611" s="1241">
        <f>SUM(J612:J623)</f>
        <v>22946966</v>
      </c>
      <c r="L611" s="812"/>
    </row>
    <row r="612" spans="1:12" hidden="1" outlineLevel="1">
      <c r="A612" s="928"/>
      <c r="B612" s="988" t="s">
        <v>2634</v>
      </c>
      <c r="C612" s="582" t="str">
        <f>'13. Instalaciones Eléctricas'!F82</f>
        <v>uni</v>
      </c>
      <c r="D612" s="582">
        <f>'13. Instalaciones Eléctricas'!E82</f>
        <v>44</v>
      </c>
      <c r="E612" s="938">
        <f>APU!$F$1136</f>
        <v>1.25</v>
      </c>
      <c r="F612" s="938">
        <f>D612*E612</f>
        <v>55</v>
      </c>
      <c r="G612" s="1005">
        <f>F612/8</f>
        <v>6.875</v>
      </c>
      <c r="H612" s="997">
        <v>4</v>
      </c>
      <c r="I612" s="1001">
        <f t="shared" si="130"/>
        <v>2</v>
      </c>
      <c r="J612" s="999">
        <f>D612*APU!$J$1144</f>
        <v>4558356</v>
      </c>
      <c r="L612" s="812"/>
    </row>
    <row r="613" spans="1:12" hidden="1" outlineLevel="1">
      <c r="A613" s="929"/>
      <c r="B613" s="988" t="s">
        <v>2635</v>
      </c>
      <c r="C613" s="583" t="str">
        <f>'13. Instalaciones Eléctricas'!F81</f>
        <v>uni</v>
      </c>
      <c r="D613" s="583">
        <f>'13. Instalaciones Eléctricas'!E81</f>
        <v>5</v>
      </c>
      <c r="E613" s="938">
        <f>APU!$F$1152</f>
        <v>1.25</v>
      </c>
      <c r="F613" s="938">
        <f t="shared" ref="F613:F623" si="131">D613*E613</f>
        <v>6.25</v>
      </c>
      <c r="G613" s="1005">
        <f t="shared" ref="G613:G623" si="132">F613/8</f>
        <v>0.78125</v>
      </c>
      <c r="H613" s="997">
        <v>1</v>
      </c>
      <c r="I613" s="1001">
        <f t="shared" si="130"/>
        <v>1</v>
      </c>
      <c r="J613" s="1006">
        <f>D613*APU!$J$1160</f>
        <v>571165</v>
      </c>
      <c r="L613" s="812"/>
    </row>
    <row r="614" spans="1:12" hidden="1" outlineLevel="1">
      <c r="A614" s="929"/>
      <c r="B614" s="988" t="s">
        <v>2636</v>
      </c>
      <c r="C614" s="583" t="str">
        <f>'13. Instalaciones Eléctricas'!F85</f>
        <v>uni</v>
      </c>
      <c r="D614" s="583">
        <f>'13. Instalaciones Eléctricas'!E85</f>
        <v>21</v>
      </c>
      <c r="E614" s="938">
        <f>APU!$F$1168</f>
        <v>1.25</v>
      </c>
      <c r="F614" s="938">
        <f t="shared" si="131"/>
        <v>26.25</v>
      </c>
      <c r="G614" s="1005">
        <f t="shared" si="132"/>
        <v>3.28125</v>
      </c>
      <c r="H614" s="997">
        <v>2</v>
      </c>
      <c r="I614" s="1001">
        <f t="shared" si="130"/>
        <v>2</v>
      </c>
      <c r="J614" s="1006">
        <f>D614*APU!$J$1176</f>
        <v>2175579</v>
      </c>
      <c r="L614"/>
    </row>
    <row r="615" spans="1:12" hidden="1" outlineLevel="1">
      <c r="A615" s="921"/>
      <c r="B615" s="988" t="s">
        <v>2637</v>
      </c>
      <c r="C615" s="583" t="str">
        <f>'13. Instalaciones Eléctricas'!F84</f>
        <v>uni</v>
      </c>
      <c r="D615" s="583">
        <f>'13. Instalaciones Eléctricas'!E84</f>
        <v>21</v>
      </c>
      <c r="E615" s="938">
        <f>APU!$F$1184</f>
        <v>1.25</v>
      </c>
      <c r="F615" s="938">
        <f t="shared" si="131"/>
        <v>26.25</v>
      </c>
      <c r="G615" s="1005">
        <f t="shared" si="132"/>
        <v>3.28125</v>
      </c>
      <c r="H615" s="997">
        <v>2</v>
      </c>
      <c r="I615" s="1001">
        <f t="shared" si="130"/>
        <v>2</v>
      </c>
      <c r="J615" s="1000">
        <f>D615*APU!$J$1192</f>
        <v>2398893</v>
      </c>
      <c r="L615"/>
    </row>
    <row r="616" spans="1:12" hidden="1" outlineLevel="1">
      <c r="A616" s="921"/>
      <c r="B616" s="991" t="s">
        <v>2638</v>
      </c>
      <c r="C616" s="583" t="str">
        <f>'13. Instalaciones Eléctricas'!F86</f>
        <v>uni</v>
      </c>
      <c r="D616" s="583">
        <f>'13. Instalaciones Eléctricas'!E86</f>
        <v>3</v>
      </c>
      <c r="E616" s="938">
        <f>APU!$F$1272</f>
        <v>2.25</v>
      </c>
      <c r="F616" s="938">
        <f t="shared" si="131"/>
        <v>6.75</v>
      </c>
      <c r="G616" s="1005">
        <f t="shared" si="132"/>
        <v>0.84375</v>
      </c>
      <c r="H616" s="997">
        <v>1</v>
      </c>
      <c r="I616" s="1001">
        <f t="shared" si="130"/>
        <v>1</v>
      </c>
      <c r="J616" s="1000">
        <f>D616*APU!$J$1273</f>
        <v>5228001</v>
      </c>
      <c r="L616" s="1408"/>
    </row>
    <row r="617" spans="1:12" hidden="1" outlineLevel="1">
      <c r="A617" s="921"/>
      <c r="B617" s="991" t="s">
        <v>2639</v>
      </c>
      <c r="C617" s="583" t="str">
        <f>'13. Instalaciones Eléctricas'!R82</f>
        <v>uni</v>
      </c>
      <c r="D617" s="583">
        <f>'13. Instalaciones Eléctricas'!Q82</f>
        <v>21</v>
      </c>
      <c r="E617" s="938">
        <f>APU!$F$1278</f>
        <v>0.5</v>
      </c>
      <c r="F617" s="938">
        <f t="shared" si="131"/>
        <v>10.5</v>
      </c>
      <c r="G617" s="1005">
        <f t="shared" si="132"/>
        <v>1.3125</v>
      </c>
      <c r="H617" s="997">
        <v>1</v>
      </c>
      <c r="I617" s="1001">
        <f t="shared" si="130"/>
        <v>2</v>
      </c>
      <c r="J617" s="1006">
        <f>D617*APU!$J$1281</f>
        <v>598731</v>
      </c>
      <c r="L617" s="1408"/>
    </row>
    <row r="618" spans="1:12" hidden="1" outlineLevel="1">
      <c r="A618" s="921"/>
      <c r="B618" s="991" t="s">
        <v>2640</v>
      </c>
      <c r="C618" s="583" t="str">
        <f>'13. Instalaciones Eléctricas'!R81</f>
        <v>uni</v>
      </c>
      <c r="D618" s="583">
        <f>'13. Instalaciones Eléctricas'!Q81</f>
        <v>21</v>
      </c>
      <c r="E618" s="938">
        <f>APU!$F$1294</f>
        <v>0.5</v>
      </c>
      <c r="F618" s="938">
        <f t="shared" si="131"/>
        <v>10.5</v>
      </c>
      <c r="G618" s="1005">
        <f t="shared" si="132"/>
        <v>1.3125</v>
      </c>
      <c r="H618" s="997">
        <v>1</v>
      </c>
      <c r="I618" s="1001">
        <f t="shared" si="130"/>
        <v>2</v>
      </c>
      <c r="J618" s="1006">
        <f>D618*APU!$J$1297</f>
        <v>598731</v>
      </c>
      <c r="L618" s="812"/>
    </row>
    <row r="619" spans="1:12" hidden="1" outlineLevel="1">
      <c r="A619" s="929"/>
      <c r="B619" s="988" t="s">
        <v>2641</v>
      </c>
      <c r="C619" s="583" t="str">
        <f>'13. Instalaciones Eléctricas'!R85</f>
        <v>uni</v>
      </c>
      <c r="D619" s="583">
        <f>'13. Instalaciones Eléctricas'!Q85</f>
        <v>1</v>
      </c>
      <c r="E619" s="938">
        <f>APU!$F$1302</f>
        <v>0.5</v>
      </c>
      <c r="F619" s="938">
        <f t="shared" si="131"/>
        <v>0.5</v>
      </c>
      <c r="G619" s="1005">
        <f t="shared" si="132"/>
        <v>6.25E-2</v>
      </c>
      <c r="H619" s="997">
        <v>1</v>
      </c>
      <c r="I619" s="1001">
        <f t="shared" si="130"/>
        <v>1</v>
      </c>
      <c r="J619" s="1006">
        <f>D619*APU!$J$1305</f>
        <v>28511</v>
      </c>
      <c r="L619" s="812"/>
    </row>
    <row r="620" spans="1:12" hidden="1" outlineLevel="1">
      <c r="A620" s="1065"/>
      <c r="B620" s="988" t="s">
        <v>2642</v>
      </c>
      <c r="C620" s="583" t="str">
        <f>'13. Instalaciones Eléctricas'!R86</f>
        <v>uni</v>
      </c>
      <c r="D620" s="583">
        <f>'13. Instalaciones Eléctricas'!Q86</f>
        <v>1</v>
      </c>
      <c r="E620" s="938">
        <f>APU!$F$1310</f>
        <v>0.5</v>
      </c>
      <c r="F620" s="938">
        <f t="shared" si="131"/>
        <v>0.5</v>
      </c>
      <c r="G620" s="1005">
        <f t="shared" si="132"/>
        <v>6.25E-2</v>
      </c>
      <c r="H620" s="997">
        <v>1</v>
      </c>
      <c r="I620" s="1001">
        <f t="shared" si="130"/>
        <v>1</v>
      </c>
      <c r="J620" s="1006">
        <f>D620*APU!$J$1313</f>
        <v>28511</v>
      </c>
      <c r="L620" s="812"/>
    </row>
    <row r="621" spans="1:12" hidden="1" outlineLevel="1">
      <c r="A621" s="1065"/>
      <c r="B621" s="988" t="s">
        <v>2643</v>
      </c>
      <c r="C621" s="583" t="str">
        <f>'13. Instalaciones Eléctricas'!R84</f>
        <v>uni</v>
      </c>
      <c r="D621" s="583">
        <f>'13. Instalaciones Eléctricas'!Q84</f>
        <v>21</v>
      </c>
      <c r="E621" s="938">
        <f>APU!$F$1345</f>
        <v>1.25</v>
      </c>
      <c r="F621" s="938">
        <f t="shared" si="131"/>
        <v>26.25</v>
      </c>
      <c r="G621" s="1005">
        <f t="shared" si="132"/>
        <v>3.28125</v>
      </c>
      <c r="H621" s="997">
        <v>2</v>
      </c>
      <c r="I621" s="1001">
        <f t="shared" si="130"/>
        <v>2</v>
      </c>
      <c r="J621" s="1006">
        <f>D621*APU!$J$1337</f>
        <v>2175579</v>
      </c>
      <c r="L621" s="812"/>
    </row>
    <row r="622" spans="1:12" hidden="1" outlineLevel="1">
      <c r="A622" s="1065"/>
      <c r="B622" s="988" t="s">
        <v>2644</v>
      </c>
      <c r="C622" s="583" t="str">
        <f>'13. Instalaciones Eléctricas'!R83</f>
        <v>uni</v>
      </c>
      <c r="D622" s="583">
        <f>'13. Instalaciones Eléctricas'!Q83</f>
        <v>21</v>
      </c>
      <c r="E622" s="938">
        <f>APU!$F$1361</f>
        <v>1.25</v>
      </c>
      <c r="F622" s="938">
        <f t="shared" si="131"/>
        <v>26.25</v>
      </c>
      <c r="G622" s="1005">
        <f t="shared" si="132"/>
        <v>3.28125</v>
      </c>
      <c r="H622" s="997">
        <v>2</v>
      </c>
      <c r="I622" s="1001">
        <f t="shared" si="130"/>
        <v>2</v>
      </c>
      <c r="J622" s="1006">
        <f>D622*APU!$J$1353</f>
        <v>2175579</v>
      </c>
      <c r="L622"/>
    </row>
    <row r="623" spans="1:12" ht="15.75" hidden="1" outlineLevel="1" thickBot="1">
      <c r="A623" s="1065"/>
      <c r="B623" s="988" t="s">
        <v>2645</v>
      </c>
      <c r="C623" s="583" t="str">
        <f>'13. Instalaciones Eléctricas'!X81</f>
        <v>uni</v>
      </c>
      <c r="D623" s="583">
        <f>'13. Instalaciones Eléctricas'!W81</f>
        <v>22</v>
      </c>
      <c r="E623" s="938">
        <f>APU!$F$1361</f>
        <v>1.25</v>
      </c>
      <c r="F623" s="938">
        <f t="shared" si="131"/>
        <v>27.5</v>
      </c>
      <c r="G623" s="1005">
        <f t="shared" si="132"/>
        <v>3.4375</v>
      </c>
      <c r="H623" s="997">
        <v>2</v>
      </c>
      <c r="I623" s="1001">
        <f t="shared" si="130"/>
        <v>2</v>
      </c>
      <c r="J623" s="1006">
        <f>D623*APU!$J$1369</f>
        <v>2409330</v>
      </c>
      <c r="L623"/>
    </row>
    <row r="624" spans="1:12" ht="15.75" hidden="1" outlineLevel="1" thickBot="1">
      <c r="A624" s="1937" t="s">
        <v>2264</v>
      </c>
      <c r="B624" s="1938"/>
      <c r="C624" s="1938"/>
      <c r="D624" s="1938"/>
      <c r="E624" s="1938"/>
      <c r="F624" s="1938"/>
      <c r="G624" s="1938"/>
      <c r="H624" s="1938"/>
      <c r="I624" s="1938"/>
      <c r="J624" s="1241">
        <f>SUM(J625:J637)</f>
        <v>30453273</v>
      </c>
      <c r="L624" s="1408"/>
    </row>
    <row r="625" spans="1:13" hidden="1" outlineLevel="1">
      <c r="A625" s="928"/>
      <c r="B625" s="988" t="s">
        <v>2646</v>
      </c>
      <c r="C625" s="582" t="str">
        <f>'13. Instalaciones Eléctricas'!F92</f>
        <v>uni</v>
      </c>
      <c r="D625" s="582">
        <f>'13. Instalaciones Eléctricas'!E92</f>
        <v>69</v>
      </c>
      <c r="E625" s="938">
        <f>APU!$F$1136</f>
        <v>1.25</v>
      </c>
      <c r="F625" s="938">
        <f>D625*E625</f>
        <v>86.25</v>
      </c>
      <c r="G625" s="1005">
        <f>F625/8</f>
        <v>10.78125</v>
      </c>
      <c r="H625" s="997">
        <v>5</v>
      </c>
      <c r="I625" s="1001">
        <f t="shared" si="130"/>
        <v>3</v>
      </c>
      <c r="J625" s="999">
        <f>D625*APU!$J$1144</f>
        <v>7148331</v>
      </c>
      <c r="L625" s="1408"/>
    </row>
    <row r="626" spans="1:13" hidden="1" outlineLevel="1">
      <c r="A626" s="929"/>
      <c r="B626" s="988" t="s">
        <v>2647</v>
      </c>
      <c r="C626" s="583" t="str">
        <f>'13. Instalaciones Eléctricas'!F91</f>
        <v>uni</v>
      </c>
      <c r="D626" s="583">
        <f>'13. Instalaciones Eléctricas'!E91</f>
        <v>15</v>
      </c>
      <c r="E626" s="938">
        <f>APU!$F$1152</f>
        <v>1.25</v>
      </c>
      <c r="F626" s="938">
        <f t="shared" ref="F626:F637" si="133">D626*E626</f>
        <v>18.75</v>
      </c>
      <c r="G626" s="1005">
        <f t="shared" ref="G626:G637" si="134">F626/8</f>
        <v>2.34375</v>
      </c>
      <c r="H626" s="997">
        <v>2</v>
      </c>
      <c r="I626" s="1001">
        <f t="shared" si="130"/>
        <v>2</v>
      </c>
      <c r="J626" s="1006">
        <f>D626*APU!$J$1160</f>
        <v>1713495</v>
      </c>
      <c r="L626" s="812"/>
    </row>
    <row r="627" spans="1:13" hidden="1" outlineLevel="1">
      <c r="A627" s="929"/>
      <c r="B627" s="988" t="s">
        <v>2648</v>
      </c>
      <c r="C627" s="583" t="str">
        <f>'13. Instalaciones Eléctricas'!F95</f>
        <v>uni</v>
      </c>
      <c r="D627" s="583">
        <f>'13. Instalaciones Eléctricas'!E95</f>
        <v>27</v>
      </c>
      <c r="E627" s="938">
        <f>APU!$F$1168</f>
        <v>1.25</v>
      </c>
      <c r="F627" s="938">
        <f t="shared" si="133"/>
        <v>33.75</v>
      </c>
      <c r="G627" s="1005">
        <f t="shared" si="134"/>
        <v>4.21875</v>
      </c>
      <c r="H627" s="997">
        <v>3</v>
      </c>
      <c r="I627" s="1001">
        <f t="shared" si="130"/>
        <v>2</v>
      </c>
      <c r="J627" s="1006">
        <f>D627*APU!$J$1176</f>
        <v>2797173</v>
      </c>
      <c r="L627" s="812"/>
    </row>
    <row r="628" spans="1:13" hidden="1" outlineLevel="1">
      <c r="A628" s="921"/>
      <c r="B628" s="988" t="s">
        <v>2649</v>
      </c>
      <c r="C628" s="583" t="str">
        <f>'13. Instalaciones Eléctricas'!F94</f>
        <v>uni</v>
      </c>
      <c r="D628" s="583">
        <f>'13. Instalaciones Eléctricas'!E94</f>
        <v>25</v>
      </c>
      <c r="E628" s="938">
        <f>APU!$F$1184</f>
        <v>1.25</v>
      </c>
      <c r="F628" s="938">
        <f t="shared" si="133"/>
        <v>31.25</v>
      </c>
      <c r="G628" s="1005">
        <f t="shared" si="134"/>
        <v>3.90625</v>
      </c>
      <c r="H628" s="997">
        <v>3</v>
      </c>
      <c r="I628" s="1001">
        <f t="shared" si="130"/>
        <v>2</v>
      </c>
      <c r="J628" s="1000">
        <f>D628*APU!$J$1192</f>
        <v>2855825</v>
      </c>
      <c r="L628" s="812"/>
    </row>
    <row r="629" spans="1:13" hidden="1" outlineLevel="1">
      <c r="A629" s="930"/>
      <c r="B629" s="991" t="s">
        <v>2650</v>
      </c>
      <c r="C629" s="583" t="str">
        <f>'13. Instalaciones Eléctricas'!F97</f>
        <v>uni</v>
      </c>
      <c r="D629" s="583">
        <f>'13. Instalaciones Eléctricas'!E97</f>
        <v>2</v>
      </c>
      <c r="E629" s="938">
        <f>APU!$F$1216</f>
        <v>1.25</v>
      </c>
      <c r="F629" s="938">
        <f t="shared" si="133"/>
        <v>2.5</v>
      </c>
      <c r="G629" s="1005">
        <f t="shared" si="134"/>
        <v>0.3125</v>
      </c>
      <c r="H629" s="997">
        <v>1</v>
      </c>
      <c r="I629" s="1001">
        <f t="shared" si="130"/>
        <v>1</v>
      </c>
      <c r="J629" s="1008">
        <f>D629*APU!$J$1224</f>
        <v>48364</v>
      </c>
      <c r="L629" s="812"/>
    </row>
    <row r="630" spans="1:13" hidden="1" outlineLevel="1">
      <c r="A630" s="921"/>
      <c r="B630" s="991" t="s">
        <v>2651</v>
      </c>
      <c r="C630" s="583" t="str">
        <f>'13. Instalaciones Eléctricas'!F96</f>
        <v>uni</v>
      </c>
      <c r="D630" s="583">
        <f>'13. Instalaciones Eléctricas'!E96</f>
        <v>3</v>
      </c>
      <c r="E630" s="938">
        <f>APU!$F$1272</f>
        <v>2.25</v>
      </c>
      <c r="F630" s="938">
        <f t="shared" si="133"/>
        <v>6.75</v>
      </c>
      <c r="G630" s="1005">
        <f t="shared" si="134"/>
        <v>0.84375</v>
      </c>
      <c r="H630" s="997">
        <v>1</v>
      </c>
      <c r="I630" s="1001">
        <f t="shared" si="130"/>
        <v>1</v>
      </c>
      <c r="J630" s="1000">
        <f>D630*APU!$J$1273</f>
        <v>5228001</v>
      </c>
      <c r="L630"/>
    </row>
    <row r="631" spans="1:13" hidden="1" outlineLevel="1">
      <c r="A631" s="921"/>
      <c r="B631" s="991" t="s">
        <v>2652</v>
      </c>
      <c r="C631" s="583" t="str">
        <f>'13. Instalaciones Eléctricas'!R92</f>
        <v>uni</v>
      </c>
      <c r="D631" s="583">
        <f>'13. Instalaciones Eléctricas'!Q92</f>
        <v>25</v>
      </c>
      <c r="E631" s="938">
        <f>APU!$F$1278</f>
        <v>0.5</v>
      </c>
      <c r="F631" s="938">
        <f t="shared" si="133"/>
        <v>12.5</v>
      </c>
      <c r="G631" s="1005">
        <f t="shared" si="134"/>
        <v>1.5625</v>
      </c>
      <c r="H631" s="997">
        <v>1</v>
      </c>
      <c r="I631" s="1001">
        <f t="shared" si="130"/>
        <v>2</v>
      </c>
      <c r="J631" s="1006">
        <f>D631*APU!$J$1281</f>
        <v>712775</v>
      </c>
      <c r="L631"/>
    </row>
    <row r="632" spans="1:13" hidden="1" outlineLevel="1">
      <c r="A632" s="921"/>
      <c r="B632" s="991" t="s">
        <v>2653</v>
      </c>
      <c r="C632" s="583" t="str">
        <f>'13. Instalaciones Eléctricas'!R91</f>
        <v>uni</v>
      </c>
      <c r="D632" s="583">
        <f>'13. Instalaciones Eléctricas'!Q91</f>
        <v>20</v>
      </c>
      <c r="E632" s="938">
        <f>APU!$F$1294</f>
        <v>0.5</v>
      </c>
      <c r="F632" s="938">
        <f t="shared" si="133"/>
        <v>10</v>
      </c>
      <c r="G632" s="1005">
        <f t="shared" si="134"/>
        <v>1.25</v>
      </c>
      <c r="H632" s="997">
        <v>1</v>
      </c>
      <c r="I632" s="1001">
        <f t="shared" si="130"/>
        <v>2</v>
      </c>
      <c r="J632" s="1006">
        <f>D632*APU!$J$1297</f>
        <v>570220</v>
      </c>
      <c r="L632" s="1408"/>
    </row>
    <row r="633" spans="1:13" hidden="1" outlineLevel="1">
      <c r="A633" s="929"/>
      <c r="B633" s="988" t="s">
        <v>2654</v>
      </c>
      <c r="C633" s="583" t="str">
        <f>'13. Instalaciones Eléctricas'!R95</f>
        <v>uni</v>
      </c>
      <c r="D633" s="583">
        <f>'13. Instalaciones Eléctricas'!Q95</f>
        <v>1</v>
      </c>
      <c r="E633" s="938">
        <f>APU!$F$1302</f>
        <v>0.5</v>
      </c>
      <c r="F633" s="938">
        <f t="shared" si="133"/>
        <v>0.5</v>
      </c>
      <c r="G633" s="1005">
        <f t="shared" si="134"/>
        <v>6.25E-2</v>
      </c>
      <c r="H633" s="997">
        <v>1</v>
      </c>
      <c r="I633" s="1001">
        <f t="shared" si="130"/>
        <v>1</v>
      </c>
      <c r="J633" s="1006">
        <f>D633*APU!$J$1305</f>
        <v>28511</v>
      </c>
      <c r="L633" s="1408"/>
    </row>
    <row r="634" spans="1:13" hidden="1" outlineLevel="1">
      <c r="A634" s="1065"/>
      <c r="B634" s="988" t="s">
        <v>2655</v>
      </c>
      <c r="C634" s="583" t="str">
        <f>'13. Instalaciones Eléctricas'!R96</f>
        <v>uni</v>
      </c>
      <c r="D634" s="583">
        <f>'13. Instalaciones Eléctricas'!Q96</f>
        <v>8</v>
      </c>
      <c r="E634" s="938">
        <f>APU!$F$1310</f>
        <v>0.5</v>
      </c>
      <c r="F634" s="938">
        <f t="shared" si="133"/>
        <v>4</v>
      </c>
      <c r="G634" s="1005">
        <f t="shared" si="134"/>
        <v>0.5</v>
      </c>
      <c r="H634" s="997">
        <v>1</v>
      </c>
      <c r="I634" s="1001">
        <f t="shared" si="130"/>
        <v>1</v>
      </c>
      <c r="J634" s="1006">
        <f>D634*APU!$J$1313</f>
        <v>228088</v>
      </c>
      <c r="L634" s="812"/>
    </row>
    <row r="635" spans="1:13" hidden="1" outlineLevel="1">
      <c r="A635" s="1065"/>
      <c r="B635" s="988" t="s">
        <v>2656</v>
      </c>
      <c r="C635" s="583" t="str">
        <f>'13. Instalaciones Eléctricas'!R94</f>
        <v>uni</v>
      </c>
      <c r="D635" s="583">
        <f>'13. Instalaciones Eléctricas'!Q94</f>
        <v>25</v>
      </c>
      <c r="E635" s="938">
        <f>APU!$F$1345</f>
        <v>1.25</v>
      </c>
      <c r="F635" s="938">
        <f t="shared" si="133"/>
        <v>31.25</v>
      </c>
      <c r="G635" s="1005">
        <f t="shared" si="134"/>
        <v>3.90625</v>
      </c>
      <c r="H635" s="997">
        <v>2</v>
      </c>
      <c r="I635" s="1001">
        <f t="shared" si="130"/>
        <v>2</v>
      </c>
      <c r="J635" s="1006">
        <f>D635*APU!$J$1337</f>
        <v>2589975</v>
      </c>
      <c r="L635" s="812"/>
    </row>
    <row r="636" spans="1:13" hidden="1" outlineLevel="1">
      <c r="A636" s="1065"/>
      <c r="B636" s="988" t="s">
        <v>2657</v>
      </c>
      <c r="C636" s="583" t="str">
        <f>'13. Instalaciones Eléctricas'!R93</f>
        <v>uni</v>
      </c>
      <c r="D636" s="583">
        <f>'13. Instalaciones Eléctricas'!Q93</f>
        <v>25</v>
      </c>
      <c r="E636" s="938">
        <f>APU!$F$1361</f>
        <v>1.25</v>
      </c>
      <c r="F636" s="938">
        <f t="shared" si="133"/>
        <v>31.25</v>
      </c>
      <c r="G636" s="1005">
        <f t="shared" si="134"/>
        <v>3.90625</v>
      </c>
      <c r="H636" s="997">
        <v>2</v>
      </c>
      <c r="I636" s="1001">
        <f t="shared" si="130"/>
        <v>2</v>
      </c>
      <c r="J636" s="1006">
        <f>D636*APU!$J$1353</f>
        <v>2589975</v>
      </c>
      <c r="L636" s="812"/>
    </row>
    <row r="637" spans="1:13" ht="15.75" hidden="1" outlineLevel="1" thickBot="1">
      <c r="A637" s="1065"/>
      <c r="B637" s="988" t="s">
        <v>2658</v>
      </c>
      <c r="C637" s="583" t="str">
        <f>'13. Instalaciones Eléctricas'!X91</f>
        <v>uni</v>
      </c>
      <c r="D637" s="583">
        <f>'13. Instalaciones Eléctricas'!W91</f>
        <v>36</v>
      </c>
      <c r="E637" s="938">
        <f>APU!$F$1361</f>
        <v>1.25</v>
      </c>
      <c r="F637" s="938">
        <f t="shared" si="133"/>
        <v>45</v>
      </c>
      <c r="G637" s="1005">
        <f t="shared" si="134"/>
        <v>5.625</v>
      </c>
      <c r="H637" s="997">
        <v>3</v>
      </c>
      <c r="I637" s="1001">
        <f t="shared" si="130"/>
        <v>2</v>
      </c>
      <c r="J637" s="1006">
        <f>D637*APU!$J$1369</f>
        <v>3942540</v>
      </c>
      <c r="L637" s="812"/>
    </row>
    <row r="638" spans="1:13" ht="15.75" collapsed="1" thickBot="1">
      <c r="A638" s="1042">
        <v>16</v>
      </c>
      <c r="B638" s="1943" t="s">
        <v>1312</v>
      </c>
      <c r="C638" s="1944"/>
      <c r="D638" s="1944"/>
      <c r="E638" s="1944"/>
      <c r="F638" s="1944"/>
      <c r="G638" s="1944"/>
      <c r="H638" s="1944"/>
      <c r="I638" s="1944"/>
      <c r="J638" s="1238">
        <f>SUM(J639,J655,J672,J693,J715,J734,J747,J760,J773,J784)</f>
        <v>33687026.68084754</v>
      </c>
      <c r="L638" s="1414"/>
      <c r="M638" s="1457"/>
    </row>
    <row r="639" spans="1:13" ht="15.75" hidden="1" outlineLevel="1" thickBot="1">
      <c r="A639" s="1937" t="s">
        <v>820</v>
      </c>
      <c r="B639" s="1938"/>
      <c r="C639" s="1938"/>
      <c r="D639" s="1938"/>
      <c r="E639" s="1938"/>
      <c r="F639" s="1938"/>
      <c r="G639" s="1938"/>
      <c r="H639" s="1938"/>
      <c r="I639" s="1938"/>
      <c r="J639" s="1242">
        <f>SUM(J640:J654)</f>
        <v>1706962.4948057877</v>
      </c>
      <c r="L639"/>
    </row>
    <row r="640" spans="1:13" hidden="1" outlineLevel="1">
      <c r="A640" s="1213" t="s">
        <v>1375</v>
      </c>
      <c r="B640" s="1161" t="s">
        <v>2779</v>
      </c>
      <c r="C640" s="655" t="s">
        <v>285</v>
      </c>
      <c r="D640" s="938">
        <v>1</v>
      </c>
      <c r="E640" s="938">
        <v>0.15</v>
      </c>
      <c r="F640" s="938">
        <f>+D640*E640</f>
        <v>0.15</v>
      </c>
      <c r="G640" s="938">
        <f>+F640/8</f>
        <v>1.8749999999999999E-2</v>
      </c>
      <c r="H640" s="938">
        <v>1</v>
      </c>
      <c r="I640" s="938">
        <f>+ROUNDUP(G640/H640,0)</f>
        <v>1</v>
      </c>
      <c r="J640" s="1154">
        <f>+D640*APU!$J$1436+1986</f>
        <v>15330.562740000003</v>
      </c>
      <c r="L640" s="1408"/>
    </row>
    <row r="641" spans="1:12" hidden="1" outlineLevel="1">
      <c r="A641" s="1213" t="s">
        <v>1376</v>
      </c>
      <c r="B641" s="1161" t="s">
        <v>2780</v>
      </c>
      <c r="C641" s="655" t="s">
        <v>285</v>
      </c>
      <c r="D641" s="938">
        <v>11</v>
      </c>
      <c r="E641" s="938">
        <v>0.15</v>
      </c>
      <c r="F641" s="938">
        <f t="shared" ref="F641:F654" si="135">+D641*E641</f>
        <v>1.65</v>
      </c>
      <c r="G641" s="938">
        <f t="shared" ref="G641:G654" si="136">+F641/8</f>
        <v>0.20624999999999999</v>
      </c>
      <c r="H641" s="938">
        <v>1</v>
      </c>
      <c r="I641" s="938">
        <f t="shared" ref="I641:I654" si="137">+ROUNDUP(G641/H641,0)</f>
        <v>1</v>
      </c>
      <c r="J641" s="1154">
        <f>+D641*APU!$J$1448</f>
        <v>253789.19214000003</v>
      </c>
      <c r="L641" s="1408"/>
    </row>
    <row r="642" spans="1:12" hidden="1" outlineLevel="1">
      <c r="A642" s="1213" t="s">
        <v>1377</v>
      </c>
      <c r="B642" s="1161" t="s">
        <v>2781</v>
      </c>
      <c r="C642" s="655" t="s">
        <v>285</v>
      </c>
      <c r="D642" s="938">
        <v>8</v>
      </c>
      <c r="E642" s="938">
        <v>0.17499999999999999</v>
      </c>
      <c r="F642" s="938">
        <f t="shared" si="135"/>
        <v>1.4</v>
      </c>
      <c r="G642" s="938">
        <f t="shared" si="136"/>
        <v>0.17499999999999999</v>
      </c>
      <c r="H642" s="938">
        <v>1</v>
      </c>
      <c r="I642" s="938">
        <f t="shared" si="137"/>
        <v>1</v>
      </c>
      <c r="J642" s="1154">
        <f>+D642*APU!$J$1460</f>
        <v>273292.94448000001</v>
      </c>
      <c r="L642" s="812"/>
    </row>
    <row r="643" spans="1:12" hidden="1" outlineLevel="1">
      <c r="A643" s="1213" t="s">
        <v>1378</v>
      </c>
      <c r="B643" s="1161" t="s">
        <v>2782</v>
      </c>
      <c r="C643" s="655" t="s">
        <v>285</v>
      </c>
      <c r="D643" s="938">
        <v>1</v>
      </c>
      <c r="E643" s="938">
        <v>0.26500000000000001</v>
      </c>
      <c r="F643" s="938">
        <f t="shared" si="135"/>
        <v>0.26500000000000001</v>
      </c>
      <c r="G643" s="938">
        <f t="shared" si="136"/>
        <v>3.3125000000000002E-2</v>
      </c>
      <c r="H643" s="938">
        <v>1</v>
      </c>
      <c r="I643" s="938">
        <f t="shared" si="137"/>
        <v>1</v>
      </c>
      <c r="J643" s="1154">
        <f>+D643*APU!$J$1472</f>
        <v>101730.49089999999</v>
      </c>
      <c r="L643" s="812"/>
    </row>
    <row r="644" spans="1:12" hidden="1" outlineLevel="1">
      <c r="A644" s="1213" t="s">
        <v>1379</v>
      </c>
      <c r="B644" s="1161" t="s">
        <v>2783</v>
      </c>
      <c r="C644" s="655" t="s">
        <v>285</v>
      </c>
      <c r="D644" s="938">
        <v>1</v>
      </c>
      <c r="E644" s="938">
        <v>0.16</v>
      </c>
      <c r="F644" s="938">
        <f t="shared" si="135"/>
        <v>0.16</v>
      </c>
      <c r="G644" s="938">
        <f t="shared" si="136"/>
        <v>0.02</v>
      </c>
      <c r="H644" s="938">
        <v>1</v>
      </c>
      <c r="I644" s="938">
        <f t="shared" si="137"/>
        <v>1</v>
      </c>
      <c r="J644" s="1154">
        <f>+D644*APU!$J$1481</f>
        <v>102285.8805</v>
      </c>
      <c r="L644" s="812"/>
    </row>
    <row r="645" spans="1:12" hidden="1" outlineLevel="1">
      <c r="A645" s="1213" t="s">
        <v>2528</v>
      </c>
      <c r="B645" s="1161" t="s">
        <v>2784</v>
      </c>
      <c r="C645" s="655" t="s">
        <v>285</v>
      </c>
      <c r="D645" s="938">
        <v>1</v>
      </c>
      <c r="E645" s="938">
        <v>0.3</v>
      </c>
      <c r="F645" s="938">
        <f t="shared" si="135"/>
        <v>0.3</v>
      </c>
      <c r="G645" s="938">
        <f t="shared" si="136"/>
        <v>3.7499999999999999E-2</v>
      </c>
      <c r="H645" s="938">
        <v>1</v>
      </c>
      <c r="I645" s="938">
        <f t="shared" si="137"/>
        <v>1</v>
      </c>
      <c r="J645" s="1154">
        <f>+D645*APU!$J$1492</f>
        <v>11341.223669999999</v>
      </c>
      <c r="L645" s="812"/>
    </row>
    <row r="646" spans="1:12" hidden="1" outlineLevel="1">
      <c r="A646" s="1213" t="s">
        <v>1380</v>
      </c>
      <c r="B646" s="1161" t="s">
        <v>2785</v>
      </c>
      <c r="C646" s="655" t="s">
        <v>285</v>
      </c>
      <c r="D646" s="938">
        <v>2</v>
      </c>
      <c r="E646" s="938">
        <v>0.3</v>
      </c>
      <c r="F646" s="938">
        <f t="shared" si="135"/>
        <v>0.6</v>
      </c>
      <c r="G646" s="938">
        <f t="shared" si="136"/>
        <v>7.4999999999999997E-2</v>
      </c>
      <c r="H646" s="938">
        <v>1</v>
      </c>
      <c r="I646" s="938">
        <f t="shared" si="137"/>
        <v>1</v>
      </c>
      <c r="J646" s="1154">
        <f>+D646*APU!$J$1503</f>
        <v>30332.965779999999</v>
      </c>
      <c r="L646"/>
    </row>
    <row r="647" spans="1:12" hidden="1" outlineLevel="1">
      <c r="A647" s="1213" t="s">
        <v>1381</v>
      </c>
      <c r="B647" s="1161" t="s">
        <v>2788</v>
      </c>
      <c r="C647" s="655" t="s">
        <v>285</v>
      </c>
      <c r="D647" s="938">
        <v>1</v>
      </c>
      <c r="E647" s="938">
        <v>0.2</v>
      </c>
      <c r="F647" s="938">
        <f t="shared" si="135"/>
        <v>0.2</v>
      </c>
      <c r="G647" s="938">
        <f t="shared" si="136"/>
        <v>2.5000000000000001E-2</v>
      </c>
      <c r="H647" s="938">
        <v>1</v>
      </c>
      <c r="I647" s="938">
        <f t="shared" si="137"/>
        <v>1</v>
      </c>
      <c r="J647" s="1154">
        <f>+D647*APU!$J$1539</f>
        <v>202005.03910000005</v>
      </c>
      <c r="L647"/>
    </row>
    <row r="648" spans="1:12" hidden="1" outlineLevel="1">
      <c r="A648" s="1213" t="s">
        <v>1382</v>
      </c>
      <c r="B648" s="1161" t="s">
        <v>2789</v>
      </c>
      <c r="C648" s="655" t="s">
        <v>285</v>
      </c>
      <c r="D648" s="938">
        <v>2</v>
      </c>
      <c r="E648" s="938">
        <v>0.3</v>
      </c>
      <c r="F648" s="938">
        <f t="shared" si="135"/>
        <v>0.6</v>
      </c>
      <c r="G648" s="938">
        <f t="shared" si="136"/>
        <v>7.4999999999999997E-2</v>
      </c>
      <c r="H648" s="938">
        <v>1</v>
      </c>
      <c r="I648" s="938">
        <f t="shared" si="137"/>
        <v>1</v>
      </c>
      <c r="J648" s="1154">
        <f>+D648*APU!$J$1550</f>
        <v>22682.447339999999</v>
      </c>
      <c r="L648" s="1408"/>
    </row>
    <row r="649" spans="1:12" hidden="1" outlineLevel="1">
      <c r="A649" s="1213" t="s">
        <v>1383</v>
      </c>
      <c r="B649" s="1161" t="s">
        <v>2790</v>
      </c>
      <c r="C649" s="655" t="s">
        <v>285</v>
      </c>
      <c r="D649" s="938">
        <v>1</v>
      </c>
      <c r="E649" s="938">
        <v>0.3</v>
      </c>
      <c r="F649" s="938">
        <f t="shared" si="135"/>
        <v>0.3</v>
      </c>
      <c r="G649" s="938">
        <f t="shared" si="136"/>
        <v>3.7499999999999999E-2</v>
      </c>
      <c r="H649" s="938">
        <v>1</v>
      </c>
      <c r="I649" s="938">
        <f t="shared" si="137"/>
        <v>1</v>
      </c>
      <c r="J649" s="1154">
        <f>+D649*APU!$J$1561</f>
        <v>15166.482889999999</v>
      </c>
      <c r="L649" s="1408"/>
    </row>
    <row r="650" spans="1:12" hidden="1" outlineLevel="1">
      <c r="A650" s="1213" t="s">
        <v>2529</v>
      </c>
      <c r="B650" s="1161" t="s">
        <v>2791</v>
      </c>
      <c r="C650" s="655" t="s">
        <v>48</v>
      </c>
      <c r="D650" s="938">
        <v>3.04</v>
      </c>
      <c r="E650" s="938">
        <v>0.26500000000000001</v>
      </c>
      <c r="F650" s="938">
        <f t="shared" si="135"/>
        <v>0.80560000000000009</v>
      </c>
      <c r="G650" s="938">
        <f t="shared" si="136"/>
        <v>0.10070000000000001</v>
      </c>
      <c r="H650" s="938">
        <v>1</v>
      </c>
      <c r="I650" s="938">
        <f t="shared" si="137"/>
        <v>1</v>
      </c>
      <c r="J650" s="1154">
        <f>+D650*APU!$J$1609</f>
        <v>309260.69233599998</v>
      </c>
      <c r="L650" s="812"/>
    </row>
    <row r="651" spans="1:12" hidden="1" outlineLevel="1">
      <c r="A651" s="1213" t="s">
        <v>2530</v>
      </c>
      <c r="B651" s="1161" t="s">
        <v>2792</v>
      </c>
      <c r="C651" s="655" t="s">
        <v>48</v>
      </c>
      <c r="D651" s="938">
        <v>2.97</v>
      </c>
      <c r="E651" s="938">
        <v>0.3</v>
      </c>
      <c r="F651" s="938">
        <f t="shared" si="135"/>
        <v>0.89100000000000001</v>
      </c>
      <c r="G651" s="938">
        <f t="shared" si="136"/>
        <v>0.111375</v>
      </c>
      <c r="H651" s="938">
        <v>1</v>
      </c>
      <c r="I651" s="938">
        <f t="shared" si="137"/>
        <v>1</v>
      </c>
      <c r="J651" s="1154">
        <f>+D651*APU!$J$1620</f>
        <v>33683.4342999</v>
      </c>
      <c r="L651" s="812"/>
    </row>
    <row r="652" spans="1:12" hidden="1" outlineLevel="1">
      <c r="A652" s="1213" t="s">
        <v>2531</v>
      </c>
      <c r="B652" s="1161" t="s">
        <v>2793</v>
      </c>
      <c r="C652" s="655" t="s">
        <v>48</v>
      </c>
      <c r="D652" s="938">
        <v>6.48</v>
      </c>
      <c r="E652" s="938">
        <v>0.3</v>
      </c>
      <c r="F652" s="938">
        <f t="shared" si="135"/>
        <v>1.944</v>
      </c>
      <c r="G652" s="938">
        <f t="shared" si="136"/>
        <v>0.24299999999999999</v>
      </c>
      <c r="H652" s="938">
        <v>1</v>
      </c>
      <c r="I652" s="938">
        <f t="shared" si="137"/>
        <v>1</v>
      </c>
      <c r="J652" s="1154">
        <f>+D652*APU!$J$1631</f>
        <v>98278.809127200002</v>
      </c>
      <c r="L652" s="812"/>
    </row>
    <row r="653" spans="1:12" hidden="1" outlineLevel="1">
      <c r="A653" s="1213" t="s">
        <v>2532</v>
      </c>
      <c r="B653" s="1161" t="s">
        <v>2794</v>
      </c>
      <c r="C653" s="655" t="s">
        <v>48</v>
      </c>
      <c r="D653" s="938">
        <v>2.5920000000000001</v>
      </c>
      <c r="E653" s="938">
        <v>0.3</v>
      </c>
      <c r="F653" s="938">
        <f t="shared" si="135"/>
        <v>0.77759999999999996</v>
      </c>
      <c r="G653" s="938">
        <f t="shared" si="136"/>
        <v>9.7199999999999995E-2</v>
      </c>
      <c r="H653" s="938">
        <v>1</v>
      </c>
      <c r="I653" s="938">
        <f t="shared" si="137"/>
        <v>1</v>
      </c>
      <c r="J653" s="1154">
        <f>+D653*APU!$J$1631</f>
        <v>39311.523650880001</v>
      </c>
      <c r="L653" s="812"/>
    </row>
    <row r="654" spans="1:12" ht="15.75" hidden="1" outlineLevel="1" thickBot="1">
      <c r="A654" s="1213" t="s">
        <v>2533</v>
      </c>
      <c r="B654" s="1161" t="s">
        <v>2795</v>
      </c>
      <c r="C654" s="655" t="s">
        <v>48</v>
      </c>
      <c r="D654" s="938">
        <v>2.5920000000000001</v>
      </c>
      <c r="E654" s="938">
        <v>0.3</v>
      </c>
      <c r="F654" s="938">
        <f t="shared" si="135"/>
        <v>0.77759999999999996</v>
      </c>
      <c r="G654" s="938">
        <f t="shared" si="136"/>
        <v>9.7199999999999995E-2</v>
      </c>
      <c r="H654" s="938">
        <v>1</v>
      </c>
      <c r="I654" s="938">
        <f t="shared" si="137"/>
        <v>1</v>
      </c>
      <c r="J654" s="1154">
        <f>+D654*APU!$J$1651</f>
        <v>198470.80585180805</v>
      </c>
      <c r="L654"/>
    </row>
    <row r="655" spans="1:12" ht="15.75" hidden="1" outlineLevel="1" thickBot="1">
      <c r="A655" s="1937" t="s">
        <v>2241</v>
      </c>
      <c r="B655" s="1938"/>
      <c r="C655" s="1938"/>
      <c r="D655" s="1938"/>
      <c r="E655" s="1938"/>
      <c r="F655" s="1938"/>
      <c r="G655" s="1938"/>
      <c r="H655" s="1938"/>
      <c r="I655" s="1938"/>
      <c r="J655" s="1242">
        <f>SUM(J656:J671)</f>
        <v>1687749.1437357878</v>
      </c>
      <c r="L655"/>
    </row>
    <row r="656" spans="1:12" hidden="1" outlineLevel="1">
      <c r="A656" s="1213" t="s">
        <v>2534</v>
      </c>
      <c r="B656" s="1161" t="s">
        <v>2796</v>
      </c>
      <c r="C656" s="655" t="s">
        <v>285</v>
      </c>
      <c r="D656" s="1162">
        <v>1</v>
      </c>
      <c r="E656" s="938">
        <v>0.15</v>
      </c>
      <c r="F656" s="938">
        <f>+D656*E656</f>
        <v>0.15</v>
      </c>
      <c r="G656" s="938">
        <f>+F656/8</f>
        <v>1.8749999999999999E-2</v>
      </c>
      <c r="H656" s="938">
        <v>1</v>
      </c>
      <c r="I656" s="938">
        <f>+ROUNDUP(G656/H656,0)</f>
        <v>1</v>
      </c>
      <c r="J656" s="1154">
        <f>+D656*APU!$J$1436</f>
        <v>13344.562740000003</v>
      </c>
      <c r="L656" s="1408"/>
    </row>
    <row r="657" spans="1:12" hidden="1" outlineLevel="1">
      <c r="A657" s="1213" t="s">
        <v>2535</v>
      </c>
      <c r="B657" s="1161" t="s">
        <v>2797</v>
      </c>
      <c r="C657" s="655" t="s">
        <v>285</v>
      </c>
      <c r="D657" s="1162">
        <v>10</v>
      </c>
      <c r="E657" s="938">
        <v>0.15</v>
      </c>
      <c r="F657" s="938">
        <f t="shared" ref="F657:F671" si="138">+D657*E657</f>
        <v>1.5</v>
      </c>
      <c r="G657" s="938">
        <f t="shared" ref="G657:G671" si="139">+F657/8</f>
        <v>0.1875</v>
      </c>
      <c r="H657" s="938">
        <v>1</v>
      </c>
      <c r="I657" s="938">
        <f t="shared" ref="I657:I671" si="140">+ROUNDUP(G657/H657,0)</f>
        <v>1</v>
      </c>
      <c r="J657" s="1154">
        <f>+D657*APU!$J$1448</f>
        <v>230717.4474</v>
      </c>
      <c r="L657" s="1408"/>
    </row>
    <row r="658" spans="1:12" hidden="1" outlineLevel="1">
      <c r="A658" s="1213" t="s">
        <v>2536</v>
      </c>
      <c r="B658" s="1161" t="s">
        <v>2798</v>
      </c>
      <c r="C658" s="655" t="s">
        <v>285</v>
      </c>
      <c r="D658" s="1162">
        <v>7</v>
      </c>
      <c r="E658" s="938">
        <v>0.17499999999999999</v>
      </c>
      <c r="F658" s="938">
        <f t="shared" si="138"/>
        <v>1.2249999999999999</v>
      </c>
      <c r="G658" s="938">
        <f t="shared" si="139"/>
        <v>0.15312499999999998</v>
      </c>
      <c r="H658" s="938">
        <v>1</v>
      </c>
      <c r="I658" s="938">
        <f t="shared" si="140"/>
        <v>1</v>
      </c>
      <c r="J658" s="1154">
        <f>+D658*APU!$J$1460</f>
        <v>239131.32642</v>
      </c>
      <c r="L658" s="812"/>
    </row>
    <row r="659" spans="1:12" hidden="1" outlineLevel="1">
      <c r="A659" s="1213" t="s">
        <v>2537</v>
      </c>
      <c r="B659" s="1161" t="s">
        <v>2799</v>
      </c>
      <c r="C659" s="655" t="s">
        <v>285</v>
      </c>
      <c r="D659" s="1162">
        <v>1</v>
      </c>
      <c r="E659" s="938">
        <v>0.26500000000000001</v>
      </c>
      <c r="F659" s="938">
        <f t="shared" si="138"/>
        <v>0.26500000000000001</v>
      </c>
      <c r="G659" s="938">
        <f t="shared" si="139"/>
        <v>3.3125000000000002E-2</v>
      </c>
      <c r="H659" s="938">
        <v>1</v>
      </c>
      <c r="I659" s="938">
        <f t="shared" si="140"/>
        <v>1</v>
      </c>
      <c r="J659" s="1154">
        <f>+D659*APU!$J$1472</f>
        <v>101730.49089999999</v>
      </c>
      <c r="L659" s="812"/>
    </row>
    <row r="660" spans="1:12" hidden="1" outlineLevel="1">
      <c r="A660" s="1213" t="s">
        <v>2538</v>
      </c>
      <c r="B660" s="1161" t="s">
        <v>2800</v>
      </c>
      <c r="C660" s="655" t="s">
        <v>285</v>
      </c>
      <c r="D660" s="1162">
        <v>1</v>
      </c>
      <c r="E660" s="938">
        <v>0.16</v>
      </c>
      <c r="F660" s="938">
        <f t="shared" si="138"/>
        <v>0.16</v>
      </c>
      <c r="G660" s="938">
        <f t="shared" si="139"/>
        <v>0.02</v>
      </c>
      <c r="H660" s="938">
        <v>1</v>
      </c>
      <c r="I660" s="938">
        <f t="shared" si="140"/>
        <v>1</v>
      </c>
      <c r="J660" s="1154">
        <f>+D660*APU!$J$1481</f>
        <v>102285.8805</v>
      </c>
      <c r="L660" s="812"/>
    </row>
    <row r="661" spans="1:12" hidden="1" outlineLevel="1">
      <c r="A661" s="1213" t="s">
        <v>1384</v>
      </c>
      <c r="B661" s="1161" t="s">
        <v>2801</v>
      </c>
      <c r="C661" s="655" t="s">
        <v>285</v>
      </c>
      <c r="D661" s="1162">
        <v>1</v>
      </c>
      <c r="E661" s="938">
        <v>0.3</v>
      </c>
      <c r="F661" s="938">
        <f t="shared" si="138"/>
        <v>0.3</v>
      </c>
      <c r="G661" s="938">
        <f t="shared" si="139"/>
        <v>3.7499999999999999E-2</v>
      </c>
      <c r="H661" s="938">
        <v>1</v>
      </c>
      <c r="I661" s="938">
        <f t="shared" si="140"/>
        <v>1</v>
      </c>
      <c r="J661" s="1154">
        <f>+D661*APU!$J$1492</f>
        <v>11341.223669999999</v>
      </c>
      <c r="L661" s="812"/>
    </row>
    <row r="662" spans="1:12" hidden="1" outlineLevel="1">
      <c r="A662" s="1213" t="s">
        <v>1385</v>
      </c>
      <c r="B662" s="1161" t="s">
        <v>2802</v>
      </c>
      <c r="C662" s="655" t="s">
        <v>285</v>
      </c>
      <c r="D662" s="1162">
        <v>2</v>
      </c>
      <c r="E662" s="938">
        <v>0.3</v>
      </c>
      <c r="F662" s="938">
        <f t="shared" si="138"/>
        <v>0.6</v>
      </c>
      <c r="G662" s="938">
        <f t="shared" si="139"/>
        <v>7.4999999999999997E-2</v>
      </c>
      <c r="H662" s="938">
        <v>1</v>
      </c>
      <c r="I662" s="938">
        <f t="shared" si="140"/>
        <v>1</v>
      </c>
      <c r="J662" s="1154">
        <f>+D662*APU!$J$1503</f>
        <v>30332.965779999999</v>
      </c>
      <c r="L662"/>
    </row>
    <row r="663" spans="1:12" hidden="1" outlineLevel="1">
      <c r="A663" s="1213" t="s">
        <v>2539</v>
      </c>
      <c r="B663" s="1161" t="s">
        <v>2803</v>
      </c>
      <c r="C663" s="655" t="s">
        <v>285</v>
      </c>
      <c r="D663" s="1162">
        <v>1</v>
      </c>
      <c r="E663" s="938">
        <v>0.2</v>
      </c>
      <c r="F663" s="938">
        <f t="shared" si="138"/>
        <v>0.2</v>
      </c>
      <c r="G663" s="938">
        <f t="shared" si="139"/>
        <v>2.5000000000000001E-2</v>
      </c>
      <c r="H663" s="938">
        <v>1</v>
      </c>
      <c r="I663" s="938">
        <f t="shared" si="140"/>
        <v>1</v>
      </c>
      <c r="J663" s="1154">
        <f>+D663*APU!$J$1539</f>
        <v>202005.03910000005</v>
      </c>
      <c r="L663"/>
    </row>
    <row r="664" spans="1:12" hidden="1" outlineLevel="1">
      <c r="A664" s="1213" t="s">
        <v>2540</v>
      </c>
      <c r="B664" s="1161" t="s">
        <v>2804</v>
      </c>
      <c r="C664" s="655" t="s">
        <v>285</v>
      </c>
      <c r="D664" s="1162">
        <v>3</v>
      </c>
      <c r="E664" s="938">
        <v>0.3</v>
      </c>
      <c r="F664" s="938">
        <f t="shared" si="138"/>
        <v>0.89999999999999991</v>
      </c>
      <c r="G664" s="938">
        <f t="shared" si="139"/>
        <v>0.11249999999999999</v>
      </c>
      <c r="H664" s="938">
        <v>1</v>
      </c>
      <c r="I664" s="938">
        <f t="shared" si="140"/>
        <v>1</v>
      </c>
      <c r="J664" s="1154">
        <f>+D664*APU!$J$1550</f>
        <v>34023.671009999998</v>
      </c>
      <c r="L664" s="1408"/>
    </row>
    <row r="665" spans="1:12" hidden="1" outlineLevel="1">
      <c r="A665" s="1213" t="s">
        <v>2541</v>
      </c>
      <c r="B665" s="1161" t="s">
        <v>2805</v>
      </c>
      <c r="C665" s="655" t="s">
        <v>285</v>
      </c>
      <c r="D665" s="1162">
        <v>1</v>
      </c>
      <c r="E665" s="938">
        <v>0.3</v>
      </c>
      <c r="F665" s="938">
        <f t="shared" si="138"/>
        <v>0.3</v>
      </c>
      <c r="G665" s="938">
        <f t="shared" si="139"/>
        <v>3.7499999999999999E-2</v>
      </c>
      <c r="H665" s="938">
        <v>1</v>
      </c>
      <c r="I665" s="938">
        <f t="shared" si="140"/>
        <v>1</v>
      </c>
      <c r="J665" s="1154">
        <f>+D665*APU!$J$1561</f>
        <v>15166.482889999999</v>
      </c>
      <c r="L665" s="1408"/>
    </row>
    <row r="666" spans="1:12" hidden="1" outlineLevel="1">
      <c r="A666" s="1213" t="s">
        <v>1386</v>
      </c>
      <c r="B666" s="1161" t="s">
        <v>2806</v>
      </c>
      <c r="C666" s="655" t="s">
        <v>285</v>
      </c>
      <c r="D666" s="1162">
        <v>1</v>
      </c>
      <c r="E666" s="938">
        <v>0.3</v>
      </c>
      <c r="F666" s="938">
        <f t="shared" si="138"/>
        <v>0.3</v>
      </c>
      <c r="G666" s="938">
        <f t="shared" si="139"/>
        <v>3.7499999999999999E-2</v>
      </c>
      <c r="H666" s="938">
        <v>1</v>
      </c>
      <c r="I666" s="938">
        <f t="shared" si="140"/>
        <v>1</v>
      </c>
      <c r="J666" s="1154">
        <f>+D666*APU!$J$1573</f>
        <v>28664.788060000006</v>
      </c>
      <c r="L666" s="812"/>
    </row>
    <row r="667" spans="1:12" hidden="1" outlineLevel="1">
      <c r="A667" s="1213" t="s">
        <v>1387</v>
      </c>
      <c r="B667" s="1161" t="s">
        <v>2807</v>
      </c>
      <c r="C667" s="655" t="s">
        <v>48</v>
      </c>
      <c r="D667" s="1162">
        <v>3.04</v>
      </c>
      <c r="E667" s="938">
        <v>0.26500000000000001</v>
      </c>
      <c r="F667" s="938">
        <f t="shared" si="138"/>
        <v>0.80560000000000009</v>
      </c>
      <c r="G667" s="938">
        <f t="shared" si="139"/>
        <v>0.10070000000000001</v>
      </c>
      <c r="H667" s="938">
        <v>1</v>
      </c>
      <c r="I667" s="938">
        <f t="shared" si="140"/>
        <v>1</v>
      </c>
      <c r="J667" s="1154">
        <f>+D667*APU!$J$1609</f>
        <v>309260.69233599998</v>
      </c>
      <c r="L667" s="812"/>
    </row>
    <row r="668" spans="1:12" hidden="1" outlineLevel="1">
      <c r="A668" s="1213" t="s">
        <v>1388</v>
      </c>
      <c r="B668" s="1161" t="s">
        <v>2808</v>
      </c>
      <c r="C668" s="655" t="s">
        <v>48</v>
      </c>
      <c r="D668" s="1162">
        <v>2.97</v>
      </c>
      <c r="E668" s="938">
        <v>0.3</v>
      </c>
      <c r="F668" s="938">
        <f t="shared" si="138"/>
        <v>0.89100000000000001</v>
      </c>
      <c r="G668" s="938">
        <f t="shared" si="139"/>
        <v>0.111375</v>
      </c>
      <c r="H668" s="938">
        <v>1</v>
      </c>
      <c r="I668" s="938">
        <f t="shared" si="140"/>
        <v>1</v>
      </c>
      <c r="J668" s="1154">
        <f>+D668*APU!$J$1620</f>
        <v>33683.4342999</v>
      </c>
      <c r="L668" s="812"/>
    </row>
    <row r="669" spans="1:12" hidden="1" outlineLevel="1">
      <c r="A669" s="1213" t="s">
        <v>1389</v>
      </c>
      <c r="B669" s="1161" t="s">
        <v>2809</v>
      </c>
      <c r="C669" s="655" t="s">
        <v>48</v>
      </c>
      <c r="D669" s="1162">
        <v>6.48</v>
      </c>
      <c r="E669" s="938">
        <v>0.3</v>
      </c>
      <c r="F669" s="938">
        <f t="shared" si="138"/>
        <v>1.944</v>
      </c>
      <c r="G669" s="938">
        <f t="shared" si="139"/>
        <v>0.24299999999999999</v>
      </c>
      <c r="H669" s="938">
        <v>1</v>
      </c>
      <c r="I669" s="938">
        <f t="shared" si="140"/>
        <v>1</v>
      </c>
      <c r="J669" s="1154">
        <f>+D669*APU!$J$1631</f>
        <v>98278.809127200002</v>
      </c>
      <c r="L669" s="812"/>
    </row>
    <row r="670" spans="1:12" hidden="1" outlineLevel="1">
      <c r="A670" s="1213" t="s">
        <v>1390</v>
      </c>
      <c r="B670" s="1161" t="s">
        <v>2810</v>
      </c>
      <c r="C670" s="655" t="s">
        <v>48</v>
      </c>
      <c r="D670" s="1162">
        <v>2.5920000000000001</v>
      </c>
      <c r="E670" s="938">
        <v>0.3</v>
      </c>
      <c r="F670" s="938">
        <f t="shared" si="138"/>
        <v>0.77759999999999996</v>
      </c>
      <c r="G670" s="938">
        <f t="shared" si="139"/>
        <v>9.7199999999999995E-2</v>
      </c>
      <c r="H670" s="938">
        <v>1</v>
      </c>
      <c r="I670" s="938">
        <f t="shared" si="140"/>
        <v>1</v>
      </c>
      <c r="J670" s="1154">
        <f>+D670*APU!$J$1631</f>
        <v>39311.523650880001</v>
      </c>
      <c r="L670"/>
    </row>
    <row r="671" spans="1:12" ht="15.75" hidden="1" outlineLevel="1" thickBot="1">
      <c r="A671" s="1213" t="s">
        <v>1391</v>
      </c>
      <c r="B671" s="1161" t="s">
        <v>2811</v>
      </c>
      <c r="C671" s="655" t="s">
        <v>48</v>
      </c>
      <c r="D671" s="1162">
        <v>2.5920000000000001</v>
      </c>
      <c r="E671" s="938">
        <v>0.3</v>
      </c>
      <c r="F671" s="938">
        <f t="shared" si="138"/>
        <v>0.77759999999999996</v>
      </c>
      <c r="G671" s="938">
        <f t="shared" si="139"/>
        <v>9.7199999999999995E-2</v>
      </c>
      <c r="H671" s="938">
        <v>1</v>
      </c>
      <c r="I671" s="938">
        <f t="shared" si="140"/>
        <v>1</v>
      </c>
      <c r="J671" s="1154">
        <f>+D671*APU!$J$1651</f>
        <v>198470.80585180805</v>
      </c>
      <c r="L671"/>
    </row>
    <row r="672" spans="1:12" ht="15.75" hidden="1" outlineLevel="1" thickBot="1">
      <c r="A672" s="1937" t="s">
        <v>2246</v>
      </c>
      <c r="B672" s="1938"/>
      <c r="C672" s="1938"/>
      <c r="D672" s="1938"/>
      <c r="E672" s="1938"/>
      <c r="F672" s="1938"/>
      <c r="G672" s="1938"/>
      <c r="H672" s="1938"/>
      <c r="I672" s="1938"/>
      <c r="J672" s="1242">
        <f>SUM(J673:J692)</f>
        <v>2771625.9196150452</v>
      </c>
      <c r="L672" s="1408"/>
    </row>
    <row r="673" spans="1:12" hidden="1" outlineLevel="1">
      <c r="A673" s="1213" t="s">
        <v>1392</v>
      </c>
      <c r="B673" s="1161" t="s">
        <v>2812</v>
      </c>
      <c r="C673" s="655" t="s">
        <v>285</v>
      </c>
      <c r="D673" s="938">
        <v>1</v>
      </c>
      <c r="E673" s="938">
        <v>0.15</v>
      </c>
      <c r="F673" s="938">
        <f>+D673*E673</f>
        <v>0.15</v>
      </c>
      <c r="G673" s="938">
        <f>+F673/8</f>
        <v>1.8749999999999999E-2</v>
      </c>
      <c r="H673" s="938">
        <v>1</v>
      </c>
      <c r="I673" s="938">
        <f>+ROUNDUP(G673/H673,0)</f>
        <v>1</v>
      </c>
      <c r="J673" s="1154">
        <f>+D673*APU!$J$1436</f>
        <v>13344.562740000003</v>
      </c>
      <c r="L673" s="1408"/>
    </row>
    <row r="674" spans="1:12" hidden="1" outlineLevel="1">
      <c r="A674" s="1213" t="s">
        <v>1393</v>
      </c>
      <c r="B674" s="1161" t="s">
        <v>2813</v>
      </c>
      <c r="C674" s="655" t="s">
        <v>285</v>
      </c>
      <c r="D674" s="1162">
        <v>10</v>
      </c>
      <c r="E674" s="938">
        <v>0.15</v>
      </c>
      <c r="F674" s="938">
        <f t="shared" ref="F674:F692" si="141">+D674*E674</f>
        <v>1.5</v>
      </c>
      <c r="G674" s="938">
        <f t="shared" ref="G674:G692" si="142">+F674/8</f>
        <v>0.1875</v>
      </c>
      <c r="H674" s="938">
        <v>1</v>
      </c>
      <c r="I674" s="938">
        <f t="shared" ref="I674:I692" si="143">+ROUNDUP(G674/H674,0)</f>
        <v>1</v>
      </c>
      <c r="J674" s="1154">
        <f>+D674*APU!$J$1448</f>
        <v>230717.4474</v>
      </c>
      <c r="L674" s="812"/>
    </row>
    <row r="675" spans="1:12" hidden="1" outlineLevel="1">
      <c r="A675" s="1213" t="s">
        <v>1394</v>
      </c>
      <c r="B675" s="1161" t="s">
        <v>2814</v>
      </c>
      <c r="C675" s="655" t="s">
        <v>285</v>
      </c>
      <c r="D675" s="1162">
        <v>7</v>
      </c>
      <c r="E675" s="938">
        <v>0.17499999999999999</v>
      </c>
      <c r="F675" s="938">
        <f t="shared" si="141"/>
        <v>1.2249999999999999</v>
      </c>
      <c r="G675" s="938">
        <f t="shared" si="142"/>
        <v>0.15312499999999998</v>
      </c>
      <c r="H675" s="938">
        <v>1</v>
      </c>
      <c r="I675" s="938">
        <f t="shared" si="143"/>
        <v>1</v>
      </c>
      <c r="J675" s="1154">
        <f>+D675*APU!$J$1460</f>
        <v>239131.32642</v>
      </c>
      <c r="L675" s="812"/>
    </row>
    <row r="676" spans="1:12" hidden="1" outlineLevel="1">
      <c r="A676" s="1213" t="s">
        <v>1395</v>
      </c>
      <c r="B676" s="1161" t="s">
        <v>2815</v>
      </c>
      <c r="C676" s="655" t="s">
        <v>285</v>
      </c>
      <c r="D676" s="1162">
        <v>1</v>
      </c>
      <c r="E676" s="938">
        <v>0.26500000000000001</v>
      </c>
      <c r="F676" s="938">
        <f t="shared" si="141"/>
        <v>0.26500000000000001</v>
      </c>
      <c r="G676" s="938">
        <f t="shared" si="142"/>
        <v>3.3125000000000002E-2</v>
      </c>
      <c r="H676" s="938">
        <v>1</v>
      </c>
      <c r="I676" s="938">
        <f t="shared" si="143"/>
        <v>1</v>
      </c>
      <c r="J676" s="1154">
        <f>+D676*APU!$J$1472</f>
        <v>101730.49089999999</v>
      </c>
      <c r="L676" s="812"/>
    </row>
    <row r="677" spans="1:12" hidden="1" outlineLevel="1">
      <c r="A677" s="1213" t="s">
        <v>1396</v>
      </c>
      <c r="B677" s="1161" t="s">
        <v>2816</v>
      </c>
      <c r="C677" s="655" t="s">
        <v>285</v>
      </c>
      <c r="D677" s="1162">
        <v>1</v>
      </c>
      <c r="E677" s="938">
        <v>0.16</v>
      </c>
      <c r="F677" s="938">
        <f t="shared" si="141"/>
        <v>0.16</v>
      </c>
      <c r="G677" s="938">
        <f t="shared" si="142"/>
        <v>0.02</v>
      </c>
      <c r="H677" s="938">
        <v>1</v>
      </c>
      <c r="I677" s="938">
        <f t="shared" si="143"/>
        <v>1</v>
      </c>
      <c r="J677" s="1154">
        <f>+D677*APU!$J$1481</f>
        <v>102285.8805</v>
      </c>
      <c r="L677" s="812"/>
    </row>
    <row r="678" spans="1:12" hidden="1" outlineLevel="1">
      <c r="A678" s="1213" t="s">
        <v>1397</v>
      </c>
      <c r="B678" s="1161" t="s">
        <v>2817</v>
      </c>
      <c r="C678" s="655" t="s">
        <v>285</v>
      </c>
      <c r="D678" s="1160">
        <v>1</v>
      </c>
      <c r="E678" s="938">
        <v>0.3</v>
      </c>
      <c r="F678" s="938">
        <f t="shared" si="141"/>
        <v>0.3</v>
      </c>
      <c r="G678" s="938">
        <f t="shared" si="142"/>
        <v>3.7499999999999999E-2</v>
      </c>
      <c r="H678" s="938">
        <v>1</v>
      </c>
      <c r="I678" s="938">
        <f t="shared" si="143"/>
        <v>1</v>
      </c>
      <c r="J678" s="1154">
        <f>+D678*APU!$J$1492</f>
        <v>11341.223669999999</v>
      </c>
      <c r="L678"/>
    </row>
    <row r="679" spans="1:12" hidden="1" outlineLevel="1">
      <c r="A679" s="1213" t="s">
        <v>1398</v>
      </c>
      <c r="B679" s="1161" t="s">
        <v>2818</v>
      </c>
      <c r="C679" s="655" t="s">
        <v>285</v>
      </c>
      <c r="D679" s="1160">
        <v>6</v>
      </c>
      <c r="E679" s="938">
        <v>0.3</v>
      </c>
      <c r="F679" s="938">
        <f t="shared" si="141"/>
        <v>1.7999999999999998</v>
      </c>
      <c r="G679" s="938">
        <f t="shared" si="142"/>
        <v>0.22499999999999998</v>
      </c>
      <c r="H679" s="938">
        <v>1</v>
      </c>
      <c r="I679" s="938">
        <f t="shared" si="143"/>
        <v>1</v>
      </c>
      <c r="J679" s="1154">
        <f>+D679*APU!$J$1503</f>
        <v>90998.897339999996</v>
      </c>
      <c r="L679"/>
    </row>
    <row r="680" spans="1:12" hidden="1" outlineLevel="1">
      <c r="A680" s="1213" t="s">
        <v>1399</v>
      </c>
      <c r="B680" s="1161" t="s">
        <v>2819</v>
      </c>
      <c r="C680" s="655" t="s">
        <v>285</v>
      </c>
      <c r="D680" s="1160">
        <v>3</v>
      </c>
      <c r="E680" s="938">
        <v>0.3</v>
      </c>
      <c r="F680" s="938">
        <f t="shared" si="141"/>
        <v>0.89999999999999991</v>
      </c>
      <c r="G680" s="938">
        <f t="shared" si="142"/>
        <v>0.11249999999999999</v>
      </c>
      <c r="H680" s="938">
        <v>1</v>
      </c>
      <c r="I680" s="938">
        <f t="shared" si="143"/>
        <v>1</v>
      </c>
      <c r="J680" s="1154">
        <f>+D680*APU!$J$1515</f>
        <v>85994.364180000019</v>
      </c>
      <c r="L680" s="1408"/>
    </row>
    <row r="681" spans="1:12" hidden="1" outlineLevel="1">
      <c r="A681" s="1213" t="s">
        <v>1400</v>
      </c>
      <c r="B681" s="1161" t="s">
        <v>2820</v>
      </c>
      <c r="C681" s="655" t="s">
        <v>285</v>
      </c>
      <c r="D681" s="1160">
        <v>1</v>
      </c>
      <c r="E681" s="938">
        <v>0.2</v>
      </c>
      <c r="F681" s="938">
        <f t="shared" si="141"/>
        <v>0.2</v>
      </c>
      <c r="G681" s="938">
        <f t="shared" si="142"/>
        <v>2.5000000000000001E-2</v>
      </c>
      <c r="H681" s="938">
        <v>1</v>
      </c>
      <c r="I681" s="938">
        <f t="shared" si="143"/>
        <v>1</v>
      </c>
      <c r="J681" s="1154">
        <f>+D681*APU!$J$1539</f>
        <v>202005.03910000005</v>
      </c>
      <c r="L681" s="1408"/>
    </row>
    <row r="682" spans="1:12" hidden="1" outlineLevel="1">
      <c r="A682" s="1213" t="s">
        <v>3116</v>
      </c>
      <c r="B682" s="1161" t="s">
        <v>2821</v>
      </c>
      <c r="C682" s="655" t="s">
        <v>285</v>
      </c>
      <c r="D682" s="1162">
        <v>4</v>
      </c>
      <c r="E682" s="938">
        <v>0.3</v>
      </c>
      <c r="F682" s="938">
        <f t="shared" si="141"/>
        <v>1.2</v>
      </c>
      <c r="G682" s="938">
        <f t="shared" si="142"/>
        <v>0.15</v>
      </c>
      <c r="H682" s="938">
        <v>1</v>
      </c>
      <c r="I682" s="938">
        <f t="shared" si="143"/>
        <v>1</v>
      </c>
      <c r="J682" s="1154">
        <f>+D682*APU!$J$1550</f>
        <v>45364.894679999998</v>
      </c>
      <c r="L682" s="812"/>
    </row>
    <row r="683" spans="1:12" hidden="1" outlineLevel="1">
      <c r="A683" s="1213" t="s">
        <v>3117</v>
      </c>
      <c r="B683" s="1161" t="s">
        <v>2822</v>
      </c>
      <c r="C683" s="655" t="s">
        <v>285</v>
      </c>
      <c r="D683" s="1162">
        <v>2</v>
      </c>
      <c r="E683" s="938">
        <v>0.3</v>
      </c>
      <c r="F683" s="938">
        <f t="shared" si="141"/>
        <v>0.6</v>
      </c>
      <c r="G683" s="938">
        <f t="shared" si="142"/>
        <v>7.4999999999999997E-2</v>
      </c>
      <c r="H683" s="938">
        <v>1</v>
      </c>
      <c r="I683" s="938">
        <f t="shared" si="143"/>
        <v>1</v>
      </c>
      <c r="J683" s="1154">
        <f>+D683*APU!$J$1561</f>
        <v>30332.965779999999</v>
      </c>
      <c r="L683" s="812"/>
    </row>
    <row r="684" spans="1:12" hidden="1" outlineLevel="1">
      <c r="A684" s="1213" t="s">
        <v>3118</v>
      </c>
      <c r="B684" s="1161" t="s">
        <v>2823</v>
      </c>
      <c r="C684" s="655" t="s">
        <v>285</v>
      </c>
      <c r="D684" s="1162">
        <v>1</v>
      </c>
      <c r="E684" s="938">
        <v>0.3</v>
      </c>
      <c r="F684" s="938">
        <f t="shared" si="141"/>
        <v>0.3</v>
      </c>
      <c r="G684" s="938">
        <f t="shared" si="142"/>
        <v>3.7499999999999999E-2</v>
      </c>
      <c r="H684" s="938">
        <v>1</v>
      </c>
      <c r="I684" s="938">
        <f t="shared" si="143"/>
        <v>1</v>
      </c>
      <c r="J684" s="1154">
        <f>+D684*APU!$J$1573</f>
        <v>28664.788060000006</v>
      </c>
      <c r="L684" s="812"/>
    </row>
    <row r="685" spans="1:12" hidden="1" outlineLevel="1">
      <c r="A685" s="1213" t="s">
        <v>3119</v>
      </c>
      <c r="B685" s="1161" t="s">
        <v>2824</v>
      </c>
      <c r="C685" s="655" t="s">
        <v>48</v>
      </c>
      <c r="D685" s="1160">
        <v>1.62</v>
      </c>
      <c r="E685" s="938">
        <v>0.15</v>
      </c>
      <c r="F685" s="938">
        <f t="shared" si="141"/>
        <v>0.24299999999999999</v>
      </c>
      <c r="G685" s="938">
        <f t="shared" si="142"/>
        <v>3.0374999999999999E-2</v>
      </c>
      <c r="H685" s="938">
        <v>1</v>
      </c>
      <c r="I685" s="938">
        <f t="shared" si="143"/>
        <v>1</v>
      </c>
      <c r="J685" s="1154">
        <f>+D685*APU!$J$1609</f>
        <v>164803.395258</v>
      </c>
      <c r="L685" s="812"/>
    </row>
    <row r="686" spans="1:12" hidden="1" outlineLevel="1">
      <c r="A686" s="1213" t="s">
        <v>3120</v>
      </c>
      <c r="B686" s="1161" t="s">
        <v>2825</v>
      </c>
      <c r="C686" s="655" t="s">
        <v>48</v>
      </c>
      <c r="D686" s="1163">
        <v>5.9657142857142862</v>
      </c>
      <c r="E686" s="938">
        <v>0.17499999999999999</v>
      </c>
      <c r="F686" s="938">
        <f t="shared" si="141"/>
        <v>1.044</v>
      </c>
      <c r="G686" s="938">
        <f t="shared" si="142"/>
        <v>0.1305</v>
      </c>
      <c r="H686" s="938">
        <v>1</v>
      </c>
      <c r="I686" s="938">
        <f t="shared" si="143"/>
        <v>1</v>
      </c>
      <c r="J686" s="1154">
        <f>+D686*APU!$J$1609</f>
        <v>606895.04285485717</v>
      </c>
      <c r="L686"/>
    </row>
    <row r="687" spans="1:12" hidden="1" outlineLevel="1">
      <c r="A687" s="1213" t="s">
        <v>3121</v>
      </c>
      <c r="B687" s="1161" t="s">
        <v>2826</v>
      </c>
      <c r="C687" s="655" t="s">
        <v>48</v>
      </c>
      <c r="D687" s="1162">
        <v>3.04</v>
      </c>
      <c r="E687" s="938">
        <v>0.26500000000000001</v>
      </c>
      <c r="F687" s="938">
        <f t="shared" si="141"/>
        <v>0.80560000000000009</v>
      </c>
      <c r="G687" s="938">
        <f t="shared" si="142"/>
        <v>0.10070000000000001</v>
      </c>
      <c r="H687" s="938">
        <v>1</v>
      </c>
      <c r="I687" s="938">
        <f t="shared" si="143"/>
        <v>1</v>
      </c>
      <c r="J687" s="1154">
        <f>+D687*APU!$J$1609</f>
        <v>309260.69233599998</v>
      </c>
      <c r="L687"/>
    </row>
    <row r="688" spans="1:12" hidden="1" outlineLevel="1">
      <c r="A688" s="1213" t="s">
        <v>3122</v>
      </c>
      <c r="B688" s="1161" t="s">
        <v>2827</v>
      </c>
      <c r="C688" s="655" t="s">
        <v>48</v>
      </c>
      <c r="D688" s="1162">
        <v>2.97</v>
      </c>
      <c r="E688" s="938">
        <v>0.3</v>
      </c>
      <c r="F688" s="938">
        <f t="shared" si="141"/>
        <v>0.89100000000000001</v>
      </c>
      <c r="G688" s="938">
        <f t="shared" si="142"/>
        <v>0.111375</v>
      </c>
      <c r="H688" s="938">
        <v>1</v>
      </c>
      <c r="I688" s="938">
        <f t="shared" si="143"/>
        <v>1</v>
      </c>
      <c r="J688" s="1154">
        <f>+D688*APU!$J$1620</f>
        <v>33683.4342999</v>
      </c>
      <c r="L688" s="1408"/>
    </row>
    <row r="689" spans="1:12" hidden="1" outlineLevel="1">
      <c r="A689" s="1213" t="s">
        <v>3123</v>
      </c>
      <c r="B689" s="1161" t="s">
        <v>2828</v>
      </c>
      <c r="C689" s="655" t="s">
        <v>48</v>
      </c>
      <c r="D689" s="1162">
        <v>6.48</v>
      </c>
      <c r="E689" s="938">
        <v>0.3</v>
      </c>
      <c r="F689" s="938">
        <f t="shared" si="141"/>
        <v>1.944</v>
      </c>
      <c r="G689" s="938">
        <f t="shared" si="142"/>
        <v>0.24299999999999999</v>
      </c>
      <c r="H689" s="938">
        <v>1</v>
      </c>
      <c r="I689" s="938">
        <f t="shared" si="143"/>
        <v>1</v>
      </c>
      <c r="J689" s="1154">
        <f>+D689*APU!$J$1620</f>
        <v>73491.129381599996</v>
      </c>
      <c r="L689" s="1408"/>
    </row>
    <row r="690" spans="1:12" hidden="1" outlineLevel="1">
      <c r="A690" s="1213" t="s">
        <v>3124</v>
      </c>
      <c r="B690" s="1161" t="s">
        <v>2829</v>
      </c>
      <c r="C690" s="655" t="s">
        <v>48</v>
      </c>
      <c r="D690" s="1162">
        <v>10.8</v>
      </c>
      <c r="E690" s="938">
        <v>0.3</v>
      </c>
      <c r="F690" s="938">
        <f t="shared" si="141"/>
        <v>3.24</v>
      </c>
      <c r="G690" s="938">
        <f t="shared" si="142"/>
        <v>0.40500000000000003</v>
      </c>
      <c r="H690" s="938">
        <v>1</v>
      </c>
      <c r="I690" s="938">
        <f t="shared" si="143"/>
        <v>1</v>
      </c>
      <c r="J690" s="1154">
        <f>+D690*APU!$J$1631</f>
        <v>163798.015212</v>
      </c>
      <c r="L690" s="812"/>
    </row>
    <row r="691" spans="1:12" hidden="1" outlineLevel="1">
      <c r="A691" s="1213" t="s">
        <v>3125</v>
      </c>
      <c r="B691" s="1161" t="s">
        <v>2830</v>
      </c>
      <c r="C691" s="655" t="s">
        <v>48</v>
      </c>
      <c r="D691" s="1162">
        <v>2.5920000000000001</v>
      </c>
      <c r="E691" s="938">
        <v>0.3</v>
      </c>
      <c r="F691" s="938">
        <f t="shared" si="141"/>
        <v>0.77759999999999996</v>
      </c>
      <c r="G691" s="938">
        <f t="shared" si="142"/>
        <v>9.7199999999999995E-2</v>
      </c>
      <c r="H691" s="938">
        <v>1</v>
      </c>
      <c r="I691" s="938">
        <f t="shared" si="143"/>
        <v>1</v>
      </c>
      <c r="J691" s="1154">
        <f>+D691*APU!$J$1631</f>
        <v>39311.523650880001</v>
      </c>
      <c r="L691" s="812"/>
    </row>
    <row r="692" spans="1:12" ht="15.75" hidden="1" outlineLevel="1" thickBot="1">
      <c r="A692" s="1213" t="s">
        <v>3126</v>
      </c>
      <c r="B692" s="1161" t="s">
        <v>2831</v>
      </c>
      <c r="C692" s="655" t="s">
        <v>48</v>
      </c>
      <c r="D692" s="1162">
        <v>2.5920000000000001</v>
      </c>
      <c r="E692" s="938">
        <v>0.3</v>
      </c>
      <c r="F692" s="938">
        <f t="shared" si="141"/>
        <v>0.77759999999999996</v>
      </c>
      <c r="G692" s="938">
        <f t="shared" si="142"/>
        <v>9.7199999999999995E-2</v>
      </c>
      <c r="H692" s="938">
        <v>1</v>
      </c>
      <c r="I692" s="938">
        <f t="shared" si="143"/>
        <v>1</v>
      </c>
      <c r="J692" s="1154">
        <f>+D692*APU!$J$1651</f>
        <v>198470.80585180805</v>
      </c>
      <c r="L692" s="812"/>
    </row>
    <row r="693" spans="1:12" ht="15.75" hidden="1" outlineLevel="1" thickBot="1">
      <c r="A693" s="1937" t="s">
        <v>801</v>
      </c>
      <c r="B693" s="1938"/>
      <c r="C693" s="1938"/>
      <c r="D693" s="1938"/>
      <c r="E693" s="1938"/>
      <c r="F693" s="1938"/>
      <c r="G693" s="1938"/>
      <c r="H693" s="1938"/>
      <c r="I693" s="1938"/>
      <c r="J693" s="1242">
        <f>SUM(J694:J714)</f>
        <v>3527158.7324724458</v>
      </c>
      <c r="L693" s="812"/>
    </row>
    <row r="694" spans="1:12" hidden="1" outlineLevel="1">
      <c r="A694" s="1213" t="s">
        <v>3127</v>
      </c>
      <c r="B694" s="1161" t="s">
        <v>2812</v>
      </c>
      <c r="C694" s="655" t="s">
        <v>285</v>
      </c>
      <c r="D694" s="1162">
        <v>2</v>
      </c>
      <c r="E694" s="938">
        <v>0.15</v>
      </c>
      <c r="F694" s="938">
        <f>+D694*E694</f>
        <v>0.3</v>
      </c>
      <c r="G694" s="938">
        <f>+F694/8</f>
        <v>3.7499999999999999E-2</v>
      </c>
      <c r="H694" s="938">
        <v>1</v>
      </c>
      <c r="I694" s="938">
        <f>+ROUNDUP(G694/H694,0)</f>
        <v>1</v>
      </c>
      <c r="J694" s="1154">
        <f>+D694*APU!$J$1436</f>
        <v>26689.125480000006</v>
      </c>
      <c r="L694"/>
    </row>
    <row r="695" spans="1:12" hidden="1" outlineLevel="1">
      <c r="A695" s="1213" t="s">
        <v>3128</v>
      </c>
      <c r="B695" s="1161" t="s">
        <v>2813</v>
      </c>
      <c r="C695" s="655" t="s">
        <v>285</v>
      </c>
      <c r="D695" s="1162">
        <v>10</v>
      </c>
      <c r="E695" s="938">
        <v>0.15</v>
      </c>
      <c r="F695" s="938">
        <f t="shared" ref="F695:F714" si="144">+D695*E695</f>
        <v>1.5</v>
      </c>
      <c r="G695" s="938">
        <f t="shared" ref="G695:G733" si="145">+F695/8</f>
        <v>0.1875</v>
      </c>
      <c r="H695" s="938">
        <v>1</v>
      </c>
      <c r="I695" s="938">
        <f t="shared" ref="I695:I714" si="146">+ROUNDUP(G695/H695,0)</f>
        <v>1</v>
      </c>
      <c r="J695" s="1154">
        <f>+D695*APU!$J$1448</f>
        <v>230717.4474</v>
      </c>
      <c r="L695"/>
    </row>
    <row r="696" spans="1:12" hidden="1" outlineLevel="1">
      <c r="A696" s="1213" t="s">
        <v>3129</v>
      </c>
      <c r="B696" s="1161" t="s">
        <v>2814</v>
      </c>
      <c r="C696" s="655" t="s">
        <v>285</v>
      </c>
      <c r="D696" s="1162">
        <v>8</v>
      </c>
      <c r="E696" s="938">
        <v>0.17499999999999999</v>
      </c>
      <c r="F696" s="938">
        <f t="shared" si="144"/>
        <v>1.4</v>
      </c>
      <c r="G696" s="938">
        <f t="shared" si="145"/>
        <v>0.17499999999999999</v>
      </c>
      <c r="H696" s="938">
        <v>1</v>
      </c>
      <c r="I696" s="938">
        <f t="shared" si="146"/>
        <v>1</v>
      </c>
      <c r="J696" s="1154">
        <f>+D696*APU!$J$1460</f>
        <v>273292.94448000001</v>
      </c>
      <c r="L696" s="1408"/>
    </row>
    <row r="697" spans="1:12" hidden="1" outlineLevel="1">
      <c r="A697" s="1213" t="s">
        <v>3130</v>
      </c>
      <c r="B697" s="1161" t="s">
        <v>2815</v>
      </c>
      <c r="C697" s="655" t="s">
        <v>285</v>
      </c>
      <c r="D697" s="1162">
        <v>1</v>
      </c>
      <c r="E697" s="938">
        <v>0.26500000000000001</v>
      </c>
      <c r="F697" s="938">
        <f t="shared" si="144"/>
        <v>0.26500000000000001</v>
      </c>
      <c r="G697" s="938">
        <f t="shared" si="145"/>
        <v>3.3125000000000002E-2</v>
      </c>
      <c r="H697" s="938">
        <v>1</v>
      </c>
      <c r="I697" s="938">
        <f t="shared" si="146"/>
        <v>1</v>
      </c>
      <c r="J697" s="1154">
        <f>+D697*APU!$J$1472</f>
        <v>101730.49089999999</v>
      </c>
      <c r="L697" s="1408"/>
    </row>
    <row r="698" spans="1:12" hidden="1" outlineLevel="1">
      <c r="A698" s="1213" t="s">
        <v>3131</v>
      </c>
      <c r="B698" s="1161" t="s">
        <v>2816</v>
      </c>
      <c r="C698" s="655" t="s">
        <v>285</v>
      </c>
      <c r="D698" s="1162">
        <v>1</v>
      </c>
      <c r="E698" s="938">
        <v>0.16</v>
      </c>
      <c r="F698" s="938">
        <f t="shared" si="144"/>
        <v>0.16</v>
      </c>
      <c r="G698" s="938">
        <f t="shared" si="145"/>
        <v>0.02</v>
      </c>
      <c r="H698" s="938">
        <v>1</v>
      </c>
      <c r="I698" s="938">
        <f t="shared" si="146"/>
        <v>1</v>
      </c>
      <c r="J698" s="1154">
        <f>+D698*APU!$J$1481</f>
        <v>102285.8805</v>
      </c>
      <c r="L698" s="812"/>
    </row>
    <row r="699" spans="1:12" hidden="1" outlineLevel="1">
      <c r="A699" s="1213" t="s">
        <v>3132</v>
      </c>
      <c r="B699" s="1161" t="s">
        <v>2817</v>
      </c>
      <c r="C699" s="655" t="s">
        <v>285</v>
      </c>
      <c r="D699" s="1160">
        <v>9</v>
      </c>
      <c r="E699" s="938">
        <v>0.3</v>
      </c>
      <c r="F699" s="938">
        <f t="shared" si="144"/>
        <v>2.6999999999999997</v>
      </c>
      <c r="G699" s="938">
        <f t="shared" si="145"/>
        <v>0.33749999999999997</v>
      </c>
      <c r="H699" s="938">
        <v>1</v>
      </c>
      <c r="I699" s="938">
        <f t="shared" si="146"/>
        <v>1</v>
      </c>
      <c r="J699" s="1154">
        <f>+D699*APU!$J$1492</f>
        <v>102071.01303</v>
      </c>
      <c r="L699" s="812"/>
    </row>
    <row r="700" spans="1:12" hidden="1" outlineLevel="1">
      <c r="A700" s="1213" t="s">
        <v>3133</v>
      </c>
      <c r="B700" s="1161" t="s">
        <v>2818</v>
      </c>
      <c r="C700" s="655" t="s">
        <v>285</v>
      </c>
      <c r="D700" s="1160">
        <v>1</v>
      </c>
      <c r="E700" s="938">
        <v>0.3</v>
      </c>
      <c r="F700" s="938">
        <f t="shared" si="144"/>
        <v>0.3</v>
      </c>
      <c r="G700" s="938">
        <f t="shared" si="145"/>
        <v>3.7499999999999999E-2</v>
      </c>
      <c r="H700" s="938">
        <v>1</v>
      </c>
      <c r="I700" s="938">
        <f t="shared" si="146"/>
        <v>1</v>
      </c>
      <c r="J700" s="1154">
        <f>+D700*APU!$J$1503</f>
        <v>15166.482889999999</v>
      </c>
      <c r="L700" s="812"/>
    </row>
    <row r="701" spans="1:12" hidden="1" outlineLevel="1">
      <c r="A701" s="1213" t="s">
        <v>3134</v>
      </c>
      <c r="B701" s="1161" t="s">
        <v>2819</v>
      </c>
      <c r="C701" s="655" t="s">
        <v>285</v>
      </c>
      <c r="D701" s="1160">
        <v>4</v>
      </c>
      <c r="E701" s="938">
        <v>0.3</v>
      </c>
      <c r="F701" s="938">
        <f t="shared" si="144"/>
        <v>1.2</v>
      </c>
      <c r="G701" s="938">
        <f t="shared" si="145"/>
        <v>0.15</v>
      </c>
      <c r="H701" s="938">
        <v>1</v>
      </c>
      <c r="I701" s="938">
        <f t="shared" si="146"/>
        <v>1</v>
      </c>
      <c r="J701" s="1154">
        <f>+D701*APU!$J$1515</f>
        <v>114659.15224000002</v>
      </c>
      <c r="L701" s="812"/>
    </row>
    <row r="702" spans="1:12" hidden="1" outlineLevel="1">
      <c r="A702" s="1213" t="s">
        <v>3135</v>
      </c>
      <c r="B702" s="1161" t="s">
        <v>2786</v>
      </c>
      <c r="C702" s="655" t="s">
        <v>285</v>
      </c>
      <c r="D702" s="1160">
        <v>1</v>
      </c>
      <c r="E702" s="938">
        <v>0.13</v>
      </c>
      <c r="F702" s="938">
        <f t="shared" si="144"/>
        <v>0.13</v>
      </c>
      <c r="G702" s="938">
        <f t="shared" si="145"/>
        <v>1.6250000000000001E-2</v>
      </c>
      <c r="H702" s="938">
        <v>1</v>
      </c>
      <c r="I702" s="938">
        <f t="shared" si="146"/>
        <v>1</v>
      </c>
      <c r="J702" s="1154">
        <f>+D702*APU!$J$1523</f>
        <v>76570.526949000021</v>
      </c>
      <c r="L702"/>
    </row>
    <row r="703" spans="1:12" hidden="1" outlineLevel="1">
      <c r="A703" s="1213" t="s">
        <v>3136</v>
      </c>
      <c r="B703" s="1161" t="s">
        <v>2787</v>
      </c>
      <c r="C703" s="655" t="s">
        <v>285</v>
      </c>
      <c r="D703" s="1160">
        <v>2</v>
      </c>
      <c r="E703" s="938">
        <v>0.16</v>
      </c>
      <c r="F703" s="938">
        <f t="shared" si="144"/>
        <v>0.32</v>
      </c>
      <c r="G703" s="938">
        <f t="shared" si="145"/>
        <v>0.04</v>
      </c>
      <c r="H703" s="938">
        <v>1</v>
      </c>
      <c r="I703" s="938">
        <f t="shared" si="146"/>
        <v>1</v>
      </c>
      <c r="J703" s="1154">
        <f>+D703*APU!$J$1531</f>
        <v>257374.99332000001</v>
      </c>
      <c r="L703"/>
    </row>
    <row r="704" spans="1:12" hidden="1" outlineLevel="1">
      <c r="A704" s="1213" t="s">
        <v>3137</v>
      </c>
      <c r="B704" s="1161" t="s">
        <v>2820</v>
      </c>
      <c r="C704" s="655" t="s">
        <v>285</v>
      </c>
      <c r="D704" s="1160">
        <v>3</v>
      </c>
      <c r="E704" s="938">
        <v>0.2</v>
      </c>
      <c r="F704" s="938">
        <f t="shared" si="144"/>
        <v>0.60000000000000009</v>
      </c>
      <c r="G704" s="938">
        <f t="shared" si="145"/>
        <v>7.5000000000000011E-2</v>
      </c>
      <c r="H704" s="938">
        <v>1</v>
      </c>
      <c r="I704" s="938">
        <f t="shared" si="146"/>
        <v>1</v>
      </c>
      <c r="J704" s="1154">
        <f>+D704*APU!$J$1539</f>
        <v>606015.11730000016</v>
      </c>
      <c r="L704" s="1408"/>
    </row>
    <row r="705" spans="1:12" hidden="1" outlineLevel="1">
      <c r="A705" s="1213" t="s">
        <v>3138</v>
      </c>
      <c r="B705" s="1161" t="s">
        <v>2821</v>
      </c>
      <c r="C705" s="655" t="s">
        <v>285</v>
      </c>
      <c r="D705" s="1162">
        <v>4</v>
      </c>
      <c r="E705" s="938">
        <v>0.3</v>
      </c>
      <c r="F705" s="938">
        <f t="shared" si="144"/>
        <v>1.2</v>
      </c>
      <c r="G705" s="938">
        <f t="shared" si="145"/>
        <v>0.15</v>
      </c>
      <c r="H705" s="938">
        <v>1</v>
      </c>
      <c r="I705" s="938">
        <f t="shared" si="146"/>
        <v>1</v>
      </c>
      <c r="J705" s="1154">
        <f>+D705*APU!$J$1550</f>
        <v>45364.894679999998</v>
      </c>
      <c r="L705" s="1408"/>
    </row>
    <row r="706" spans="1:12" hidden="1" outlineLevel="1">
      <c r="A706" s="1213" t="s">
        <v>3139</v>
      </c>
      <c r="B706" s="1161" t="s">
        <v>2822</v>
      </c>
      <c r="C706" s="655" t="s">
        <v>285</v>
      </c>
      <c r="D706" s="1162">
        <v>2</v>
      </c>
      <c r="E706" s="938">
        <v>0.3</v>
      </c>
      <c r="F706" s="938">
        <f t="shared" si="144"/>
        <v>0.6</v>
      </c>
      <c r="G706" s="938">
        <f t="shared" si="145"/>
        <v>7.4999999999999997E-2</v>
      </c>
      <c r="H706" s="938">
        <v>1</v>
      </c>
      <c r="I706" s="938">
        <f t="shared" si="146"/>
        <v>1</v>
      </c>
      <c r="J706" s="1154">
        <f>+D706*APU!$J$1561</f>
        <v>30332.965779999999</v>
      </c>
      <c r="L706" s="812"/>
    </row>
    <row r="707" spans="1:12" hidden="1" outlineLevel="1">
      <c r="A707" s="1213" t="s">
        <v>3140</v>
      </c>
      <c r="B707" s="1161" t="s">
        <v>2823</v>
      </c>
      <c r="C707" s="655" t="s">
        <v>285</v>
      </c>
      <c r="D707" s="1162">
        <v>1</v>
      </c>
      <c r="E707" s="938">
        <v>0.3</v>
      </c>
      <c r="F707" s="938">
        <f t="shared" si="144"/>
        <v>0.3</v>
      </c>
      <c r="G707" s="938">
        <f t="shared" si="145"/>
        <v>3.7499999999999999E-2</v>
      </c>
      <c r="H707" s="938">
        <v>1</v>
      </c>
      <c r="I707" s="938">
        <f t="shared" si="146"/>
        <v>1</v>
      </c>
      <c r="J707" s="1154">
        <f>+D707*APU!$J$1573</f>
        <v>28664.788060000006</v>
      </c>
      <c r="L707" s="812"/>
    </row>
    <row r="708" spans="1:12" hidden="1" outlineLevel="1">
      <c r="A708" s="1213" t="s">
        <v>3141</v>
      </c>
      <c r="B708" s="1161" t="s">
        <v>2824</v>
      </c>
      <c r="C708" s="655" t="s">
        <v>48</v>
      </c>
      <c r="D708" s="1160">
        <v>1.62</v>
      </c>
      <c r="E708" s="938">
        <v>0.15</v>
      </c>
      <c r="F708" s="938">
        <f t="shared" si="144"/>
        <v>0.24299999999999999</v>
      </c>
      <c r="G708" s="938">
        <f t="shared" si="145"/>
        <v>3.0374999999999999E-2</v>
      </c>
      <c r="H708" s="938">
        <v>1</v>
      </c>
      <c r="I708" s="938">
        <f t="shared" si="146"/>
        <v>1</v>
      </c>
      <c r="J708" s="1154">
        <f>+D708*APU!$J$1609</f>
        <v>164803.395258</v>
      </c>
      <c r="L708" s="812"/>
    </row>
    <row r="709" spans="1:12" hidden="1" outlineLevel="1">
      <c r="A709" s="1213" t="s">
        <v>3142</v>
      </c>
      <c r="B709" s="1161" t="s">
        <v>2825</v>
      </c>
      <c r="C709" s="655" t="s">
        <v>48</v>
      </c>
      <c r="D709" s="1163">
        <v>5.9657142857142862</v>
      </c>
      <c r="E709" s="938">
        <v>0.17499999999999999</v>
      </c>
      <c r="F709" s="938">
        <f t="shared" si="144"/>
        <v>1.044</v>
      </c>
      <c r="G709" s="938">
        <f t="shared" si="145"/>
        <v>0.1305</v>
      </c>
      <c r="H709" s="938">
        <v>1</v>
      </c>
      <c r="I709" s="938">
        <f t="shared" si="146"/>
        <v>1</v>
      </c>
      <c r="J709" s="1154">
        <f>+D709*APU!$J$1609</f>
        <v>606895.04285485717</v>
      </c>
      <c r="L709" s="812"/>
    </row>
    <row r="710" spans="1:12" hidden="1" outlineLevel="1">
      <c r="A710" s="1213" t="s">
        <v>3143</v>
      </c>
      <c r="B710" s="1161" t="s">
        <v>2826</v>
      </c>
      <c r="C710" s="655" t="s">
        <v>48</v>
      </c>
      <c r="D710" s="1162">
        <v>3.04</v>
      </c>
      <c r="E710" s="938">
        <v>0.26500000000000001</v>
      </c>
      <c r="F710" s="938">
        <f t="shared" si="144"/>
        <v>0.80560000000000009</v>
      </c>
      <c r="G710" s="938">
        <f t="shared" si="145"/>
        <v>0.10070000000000001</v>
      </c>
      <c r="H710" s="938">
        <v>1</v>
      </c>
      <c r="I710" s="938">
        <f t="shared" si="146"/>
        <v>1</v>
      </c>
      <c r="J710" s="1154">
        <f>+D710*APU!$J$1609</f>
        <v>309260.69233599998</v>
      </c>
      <c r="L710"/>
    </row>
    <row r="711" spans="1:12" hidden="1" outlineLevel="1">
      <c r="A711" s="1213" t="s">
        <v>3144</v>
      </c>
      <c r="B711" s="1161" t="s">
        <v>2827</v>
      </c>
      <c r="C711" s="655" t="s">
        <v>48</v>
      </c>
      <c r="D711" s="1162">
        <v>2.97</v>
      </c>
      <c r="E711" s="938">
        <v>0.3</v>
      </c>
      <c r="F711" s="938">
        <f t="shared" si="144"/>
        <v>0.89100000000000001</v>
      </c>
      <c r="G711" s="938">
        <f t="shared" si="145"/>
        <v>0.111375</v>
      </c>
      <c r="H711" s="938">
        <v>1</v>
      </c>
      <c r="I711" s="938">
        <f t="shared" si="146"/>
        <v>1</v>
      </c>
      <c r="J711" s="1154">
        <f>+D711*APU!$J$1620</f>
        <v>33683.4342999</v>
      </c>
      <c r="L711"/>
    </row>
    <row r="712" spans="1:12" hidden="1" outlineLevel="1">
      <c r="A712" s="1213" t="s">
        <v>3145</v>
      </c>
      <c r="B712" s="1161" t="s">
        <v>2829</v>
      </c>
      <c r="C712" s="655" t="s">
        <v>48</v>
      </c>
      <c r="D712" s="1162">
        <v>10.8</v>
      </c>
      <c r="E712" s="938">
        <v>0.3</v>
      </c>
      <c r="F712" s="938">
        <f t="shared" si="144"/>
        <v>3.24</v>
      </c>
      <c r="G712" s="938">
        <f t="shared" si="145"/>
        <v>0.40500000000000003</v>
      </c>
      <c r="H712" s="938">
        <v>1</v>
      </c>
      <c r="I712" s="938">
        <f t="shared" si="146"/>
        <v>1</v>
      </c>
      <c r="J712" s="1154">
        <f>+D712*APU!$J$1631</f>
        <v>163798.015212</v>
      </c>
      <c r="L712" s="1408"/>
    </row>
    <row r="713" spans="1:12" hidden="1" outlineLevel="1">
      <c r="A713" s="1213" t="s">
        <v>3146</v>
      </c>
      <c r="B713" s="1161" t="s">
        <v>2830</v>
      </c>
      <c r="C713" s="655" t="s">
        <v>48</v>
      </c>
      <c r="D713" s="1162">
        <v>2.5920000000000001</v>
      </c>
      <c r="E713" s="938">
        <v>0.3</v>
      </c>
      <c r="F713" s="938">
        <f t="shared" si="144"/>
        <v>0.77759999999999996</v>
      </c>
      <c r="G713" s="938">
        <f t="shared" si="145"/>
        <v>9.7199999999999995E-2</v>
      </c>
      <c r="H713" s="938">
        <v>1</v>
      </c>
      <c r="I713" s="938">
        <f t="shared" si="146"/>
        <v>1</v>
      </c>
      <c r="J713" s="1154">
        <f>+D713*APU!$J$1631</f>
        <v>39311.523650880001</v>
      </c>
      <c r="L713" s="1408"/>
    </row>
    <row r="714" spans="1:12" ht="15.75" hidden="1" outlineLevel="1" thickBot="1">
      <c r="A714" s="1213" t="s">
        <v>3147</v>
      </c>
      <c r="B714" s="1161" t="s">
        <v>2831</v>
      </c>
      <c r="C714" s="655" t="s">
        <v>48</v>
      </c>
      <c r="D714" s="1162">
        <v>2.5920000000000001</v>
      </c>
      <c r="E714" s="938">
        <v>0.3</v>
      </c>
      <c r="F714" s="938">
        <f t="shared" si="144"/>
        <v>0.77759999999999996</v>
      </c>
      <c r="G714" s="938">
        <f t="shared" si="145"/>
        <v>9.7199999999999995E-2</v>
      </c>
      <c r="H714" s="938">
        <v>1</v>
      </c>
      <c r="I714" s="938">
        <f t="shared" si="146"/>
        <v>1</v>
      </c>
      <c r="J714" s="1154">
        <f>+D714*APU!$J$1651</f>
        <v>198470.80585180805</v>
      </c>
      <c r="L714" s="812"/>
    </row>
    <row r="715" spans="1:12" ht="15.75" hidden="1" outlineLevel="1" thickBot="1">
      <c r="A715" s="1937" t="s">
        <v>824</v>
      </c>
      <c r="B715" s="1938"/>
      <c r="C715" s="1938"/>
      <c r="D715" s="1938"/>
      <c r="E715" s="1938"/>
      <c r="F715" s="1938"/>
      <c r="G715" s="1938"/>
      <c r="H715" s="1938"/>
      <c r="I715" s="1938"/>
      <c r="J715" s="1242">
        <f>SUM(J716:J733)</f>
        <v>3144674.4069824452</v>
      </c>
      <c r="L715" s="812"/>
    </row>
    <row r="716" spans="1:12" hidden="1" outlineLevel="1">
      <c r="A716" s="1213" t="s">
        <v>3148</v>
      </c>
      <c r="B716" s="1161" t="s">
        <v>2812</v>
      </c>
      <c r="C716" s="655" t="s">
        <v>285</v>
      </c>
      <c r="D716" s="1162">
        <v>1</v>
      </c>
      <c r="E716" s="938">
        <v>0.15</v>
      </c>
      <c r="F716" s="938">
        <f>+D716*E716</f>
        <v>0.15</v>
      </c>
      <c r="G716" s="938">
        <f t="shared" si="145"/>
        <v>1.8749999999999999E-2</v>
      </c>
      <c r="H716" s="938">
        <v>1</v>
      </c>
      <c r="I716" s="938">
        <f>+ROUNDUP(G716/H716,0)</f>
        <v>1</v>
      </c>
      <c r="J716" s="1154">
        <f>+D716*APU!$J$1436</f>
        <v>13344.562740000003</v>
      </c>
      <c r="L716" s="812"/>
    </row>
    <row r="717" spans="1:12" hidden="1" outlineLevel="1">
      <c r="A717" s="1213" t="s">
        <v>3149</v>
      </c>
      <c r="B717" s="1161" t="s">
        <v>2813</v>
      </c>
      <c r="C717" s="655" t="s">
        <v>285</v>
      </c>
      <c r="D717" s="1162">
        <v>17</v>
      </c>
      <c r="E717" s="938">
        <v>0.15</v>
      </c>
      <c r="F717" s="938">
        <f t="shared" ref="F717:F733" si="147">+D717*E717</f>
        <v>2.5499999999999998</v>
      </c>
      <c r="G717" s="938">
        <f t="shared" si="145"/>
        <v>0.31874999999999998</v>
      </c>
      <c r="H717" s="938">
        <v>1</v>
      </c>
      <c r="I717" s="938">
        <f t="shared" ref="I717:I733" si="148">+ROUNDUP(G717/H717,0)</f>
        <v>1</v>
      </c>
      <c r="J717" s="1154">
        <f>+D717*APU!$J$1448</f>
        <v>392219.66058000003</v>
      </c>
      <c r="L717" s="812"/>
    </row>
    <row r="718" spans="1:12" hidden="1" outlineLevel="1">
      <c r="A718" s="1213" t="s">
        <v>3150</v>
      </c>
      <c r="B718" s="1161" t="s">
        <v>2814</v>
      </c>
      <c r="C718" s="655" t="s">
        <v>285</v>
      </c>
      <c r="D718" s="1162">
        <v>12</v>
      </c>
      <c r="E718" s="938">
        <v>0.17499999999999999</v>
      </c>
      <c r="F718" s="938">
        <f t="shared" si="147"/>
        <v>2.0999999999999996</v>
      </c>
      <c r="G718" s="938">
        <f t="shared" si="145"/>
        <v>0.26249999999999996</v>
      </c>
      <c r="H718" s="938">
        <v>1</v>
      </c>
      <c r="I718" s="938">
        <f t="shared" si="148"/>
        <v>1</v>
      </c>
      <c r="J718" s="1154">
        <f>+D718*APU!$J$1460</f>
        <v>409939.41671999998</v>
      </c>
      <c r="L718"/>
    </row>
    <row r="719" spans="1:12" hidden="1" outlineLevel="1">
      <c r="A719" s="1213" t="s">
        <v>3151</v>
      </c>
      <c r="B719" s="1161" t="s">
        <v>2815</v>
      </c>
      <c r="C719" s="655" t="s">
        <v>285</v>
      </c>
      <c r="D719" s="1162">
        <v>2</v>
      </c>
      <c r="E719" s="938">
        <v>0.26500000000000001</v>
      </c>
      <c r="F719" s="938">
        <f t="shared" si="147"/>
        <v>0.53</v>
      </c>
      <c r="G719" s="938">
        <f t="shared" si="145"/>
        <v>6.6250000000000003E-2</v>
      </c>
      <c r="H719" s="938">
        <v>1</v>
      </c>
      <c r="I719" s="938">
        <f t="shared" si="148"/>
        <v>1</v>
      </c>
      <c r="J719" s="1154">
        <f>+D719*APU!$J$1472</f>
        <v>203460.98179999998</v>
      </c>
      <c r="L719"/>
    </row>
    <row r="720" spans="1:12" hidden="1" outlineLevel="1">
      <c r="A720" s="1213" t="s">
        <v>3152</v>
      </c>
      <c r="B720" s="1161" t="s">
        <v>2817</v>
      </c>
      <c r="C720" s="655" t="s">
        <v>285</v>
      </c>
      <c r="D720" s="1160">
        <v>2</v>
      </c>
      <c r="E720" s="938">
        <v>0.3</v>
      </c>
      <c r="F720" s="938">
        <f t="shared" si="147"/>
        <v>0.6</v>
      </c>
      <c r="G720" s="938">
        <f t="shared" si="145"/>
        <v>7.4999999999999997E-2</v>
      </c>
      <c r="H720" s="938">
        <v>1</v>
      </c>
      <c r="I720" s="938">
        <f t="shared" si="148"/>
        <v>1</v>
      </c>
      <c r="J720" s="1154">
        <f>+D720*APU!$J$1492</f>
        <v>22682.447339999999</v>
      </c>
      <c r="L720" s="1408"/>
    </row>
    <row r="721" spans="1:12" hidden="1" outlineLevel="1">
      <c r="A721" s="1213" t="s">
        <v>3153</v>
      </c>
      <c r="B721" s="1161" t="s">
        <v>2818</v>
      </c>
      <c r="C721" s="655" t="s">
        <v>285</v>
      </c>
      <c r="D721" s="1160">
        <v>3</v>
      </c>
      <c r="E721" s="938">
        <v>0.3</v>
      </c>
      <c r="F721" s="938">
        <f t="shared" si="147"/>
        <v>0.89999999999999991</v>
      </c>
      <c r="G721" s="938">
        <f t="shared" si="145"/>
        <v>0.11249999999999999</v>
      </c>
      <c r="H721" s="938">
        <v>1</v>
      </c>
      <c r="I721" s="938">
        <f t="shared" si="148"/>
        <v>1</v>
      </c>
      <c r="J721" s="1154">
        <f>+D721*APU!$J$1503</f>
        <v>45499.448669999998</v>
      </c>
      <c r="L721" s="1408"/>
    </row>
    <row r="722" spans="1:12" hidden="1" outlineLevel="1">
      <c r="A722" s="1213" t="s">
        <v>3154</v>
      </c>
      <c r="B722" s="1161" t="s">
        <v>2819</v>
      </c>
      <c r="C722" s="655" t="s">
        <v>285</v>
      </c>
      <c r="D722" s="1160">
        <v>3</v>
      </c>
      <c r="E722" s="938">
        <v>0.3</v>
      </c>
      <c r="F722" s="938">
        <f t="shared" si="147"/>
        <v>0.89999999999999991</v>
      </c>
      <c r="G722" s="938">
        <f t="shared" si="145"/>
        <v>0.11249999999999999</v>
      </c>
      <c r="H722" s="938">
        <v>1</v>
      </c>
      <c r="I722" s="938">
        <f t="shared" si="148"/>
        <v>1</v>
      </c>
      <c r="J722" s="1154">
        <f>+D722*APU!$J$1515</f>
        <v>85994.364180000019</v>
      </c>
      <c r="L722" s="812"/>
    </row>
    <row r="723" spans="1:12" hidden="1" outlineLevel="1">
      <c r="A723" s="1213" t="s">
        <v>3155</v>
      </c>
      <c r="B723" s="1161" t="s">
        <v>2786</v>
      </c>
      <c r="C723" s="655" t="s">
        <v>285</v>
      </c>
      <c r="D723" s="1160">
        <v>3</v>
      </c>
      <c r="E723" s="938">
        <v>0.13</v>
      </c>
      <c r="F723" s="938">
        <f t="shared" si="147"/>
        <v>0.39</v>
      </c>
      <c r="G723" s="938">
        <f t="shared" si="145"/>
        <v>4.8750000000000002E-2</v>
      </c>
      <c r="H723" s="938">
        <v>1</v>
      </c>
      <c r="I723" s="938">
        <f t="shared" si="148"/>
        <v>1</v>
      </c>
      <c r="J723" s="1154">
        <f>+D723*APU!$J$1523</f>
        <v>229711.58084700006</v>
      </c>
      <c r="L723" s="812"/>
    </row>
    <row r="724" spans="1:12" hidden="1" outlineLevel="1">
      <c r="A724" s="1213" t="s">
        <v>3156</v>
      </c>
      <c r="B724" s="1161" t="s">
        <v>2787</v>
      </c>
      <c r="C724" s="655" t="s">
        <v>285</v>
      </c>
      <c r="D724" s="1160">
        <v>2</v>
      </c>
      <c r="E724" s="938">
        <v>0.16</v>
      </c>
      <c r="F724" s="938">
        <f t="shared" si="147"/>
        <v>0.32</v>
      </c>
      <c r="G724" s="938">
        <f t="shared" si="145"/>
        <v>0.04</v>
      </c>
      <c r="H724" s="938">
        <v>1</v>
      </c>
      <c r="I724" s="938">
        <f t="shared" si="148"/>
        <v>1</v>
      </c>
      <c r="J724" s="1154">
        <f>+D724*APU!$J$1531</f>
        <v>257374.99332000001</v>
      </c>
      <c r="L724" s="812"/>
    </row>
    <row r="725" spans="1:12" hidden="1" outlineLevel="1">
      <c r="A725" s="1213" t="s">
        <v>3157</v>
      </c>
      <c r="B725" s="1161" t="s">
        <v>2821</v>
      </c>
      <c r="C725" s="655" t="s">
        <v>285</v>
      </c>
      <c r="D725" s="1162">
        <v>4</v>
      </c>
      <c r="E725" s="938">
        <v>0.3</v>
      </c>
      <c r="F725" s="938">
        <f t="shared" si="147"/>
        <v>1.2</v>
      </c>
      <c r="G725" s="938">
        <f t="shared" si="145"/>
        <v>0.15</v>
      </c>
      <c r="H725" s="938">
        <v>1</v>
      </c>
      <c r="I725" s="938">
        <f t="shared" si="148"/>
        <v>1</v>
      </c>
      <c r="J725" s="1154">
        <f>+D725*APU!$J$1550</f>
        <v>45364.894679999998</v>
      </c>
      <c r="L725" s="812"/>
    </row>
    <row r="726" spans="1:12" hidden="1" outlineLevel="1">
      <c r="A726" s="1213" t="s">
        <v>3158</v>
      </c>
      <c r="B726" s="1161" t="s">
        <v>2822</v>
      </c>
      <c r="C726" s="655" t="s">
        <v>285</v>
      </c>
      <c r="D726" s="1162">
        <v>2</v>
      </c>
      <c r="E726" s="938">
        <v>0.3</v>
      </c>
      <c r="F726" s="938">
        <f t="shared" si="147"/>
        <v>0.6</v>
      </c>
      <c r="G726" s="938">
        <f t="shared" si="145"/>
        <v>7.4999999999999997E-2</v>
      </c>
      <c r="H726" s="938">
        <v>1</v>
      </c>
      <c r="I726" s="938">
        <f t="shared" si="148"/>
        <v>1</v>
      </c>
      <c r="J726" s="1154">
        <f>+D726*APU!$J$1561</f>
        <v>30332.965779999999</v>
      </c>
      <c r="L726"/>
    </row>
    <row r="727" spans="1:12" hidden="1" outlineLevel="1">
      <c r="A727" s="1213" t="s">
        <v>3159</v>
      </c>
      <c r="B727" s="1161" t="s">
        <v>2823</v>
      </c>
      <c r="C727" s="655" t="s">
        <v>285</v>
      </c>
      <c r="D727" s="1162">
        <v>2</v>
      </c>
      <c r="E727" s="938">
        <v>0.3</v>
      </c>
      <c r="F727" s="938">
        <f t="shared" si="147"/>
        <v>0.6</v>
      </c>
      <c r="G727" s="938">
        <f t="shared" si="145"/>
        <v>7.4999999999999997E-2</v>
      </c>
      <c r="H727" s="938">
        <v>1</v>
      </c>
      <c r="I727" s="938">
        <f t="shared" si="148"/>
        <v>1</v>
      </c>
      <c r="J727" s="1154">
        <f>+D727*APU!$J$1573</f>
        <v>57329.576120000012</v>
      </c>
      <c r="L727"/>
    </row>
    <row r="728" spans="1:12" hidden="1" outlineLevel="1">
      <c r="A728" s="1213" t="s">
        <v>3160</v>
      </c>
      <c r="B728" s="1161" t="s">
        <v>2825</v>
      </c>
      <c r="C728" s="655" t="s">
        <v>48</v>
      </c>
      <c r="D728" s="1163">
        <v>5.9657142857142862</v>
      </c>
      <c r="E728" s="938">
        <v>0.17499999999999999</v>
      </c>
      <c r="F728" s="938">
        <f t="shared" si="147"/>
        <v>1.044</v>
      </c>
      <c r="G728" s="938">
        <f t="shared" si="145"/>
        <v>0.1305</v>
      </c>
      <c r="H728" s="938">
        <v>1</v>
      </c>
      <c r="I728" s="938">
        <f t="shared" si="148"/>
        <v>1</v>
      </c>
      <c r="J728" s="1154">
        <f>+D728*APU!$J$1609</f>
        <v>606895.04285485717</v>
      </c>
      <c r="L728" s="1408"/>
    </row>
    <row r="729" spans="1:12" hidden="1" outlineLevel="1">
      <c r="A729" s="1213" t="s">
        <v>3161</v>
      </c>
      <c r="B729" s="1161" t="s">
        <v>2826</v>
      </c>
      <c r="C729" s="655" t="s">
        <v>48</v>
      </c>
      <c r="D729" s="1162">
        <v>3.04</v>
      </c>
      <c r="E729" s="938">
        <v>0.26500000000000001</v>
      </c>
      <c r="F729" s="938">
        <f t="shared" si="147"/>
        <v>0.80560000000000009</v>
      </c>
      <c r="G729" s="938">
        <f t="shared" si="145"/>
        <v>0.10070000000000001</v>
      </c>
      <c r="H729" s="938">
        <v>1</v>
      </c>
      <c r="I729" s="938">
        <f t="shared" si="148"/>
        <v>1</v>
      </c>
      <c r="J729" s="1154">
        <f>+D729*APU!$J$1609</f>
        <v>309260.69233599998</v>
      </c>
      <c r="L729" s="1408"/>
    </row>
    <row r="730" spans="1:12" hidden="1" outlineLevel="1">
      <c r="A730" s="1213" t="s">
        <v>3162</v>
      </c>
      <c r="B730" s="1161" t="s">
        <v>2827</v>
      </c>
      <c r="C730" s="655" t="s">
        <v>48</v>
      </c>
      <c r="D730" s="1162">
        <v>2.97</v>
      </c>
      <c r="E730" s="938">
        <v>0.3</v>
      </c>
      <c r="F730" s="938">
        <f t="shared" si="147"/>
        <v>0.89100000000000001</v>
      </c>
      <c r="G730" s="938">
        <f t="shared" si="145"/>
        <v>0.111375</v>
      </c>
      <c r="H730" s="938">
        <v>1</v>
      </c>
      <c r="I730" s="938">
        <f t="shared" si="148"/>
        <v>1</v>
      </c>
      <c r="J730" s="1154">
        <f>+D730*APU!$J$1620</f>
        <v>33683.4342999</v>
      </c>
      <c r="L730" s="812"/>
    </row>
    <row r="731" spans="1:12" hidden="1" outlineLevel="1">
      <c r="A731" s="1213" t="s">
        <v>3163</v>
      </c>
      <c r="B731" s="1161" t="s">
        <v>2829</v>
      </c>
      <c r="C731" s="655" t="s">
        <v>48</v>
      </c>
      <c r="D731" s="1162">
        <v>10.8</v>
      </c>
      <c r="E731" s="938">
        <v>0.3</v>
      </c>
      <c r="F731" s="938">
        <f t="shared" si="147"/>
        <v>3.24</v>
      </c>
      <c r="G731" s="938">
        <f t="shared" si="145"/>
        <v>0.40500000000000003</v>
      </c>
      <c r="H731" s="938">
        <v>1</v>
      </c>
      <c r="I731" s="938">
        <f t="shared" si="148"/>
        <v>1</v>
      </c>
      <c r="J731" s="1154">
        <f>+D731*APU!$J$1631</f>
        <v>163798.015212</v>
      </c>
      <c r="L731" s="812"/>
    </row>
    <row r="732" spans="1:12" hidden="1" outlineLevel="1">
      <c r="A732" s="1213" t="s">
        <v>3164</v>
      </c>
      <c r="B732" s="1161" t="s">
        <v>2830</v>
      </c>
      <c r="C732" s="655" t="s">
        <v>48</v>
      </c>
      <c r="D732" s="1162">
        <v>2.5920000000000001</v>
      </c>
      <c r="E732" s="938">
        <v>0.3</v>
      </c>
      <c r="F732" s="938">
        <f t="shared" si="147"/>
        <v>0.77759999999999996</v>
      </c>
      <c r="G732" s="938">
        <f t="shared" si="145"/>
        <v>9.7199999999999995E-2</v>
      </c>
      <c r="H732" s="938">
        <v>1</v>
      </c>
      <c r="I732" s="938">
        <f t="shared" si="148"/>
        <v>1</v>
      </c>
      <c r="J732" s="1154">
        <f>+D732*APU!$J$1631</f>
        <v>39311.523650880001</v>
      </c>
      <c r="L732" s="812"/>
    </row>
    <row r="733" spans="1:12" ht="15.75" hidden="1" outlineLevel="1" thickBot="1">
      <c r="A733" s="1213" t="s">
        <v>3165</v>
      </c>
      <c r="B733" s="1161" t="s">
        <v>2831</v>
      </c>
      <c r="C733" s="655" t="s">
        <v>48</v>
      </c>
      <c r="D733" s="1162">
        <v>2.5920000000000001</v>
      </c>
      <c r="E733" s="938">
        <v>0.3</v>
      </c>
      <c r="F733" s="938">
        <f t="shared" si="147"/>
        <v>0.77759999999999996</v>
      </c>
      <c r="G733" s="938">
        <f t="shared" si="145"/>
        <v>9.7199999999999995E-2</v>
      </c>
      <c r="H733" s="938">
        <v>1</v>
      </c>
      <c r="I733" s="938">
        <f t="shared" si="148"/>
        <v>1</v>
      </c>
      <c r="J733" s="1154">
        <f>+D733*APU!$J$1651</f>
        <v>198470.80585180805</v>
      </c>
      <c r="L733" s="812"/>
    </row>
    <row r="734" spans="1:12" ht="15.75" hidden="1" outlineLevel="1" thickBot="1">
      <c r="A734" s="1937" t="s">
        <v>2255</v>
      </c>
      <c r="B734" s="1938"/>
      <c r="C734" s="1938"/>
      <c r="D734" s="1938"/>
      <c r="E734" s="1938"/>
      <c r="F734" s="1938"/>
      <c r="G734" s="1938"/>
      <c r="H734" s="1938"/>
      <c r="I734" s="1938"/>
      <c r="J734" s="1242">
        <f>SUM(J735:J746)</f>
        <v>3287760.2689502575</v>
      </c>
      <c r="L734"/>
    </row>
    <row r="735" spans="1:12" hidden="1" outlineLevel="1">
      <c r="A735" s="1213" t="s">
        <v>3166</v>
      </c>
      <c r="B735" s="1161" t="s">
        <v>2812</v>
      </c>
      <c r="C735" s="655" t="s">
        <v>285</v>
      </c>
      <c r="D735" s="1162">
        <v>1</v>
      </c>
      <c r="E735" s="938">
        <v>0.15</v>
      </c>
      <c r="F735" s="938">
        <f>+D735*E735</f>
        <v>0.15</v>
      </c>
      <c r="G735" s="938">
        <f t="shared" ref="G735:G746" si="149">+F735/8</f>
        <v>1.8749999999999999E-2</v>
      </c>
      <c r="H735" s="938">
        <v>1</v>
      </c>
      <c r="I735" s="938">
        <f>+ROUNDUP(G735/H735,0)</f>
        <v>1</v>
      </c>
      <c r="J735" s="1154">
        <f>+D735*APU!$J$1436</f>
        <v>13344.562740000003</v>
      </c>
      <c r="L735"/>
    </row>
    <row r="736" spans="1:12" hidden="1" outlineLevel="1">
      <c r="A736" s="1213" t="s">
        <v>3167</v>
      </c>
      <c r="B736" s="1161" t="s">
        <v>2813</v>
      </c>
      <c r="C736" s="655" t="s">
        <v>285</v>
      </c>
      <c r="D736" s="1162">
        <v>20</v>
      </c>
      <c r="E736" s="938">
        <v>0.15</v>
      </c>
      <c r="F736" s="938">
        <f t="shared" ref="F736:F746" si="150">+D736*E736</f>
        <v>3</v>
      </c>
      <c r="G736" s="938">
        <f t="shared" si="149"/>
        <v>0.375</v>
      </c>
      <c r="H736" s="938">
        <v>1</v>
      </c>
      <c r="I736" s="938">
        <f t="shared" ref="I736:I746" si="151">+ROUNDUP(G736/H736,0)</f>
        <v>1</v>
      </c>
      <c r="J736" s="1154">
        <f>+D736*APU!$J$1448</f>
        <v>461434.89480000001</v>
      </c>
      <c r="L736" s="1408"/>
    </row>
    <row r="737" spans="1:12" hidden="1" outlineLevel="1">
      <c r="A737" s="1213" t="s">
        <v>3168</v>
      </c>
      <c r="B737" s="1161" t="s">
        <v>2814</v>
      </c>
      <c r="C737" s="655" t="s">
        <v>285</v>
      </c>
      <c r="D737" s="1162">
        <v>9</v>
      </c>
      <c r="E737" s="938">
        <v>0.17499999999999999</v>
      </c>
      <c r="F737" s="938">
        <f t="shared" si="150"/>
        <v>1.575</v>
      </c>
      <c r="G737" s="938">
        <f t="shared" si="149"/>
        <v>0.19687499999999999</v>
      </c>
      <c r="H737" s="938">
        <v>1</v>
      </c>
      <c r="I737" s="938">
        <f t="shared" si="151"/>
        <v>1</v>
      </c>
      <c r="J737" s="1154">
        <f>+D737*APU!$J$1460</f>
        <v>307454.56254000001</v>
      </c>
      <c r="L737" s="1408"/>
    </row>
    <row r="738" spans="1:12" hidden="1" outlineLevel="1">
      <c r="A738" s="1213" t="s">
        <v>3169</v>
      </c>
      <c r="B738" s="1161" t="s">
        <v>2815</v>
      </c>
      <c r="C738" s="655" t="s">
        <v>285</v>
      </c>
      <c r="D738" s="1162">
        <v>2</v>
      </c>
      <c r="E738" s="938">
        <v>0.26500000000000001</v>
      </c>
      <c r="F738" s="938">
        <f t="shared" si="150"/>
        <v>0.53</v>
      </c>
      <c r="G738" s="938">
        <f t="shared" si="149"/>
        <v>6.6250000000000003E-2</v>
      </c>
      <c r="H738" s="938">
        <v>1</v>
      </c>
      <c r="I738" s="938">
        <f t="shared" si="151"/>
        <v>1</v>
      </c>
      <c r="J738" s="1154">
        <f>+D738*APU!$J$1472</f>
        <v>203460.98179999998</v>
      </c>
      <c r="L738" s="812"/>
    </row>
    <row r="739" spans="1:12" hidden="1" outlineLevel="1">
      <c r="A739" s="1213" t="s">
        <v>3170</v>
      </c>
      <c r="B739" s="1161" t="s">
        <v>2817</v>
      </c>
      <c r="C739" s="655" t="s">
        <v>285</v>
      </c>
      <c r="D739" s="1160">
        <v>2</v>
      </c>
      <c r="E739" s="938">
        <v>0.3</v>
      </c>
      <c r="F739" s="938">
        <f t="shared" si="150"/>
        <v>0.6</v>
      </c>
      <c r="G739" s="938">
        <f t="shared" si="149"/>
        <v>7.4999999999999997E-2</v>
      </c>
      <c r="H739" s="938">
        <v>1</v>
      </c>
      <c r="I739" s="938">
        <f t="shared" si="151"/>
        <v>1</v>
      </c>
      <c r="J739" s="1154">
        <f>+D739*APU!$J$1492</f>
        <v>22682.447339999999</v>
      </c>
      <c r="L739" s="812"/>
    </row>
    <row r="740" spans="1:12" hidden="1" outlineLevel="1">
      <c r="A740" s="1213" t="s">
        <v>3171</v>
      </c>
      <c r="B740" s="1161" t="s">
        <v>2786</v>
      </c>
      <c r="C740" s="655" t="s">
        <v>285</v>
      </c>
      <c r="D740" s="1160">
        <v>2</v>
      </c>
      <c r="E740" s="938">
        <v>0.13</v>
      </c>
      <c r="F740" s="938">
        <f t="shared" si="150"/>
        <v>0.26</v>
      </c>
      <c r="G740" s="938">
        <f t="shared" si="149"/>
        <v>3.2500000000000001E-2</v>
      </c>
      <c r="H740" s="938">
        <v>1</v>
      </c>
      <c r="I740" s="938">
        <f t="shared" si="151"/>
        <v>1</v>
      </c>
      <c r="J740" s="1154">
        <f>+D740*APU!$J$1523</f>
        <v>153141.05389800004</v>
      </c>
      <c r="L740" s="812"/>
    </row>
    <row r="741" spans="1:12" hidden="1" outlineLevel="1">
      <c r="A741" s="1213" t="s">
        <v>3172</v>
      </c>
      <c r="B741" s="1161" t="s">
        <v>2821</v>
      </c>
      <c r="C741" s="655" t="s">
        <v>285</v>
      </c>
      <c r="D741" s="1162">
        <v>5</v>
      </c>
      <c r="E741" s="938">
        <v>0.3</v>
      </c>
      <c r="F741" s="938">
        <f t="shared" si="150"/>
        <v>1.5</v>
      </c>
      <c r="G741" s="938">
        <f t="shared" si="149"/>
        <v>0.1875</v>
      </c>
      <c r="H741" s="938">
        <v>1</v>
      </c>
      <c r="I741" s="938">
        <f t="shared" si="151"/>
        <v>1</v>
      </c>
      <c r="J741" s="1154">
        <f>+D741*APU!$J$1550</f>
        <v>56706.118349999997</v>
      </c>
      <c r="L741" s="812"/>
    </row>
    <row r="742" spans="1:12" hidden="1" outlineLevel="1">
      <c r="A742" s="1213" t="s">
        <v>3173</v>
      </c>
      <c r="B742" s="1161" t="s">
        <v>2823</v>
      </c>
      <c r="C742" s="655" t="s">
        <v>285</v>
      </c>
      <c r="D742" s="1162">
        <v>3</v>
      </c>
      <c r="E742" s="938">
        <v>0.3</v>
      </c>
      <c r="F742" s="938">
        <f t="shared" si="150"/>
        <v>0.89999999999999991</v>
      </c>
      <c r="G742" s="938">
        <f t="shared" si="149"/>
        <v>0.11249999999999999</v>
      </c>
      <c r="H742" s="938">
        <v>1</v>
      </c>
      <c r="I742" s="938">
        <f t="shared" si="151"/>
        <v>1</v>
      </c>
      <c r="J742" s="1154">
        <f>+D742*APU!$J$1573</f>
        <v>85994.364180000019</v>
      </c>
      <c r="L742"/>
    </row>
    <row r="743" spans="1:12" hidden="1" outlineLevel="1">
      <c r="A743" s="1213" t="s">
        <v>3174</v>
      </c>
      <c r="B743" s="1161" t="s">
        <v>2825</v>
      </c>
      <c r="C743" s="655" t="s">
        <v>48</v>
      </c>
      <c r="D743" s="1163">
        <v>5.9657142857142862</v>
      </c>
      <c r="E743" s="938">
        <v>0.17499999999999999</v>
      </c>
      <c r="F743" s="938">
        <f t="shared" si="150"/>
        <v>1.044</v>
      </c>
      <c r="G743" s="938">
        <f t="shared" si="149"/>
        <v>0.1305</v>
      </c>
      <c r="H743" s="938">
        <v>1</v>
      </c>
      <c r="I743" s="938">
        <f t="shared" si="151"/>
        <v>1</v>
      </c>
      <c r="J743" s="1154">
        <f>+D743*APU!$J$1609</f>
        <v>606895.04285485717</v>
      </c>
      <c r="L743"/>
    </row>
    <row r="744" spans="1:12" hidden="1" outlineLevel="1">
      <c r="A744" s="1213" t="s">
        <v>3175</v>
      </c>
      <c r="B744" s="1161" t="s">
        <v>2826</v>
      </c>
      <c r="C744" s="655" t="s">
        <v>48</v>
      </c>
      <c r="D744" s="1162">
        <v>3.04</v>
      </c>
      <c r="E744" s="938">
        <v>0.26500000000000001</v>
      </c>
      <c r="F744" s="938">
        <f t="shared" si="150"/>
        <v>0.80560000000000009</v>
      </c>
      <c r="G744" s="938">
        <f t="shared" si="149"/>
        <v>0.10070000000000001</v>
      </c>
      <c r="H744" s="938">
        <v>1</v>
      </c>
      <c r="I744" s="938">
        <f t="shared" si="151"/>
        <v>1</v>
      </c>
      <c r="J744" s="1154">
        <f>+D744*APU!$J$1609</f>
        <v>309260.69233599998</v>
      </c>
      <c r="L744" s="1408"/>
    </row>
    <row r="745" spans="1:12" hidden="1" outlineLevel="1">
      <c r="A745" s="1213" t="s">
        <v>3176</v>
      </c>
      <c r="B745" s="1161" t="s">
        <v>2827</v>
      </c>
      <c r="C745" s="655" t="s">
        <v>48</v>
      </c>
      <c r="D745" s="1162">
        <v>2.97</v>
      </c>
      <c r="E745" s="938">
        <v>0.3</v>
      </c>
      <c r="F745" s="938">
        <f t="shared" si="150"/>
        <v>0.89100000000000001</v>
      </c>
      <c r="G745" s="938">
        <f t="shared" si="149"/>
        <v>0.111375</v>
      </c>
      <c r="H745" s="938">
        <v>1</v>
      </c>
      <c r="I745" s="938">
        <f t="shared" si="151"/>
        <v>1</v>
      </c>
      <c r="J745" s="1154">
        <f>+D745*APU!$J$1620</f>
        <v>33683.4342999</v>
      </c>
      <c r="L745" s="1408"/>
    </row>
    <row r="746" spans="1:12" ht="15.75" hidden="1" outlineLevel="1" thickBot="1">
      <c r="A746" s="1213" t="s">
        <v>3177</v>
      </c>
      <c r="B746" s="1161" t="s">
        <v>2831</v>
      </c>
      <c r="C746" s="655" t="s">
        <v>48</v>
      </c>
      <c r="D746" s="1162">
        <v>13.5</v>
      </c>
      <c r="E746" s="938">
        <v>0.3</v>
      </c>
      <c r="F746" s="938">
        <f t="shared" si="150"/>
        <v>4.05</v>
      </c>
      <c r="G746" s="938">
        <f t="shared" si="149"/>
        <v>0.50624999999999998</v>
      </c>
      <c r="H746" s="938">
        <v>1</v>
      </c>
      <c r="I746" s="938">
        <f t="shared" si="151"/>
        <v>1</v>
      </c>
      <c r="J746" s="1154">
        <f>+D746*APU!$J$1651</f>
        <v>1033702.1138115003</v>
      </c>
      <c r="L746" s="812"/>
    </row>
    <row r="747" spans="1:12" ht="15.75" hidden="1" outlineLevel="1" thickBot="1">
      <c r="A747" s="1937" t="s">
        <v>2258</v>
      </c>
      <c r="B747" s="1938"/>
      <c r="C747" s="1938"/>
      <c r="D747" s="1938"/>
      <c r="E747" s="1938"/>
      <c r="F747" s="1938"/>
      <c r="G747" s="1938"/>
      <c r="H747" s="1938"/>
      <c r="I747" s="1938"/>
      <c r="J747" s="1242">
        <f>SUM(J748:J759)</f>
        <v>3478156.8737492575</v>
      </c>
      <c r="L747" s="812"/>
    </row>
    <row r="748" spans="1:12" hidden="1" outlineLevel="1">
      <c r="A748" s="1214">
        <v>16103</v>
      </c>
      <c r="B748" s="1161" t="s">
        <v>2812</v>
      </c>
      <c r="C748" s="655" t="s">
        <v>285</v>
      </c>
      <c r="D748" s="1162">
        <v>1</v>
      </c>
      <c r="E748" s="938">
        <v>0.15</v>
      </c>
      <c r="F748" s="938">
        <f>+D748*E748</f>
        <v>0.15</v>
      </c>
      <c r="G748" s="938">
        <f t="shared" ref="G748:G772" si="152">+F748/8</f>
        <v>1.8749999999999999E-2</v>
      </c>
      <c r="H748" s="938">
        <v>1</v>
      </c>
      <c r="I748" s="938">
        <f>+ROUNDUP(G748/H748,0)</f>
        <v>1</v>
      </c>
      <c r="J748" s="1154">
        <f>+D748*APU!$J$1436</f>
        <v>13344.562740000003</v>
      </c>
      <c r="L748" s="812"/>
    </row>
    <row r="749" spans="1:12" hidden="1" outlineLevel="1">
      <c r="A749" s="1214">
        <v>16104</v>
      </c>
      <c r="B749" s="1161" t="s">
        <v>2813</v>
      </c>
      <c r="C749" s="655" t="s">
        <v>285</v>
      </c>
      <c r="D749" s="1162">
        <v>20</v>
      </c>
      <c r="E749" s="938">
        <v>0.15</v>
      </c>
      <c r="F749" s="938">
        <f t="shared" ref="F749:F759" si="153">+D749*E749</f>
        <v>3</v>
      </c>
      <c r="G749" s="938">
        <f t="shared" si="152"/>
        <v>0.375</v>
      </c>
      <c r="H749" s="938">
        <v>1</v>
      </c>
      <c r="I749" s="938">
        <f t="shared" ref="I749:I759" si="154">+ROUNDUP(G749/H749,0)</f>
        <v>1</v>
      </c>
      <c r="J749" s="1154">
        <f>+D749*APU!$J$1448</f>
        <v>461434.89480000001</v>
      </c>
      <c r="L749" s="812"/>
    </row>
    <row r="750" spans="1:12" hidden="1" outlineLevel="1">
      <c r="A750" s="1214">
        <v>16105</v>
      </c>
      <c r="B750" s="1161" t="s">
        <v>2814</v>
      </c>
      <c r="C750" s="655" t="s">
        <v>285</v>
      </c>
      <c r="D750" s="1162">
        <v>12</v>
      </c>
      <c r="E750" s="938">
        <v>0.17499999999999999</v>
      </c>
      <c r="F750" s="938">
        <f t="shared" si="153"/>
        <v>2.0999999999999996</v>
      </c>
      <c r="G750" s="938">
        <f t="shared" si="152"/>
        <v>0.26249999999999996</v>
      </c>
      <c r="H750" s="938">
        <v>1</v>
      </c>
      <c r="I750" s="938">
        <f t="shared" si="154"/>
        <v>1</v>
      </c>
      <c r="J750" s="1154">
        <f>+D750*APU!$J$1460</f>
        <v>409939.41671999998</v>
      </c>
      <c r="L750"/>
    </row>
    <row r="751" spans="1:12" hidden="1" outlineLevel="1">
      <c r="A751" s="1214">
        <v>16106</v>
      </c>
      <c r="B751" s="1161" t="s">
        <v>2815</v>
      </c>
      <c r="C751" s="655" t="s">
        <v>285</v>
      </c>
      <c r="D751" s="1162">
        <v>2</v>
      </c>
      <c r="E751" s="938">
        <v>0.26500000000000001</v>
      </c>
      <c r="F751" s="938">
        <f t="shared" si="153"/>
        <v>0.53</v>
      </c>
      <c r="G751" s="938">
        <f t="shared" si="152"/>
        <v>6.6250000000000003E-2</v>
      </c>
      <c r="H751" s="938">
        <v>1</v>
      </c>
      <c r="I751" s="938">
        <f t="shared" si="154"/>
        <v>1</v>
      </c>
      <c r="J751" s="1154">
        <f>+D751*APU!$J$1472</f>
        <v>203460.98179999998</v>
      </c>
      <c r="L751"/>
    </row>
    <row r="752" spans="1:12" hidden="1" outlineLevel="1">
      <c r="A752" s="1214">
        <v>16107</v>
      </c>
      <c r="B752" s="1161" t="s">
        <v>2817</v>
      </c>
      <c r="C752" s="655" t="s">
        <v>285</v>
      </c>
      <c r="D752" s="1160">
        <v>2</v>
      </c>
      <c r="E752" s="938">
        <v>0.3</v>
      </c>
      <c r="F752" s="938">
        <f t="shared" si="153"/>
        <v>0.6</v>
      </c>
      <c r="G752" s="938">
        <f t="shared" si="152"/>
        <v>7.4999999999999997E-2</v>
      </c>
      <c r="H752" s="938">
        <v>1</v>
      </c>
      <c r="I752" s="938">
        <f t="shared" si="154"/>
        <v>1</v>
      </c>
      <c r="J752" s="1154">
        <f>+D752*APU!$J$1492</f>
        <v>22682.447339999999</v>
      </c>
      <c r="L752" s="1408"/>
    </row>
    <row r="753" spans="1:12" hidden="1" outlineLevel="1">
      <c r="A753" s="1214">
        <v>16108</v>
      </c>
      <c r="B753" s="1161" t="s">
        <v>2786</v>
      </c>
      <c r="C753" s="655" t="s">
        <v>285</v>
      </c>
      <c r="D753" s="1160">
        <v>3</v>
      </c>
      <c r="E753" s="938">
        <v>0.13</v>
      </c>
      <c r="F753" s="938">
        <f t="shared" si="153"/>
        <v>0.39</v>
      </c>
      <c r="G753" s="938">
        <f t="shared" si="152"/>
        <v>4.8750000000000002E-2</v>
      </c>
      <c r="H753" s="938">
        <v>1</v>
      </c>
      <c r="I753" s="938">
        <f t="shared" si="154"/>
        <v>1</v>
      </c>
      <c r="J753" s="1154">
        <f>+D753*APU!$J$1523</f>
        <v>229711.58084700006</v>
      </c>
      <c r="L753" s="1408"/>
    </row>
    <row r="754" spans="1:12" hidden="1" outlineLevel="1">
      <c r="A754" s="1214">
        <v>16109</v>
      </c>
      <c r="B754" s="1161" t="s">
        <v>2821</v>
      </c>
      <c r="C754" s="655" t="s">
        <v>285</v>
      </c>
      <c r="D754" s="1162">
        <v>6</v>
      </c>
      <c r="E754" s="938">
        <v>0.3</v>
      </c>
      <c r="F754" s="938">
        <f t="shared" si="153"/>
        <v>1.7999999999999998</v>
      </c>
      <c r="G754" s="938">
        <f t="shared" si="152"/>
        <v>0.22499999999999998</v>
      </c>
      <c r="H754" s="938">
        <v>1</v>
      </c>
      <c r="I754" s="938">
        <f t="shared" si="154"/>
        <v>1</v>
      </c>
      <c r="J754" s="1154">
        <f>+D754*APU!$J$1550</f>
        <v>68047.342019999996</v>
      </c>
      <c r="L754" s="812"/>
    </row>
    <row r="755" spans="1:12" hidden="1" outlineLevel="1">
      <c r="A755" s="1214">
        <v>16110</v>
      </c>
      <c r="B755" s="1161" t="s">
        <v>2823</v>
      </c>
      <c r="C755" s="655" t="s">
        <v>285</v>
      </c>
      <c r="D755" s="1162">
        <v>3</v>
      </c>
      <c r="E755" s="938">
        <v>0.3</v>
      </c>
      <c r="F755" s="938">
        <f t="shared" si="153"/>
        <v>0.89999999999999991</v>
      </c>
      <c r="G755" s="938">
        <f t="shared" si="152"/>
        <v>0.11249999999999999</v>
      </c>
      <c r="H755" s="938">
        <v>1</v>
      </c>
      <c r="I755" s="938">
        <f t="shared" si="154"/>
        <v>1</v>
      </c>
      <c r="J755" s="1154">
        <f>+D755*APU!$J$1573</f>
        <v>85994.364180000019</v>
      </c>
      <c r="L755" s="812"/>
    </row>
    <row r="756" spans="1:12" hidden="1" outlineLevel="1">
      <c r="A756" s="1214">
        <v>16111</v>
      </c>
      <c r="B756" s="1161" t="s">
        <v>2825</v>
      </c>
      <c r="C756" s="655" t="s">
        <v>48</v>
      </c>
      <c r="D756" s="1163">
        <v>5.9657142857142862</v>
      </c>
      <c r="E756" s="938">
        <v>0.17499999999999999</v>
      </c>
      <c r="F756" s="938">
        <f t="shared" si="153"/>
        <v>1.044</v>
      </c>
      <c r="G756" s="938">
        <f t="shared" si="152"/>
        <v>0.1305</v>
      </c>
      <c r="H756" s="938">
        <v>1</v>
      </c>
      <c r="I756" s="938">
        <f t="shared" si="154"/>
        <v>1</v>
      </c>
      <c r="J756" s="1154">
        <f>+D756*APU!$J$1609</f>
        <v>606895.04285485717</v>
      </c>
      <c r="L756" s="812"/>
    </row>
    <row r="757" spans="1:12" hidden="1" outlineLevel="1">
      <c r="A757" s="1214">
        <v>16112</v>
      </c>
      <c r="B757" s="1161" t="s">
        <v>2826</v>
      </c>
      <c r="C757" s="655" t="s">
        <v>48</v>
      </c>
      <c r="D757" s="1162">
        <v>3.04</v>
      </c>
      <c r="E757" s="938">
        <v>0.26500000000000001</v>
      </c>
      <c r="F757" s="938">
        <f t="shared" si="153"/>
        <v>0.80560000000000009</v>
      </c>
      <c r="G757" s="938">
        <f t="shared" si="152"/>
        <v>0.10070000000000001</v>
      </c>
      <c r="H757" s="938">
        <v>1</v>
      </c>
      <c r="I757" s="938">
        <f t="shared" si="154"/>
        <v>1</v>
      </c>
      <c r="J757" s="1154">
        <f>+D757*APU!$J$1609</f>
        <v>309260.69233599998</v>
      </c>
      <c r="L757" s="812"/>
    </row>
    <row r="758" spans="1:12" hidden="1" outlineLevel="1">
      <c r="A758" s="1214">
        <v>16113</v>
      </c>
      <c r="B758" s="1161" t="s">
        <v>2827</v>
      </c>
      <c r="C758" s="655" t="s">
        <v>48</v>
      </c>
      <c r="D758" s="1162">
        <v>2.97</v>
      </c>
      <c r="E758" s="938">
        <v>0.3</v>
      </c>
      <c r="F758" s="938">
        <f t="shared" si="153"/>
        <v>0.89100000000000001</v>
      </c>
      <c r="G758" s="938">
        <f t="shared" si="152"/>
        <v>0.111375</v>
      </c>
      <c r="H758" s="938">
        <v>1</v>
      </c>
      <c r="I758" s="938">
        <f t="shared" si="154"/>
        <v>1</v>
      </c>
      <c r="J758" s="1154">
        <f>+D758*APU!$J$1620</f>
        <v>33683.4342999</v>
      </c>
      <c r="L758"/>
    </row>
    <row r="759" spans="1:12" ht="15.75" hidden="1" outlineLevel="1" thickBot="1">
      <c r="A759" s="1214">
        <v>16114</v>
      </c>
      <c r="B759" s="1161" t="s">
        <v>2831</v>
      </c>
      <c r="C759" s="655" t="s">
        <v>48</v>
      </c>
      <c r="D759" s="1162">
        <v>13.5</v>
      </c>
      <c r="E759" s="938">
        <v>0.3</v>
      </c>
      <c r="F759" s="938">
        <f t="shared" si="153"/>
        <v>4.05</v>
      </c>
      <c r="G759" s="938">
        <f t="shared" si="152"/>
        <v>0.50624999999999998</v>
      </c>
      <c r="H759" s="938">
        <v>1</v>
      </c>
      <c r="I759" s="938">
        <f t="shared" si="154"/>
        <v>1</v>
      </c>
      <c r="J759" s="1154">
        <f>+D759*APU!$J$1651</f>
        <v>1033702.1138115003</v>
      </c>
      <c r="L759"/>
    </row>
    <row r="760" spans="1:12" ht="15.75" hidden="1" outlineLevel="1" thickBot="1">
      <c r="A760" s="1937" t="s">
        <v>2261</v>
      </c>
      <c r="B760" s="1938"/>
      <c r="C760" s="1938"/>
      <c r="D760" s="1938"/>
      <c r="E760" s="1938"/>
      <c r="F760" s="1938"/>
      <c r="G760" s="1938"/>
      <c r="H760" s="1938"/>
      <c r="I760" s="1938"/>
      <c r="J760" s="1242">
        <f>SUM(J761:J772)</f>
        <v>3307348.7834492577</v>
      </c>
      <c r="L760" s="1408"/>
    </row>
    <row r="761" spans="1:12" hidden="1" outlineLevel="1">
      <c r="A761" s="1214">
        <v>16115</v>
      </c>
      <c r="B761" s="1161" t="s">
        <v>2812</v>
      </c>
      <c r="C761" s="655" t="s">
        <v>285</v>
      </c>
      <c r="D761" s="1162">
        <v>1</v>
      </c>
      <c r="E761" s="938">
        <v>0.15</v>
      </c>
      <c r="F761" s="938">
        <f>+D761*E761</f>
        <v>0.15</v>
      </c>
      <c r="G761" s="938">
        <f t="shared" si="152"/>
        <v>1.8749999999999999E-2</v>
      </c>
      <c r="H761" s="938">
        <v>1</v>
      </c>
      <c r="I761" s="938">
        <f>+ROUNDUP(G761/H761,0)</f>
        <v>1</v>
      </c>
      <c r="J761" s="1154">
        <f>+D761*APU!$J$1436</f>
        <v>13344.562740000003</v>
      </c>
      <c r="L761" s="1408"/>
    </row>
    <row r="762" spans="1:12" hidden="1" outlineLevel="1">
      <c r="A762" s="1214">
        <v>16116</v>
      </c>
      <c r="B762" s="1161" t="s">
        <v>2813</v>
      </c>
      <c r="C762" s="655" t="s">
        <v>285</v>
      </c>
      <c r="D762" s="1162">
        <v>20</v>
      </c>
      <c r="E762" s="938">
        <v>0.15</v>
      </c>
      <c r="F762" s="938">
        <f t="shared" ref="F762:F772" si="155">+D762*E762</f>
        <v>3</v>
      </c>
      <c r="G762" s="938">
        <f t="shared" si="152"/>
        <v>0.375</v>
      </c>
      <c r="H762" s="938">
        <v>1</v>
      </c>
      <c r="I762" s="938">
        <f t="shared" ref="I762:I772" si="156">+ROUNDUP(G762/H762,0)</f>
        <v>1</v>
      </c>
      <c r="J762" s="1154">
        <f>+D762*APU!$J$1448</f>
        <v>461434.89480000001</v>
      </c>
      <c r="L762" s="812"/>
    </row>
    <row r="763" spans="1:12" hidden="1" outlineLevel="1">
      <c r="A763" s="1214">
        <v>16117</v>
      </c>
      <c r="B763" s="1161" t="s">
        <v>2814</v>
      </c>
      <c r="C763" s="655" t="s">
        <v>285</v>
      </c>
      <c r="D763" s="1162">
        <v>7</v>
      </c>
      <c r="E763" s="938">
        <v>0.17499999999999999</v>
      </c>
      <c r="F763" s="938">
        <f t="shared" si="155"/>
        <v>1.2249999999999999</v>
      </c>
      <c r="G763" s="938">
        <f t="shared" si="152"/>
        <v>0.15312499999999998</v>
      </c>
      <c r="H763" s="938">
        <v>1</v>
      </c>
      <c r="I763" s="938">
        <f t="shared" si="156"/>
        <v>1</v>
      </c>
      <c r="J763" s="1154">
        <f>+D763*APU!$J$1460</f>
        <v>239131.32642</v>
      </c>
      <c r="L763" s="812"/>
    </row>
    <row r="764" spans="1:12" hidden="1" outlineLevel="1">
      <c r="A764" s="1214">
        <v>16118</v>
      </c>
      <c r="B764" s="1161" t="s">
        <v>2815</v>
      </c>
      <c r="C764" s="655" t="s">
        <v>285</v>
      </c>
      <c r="D764" s="1162">
        <v>2</v>
      </c>
      <c r="E764" s="938">
        <v>0.26500000000000001</v>
      </c>
      <c r="F764" s="938">
        <f t="shared" si="155"/>
        <v>0.53</v>
      </c>
      <c r="G764" s="938">
        <f t="shared" si="152"/>
        <v>6.6250000000000003E-2</v>
      </c>
      <c r="H764" s="938">
        <v>1</v>
      </c>
      <c r="I764" s="938">
        <f t="shared" si="156"/>
        <v>1</v>
      </c>
      <c r="J764" s="1154">
        <f>+D764*APU!$J$1472</f>
        <v>203460.98179999998</v>
      </c>
      <c r="L764" s="812"/>
    </row>
    <row r="765" spans="1:12" hidden="1" outlineLevel="1">
      <c r="A765" s="1214">
        <v>16119</v>
      </c>
      <c r="B765" s="1161" t="s">
        <v>2817</v>
      </c>
      <c r="C765" s="655" t="s">
        <v>285</v>
      </c>
      <c r="D765" s="1160">
        <v>2</v>
      </c>
      <c r="E765" s="1161">
        <v>0.3</v>
      </c>
      <c r="F765" s="938">
        <f t="shared" si="155"/>
        <v>0.6</v>
      </c>
      <c r="G765" s="938">
        <f t="shared" si="152"/>
        <v>7.4999999999999997E-2</v>
      </c>
      <c r="H765" s="938">
        <v>1</v>
      </c>
      <c r="I765" s="938">
        <f t="shared" si="156"/>
        <v>1</v>
      </c>
      <c r="J765" s="1154">
        <f>+D765*APU!$J$1492</f>
        <v>22682.447339999999</v>
      </c>
      <c r="L765" s="812"/>
    </row>
    <row r="766" spans="1:12" hidden="1" outlineLevel="1">
      <c r="A766" s="1214">
        <v>16120</v>
      </c>
      <c r="B766" s="1161" t="s">
        <v>2786</v>
      </c>
      <c r="C766" s="655" t="s">
        <v>285</v>
      </c>
      <c r="D766" s="1160">
        <v>3</v>
      </c>
      <c r="E766" s="938">
        <v>0.13</v>
      </c>
      <c r="F766" s="938">
        <f t="shared" si="155"/>
        <v>0.39</v>
      </c>
      <c r="G766" s="938">
        <f t="shared" si="152"/>
        <v>4.8750000000000002E-2</v>
      </c>
      <c r="H766" s="938">
        <v>1</v>
      </c>
      <c r="I766" s="938">
        <f t="shared" si="156"/>
        <v>1</v>
      </c>
      <c r="J766" s="1154">
        <f>+D766*APU!$J$1523</f>
        <v>229711.58084700006</v>
      </c>
      <c r="L766"/>
    </row>
    <row r="767" spans="1:12" hidden="1" outlineLevel="1">
      <c r="A767" s="1214">
        <v>16121</v>
      </c>
      <c r="B767" s="1161" t="s">
        <v>2821</v>
      </c>
      <c r="C767" s="655" t="s">
        <v>285</v>
      </c>
      <c r="D767" s="1162">
        <v>6</v>
      </c>
      <c r="E767" s="938">
        <v>0.3</v>
      </c>
      <c r="F767" s="938">
        <f t="shared" si="155"/>
        <v>1.7999999999999998</v>
      </c>
      <c r="G767" s="938">
        <f t="shared" si="152"/>
        <v>0.22499999999999998</v>
      </c>
      <c r="H767" s="938">
        <v>1</v>
      </c>
      <c r="I767" s="938">
        <f t="shared" si="156"/>
        <v>1</v>
      </c>
      <c r="J767" s="1154">
        <f>+D767*APU!$J$1550</f>
        <v>68047.342019999996</v>
      </c>
      <c r="L767"/>
    </row>
    <row r="768" spans="1:12" hidden="1" outlineLevel="1">
      <c r="A768" s="1214">
        <v>16122</v>
      </c>
      <c r="B768" s="1161" t="s">
        <v>2823</v>
      </c>
      <c r="C768" s="655" t="s">
        <v>285</v>
      </c>
      <c r="D768" s="1162">
        <v>3</v>
      </c>
      <c r="E768" s="938">
        <v>0.3</v>
      </c>
      <c r="F768" s="938">
        <f t="shared" si="155"/>
        <v>0.89999999999999991</v>
      </c>
      <c r="G768" s="938">
        <f t="shared" si="152"/>
        <v>0.11249999999999999</v>
      </c>
      <c r="H768" s="938">
        <v>1</v>
      </c>
      <c r="I768" s="938">
        <f t="shared" si="156"/>
        <v>1</v>
      </c>
      <c r="J768" s="1154">
        <f>+D768*APU!$J$1573</f>
        <v>85994.364180000019</v>
      </c>
      <c r="L768" s="1408"/>
    </row>
    <row r="769" spans="1:12" hidden="1" outlineLevel="1">
      <c r="A769" s="1214">
        <v>16123</v>
      </c>
      <c r="B769" s="1161" t="s">
        <v>2825</v>
      </c>
      <c r="C769" s="655" t="s">
        <v>48</v>
      </c>
      <c r="D769" s="1163">
        <v>5.9657142857142862</v>
      </c>
      <c r="E769" s="938">
        <v>0.17499999999999999</v>
      </c>
      <c r="F769" s="938">
        <f t="shared" si="155"/>
        <v>1.044</v>
      </c>
      <c r="G769" s="938">
        <f t="shared" si="152"/>
        <v>0.1305</v>
      </c>
      <c r="H769" s="938">
        <v>1</v>
      </c>
      <c r="I769" s="938">
        <f t="shared" si="156"/>
        <v>1</v>
      </c>
      <c r="J769" s="1154">
        <f>+D769*APU!$J$1609</f>
        <v>606895.04285485717</v>
      </c>
      <c r="L769" s="1408"/>
    </row>
    <row r="770" spans="1:12" hidden="1" outlineLevel="1">
      <c r="A770" s="1214">
        <v>16124</v>
      </c>
      <c r="B770" s="1161" t="s">
        <v>2826</v>
      </c>
      <c r="C770" s="655" t="s">
        <v>48</v>
      </c>
      <c r="D770" s="1162">
        <v>3.04</v>
      </c>
      <c r="E770" s="938">
        <v>0.26500000000000001</v>
      </c>
      <c r="F770" s="938">
        <f t="shared" si="155"/>
        <v>0.80560000000000009</v>
      </c>
      <c r="G770" s="938">
        <f t="shared" si="152"/>
        <v>0.10070000000000001</v>
      </c>
      <c r="H770" s="938">
        <v>1</v>
      </c>
      <c r="I770" s="938">
        <f t="shared" si="156"/>
        <v>1</v>
      </c>
      <c r="J770" s="1154">
        <f>+D770*APU!$J$1609</f>
        <v>309260.69233599998</v>
      </c>
      <c r="L770" s="812"/>
    </row>
    <row r="771" spans="1:12" hidden="1" outlineLevel="1">
      <c r="A771" s="1214">
        <v>16125</v>
      </c>
      <c r="B771" s="1161" t="s">
        <v>2827</v>
      </c>
      <c r="C771" s="655" t="s">
        <v>48</v>
      </c>
      <c r="D771" s="1162">
        <v>2.97</v>
      </c>
      <c r="E771" s="938">
        <v>0.3</v>
      </c>
      <c r="F771" s="938">
        <f t="shared" si="155"/>
        <v>0.89100000000000001</v>
      </c>
      <c r="G771" s="938">
        <f t="shared" si="152"/>
        <v>0.111375</v>
      </c>
      <c r="H771" s="938">
        <v>1</v>
      </c>
      <c r="I771" s="938">
        <f t="shared" si="156"/>
        <v>1</v>
      </c>
      <c r="J771" s="1154">
        <f>+D771*APU!$J$1620</f>
        <v>33683.4342999</v>
      </c>
      <c r="L771" s="812"/>
    </row>
    <row r="772" spans="1:12" ht="15.75" hidden="1" outlineLevel="1" thickBot="1">
      <c r="A772" s="1214">
        <v>16126</v>
      </c>
      <c r="B772" s="1161" t="s">
        <v>2831</v>
      </c>
      <c r="C772" s="655" t="s">
        <v>48</v>
      </c>
      <c r="D772" s="1162">
        <v>13.5</v>
      </c>
      <c r="E772" s="938">
        <v>0.3</v>
      </c>
      <c r="F772" s="938">
        <f t="shared" si="155"/>
        <v>4.05</v>
      </c>
      <c r="G772" s="938">
        <f t="shared" si="152"/>
        <v>0.50624999999999998</v>
      </c>
      <c r="H772" s="938">
        <v>1</v>
      </c>
      <c r="I772" s="938">
        <f t="shared" si="156"/>
        <v>1</v>
      </c>
      <c r="J772" s="1154">
        <f>+D772*APU!$J$1651</f>
        <v>1033702.1138115003</v>
      </c>
      <c r="L772" s="812"/>
    </row>
    <row r="773" spans="1:12" ht="15.75" hidden="1" outlineLevel="1" thickBot="1">
      <c r="A773" s="1937" t="s">
        <v>2264</v>
      </c>
      <c r="B773" s="1938"/>
      <c r="C773" s="1938"/>
      <c r="D773" s="1938"/>
      <c r="E773" s="1938"/>
      <c r="F773" s="1938"/>
      <c r="G773" s="1938"/>
      <c r="H773" s="1938"/>
      <c r="I773" s="1938"/>
      <c r="J773" s="1242">
        <f>SUM(J774:J783)</f>
        <v>3282181.8902072576</v>
      </c>
      <c r="L773" s="812"/>
    </row>
    <row r="774" spans="1:12" hidden="1" outlineLevel="1">
      <c r="A774" s="1214">
        <v>16127</v>
      </c>
      <c r="B774" s="1161" t="s">
        <v>2813</v>
      </c>
      <c r="C774" s="655" t="s">
        <v>285</v>
      </c>
      <c r="D774" s="1160">
        <v>17</v>
      </c>
      <c r="E774" s="938">
        <v>0.15</v>
      </c>
      <c r="F774" s="938">
        <f>+D774*E774</f>
        <v>2.5499999999999998</v>
      </c>
      <c r="G774" s="938">
        <f t="shared" ref="G774:G783" si="157">+F774/8</f>
        <v>0.31874999999999998</v>
      </c>
      <c r="H774" s="938">
        <v>1</v>
      </c>
      <c r="I774" s="938">
        <f>+ROUNDUP(G774/H774,0)</f>
        <v>1</v>
      </c>
      <c r="J774" s="1154">
        <f>+D774*APU!$J$1448</f>
        <v>392219.66058000003</v>
      </c>
      <c r="L774"/>
    </row>
    <row r="775" spans="1:12" hidden="1" outlineLevel="1">
      <c r="A775" s="1214">
        <v>16128</v>
      </c>
      <c r="B775" s="1161" t="s">
        <v>2814</v>
      </c>
      <c r="C775" s="655" t="s">
        <v>285</v>
      </c>
      <c r="D775" s="1160">
        <v>7</v>
      </c>
      <c r="E775" s="938">
        <v>0.17499999999999999</v>
      </c>
      <c r="F775" s="938">
        <f t="shared" ref="F775:F783" si="158">+D775*E775</f>
        <v>1.2249999999999999</v>
      </c>
      <c r="G775" s="938">
        <f t="shared" si="157"/>
        <v>0.15312499999999998</v>
      </c>
      <c r="H775" s="938">
        <v>1</v>
      </c>
      <c r="I775" s="938">
        <f t="shared" ref="I775:I783" si="159">+ROUNDUP(G775/H775,0)</f>
        <v>1</v>
      </c>
      <c r="J775" s="1154">
        <f>+D775*APU!$J$1460</f>
        <v>239131.32642</v>
      </c>
      <c r="L775"/>
    </row>
    <row r="776" spans="1:12" hidden="1" outlineLevel="1">
      <c r="A776" s="1214">
        <v>16129</v>
      </c>
      <c r="B776" s="1161" t="s">
        <v>2815</v>
      </c>
      <c r="C776" s="655" t="s">
        <v>285</v>
      </c>
      <c r="D776" s="1160">
        <v>1</v>
      </c>
      <c r="E776" s="938">
        <v>0.26500000000000001</v>
      </c>
      <c r="F776" s="938">
        <f t="shared" si="158"/>
        <v>0.26500000000000001</v>
      </c>
      <c r="G776" s="938">
        <f t="shared" si="157"/>
        <v>3.3125000000000002E-2</v>
      </c>
      <c r="H776" s="938">
        <v>1</v>
      </c>
      <c r="I776" s="938">
        <f t="shared" si="159"/>
        <v>1</v>
      </c>
      <c r="J776" s="1154">
        <f>+D776*APU!$J$1472</f>
        <v>101730.49089999999</v>
      </c>
      <c r="L776" s="1408"/>
    </row>
    <row r="777" spans="1:12" hidden="1" outlineLevel="1">
      <c r="A777" s="1214">
        <v>16130</v>
      </c>
      <c r="B777" s="1161" t="s">
        <v>2786</v>
      </c>
      <c r="C777" s="655" t="s">
        <v>285</v>
      </c>
      <c r="D777" s="1160">
        <v>5</v>
      </c>
      <c r="E777" s="938">
        <v>0.13</v>
      </c>
      <c r="F777" s="938">
        <f t="shared" si="158"/>
        <v>0.65</v>
      </c>
      <c r="G777" s="938">
        <f t="shared" si="157"/>
        <v>8.1250000000000003E-2</v>
      </c>
      <c r="H777" s="938">
        <v>1</v>
      </c>
      <c r="I777" s="938">
        <f t="shared" si="159"/>
        <v>1</v>
      </c>
      <c r="J777" s="1154">
        <f>+D777*APU!$J$1523</f>
        <v>382852.6347450001</v>
      </c>
      <c r="L777" s="1408"/>
    </row>
    <row r="778" spans="1:12" hidden="1" outlineLevel="1">
      <c r="A778" s="1214">
        <v>16131</v>
      </c>
      <c r="B778" s="1161" t="s">
        <v>2821</v>
      </c>
      <c r="C778" s="655" t="s">
        <v>285</v>
      </c>
      <c r="D778" s="1162">
        <v>6</v>
      </c>
      <c r="E778" s="938">
        <v>0.3</v>
      </c>
      <c r="F778" s="938">
        <f t="shared" si="158"/>
        <v>1.7999999999999998</v>
      </c>
      <c r="G778" s="938">
        <f t="shared" si="157"/>
        <v>0.22499999999999998</v>
      </c>
      <c r="H778" s="938">
        <v>1</v>
      </c>
      <c r="I778" s="938">
        <f t="shared" si="159"/>
        <v>1</v>
      </c>
      <c r="J778" s="1154">
        <f>+D778*APU!$J$1550</f>
        <v>68047.342019999996</v>
      </c>
      <c r="L778" s="812"/>
    </row>
    <row r="779" spans="1:12" hidden="1" outlineLevel="1">
      <c r="A779" s="1214">
        <v>16132</v>
      </c>
      <c r="B779" s="1161" t="s">
        <v>2823</v>
      </c>
      <c r="C779" s="655" t="s">
        <v>285</v>
      </c>
      <c r="D779" s="1162">
        <v>4</v>
      </c>
      <c r="E779" s="938">
        <v>0.3</v>
      </c>
      <c r="F779" s="938">
        <f t="shared" si="158"/>
        <v>1.2</v>
      </c>
      <c r="G779" s="938">
        <f t="shared" si="157"/>
        <v>0.15</v>
      </c>
      <c r="H779" s="938">
        <v>1</v>
      </c>
      <c r="I779" s="938">
        <f t="shared" si="159"/>
        <v>1</v>
      </c>
      <c r="J779" s="1154">
        <f>+D779*APU!$J$1573</f>
        <v>114659.15224000002</v>
      </c>
      <c r="L779" s="812"/>
    </row>
    <row r="780" spans="1:12" hidden="1" outlineLevel="1">
      <c r="A780" s="1214">
        <v>16133</v>
      </c>
      <c r="B780" s="1161" t="s">
        <v>2825</v>
      </c>
      <c r="C780" s="655" t="s">
        <v>48</v>
      </c>
      <c r="D780" s="1163">
        <v>5.9657142857142862</v>
      </c>
      <c r="E780" s="938">
        <v>0.17499999999999999</v>
      </c>
      <c r="F780" s="938">
        <f t="shared" si="158"/>
        <v>1.044</v>
      </c>
      <c r="G780" s="938">
        <f t="shared" si="157"/>
        <v>0.1305</v>
      </c>
      <c r="H780" s="938">
        <v>1</v>
      </c>
      <c r="I780" s="938">
        <f t="shared" si="159"/>
        <v>1</v>
      </c>
      <c r="J780" s="1154">
        <f>+D780*APU!$J$1609</f>
        <v>606895.04285485717</v>
      </c>
      <c r="L780" s="812"/>
    </row>
    <row r="781" spans="1:12" hidden="1" outlineLevel="1">
      <c r="A781" s="1214">
        <v>16134</v>
      </c>
      <c r="B781" s="1161" t="s">
        <v>2826</v>
      </c>
      <c r="C781" s="655" t="s">
        <v>48</v>
      </c>
      <c r="D781" s="1162">
        <v>3.04</v>
      </c>
      <c r="E781" s="938">
        <v>0.26500000000000001</v>
      </c>
      <c r="F781" s="938">
        <f t="shared" si="158"/>
        <v>0.80560000000000009</v>
      </c>
      <c r="G781" s="938">
        <f t="shared" si="157"/>
        <v>0.10070000000000001</v>
      </c>
      <c r="H781" s="938">
        <v>1</v>
      </c>
      <c r="I781" s="938">
        <f t="shared" si="159"/>
        <v>1</v>
      </c>
      <c r="J781" s="1154">
        <f>+D781*APU!$J$1609</f>
        <v>309260.69233599998</v>
      </c>
      <c r="L781" s="812"/>
    </row>
    <row r="782" spans="1:12" hidden="1" outlineLevel="1">
      <c r="A782" s="1214">
        <v>16135</v>
      </c>
      <c r="B782" s="1161" t="s">
        <v>2827</v>
      </c>
      <c r="C782" s="655" t="s">
        <v>48</v>
      </c>
      <c r="D782" s="1162">
        <v>2.97</v>
      </c>
      <c r="E782" s="938">
        <v>0.3</v>
      </c>
      <c r="F782" s="938">
        <f t="shared" si="158"/>
        <v>0.89100000000000001</v>
      </c>
      <c r="G782" s="938">
        <f t="shared" si="157"/>
        <v>0.111375</v>
      </c>
      <c r="H782" s="938">
        <v>1</v>
      </c>
      <c r="I782" s="938">
        <f t="shared" si="159"/>
        <v>1</v>
      </c>
      <c r="J782" s="1154">
        <f>+D782*APU!$J$1620</f>
        <v>33683.4342999</v>
      </c>
      <c r="L782"/>
    </row>
    <row r="783" spans="1:12" ht="15.75" hidden="1" outlineLevel="1" thickBot="1">
      <c r="A783" s="1214">
        <v>16136</v>
      </c>
      <c r="B783" s="1161" t="s">
        <v>2831</v>
      </c>
      <c r="C783" s="655" t="s">
        <v>48</v>
      </c>
      <c r="D783" s="1162">
        <v>13.5</v>
      </c>
      <c r="E783" s="938">
        <v>0.3</v>
      </c>
      <c r="F783" s="938">
        <f t="shared" si="158"/>
        <v>4.05</v>
      </c>
      <c r="G783" s="938">
        <f t="shared" si="157"/>
        <v>0.50624999999999998</v>
      </c>
      <c r="H783" s="938">
        <v>1</v>
      </c>
      <c r="I783" s="938">
        <f t="shared" si="159"/>
        <v>1</v>
      </c>
      <c r="J783" s="1154">
        <f>+D783*APU!$J$1651</f>
        <v>1033702.1138115003</v>
      </c>
      <c r="L783"/>
    </row>
    <row r="784" spans="1:12" hidden="1" outlineLevel="1">
      <c r="A784" s="1941" t="s">
        <v>3598</v>
      </c>
      <c r="B784" s="1942"/>
      <c r="C784" s="1942"/>
      <c r="D784" s="1942"/>
      <c r="E784" s="1942"/>
      <c r="F784" s="1942"/>
      <c r="G784" s="1942"/>
      <c r="H784" s="1942"/>
      <c r="I784" s="1942"/>
      <c r="J784" s="1387">
        <f>+SUM(J785:J787)</f>
        <v>7493408.1668800004</v>
      </c>
      <c r="L784" s="1408"/>
    </row>
    <row r="785" spans="1:28" customFormat="1" hidden="1" outlineLevel="1">
      <c r="A785" s="1389">
        <v>16137</v>
      </c>
      <c r="B785" s="5" t="s">
        <v>2405</v>
      </c>
      <c r="C785" s="659" t="s">
        <v>285</v>
      </c>
      <c r="D785" s="1390">
        <v>8</v>
      </c>
      <c r="E785" s="5">
        <v>0.8</v>
      </c>
      <c r="F785" s="5">
        <f>+D785*E785</f>
        <v>6.4</v>
      </c>
      <c r="G785" s="5">
        <f>+F785/8</f>
        <v>0.8</v>
      </c>
      <c r="H785" s="1391">
        <v>1</v>
      </c>
      <c r="I785" s="4">
        <f>ROUNDUP(G785/H785,0)</f>
        <v>1</v>
      </c>
      <c r="J785" s="829">
        <f>+D785*APU!J1684</f>
        <v>2193376.8534400002</v>
      </c>
      <c r="L785" s="1408"/>
    </row>
    <row r="786" spans="1:28" customFormat="1" hidden="1" outlineLevel="1">
      <c r="A786" s="1389">
        <v>16137</v>
      </c>
      <c r="B786" s="5" t="s">
        <v>2408</v>
      </c>
      <c r="C786" s="659" t="s">
        <v>285</v>
      </c>
      <c r="D786" s="1390">
        <v>8</v>
      </c>
      <c r="E786" s="5">
        <v>0.8</v>
      </c>
      <c r="F786" s="5">
        <f>+D786*E786</f>
        <v>6.4</v>
      </c>
      <c r="G786" s="5">
        <f>+F786/8</f>
        <v>0.8</v>
      </c>
      <c r="H786" s="1391">
        <v>1</v>
      </c>
      <c r="I786" s="4">
        <f t="shared" ref="I786:I787" si="160">ROUNDUP(G786/H786,0)</f>
        <v>1</v>
      </c>
      <c r="J786" s="829">
        <f>+D786*APU!J1694</f>
        <v>2193376.8534400002</v>
      </c>
      <c r="L786" s="812"/>
    </row>
    <row r="787" spans="1:28" customFormat="1" hidden="1" outlineLevel="1">
      <c r="A787" s="1389">
        <v>16137</v>
      </c>
      <c r="B787" s="5" t="s">
        <v>2491</v>
      </c>
      <c r="C787" s="659" t="s">
        <v>345</v>
      </c>
      <c r="D787" s="1390">
        <v>30.94</v>
      </c>
      <c r="E787" s="5">
        <f t="shared" ref="E787" si="161">+F787/D787</f>
        <v>0.25856496444731736</v>
      </c>
      <c r="F787" s="5">
        <v>8</v>
      </c>
      <c r="G787" s="5">
        <v>1</v>
      </c>
      <c r="H787" s="1391">
        <v>1</v>
      </c>
      <c r="I787" s="4">
        <f t="shared" si="160"/>
        <v>1</v>
      </c>
      <c r="J787" s="829">
        <f>+D787*APU!J1700</f>
        <v>3106654.46</v>
      </c>
      <c r="L787" s="812"/>
    </row>
    <row r="788" spans="1:28" ht="15.75" collapsed="1" thickBot="1">
      <c r="A788" s="939">
        <v>17</v>
      </c>
      <c r="B788" s="1939" t="s">
        <v>2490</v>
      </c>
      <c r="C788" s="1940"/>
      <c r="D788" s="1940"/>
      <c r="E788" s="1940"/>
      <c r="F788" s="1940"/>
      <c r="G788" s="1940"/>
      <c r="H788" s="1940"/>
      <c r="I788" s="1940"/>
      <c r="J788" s="1388">
        <f>J789+J802+J816+J828+J850+J867+J880+J893+J906+J919</f>
        <v>31164755.514962941</v>
      </c>
      <c r="L788" s="1411"/>
      <c r="M788" s="1457"/>
    </row>
    <row r="789" spans="1:28" ht="15.75" hidden="1" outlineLevel="1" thickBot="1">
      <c r="A789" s="1937" t="s">
        <v>820</v>
      </c>
      <c r="B789" s="1938"/>
      <c r="C789" s="1938"/>
      <c r="D789" s="1938"/>
      <c r="E789" s="1938"/>
      <c r="F789" s="1938"/>
      <c r="G789" s="1938"/>
      <c r="H789" s="1938"/>
      <c r="I789" s="1938"/>
      <c r="J789" s="1242">
        <f>SUM(J790:J801)</f>
        <v>2358536.3147996599</v>
      </c>
      <c r="L789" s="812"/>
    </row>
    <row r="790" spans="1:28" hidden="1" outlineLevel="1">
      <c r="A790" s="1213" t="s">
        <v>1401</v>
      </c>
      <c r="B790" s="1161" t="s">
        <v>1316</v>
      </c>
      <c r="C790" s="1212" t="s">
        <v>285</v>
      </c>
      <c r="D790" s="1161">
        <f>'14. Inst. Hidro-Sanitarias'!E70</f>
        <v>9</v>
      </c>
      <c r="E790" s="1215">
        <f>APU!$F$1741</f>
        <v>0.06</v>
      </c>
      <c r="F790" s="938">
        <f t="shared" ref="F790:F801" si="162">+D790*E790</f>
        <v>0.54</v>
      </c>
      <c r="G790" s="938">
        <f t="shared" ref="G790:G801" si="163">+F790/8</f>
        <v>6.7500000000000004E-2</v>
      </c>
      <c r="H790" s="938">
        <v>1</v>
      </c>
      <c r="I790" s="938">
        <f>+ROUNDUP(G790/H790,0)</f>
        <v>1</v>
      </c>
      <c r="J790" s="1154">
        <f>APU!$J$1744*D790</f>
        <v>60493.454730000005</v>
      </c>
      <c r="L790" s="588"/>
      <c r="M790" s="588"/>
      <c r="N790" s="588"/>
      <c r="O790" s="588"/>
      <c r="P790" s="588"/>
      <c r="Q790" s="588"/>
      <c r="R790" s="1447"/>
      <c r="U790" s="1416"/>
      <c r="Y790" s="1416"/>
      <c r="AB790" s="1461"/>
    </row>
    <row r="791" spans="1:28" hidden="1" outlineLevel="1">
      <c r="A791" s="1213" t="s">
        <v>1402</v>
      </c>
      <c r="B791" s="1161" t="s">
        <v>1317</v>
      </c>
      <c r="C791" s="1212" t="s">
        <v>285</v>
      </c>
      <c r="D791" s="1161">
        <f>'14. Inst. Hidro-Sanitarias'!E71</f>
        <v>1</v>
      </c>
      <c r="E791" s="1215">
        <f>APU!$F$1754</f>
        <v>0.08</v>
      </c>
      <c r="F791" s="938">
        <f t="shared" si="162"/>
        <v>0.08</v>
      </c>
      <c r="G791" s="938">
        <f t="shared" si="163"/>
        <v>0.01</v>
      </c>
      <c r="H791" s="938">
        <v>1</v>
      </c>
      <c r="I791" s="938">
        <f t="shared" ref="I791:I801" si="164">+ROUNDUP(G791/H791,0)</f>
        <v>1</v>
      </c>
      <c r="J791" s="1154">
        <f>APU!$J$1757*D791</f>
        <v>7762.7151400000002</v>
      </c>
      <c r="L791" s="588"/>
      <c r="M791" s="588"/>
      <c r="N791" s="588"/>
      <c r="O791" s="588"/>
      <c r="P791" s="588"/>
      <c r="Q791" s="588"/>
      <c r="R791" s="1447"/>
      <c r="U791" s="1416"/>
      <c r="Y791" s="1416"/>
      <c r="AB791" s="1461"/>
    </row>
    <row r="792" spans="1:28" hidden="1" outlineLevel="1">
      <c r="A792" s="1213" t="s">
        <v>1403</v>
      </c>
      <c r="B792" s="1161" t="s">
        <v>1322</v>
      </c>
      <c r="C792" s="1212" t="s">
        <v>285</v>
      </c>
      <c r="D792" s="1161">
        <f>'14. Inst. Hidro-Sanitarias'!$E$90</f>
        <v>1</v>
      </c>
      <c r="E792" s="1215">
        <f>APU!$F$1819</f>
        <v>0.06</v>
      </c>
      <c r="F792" s="938">
        <f t="shared" si="162"/>
        <v>0.06</v>
      </c>
      <c r="G792" s="938">
        <f t="shared" si="163"/>
        <v>7.4999999999999997E-3</v>
      </c>
      <c r="H792" s="938">
        <v>1</v>
      </c>
      <c r="I792" s="938">
        <f t="shared" si="164"/>
        <v>1</v>
      </c>
      <c r="J792" s="1154">
        <f>'Estructura de Presupuesto'!$H$229*D792</f>
        <v>6721.4949700000006</v>
      </c>
      <c r="L792" s="1416"/>
      <c r="M792" s="1416"/>
      <c r="N792" s="1416"/>
      <c r="O792" s="1416"/>
      <c r="P792" s="1416"/>
      <c r="Q792" s="1416"/>
      <c r="R792" s="1461"/>
      <c r="U792" s="1416"/>
      <c r="Y792" s="1416"/>
      <c r="AB792" s="1461"/>
    </row>
    <row r="793" spans="1:28" hidden="1" outlineLevel="1">
      <c r="A793" s="1213" t="s">
        <v>1404</v>
      </c>
      <c r="B793" s="1161" t="s">
        <v>1323</v>
      </c>
      <c r="C793" s="1212" t="s">
        <v>285</v>
      </c>
      <c r="D793" s="1161">
        <f>'14. Inst. Hidro-Sanitarias'!$E$91</f>
        <v>2</v>
      </c>
      <c r="E793" s="1215">
        <f>APU!$F$1831</f>
        <v>0.08</v>
      </c>
      <c r="F793" s="938">
        <f t="shared" si="162"/>
        <v>0.16</v>
      </c>
      <c r="G793" s="938">
        <f t="shared" si="163"/>
        <v>0.02</v>
      </c>
      <c r="H793" s="938">
        <v>1</v>
      </c>
      <c r="I793" s="938">
        <f t="shared" si="164"/>
        <v>1</v>
      </c>
      <c r="J793" s="1154">
        <f>'Estructura de Presupuesto'!$H$230*D793</f>
        <v>15525.43028</v>
      </c>
      <c r="L793" s="1416"/>
      <c r="M793" s="1416"/>
      <c r="N793" s="1416"/>
      <c r="O793" s="1416"/>
      <c r="P793" s="1416"/>
      <c r="Q793" s="1416"/>
      <c r="R793" s="1461"/>
      <c r="U793" s="1416"/>
      <c r="Y793" s="1416"/>
      <c r="AB793" s="1461"/>
    </row>
    <row r="794" spans="1:28" hidden="1" outlineLevel="1">
      <c r="A794" s="1213" t="s">
        <v>1405</v>
      </c>
      <c r="B794" s="1161" t="s">
        <v>1324</v>
      </c>
      <c r="C794" s="1212" t="s">
        <v>285</v>
      </c>
      <c r="D794" s="1161">
        <f>'14. Inst. Hidro-Sanitarias'!$E$92</f>
        <v>4</v>
      </c>
      <c r="E794" s="1215">
        <f>APU!$F$1844</f>
        <v>0.12</v>
      </c>
      <c r="F794" s="938">
        <f t="shared" si="162"/>
        <v>0.48</v>
      </c>
      <c r="G794" s="938">
        <f t="shared" si="163"/>
        <v>0.06</v>
      </c>
      <c r="H794" s="938">
        <v>1</v>
      </c>
      <c r="I794" s="938">
        <f t="shared" si="164"/>
        <v>1</v>
      </c>
      <c r="J794" s="1154">
        <f>'Estructura de Presupuesto'!$H$231*D794</f>
        <v>84117.535760000013</v>
      </c>
      <c r="L794" s="1460"/>
      <c r="M794" s="1460"/>
      <c r="N794" s="1460"/>
      <c r="O794" s="1460"/>
      <c r="P794" s="1460"/>
      <c r="Q794" s="1460"/>
      <c r="R794" s="1462"/>
      <c r="U794" s="1416"/>
      <c r="Y794" s="1416"/>
      <c r="AB794" s="1461"/>
    </row>
    <row r="795" spans="1:28" hidden="1" outlineLevel="1">
      <c r="A795" s="1213" t="s">
        <v>1406</v>
      </c>
      <c r="B795" s="1161" t="s">
        <v>1333</v>
      </c>
      <c r="C795" s="1212" t="s">
        <v>285</v>
      </c>
      <c r="D795" s="1161">
        <f>'14. Inst. Hidro-Sanitarias'!$I$53</f>
        <v>1</v>
      </c>
      <c r="E795" s="1215">
        <f>APU!$F$1944</f>
        <v>0.44600000000000001</v>
      </c>
      <c r="F795" s="938">
        <f t="shared" si="162"/>
        <v>0.44600000000000001</v>
      </c>
      <c r="G795" s="938">
        <f t="shared" si="163"/>
        <v>5.5750000000000001E-2</v>
      </c>
      <c r="H795" s="938">
        <v>1</v>
      </c>
      <c r="I795" s="938">
        <f t="shared" si="164"/>
        <v>1</v>
      </c>
      <c r="J795" s="1154">
        <f>'Estructura de Presupuesto'!$H$240</f>
        <v>112524.52654300001</v>
      </c>
      <c r="L795" s="1460"/>
      <c r="M795" s="1460"/>
      <c r="N795" s="1460"/>
      <c r="O795" s="1460"/>
      <c r="P795" s="1460"/>
      <c r="Q795" s="1460"/>
      <c r="R795" s="1462"/>
      <c r="U795" s="1416"/>
      <c r="Y795" s="1416"/>
      <c r="AB795" s="1461"/>
    </row>
    <row r="796" spans="1:28" hidden="1" outlineLevel="1">
      <c r="A796" s="1213" t="s">
        <v>1407</v>
      </c>
      <c r="B796" s="1161" t="s">
        <v>1341</v>
      </c>
      <c r="C796" s="1212" t="s">
        <v>345</v>
      </c>
      <c r="D796" s="1161">
        <f>'14. Inst. Hidro-Sanitarias'!$R$86</f>
        <v>14.047777777777778</v>
      </c>
      <c r="E796" s="1215">
        <f>APU!$F$2026</f>
        <v>0.33900000000000002</v>
      </c>
      <c r="F796" s="938">
        <f t="shared" si="162"/>
        <v>4.7621966666666671</v>
      </c>
      <c r="G796" s="938">
        <f t="shared" si="163"/>
        <v>0.59527458333333338</v>
      </c>
      <c r="H796" s="938">
        <v>1</v>
      </c>
      <c r="I796" s="938">
        <f t="shared" si="164"/>
        <v>1</v>
      </c>
      <c r="J796" s="1154">
        <f>'Estructura de Presupuesto'!$H$248*D796</f>
        <v>486311.5703937838</v>
      </c>
      <c r="L796" s="1460"/>
      <c r="M796" s="1460"/>
      <c r="N796" s="1460"/>
      <c r="O796" s="1460"/>
      <c r="P796" s="1460"/>
      <c r="Q796" s="1460"/>
      <c r="R796" s="1462"/>
      <c r="U796" s="1416"/>
      <c r="Y796" s="1416"/>
      <c r="AB796" s="1461"/>
    </row>
    <row r="797" spans="1:28" hidden="1" outlineLevel="1">
      <c r="A797" s="1213" t="s">
        <v>1408</v>
      </c>
      <c r="B797" s="1161" t="s">
        <v>1342</v>
      </c>
      <c r="C797" s="1212" t="s">
        <v>345</v>
      </c>
      <c r="D797" s="1161">
        <f>'14. Inst. Hidro-Sanitarias'!$R$87</f>
        <v>17.907777777777778</v>
      </c>
      <c r="E797" s="1215">
        <f>APU!$F$2037</f>
        <v>0.33900000000000002</v>
      </c>
      <c r="F797" s="938">
        <f t="shared" si="162"/>
        <v>6.0707366666666669</v>
      </c>
      <c r="G797" s="938">
        <f t="shared" si="163"/>
        <v>0.75884208333333336</v>
      </c>
      <c r="H797" s="938">
        <v>1</v>
      </c>
      <c r="I797" s="938">
        <f t="shared" si="164"/>
        <v>1</v>
      </c>
      <c r="J797" s="1154">
        <f>'Estructura de Presupuesto'!$H$249*D797</f>
        <v>619938.5889453938</v>
      </c>
      <c r="L797" s="1460"/>
      <c r="M797" s="1460"/>
      <c r="N797" s="1460"/>
      <c r="O797" s="1460"/>
      <c r="P797" s="1460"/>
      <c r="Q797" s="1460"/>
      <c r="R797" s="1462"/>
      <c r="U797" s="1416"/>
      <c r="Y797" s="1416"/>
      <c r="AB797" s="1461"/>
    </row>
    <row r="798" spans="1:28" hidden="1" outlineLevel="1">
      <c r="A798" s="1213" t="s">
        <v>1409</v>
      </c>
      <c r="B798" s="1161" t="s">
        <v>1337</v>
      </c>
      <c r="C798" s="1212" t="s">
        <v>345</v>
      </c>
      <c r="D798" s="1161">
        <f>'14. Inst. Hidro-Sanitarias'!$L$83</f>
        <v>12.236481111111111</v>
      </c>
      <c r="E798" s="1215">
        <f>APU!$F$1977</f>
        <v>0.1</v>
      </c>
      <c r="F798" s="938">
        <f t="shared" si="162"/>
        <v>1.2236481111111113</v>
      </c>
      <c r="G798" s="938">
        <f t="shared" si="163"/>
        <v>0.15295601388888891</v>
      </c>
      <c r="H798" s="938">
        <v>1</v>
      </c>
      <c r="I798" s="938">
        <f t="shared" si="164"/>
        <v>1</v>
      </c>
      <c r="J798" s="1154">
        <f>'Estructura de Presupuesto'!$H$244*D798</f>
        <v>144989.5818340109</v>
      </c>
      <c r="L798" s="1460"/>
      <c r="M798" s="1460"/>
      <c r="N798" s="1460"/>
      <c r="O798" s="1460"/>
      <c r="P798" s="1460"/>
      <c r="Q798" s="1460"/>
      <c r="R798" s="1462"/>
      <c r="U798" s="1416"/>
      <c r="Y798" s="1416"/>
      <c r="AB798" s="1461"/>
    </row>
    <row r="799" spans="1:28" hidden="1" outlineLevel="1">
      <c r="A799" s="1213" t="s">
        <v>1410</v>
      </c>
      <c r="B799" s="1161" t="s">
        <v>1338</v>
      </c>
      <c r="C799" s="1212" t="s">
        <v>345</v>
      </c>
      <c r="D799" s="1161">
        <f>'14. Inst. Hidro-Sanitarias'!$L$84</f>
        <v>4.1335777777777771</v>
      </c>
      <c r="E799" s="1215">
        <f>APU!$F$1989</f>
        <v>0.13999999999999999</v>
      </c>
      <c r="F799" s="938">
        <f t="shared" si="162"/>
        <v>0.57870088888888871</v>
      </c>
      <c r="G799" s="938">
        <f t="shared" si="163"/>
        <v>7.2337611111111089E-2</v>
      </c>
      <c r="H799" s="938">
        <v>1</v>
      </c>
      <c r="I799" s="938">
        <f t="shared" si="164"/>
        <v>1</v>
      </c>
      <c r="J799" s="1154">
        <f>'Estructura de Presupuesto'!$H$245*D799</f>
        <v>115702.79415504908</v>
      </c>
      <c r="L799" s="1460"/>
      <c r="M799" s="1460"/>
      <c r="N799" s="1460"/>
      <c r="O799" s="1460"/>
      <c r="P799" s="1460"/>
      <c r="Q799" s="1460"/>
      <c r="R799" s="1462"/>
      <c r="U799" s="1416"/>
      <c r="Y799" s="1416"/>
      <c r="AB799" s="1461"/>
    </row>
    <row r="800" spans="1:28" hidden="1" outlineLevel="1">
      <c r="A800" s="1213" t="s">
        <v>1411</v>
      </c>
      <c r="B800" s="1161" t="s">
        <v>1339</v>
      </c>
      <c r="C800" s="1212" t="s">
        <v>345</v>
      </c>
      <c r="D800" s="1161">
        <f>'14. Inst. Hidro-Sanitarias'!$L$86</f>
        <v>5.1133333333333333</v>
      </c>
      <c r="E800" s="1215">
        <f>APU!$F$2002</f>
        <v>0.12</v>
      </c>
      <c r="F800" s="938">
        <f t="shared" si="162"/>
        <v>0.61359999999999992</v>
      </c>
      <c r="G800" s="938">
        <f t="shared" si="163"/>
        <v>7.669999999999999E-2</v>
      </c>
      <c r="H800" s="938">
        <v>1</v>
      </c>
      <c r="I800" s="938">
        <f t="shared" si="164"/>
        <v>1</v>
      </c>
      <c r="J800" s="1154">
        <f>'Estructura de Presupuesto'!$H$246*D800</f>
        <v>107530.24987986668</v>
      </c>
      <c r="L800" s="1460"/>
      <c r="M800" s="1460"/>
      <c r="N800" s="1460"/>
      <c r="O800" s="1460"/>
      <c r="P800" s="1460"/>
      <c r="Q800" s="1460"/>
      <c r="R800" s="1462"/>
      <c r="U800" s="1416"/>
      <c r="Y800" s="1416"/>
      <c r="AB800" s="1461"/>
    </row>
    <row r="801" spans="1:28" ht="15.75" hidden="1" outlineLevel="1" thickBot="1">
      <c r="A801" s="1213" t="s">
        <v>1412</v>
      </c>
      <c r="B801" s="1161" t="s">
        <v>1340</v>
      </c>
      <c r="C801" s="1212" t="s">
        <v>345</v>
      </c>
      <c r="D801" s="1161">
        <f>'14. Inst. Hidro-Sanitarias'!$L$85</f>
        <v>11.855555555555558</v>
      </c>
      <c r="E801" s="1215">
        <f>APU!$F$2016</f>
        <v>0.16</v>
      </c>
      <c r="F801" s="938">
        <f t="shared" si="162"/>
        <v>1.8968888888888893</v>
      </c>
      <c r="G801" s="938">
        <f t="shared" si="163"/>
        <v>0.23711111111111116</v>
      </c>
      <c r="H801" s="938">
        <v>1</v>
      </c>
      <c r="I801" s="938">
        <f t="shared" si="164"/>
        <v>1</v>
      </c>
      <c r="J801" s="1154">
        <f>'Estructura de Presupuesto'!$H$247*D801</f>
        <v>596918.37216855574</v>
      </c>
      <c r="L801"/>
      <c r="M801"/>
      <c r="N801"/>
      <c r="O801"/>
      <c r="P801"/>
      <c r="Q801"/>
      <c r="R801" s="1447"/>
      <c r="U801" s="1416"/>
      <c r="Y801" s="1416"/>
      <c r="AB801" s="1461"/>
    </row>
    <row r="802" spans="1:28" ht="15.75" hidden="1" outlineLevel="1" thickBot="1">
      <c r="A802" s="1937" t="s">
        <v>2241</v>
      </c>
      <c r="B802" s="1938"/>
      <c r="C802" s="1938"/>
      <c r="D802" s="1938"/>
      <c r="E802" s="1938"/>
      <c r="F802" s="1938"/>
      <c r="G802" s="1938"/>
      <c r="H802" s="1938"/>
      <c r="I802" s="1938"/>
      <c r="J802" s="1242">
        <f>SUM(J803:J815)</f>
        <v>2408330.2232166599</v>
      </c>
      <c r="L802"/>
      <c r="M802"/>
      <c r="N802"/>
      <c r="O802"/>
      <c r="P802"/>
      <c r="Q802"/>
      <c r="R802" s="1447"/>
      <c r="U802" s="1416"/>
      <c r="Y802" s="1416"/>
      <c r="AB802" s="1461"/>
    </row>
    <row r="803" spans="1:28" hidden="1" outlineLevel="1">
      <c r="A803" s="1213" t="s">
        <v>1413</v>
      </c>
      <c r="B803" s="1161" t="s">
        <v>1316</v>
      </c>
      <c r="C803" s="1212" t="s">
        <v>285</v>
      </c>
      <c r="D803" s="1161">
        <f>'14. Inst. Hidro-Sanitarias'!E72</f>
        <v>10</v>
      </c>
      <c r="E803" s="1215">
        <f>APU!$F$1741</f>
        <v>0.06</v>
      </c>
      <c r="F803" s="938">
        <f t="shared" ref="F803:F809" si="165">+D803*E803</f>
        <v>0.6</v>
      </c>
      <c r="G803" s="938">
        <f t="shared" ref="G803:G809" si="166">+F803/8</f>
        <v>7.4999999999999997E-2</v>
      </c>
      <c r="H803" s="938">
        <v>1</v>
      </c>
      <c r="I803" s="938">
        <f>+ROUNDUP(G803/H803,0)</f>
        <v>1</v>
      </c>
      <c r="J803" s="1154">
        <f>APU!$J$1744*D803</f>
        <v>67214.949700000012</v>
      </c>
      <c r="L803" s="1416"/>
      <c r="M803" s="1416"/>
      <c r="N803" s="1416"/>
      <c r="O803" s="1416"/>
      <c r="P803" s="1416"/>
      <c r="Q803" s="1416"/>
      <c r="R803" s="1461"/>
      <c r="U803" s="1416"/>
      <c r="Y803" s="1416"/>
      <c r="AB803" s="1461"/>
    </row>
    <row r="804" spans="1:28" hidden="1" outlineLevel="1">
      <c r="A804" s="1213" t="s">
        <v>1414</v>
      </c>
      <c r="B804" s="1161" t="s">
        <v>1318</v>
      </c>
      <c r="C804" s="1212" t="s">
        <v>285</v>
      </c>
      <c r="D804" s="1161">
        <f>'14. Inst. Hidro-Sanitarias'!E73</f>
        <v>1</v>
      </c>
      <c r="E804" s="1215">
        <f>APU!$F$1767</f>
        <v>0.1</v>
      </c>
      <c r="F804" s="938">
        <f t="shared" si="165"/>
        <v>0.1</v>
      </c>
      <c r="G804" s="938">
        <f t="shared" si="166"/>
        <v>1.2500000000000001E-2</v>
      </c>
      <c r="H804" s="938">
        <v>1</v>
      </c>
      <c r="I804" s="938">
        <f t="shared" ref="I804:I815" si="167">+ROUNDUP(G804/H804,0)</f>
        <v>1</v>
      </c>
      <c r="J804" s="1154">
        <f>'Estructura de Presupuesto'!$H$225*D804</f>
        <v>11848.96054</v>
      </c>
      <c r="L804" s="1416"/>
      <c r="M804" s="1416"/>
      <c r="N804" s="1416"/>
      <c r="O804" s="1416"/>
      <c r="P804" s="1416"/>
      <c r="Q804" s="1416"/>
      <c r="R804" s="1461"/>
      <c r="U804" s="1416"/>
      <c r="Y804" s="1416"/>
      <c r="AB804" s="1461"/>
    </row>
    <row r="805" spans="1:28" hidden="1" outlineLevel="1">
      <c r="A805" s="1213" t="s">
        <v>1415</v>
      </c>
      <c r="B805" s="1161" t="s">
        <v>1319</v>
      </c>
      <c r="C805" s="1212" t="s">
        <v>285</v>
      </c>
      <c r="D805" s="1161">
        <f>'14. Inst. Hidro-Sanitarias'!E74</f>
        <v>1</v>
      </c>
      <c r="E805" s="1215">
        <f>APU!$F$1780</f>
        <v>0.12</v>
      </c>
      <c r="F805" s="938">
        <f t="shared" si="165"/>
        <v>0.12</v>
      </c>
      <c r="G805" s="938">
        <f t="shared" si="166"/>
        <v>1.4999999999999999E-2</v>
      </c>
      <c r="H805" s="938">
        <v>1</v>
      </c>
      <c r="I805" s="938">
        <f t="shared" si="167"/>
        <v>1</v>
      </c>
      <c r="J805" s="1154">
        <f>'Estructura de Presupuesto'!$H$226*D805</f>
        <v>21029.383940000003</v>
      </c>
      <c r="L805" s="1416"/>
      <c r="M805" s="1416"/>
      <c r="N805" s="1416"/>
      <c r="O805" s="1416"/>
      <c r="P805" s="1416"/>
      <c r="Q805" s="1416"/>
      <c r="R805" s="1461"/>
      <c r="U805" s="1416"/>
      <c r="Y805" s="1416"/>
      <c r="AB805" s="1461"/>
    </row>
    <row r="806" spans="1:28" hidden="1" outlineLevel="1">
      <c r="A806" s="1213" t="s">
        <v>1416</v>
      </c>
      <c r="B806" s="1161" t="s">
        <v>1323</v>
      </c>
      <c r="C806" s="1212" t="s">
        <v>285</v>
      </c>
      <c r="D806" s="1161">
        <f>'14. Inst. Hidro-Sanitarias'!E93</f>
        <v>3</v>
      </c>
      <c r="E806" s="1215">
        <f>APU!$F$1831</f>
        <v>0.08</v>
      </c>
      <c r="F806" s="938">
        <f t="shared" si="165"/>
        <v>0.24</v>
      </c>
      <c r="G806" s="938">
        <f t="shared" si="166"/>
        <v>0.03</v>
      </c>
      <c r="H806" s="938">
        <v>1</v>
      </c>
      <c r="I806" s="938">
        <f t="shared" si="167"/>
        <v>1</v>
      </c>
      <c r="J806" s="1154">
        <f>'Estructura de Presupuesto'!$H$230*D806</f>
        <v>23288.145420000001</v>
      </c>
      <c r="L806" s="812"/>
      <c r="M806" s="812"/>
      <c r="N806" s="812"/>
      <c r="O806" s="812"/>
      <c r="P806" s="812"/>
      <c r="Q806" s="812"/>
      <c r="R806" s="1462"/>
      <c r="U806" s="1416"/>
      <c r="Y806" s="1416"/>
      <c r="AB806" s="1461"/>
    </row>
    <row r="807" spans="1:28" hidden="1" outlineLevel="1">
      <c r="A807" s="1213" t="s">
        <v>1417</v>
      </c>
      <c r="B807" s="1161" t="s">
        <v>1324</v>
      </c>
      <c r="C807" s="1212" t="s">
        <v>285</v>
      </c>
      <c r="D807" s="1161">
        <f>'14. Inst. Hidro-Sanitarias'!E94</f>
        <v>3</v>
      </c>
      <c r="E807" s="1215">
        <f>APU!$F$1844</f>
        <v>0.12</v>
      </c>
      <c r="F807" s="938">
        <f t="shared" si="165"/>
        <v>0.36</v>
      </c>
      <c r="G807" s="938">
        <f t="shared" si="166"/>
        <v>4.4999999999999998E-2</v>
      </c>
      <c r="H807" s="938">
        <v>1</v>
      </c>
      <c r="I807" s="938">
        <f t="shared" si="167"/>
        <v>1</v>
      </c>
      <c r="J807" s="1154">
        <f>'Estructura de Presupuesto'!$H$231*D807</f>
        <v>63088.151820000014</v>
      </c>
      <c r="L807" s="812"/>
      <c r="M807" s="812"/>
      <c r="N807" s="812"/>
      <c r="O807" s="812"/>
      <c r="P807" s="812"/>
      <c r="Q807" s="812"/>
      <c r="R807" s="1462"/>
      <c r="U807" s="1416"/>
      <c r="Y807" s="1416"/>
      <c r="AB807" s="1461"/>
    </row>
    <row r="808" spans="1:28" hidden="1" outlineLevel="1">
      <c r="A808" s="1213" t="s">
        <v>1418</v>
      </c>
      <c r="B808" s="1161" t="s">
        <v>1325</v>
      </c>
      <c r="C808" s="1212" t="s">
        <v>285</v>
      </c>
      <c r="D808" s="1161">
        <f>'14. Inst. Hidro-Sanitarias'!E95</f>
        <v>1</v>
      </c>
      <c r="E808" s="1215">
        <f>APU!$F$1857</f>
        <v>0.16</v>
      </c>
      <c r="F808" s="938">
        <f t="shared" si="165"/>
        <v>0.16</v>
      </c>
      <c r="G808" s="938">
        <f t="shared" si="166"/>
        <v>0.02</v>
      </c>
      <c r="H808" s="938">
        <v>1</v>
      </c>
      <c r="I808" s="938">
        <f t="shared" si="167"/>
        <v>1</v>
      </c>
      <c r="J808" s="1154">
        <f>'Estructura de Presupuesto'!$H$232*D808</f>
        <v>50349.253510000002</v>
      </c>
      <c r="L808"/>
      <c r="M808"/>
      <c r="N808"/>
      <c r="O808"/>
      <c r="P808"/>
      <c r="Q808"/>
      <c r="R808" s="1447"/>
      <c r="U808" s="1416"/>
      <c r="Y808" s="1416"/>
      <c r="AB808" s="1461"/>
    </row>
    <row r="809" spans="1:28" hidden="1" outlineLevel="1">
      <c r="A809" s="1213" t="s">
        <v>1419</v>
      </c>
      <c r="B809" s="1161" t="s">
        <v>1326</v>
      </c>
      <c r="C809" s="1212" t="s">
        <v>285</v>
      </c>
      <c r="D809" s="1161">
        <f>'14. Inst. Hidro-Sanitarias'!E96</f>
        <v>1</v>
      </c>
      <c r="E809" s="1215">
        <f>APU!$F$1870</f>
        <v>0.18</v>
      </c>
      <c r="F809" s="938">
        <f t="shared" si="165"/>
        <v>0.18</v>
      </c>
      <c r="G809" s="938">
        <f t="shared" si="166"/>
        <v>2.2499999999999999E-2</v>
      </c>
      <c r="H809" s="938">
        <v>1</v>
      </c>
      <c r="I809" s="938">
        <f t="shared" si="167"/>
        <v>1</v>
      </c>
      <c r="J809" s="1154">
        <f>'Estructura de Presupuesto'!$H$233*D809</f>
        <v>100120.22091</v>
      </c>
      <c r="L809"/>
      <c r="M809"/>
      <c r="N809"/>
      <c r="O809"/>
      <c r="P809"/>
      <c r="Q809"/>
      <c r="R809" s="1447"/>
      <c r="U809" s="1416"/>
      <c r="Y809" s="1416"/>
      <c r="AB809" s="1461"/>
    </row>
    <row r="810" spans="1:28" hidden="1" outlineLevel="1">
      <c r="A810" s="1213" t="s">
        <v>1420</v>
      </c>
      <c r="B810" s="1161" t="s">
        <v>1341</v>
      </c>
      <c r="C810" s="1212" t="s">
        <v>345</v>
      </c>
      <c r="D810" s="1161">
        <f>'14. Inst. Hidro-Sanitarias'!$R$86</f>
        <v>14.047777777777778</v>
      </c>
      <c r="E810" s="1215">
        <f>APU!$F$2026</f>
        <v>0.33900000000000002</v>
      </c>
      <c r="F810" s="938">
        <f t="shared" ref="F810:F815" si="168">+D810*E810</f>
        <v>4.7621966666666671</v>
      </c>
      <c r="G810" s="938">
        <f t="shared" ref="G810:G815" si="169">+F810/8</f>
        <v>0.59527458333333338</v>
      </c>
      <c r="H810" s="938">
        <v>1</v>
      </c>
      <c r="I810" s="938">
        <f t="shared" si="167"/>
        <v>1</v>
      </c>
      <c r="J810" s="1154">
        <f>'Estructura de Presupuesto'!$H$248*D810</f>
        <v>486311.5703937838</v>
      </c>
      <c r="L810"/>
      <c r="M810"/>
      <c r="N810"/>
      <c r="O810"/>
      <c r="P810"/>
      <c r="Q810"/>
      <c r="R810" s="1447"/>
      <c r="U810" s="1416"/>
      <c r="Y810" s="1416"/>
      <c r="AB810" s="1461"/>
    </row>
    <row r="811" spans="1:28" hidden="1" outlineLevel="1">
      <c r="A811" s="1213" t="s">
        <v>1421</v>
      </c>
      <c r="B811" s="1161" t="s">
        <v>1342</v>
      </c>
      <c r="C811" s="1212" t="s">
        <v>345</v>
      </c>
      <c r="D811" s="1161">
        <f>'14. Inst. Hidro-Sanitarias'!$R$87</f>
        <v>17.907777777777778</v>
      </c>
      <c r="E811" s="1215">
        <f>APU!$F$2037</f>
        <v>0.33900000000000002</v>
      </c>
      <c r="F811" s="938">
        <f t="shared" si="168"/>
        <v>6.0707366666666669</v>
      </c>
      <c r="G811" s="938">
        <f t="shared" si="169"/>
        <v>0.75884208333333336</v>
      </c>
      <c r="H811" s="938">
        <v>1</v>
      </c>
      <c r="I811" s="938">
        <f t="shared" si="167"/>
        <v>1</v>
      </c>
      <c r="J811" s="1154">
        <f>'Estructura de Presupuesto'!$H$249*D811</f>
        <v>619938.5889453938</v>
      </c>
      <c r="L811" s="588"/>
      <c r="M811" s="588"/>
      <c r="N811" s="588"/>
      <c r="O811" s="588"/>
      <c r="P811" s="588"/>
      <c r="Q811" s="588"/>
      <c r="R811" s="1447"/>
      <c r="U811" s="1416"/>
      <c r="Y811" s="1416"/>
      <c r="AB811" s="1461"/>
    </row>
    <row r="812" spans="1:28" hidden="1" outlineLevel="1">
      <c r="A812" s="1213" t="s">
        <v>1422</v>
      </c>
      <c r="B812" s="1161" t="s">
        <v>1337</v>
      </c>
      <c r="C812" s="1212" t="s">
        <v>345</v>
      </c>
      <c r="D812" s="1161">
        <f>'14. Inst. Hidro-Sanitarias'!$L$83</f>
        <v>12.236481111111111</v>
      </c>
      <c r="E812" s="1215">
        <f>APU!$F$1977</f>
        <v>0.1</v>
      </c>
      <c r="F812" s="938">
        <f t="shared" si="168"/>
        <v>1.2236481111111113</v>
      </c>
      <c r="G812" s="938">
        <f t="shared" si="169"/>
        <v>0.15295601388888891</v>
      </c>
      <c r="H812" s="938">
        <v>1</v>
      </c>
      <c r="I812" s="938">
        <f t="shared" si="167"/>
        <v>1</v>
      </c>
      <c r="J812" s="1154">
        <f>'Estructura de Presupuesto'!$H$244*D812</f>
        <v>144989.5818340109</v>
      </c>
      <c r="L812" s="588"/>
      <c r="M812" s="588"/>
      <c r="N812" s="588"/>
      <c r="O812" s="588"/>
      <c r="P812" s="588"/>
      <c r="Q812" s="588"/>
      <c r="R812" s="1447"/>
      <c r="U812" s="1416"/>
      <c r="Y812" s="1416"/>
      <c r="AB812" s="1461"/>
    </row>
    <row r="813" spans="1:28" hidden="1" outlineLevel="1">
      <c r="A813" s="1213" t="s">
        <v>1423</v>
      </c>
      <c r="B813" s="1161" t="s">
        <v>1338</v>
      </c>
      <c r="C813" s="1212" t="s">
        <v>345</v>
      </c>
      <c r="D813" s="1161">
        <f>'14. Inst. Hidro-Sanitarias'!$L$84</f>
        <v>4.1335777777777771</v>
      </c>
      <c r="E813" s="1215">
        <f>APU!$F$1989</f>
        <v>0.13999999999999999</v>
      </c>
      <c r="F813" s="938">
        <f t="shared" si="168"/>
        <v>0.57870088888888871</v>
      </c>
      <c r="G813" s="938">
        <f t="shared" si="169"/>
        <v>7.2337611111111089E-2</v>
      </c>
      <c r="H813" s="938">
        <v>1</v>
      </c>
      <c r="I813" s="938">
        <f t="shared" si="167"/>
        <v>1</v>
      </c>
      <c r="J813" s="1154">
        <f>'Estructura de Presupuesto'!$H$245*D813</f>
        <v>115702.79415504908</v>
      </c>
      <c r="L813" s="588"/>
      <c r="M813" s="588"/>
      <c r="N813" s="588"/>
      <c r="O813" s="588"/>
      <c r="P813" s="588"/>
      <c r="Q813" s="588"/>
      <c r="R813" s="1447"/>
      <c r="U813" s="1416"/>
      <c r="Y813" s="1416"/>
      <c r="AB813" s="1461"/>
    </row>
    <row r="814" spans="1:28" hidden="1" outlineLevel="1">
      <c r="A814" s="1213" t="s">
        <v>1424</v>
      </c>
      <c r="B814" s="1161" t="s">
        <v>1339</v>
      </c>
      <c r="C814" s="1212" t="s">
        <v>345</v>
      </c>
      <c r="D814" s="1161">
        <f>'14. Inst. Hidro-Sanitarias'!$L$86</f>
        <v>5.1133333333333333</v>
      </c>
      <c r="E814" s="1215">
        <f>APU!$F$2002</f>
        <v>0.12</v>
      </c>
      <c r="F814" s="938">
        <f t="shared" si="168"/>
        <v>0.61359999999999992</v>
      </c>
      <c r="G814" s="938">
        <f t="shared" si="169"/>
        <v>7.669999999999999E-2</v>
      </c>
      <c r="H814" s="938">
        <v>1</v>
      </c>
      <c r="I814" s="938">
        <f t="shared" si="167"/>
        <v>1</v>
      </c>
      <c r="J814" s="1154">
        <f>'Estructura de Presupuesto'!$H$246*D814</f>
        <v>107530.24987986668</v>
      </c>
      <c r="L814" s="588"/>
      <c r="M814" s="588"/>
      <c r="N814" s="588"/>
      <c r="O814" s="588"/>
      <c r="P814" s="588"/>
      <c r="Q814" s="588"/>
      <c r="R814" s="1447"/>
      <c r="U814" s="1416"/>
      <c r="Y814" s="1416"/>
      <c r="AB814" s="1461"/>
    </row>
    <row r="815" spans="1:28" ht="15.75" hidden="1" outlineLevel="1" thickBot="1">
      <c r="A815" s="1213" t="s">
        <v>1425</v>
      </c>
      <c r="B815" s="1161" t="s">
        <v>1340</v>
      </c>
      <c r="C815" s="1212" t="s">
        <v>345</v>
      </c>
      <c r="D815" s="1161">
        <f>'14. Inst. Hidro-Sanitarias'!$L$85</f>
        <v>11.855555555555558</v>
      </c>
      <c r="E815" s="1215">
        <f>APU!$F$2016</f>
        <v>0.16</v>
      </c>
      <c r="F815" s="938">
        <f t="shared" si="168"/>
        <v>1.8968888888888893</v>
      </c>
      <c r="G815" s="938">
        <f t="shared" si="169"/>
        <v>0.23711111111111116</v>
      </c>
      <c r="H815" s="938">
        <v>1</v>
      </c>
      <c r="I815" s="938">
        <f t="shared" si="167"/>
        <v>1</v>
      </c>
      <c r="J815" s="1154">
        <f>'Estructura de Presupuesto'!$H$247*D815</f>
        <v>596918.37216855574</v>
      </c>
      <c r="L815" s="1460"/>
      <c r="M815" s="1460"/>
      <c r="N815" s="1460"/>
      <c r="O815" s="1460"/>
      <c r="P815" s="1460"/>
      <c r="Q815" s="1460"/>
      <c r="R815" s="1462"/>
      <c r="U815" s="1416"/>
      <c r="Y815" s="1416"/>
      <c r="AB815" s="1461"/>
    </row>
    <row r="816" spans="1:28" ht="15.75" hidden="1" outlineLevel="1" thickBot="1">
      <c r="A816" s="1937" t="s">
        <v>2246</v>
      </c>
      <c r="B816" s="1938"/>
      <c r="C816" s="1938"/>
      <c r="D816" s="1938"/>
      <c r="E816" s="1938"/>
      <c r="F816" s="1938"/>
      <c r="G816" s="1938"/>
      <c r="H816" s="1938"/>
      <c r="I816" s="1938"/>
      <c r="J816" s="1242">
        <f>SUM(J817:J827)</f>
        <v>2556214.5255466597</v>
      </c>
      <c r="L816" s="1460"/>
      <c r="M816" s="1460"/>
      <c r="N816" s="1460"/>
      <c r="O816" s="1460"/>
      <c r="P816" s="1460"/>
      <c r="Q816" s="1460"/>
      <c r="R816" s="1462"/>
      <c r="U816" s="1416"/>
      <c r="Y816" s="1416"/>
      <c r="AB816" s="1461"/>
    </row>
    <row r="817" spans="1:12" hidden="1" outlineLevel="1">
      <c r="A817" s="1213" t="s">
        <v>2848</v>
      </c>
      <c r="B817" s="1161" t="s">
        <v>1316</v>
      </c>
      <c r="C817" s="1212" t="s">
        <v>285</v>
      </c>
      <c r="D817" s="1161">
        <f>'14. Inst. Hidro-Sanitarias'!E75</f>
        <v>15</v>
      </c>
      <c r="E817" s="1215">
        <f>APU!$F$1741</f>
        <v>0.06</v>
      </c>
      <c r="F817" s="938">
        <f t="shared" ref="F817:F827" si="170">+D817*E817</f>
        <v>0.89999999999999991</v>
      </c>
      <c r="G817" s="938">
        <f t="shared" ref="G817:G827" si="171">+F817/8</f>
        <v>0.11249999999999999</v>
      </c>
      <c r="H817" s="938">
        <v>1</v>
      </c>
      <c r="I817" s="938">
        <f>+ROUNDUP(G817/H817,0)</f>
        <v>1</v>
      </c>
      <c r="J817" s="1154">
        <f>APU!$J$1744*D817</f>
        <v>100822.42455000001</v>
      </c>
      <c r="L817" s="1408"/>
    </row>
    <row r="818" spans="1:12" hidden="1" outlineLevel="1">
      <c r="A818" s="1213" t="s">
        <v>2849</v>
      </c>
      <c r="B818" s="1161" t="s">
        <v>1319</v>
      </c>
      <c r="C818" s="1212" t="s">
        <v>285</v>
      </c>
      <c r="D818" s="1161">
        <f>'14. Inst. Hidro-Sanitarias'!E76</f>
        <v>2</v>
      </c>
      <c r="E818" s="1215">
        <f>APU!$F$1780</f>
        <v>0.12</v>
      </c>
      <c r="F818" s="938">
        <f t="shared" si="170"/>
        <v>0.24</v>
      </c>
      <c r="G818" s="938">
        <f t="shared" si="171"/>
        <v>0.03</v>
      </c>
      <c r="H818" s="938">
        <v>1</v>
      </c>
      <c r="I818" s="938">
        <f t="shared" ref="I818:I827" si="172">+ROUNDUP(G818/H818,0)</f>
        <v>1</v>
      </c>
      <c r="J818" s="1154">
        <f>'Estructura de Presupuesto'!$H$226*D818</f>
        <v>42058.767880000007</v>
      </c>
      <c r="L818" s="812"/>
    </row>
    <row r="819" spans="1:12" hidden="1" outlineLevel="1">
      <c r="A819" s="1213" t="s">
        <v>2850</v>
      </c>
      <c r="B819" s="1161" t="s">
        <v>1323</v>
      </c>
      <c r="C819" s="1212" t="s">
        <v>285</v>
      </c>
      <c r="D819" s="1161">
        <f>'14. Inst. Hidro-Sanitarias'!E97</f>
        <v>2</v>
      </c>
      <c r="E819" s="1215">
        <f>APU!$F$1831</f>
        <v>0.08</v>
      </c>
      <c r="F819" s="938">
        <f t="shared" si="170"/>
        <v>0.16</v>
      </c>
      <c r="G819" s="938">
        <f t="shared" si="171"/>
        <v>0.02</v>
      </c>
      <c r="H819" s="938">
        <v>1</v>
      </c>
      <c r="I819" s="938">
        <f t="shared" si="172"/>
        <v>1</v>
      </c>
      <c r="J819" s="1154">
        <f>'Estructura de Presupuesto'!$H$230*D819</f>
        <v>15525.43028</v>
      </c>
      <c r="L819" s="812"/>
    </row>
    <row r="820" spans="1:12" hidden="1" outlineLevel="1">
      <c r="A820" s="1213" t="s">
        <v>2851</v>
      </c>
      <c r="B820" s="1161" t="s">
        <v>1324</v>
      </c>
      <c r="C820" s="1212" t="s">
        <v>285</v>
      </c>
      <c r="D820" s="1161">
        <f>'14. Inst. Hidro-Sanitarias'!E98</f>
        <v>6</v>
      </c>
      <c r="E820" s="1215">
        <f>APU!$F$1844</f>
        <v>0.12</v>
      </c>
      <c r="F820" s="938">
        <f t="shared" si="170"/>
        <v>0.72</v>
      </c>
      <c r="G820" s="938">
        <f t="shared" si="171"/>
        <v>0.09</v>
      </c>
      <c r="H820" s="938">
        <v>1</v>
      </c>
      <c r="I820" s="938">
        <f t="shared" si="172"/>
        <v>1</v>
      </c>
      <c r="J820" s="1154">
        <f>'Estructura de Presupuesto'!$H$231*D820</f>
        <v>126176.30364000003</v>
      </c>
      <c r="L820" s="812"/>
    </row>
    <row r="821" spans="1:12" hidden="1" outlineLevel="1">
      <c r="A821" s="1213" t="s">
        <v>2852</v>
      </c>
      <c r="B821" s="1161" t="s">
        <v>1326</v>
      </c>
      <c r="C821" s="1212" t="s">
        <v>285</v>
      </c>
      <c r="D821" s="1161">
        <f>'14. Inst. Hidro-Sanitarias'!E99</f>
        <v>2</v>
      </c>
      <c r="E821" s="1215">
        <f>APU!$F$1870</f>
        <v>0.18</v>
      </c>
      <c r="F821" s="938">
        <f t="shared" si="170"/>
        <v>0.36</v>
      </c>
      <c r="G821" s="938">
        <f t="shared" si="171"/>
        <v>4.4999999999999998E-2</v>
      </c>
      <c r="H821" s="938">
        <v>1</v>
      </c>
      <c r="I821" s="938">
        <f t="shared" si="172"/>
        <v>1</v>
      </c>
      <c r="J821" s="1154">
        <f>'Estructura de Presupuesto'!$H$233*D821</f>
        <v>200240.44182000001</v>
      </c>
      <c r="L821" s="812"/>
    </row>
    <row r="822" spans="1:12" hidden="1" outlineLevel="1">
      <c r="A822" s="1213" t="s">
        <v>2853</v>
      </c>
      <c r="B822" s="1161" t="s">
        <v>1341</v>
      </c>
      <c r="C822" s="1212" t="s">
        <v>345</v>
      </c>
      <c r="D822" s="1161">
        <f>'14. Inst. Hidro-Sanitarias'!$R$86</f>
        <v>14.047777777777778</v>
      </c>
      <c r="E822" s="1215">
        <f>APU!$F$2026</f>
        <v>0.33900000000000002</v>
      </c>
      <c r="F822" s="938">
        <f t="shared" si="170"/>
        <v>4.7621966666666671</v>
      </c>
      <c r="G822" s="938">
        <f t="shared" si="171"/>
        <v>0.59527458333333338</v>
      </c>
      <c r="H822" s="938">
        <v>1</v>
      </c>
      <c r="I822" s="938">
        <f t="shared" si="172"/>
        <v>1</v>
      </c>
      <c r="J822" s="1154">
        <f>'Estructura de Presupuesto'!$H$248*D822</f>
        <v>486311.5703937838</v>
      </c>
      <c r="L822"/>
    </row>
    <row r="823" spans="1:12" hidden="1" outlineLevel="1">
      <c r="A823" s="1213" t="s">
        <v>2858</v>
      </c>
      <c r="B823" s="1161" t="s">
        <v>1342</v>
      </c>
      <c r="C823" s="1212" t="s">
        <v>345</v>
      </c>
      <c r="D823" s="1161">
        <f>'14. Inst. Hidro-Sanitarias'!$R$87</f>
        <v>17.907777777777778</v>
      </c>
      <c r="E823" s="1215">
        <f>APU!$F$2037</f>
        <v>0.33900000000000002</v>
      </c>
      <c r="F823" s="938">
        <f t="shared" si="170"/>
        <v>6.0707366666666669</v>
      </c>
      <c r="G823" s="938">
        <f t="shared" si="171"/>
        <v>0.75884208333333336</v>
      </c>
      <c r="H823" s="938">
        <v>1</v>
      </c>
      <c r="I823" s="938">
        <f t="shared" si="172"/>
        <v>1</v>
      </c>
      <c r="J823" s="1154">
        <f>'Estructura de Presupuesto'!$H$249*D823</f>
        <v>619938.5889453938</v>
      </c>
      <c r="L823"/>
    </row>
    <row r="824" spans="1:12" hidden="1" outlineLevel="1">
      <c r="A824" s="1213" t="s">
        <v>3178</v>
      </c>
      <c r="B824" s="1161" t="s">
        <v>1337</v>
      </c>
      <c r="C824" s="1212" t="s">
        <v>345</v>
      </c>
      <c r="D824" s="1161">
        <f>'14. Inst. Hidro-Sanitarias'!$L$83</f>
        <v>12.236481111111111</v>
      </c>
      <c r="E824" s="1215">
        <f>APU!$F$1977</f>
        <v>0.1</v>
      </c>
      <c r="F824" s="938">
        <f t="shared" si="170"/>
        <v>1.2236481111111113</v>
      </c>
      <c r="G824" s="938">
        <f t="shared" si="171"/>
        <v>0.15295601388888891</v>
      </c>
      <c r="H824" s="938">
        <v>1</v>
      </c>
      <c r="I824" s="938">
        <f t="shared" si="172"/>
        <v>1</v>
      </c>
      <c r="J824" s="1154">
        <f>'Estructura de Presupuesto'!$H$244*D824</f>
        <v>144989.5818340109</v>
      </c>
      <c r="L824" s="1408"/>
    </row>
    <row r="825" spans="1:12" hidden="1" outlineLevel="1">
      <c r="A825" s="1213" t="s">
        <v>3179</v>
      </c>
      <c r="B825" s="1161" t="s">
        <v>1338</v>
      </c>
      <c r="C825" s="1212" t="s">
        <v>345</v>
      </c>
      <c r="D825" s="1161">
        <f>'14. Inst. Hidro-Sanitarias'!$L$84</f>
        <v>4.1335777777777771</v>
      </c>
      <c r="E825" s="1215">
        <f>APU!$F$1989</f>
        <v>0.13999999999999999</v>
      </c>
      <c r="F825" s="938">
        <f t="shared" si="170"/>
        <v>0.57870088888888871</v>
      </c>
      <c r="G825" s="938">
        <f t="shared" si="171"/>
        <v>7.2337611111111089E-2</v>
      </c>
      <c r="H825" s="938">
        <v>1</v>
      </c>
      <c r="I825" s="938">
        <f t="shared" si="172"/>
        <v>1</v>
      </c>
      <c r="J825" s="1154">
        <f>'Estructura de Presupuesto'!$H$245*D825</f>
        <v>115702.79415504908</v>
      </c>
      <c r="L825" s="1408"/>
    </row>
    <row r="826" spans="1:12" hidden="1" outlineLevel="1">
      <c r="A826" s="1213" t="s">
        <v>3180</v>
      </c>
      <c r="B826" s="1161" t="s">
        <v>1339</v>
      </c>
      <c r="C826" s="1212" t="s">
        <v>345</v>
      </c>
      <c r="D826" s="1161">
        <f>'14. Inst. Hidro-Sanitarias'!$L$86</f>
        <v>5.1133333333333333</v>
      </c>
      <c r="E826" s="1215">
        <f>APU!$F$2002</f>
        <v>0.12</v>
      </c>
      <c r="F826" s="938">
        <f t="shared" si="170"/>
        <v>0.61359999999999992</v>
      </c>
      <c r="G826" s="938">
        <f t="shared" si="171"/>
        <v>7.669999999999999E-2</v>
      </c>
      <c r="H826" s="938">
        <v>1</v>
      </c>
      <c r="I826" s="938">
        <f t="shared" si="172"/>
        <v>1</v>
      </c>
      <c r="J826" s="1154">
        <f>'Estructura de Presupuesto'!$H$246*D826</f>
        <v>107530.24987986668</v>
      </c>
      <c r="L826" s="812"/>
    </row>
    <row r="827" spans="1:12" ht="15.75" hidden="1" outlineLevel="1" thickBot="1">
      <c r="A827" s="1213" t="s">
        <v>3181</v>
      </c>
      <c r="B827" s="1161" t="s">
        <v>1340</v>
      </c>
      <c r="C827" s="1212" t="s">
        <v>345</v>
      </c>
      <c r="D827" s="1161">
        <f>'14. Inst. Hidro-Sanitarias'!$L$85</f>
        <v>11.855555555555558</v>
      </c>
      <c r="E827" s="1215">
        <f>APU!$F$2016</f>
        <v>0.16</v>
      </c>
      <c r="F827" s="938">
        <f t="shared" si="170"/>
        <v>1.8968888888888893</v>
      </c>
      <c r="G827" s="938">
        <f t="shared" si="171"/>
        <v>0.23711111111111116</v>
      </c>
      <c r="H827" s="938">
        <v>1</v>
      </c>
      <c r="I827" s="938">
        <f t="shared" si="172"/>
        <v>1</v>
      </c>
      <c r="J827" s="1154">
        <f>'Estructura de Presupuesto'!$H$247*D827</f>
        <v>596918.37216855574</v>
      </c>
      <c r="L827" s="812"/>
    </row>
    <row r="828" spans="1:12" ht="15.75" hidden="1" outlineLevel="1" thickBot="1">
      <c r="A828" s="1937" t="s">
        <v>801</v>
      </c>
      <c r="B828" s="1938"/>
      <c r="C828" s="1938"/>
      <c r="D828" s="1938"/>
      <c r="E828" s="1938"/>
      <c r="F828" s="1938"/>
      <c r="G828" s="1938"/>
      <c r="H828" s="1938"/>
      <c r="I828" s="1938"/>
      <c r="J828" s="1242">
        <f>SUM(J829:J849)</f>
        <v>10148141.444200659</v>
      </c>
      <c r="L828" s="812"/>
    </row>
    <row r="829" spans="1:12" hidden="1" outlineLevel="1">
      <c r="A829" s="1213" t="s">
        <v>3182</v>
      </c>
      <c r="B829" s="1161" t="s">
        <v>1316</v>
      </c>
      <c r="C829" s="1212" t="s">
        <v>285</v>
      </c>
      <c r="D829" s="1161">
        <f>'14. Inst. Hidro-Sanitarias'!E77</f>
        <v>10</v>
      </c>
      <c r="E829" s="1215">
        <f>APU!$F$1741</f>
        <v>0.06</v>
      </c>
      <c r="F829" s="938">
        <f>+D829*E829</f>
        <v>0.6</v>
      </c>
      <c r="G829" s="938">
        <f>+F829/8</f>
        <v>7.4999999999999997E-2</v>
      </c>
      <c r="H829" s="938">
        <v>1</v>
      </c>
      <c r="I829" s="938">
        <f>+ROUNDUP(G829/H829,0)</f>
        <v>1</v>
      </c>
      <c r="J829" s="1154">
        <f>APU!$J$1744*D829</f>
        <v>67214.949700000012</v>
      </c>
      <c r="L829" s="812"/>
    </row>
    <row r="830" spans="1:12" hidden="1" outlineLevel="1">
      <c r="A830" s="1213" t="s">
        <v>3183</v>
      </c>
      <c r="B830" s="1161" t="s">
        <v>1318</v>
      </c>
      <c r="C830" s="1212" t="s">
        <v>285</v>
      </c>
      <c r="D830" s="1161">
        <f>'14. Inst. Hidro-Sanitarias'!E78</f>
        <v>1</v>
      </c>
      <c r="E830" s="1215">
        <f>APU!$F$1767</f>
        <v>0.1</v>
      </c>
      <c r="F830" s="938">
        <f>+D830*E830</f>
        <v>0.1</v>
      </c>
      <c r="G830" s="938">
        <f>+F830/8</f>
        <v>1.2500000000000001E-2</v>
      </c>
      <c r="H830" s="938">
        <v>1</v>
      </c>
      <c r="I830" s="938">
        <f t="shared" ref="I830:I843" si="173">+ROUNDUP(G830/H830,0)</f>
        <v>1</v>
      </c>
      <c r="J830" s="1154">
        <f>'Estructura de Presupuesto'!$H$225*D830</f>
        <v>11848.96054</v>
      </c>
      <c r="L830"/>
    </row>
    <row r="831" spans="1:12" hidden="1" outlineLevel="1">
      <c r="A831" s="1213" t="s">
        <v>3184</v>
      </c>
      <c r="B831" s="1161" t="s">
        <v>1321</v>
      </c>
      <c r="C831" s="1212" t="s">
        <v>285</v>
      </c>
      <c r="D831" s="1161">
        <f>'14. Inst. Hidro-Sanitarias'!E79</f>
        <v>1</v>
      </c>
      <c r="E831" s="1215">
        <f>APU!F1805</f>
        <v>0.16</v>
      </c>
      <c r="F831" s="938">
        <f>+D831*E831</f>
        <v>0.16</v>
      </c>
      <c r="G831" s="938">
        <f>+F831/8</f>
        <v>0.02</v>
      </c>
      <c r="H831" s="938">
        <v>1</v>
      </c>
      <c r="I831" s="938">
        <f t="shared" si="173"/>
        <v>1</v>
      </c>
      <c r="J831" s="1154">
        <f>'Estructura de Presupuesto'!$H$228*D831</f>
        <v>50349.253510000002</v>
      </c>
      <c r="L831"/>
    </row>
    <row r="832" spans="1:12" hidden="1" outlineLevel="1">
      <c r="A832" s="1213" t="s">
        <v>3185</v>
      </c>
      <c r="B832" s="1161" t="s">
        <v>1323</v>
      </c>
      <c r="C832" s="1212" t="s">
        <v>285</v>
      </c>
      <c r="D832" s="1161">
        <f>'14. Inst. Hidro-Sanitarias'!E100</f>
        <v>3</v>
      </c>
      <c r="E832" s="1215">
        <f>APU!$F$1831</f>
        <v>0.08</v>
      </c>
      <c r="F832" s="938">
        <f t="shared" ref="F832:F843" si="174">+D832*E832</f>
        <v>0.24</v>
      </c>
      <c r="G832" s="938">
        <f t="shared" ref="G832:G843" si="175">+F832/8</f>
        <v>0.03</v>
      </c>
      <c r="H832" s="938">
        <v>1</v>
      </c>
      <c r="I832" s="938">
        <f t="shared" si="173"/>
        <v>1</v>
      </c>
      <c r="J832" s="1154">
        <f>'Estructura de Presupuesto'!$H$230*D832</f>
        <v>23288.145420000001</v>
      </c>
      <c r="L832" s="1408"/>
    </row>
    <row r="833" spans="1:12" hidden="1" outlineLevel="1">
      <c r="A833" s="1213" t="s">
        <v>3186</v>
      </c>
      <c r="B833" s="1161" t="s">
        <v>1324</v>
      </c>
      <c r="C833" s="1212" t="s">
        <v>285</v>
      </c>
      <c r="D833" s="1161">
        <f>'14. Inst. Hidro-Sanitarias'!E101</f>
        <v>6</v>
      </c>
      <c r="E833" s="1215">
        <f>APU!$F$1844</f>
        <v>0.12</v>
      </c>
      <c r="F833" s="938">
        <f t="shared" si="174"/>
        <v>0.72</v>
      </c>
      <c r="G833" s="938">
        <f t="shared" si="175"/>
        <v>0.09</v>
      </c>
      <c r="H833" s="938">
        <v>1</v>
      </c>
      <c r="I833" s="938">
        <f t="shared" si="173"/>
        <v>1</v>
      </c>
      <c r="J833" s="1154">
        <f>'Estructura de Presupuesto'!$H$231*D833</f>
        <v>126176.30364000003</v>
      </c>
      <c r="L833" s="1408"/>
    </row>
    <row r="834" spans="1:12" hidden="1" outlineLevel="1">
      <c r="A834" s="1213" t="s">
        <v>3187</v>
      </c>
      <c r="B834" s="1161" t="s">
        <v>1328</v>
      </c>
      <c r="C834" s="1212" t="s">
        <v>285</v>
      </c>
      <c r="D834" s="1161">
        <f>'14. Inst. Hidro-Sanitarias'!E102</f>
        <v>1</v>
      </c>
      <c r="E834" s="1215">
        <f>APU!$F$1896</f>
        <v>0.22000000000000003</v>
      </c>
      <c r="F834" s="938">
        <f t="shared" si="174"/>
        <v>0.22000000000000003</v>
      </c>
      <c r="G834" s="938">
        <f t="shared" si="175"/>
        <v>2.7500000000000004E-2</v>
      </c>
      <c r="H834" s="938">
        <v>1</v>
      </c>
      <c r="I834" s="938">
        <f t="shared" si="173"/>
        <v>1</v>
      </c>
      <c r="J834" s="1154">
        <f>'Estructura de Presupuesto'!$H$235*D834</f>
        <v>125016.88402000001</v>
      </c>
      <c r="L834" s="812"/>
    </row>
    <row r="835" spans="1:12" hidden="1" outlineLevel="1">
      <c r="A835" s="1213" t="s">
        <v>3188</v>
      </c>
      <c r="B835" s="1161" t="s">
        <v>1334</v>
      </c>
      <c r="C835" s="1212" t="s">
        <v>285</v>
      </c>
      <c r="D835" s="1161">
        <f>'14. Inst. Hidro-Sanitarias'!I55</f>
        <v>1</v>
      </c>
      <c r="E835" s="1215">
        <f>APU!F1937</f>
        <v>0.44600000000000001</v>
      </c>
      <c r="F835" s="938">
        <f t="shared" si="174"/>
        <v>0.44600000000000001</v>
      </c>
      <c r="G835" s="938">
        <f t="shared" si="175"/>
        <v>5.5750000000000001E-2</v>
      </c>
      <c r="H835" s="938">
        <v>1</v>
      </c>
      <c r="I835" s="938">
        <f t="shared" si="173"/>
        <v>1</v>
      </c>
      <c r="J835" s="1154">
        <f>'Estructura de Presupuesto'!$H$240</f>
        <v>112524.52654300001</v>
      </c>
      <c r="L835" s="812"/>
    </row>
    <row r="836" spans="1:12" hidden="1" outlineLevel="1">
      <c r="A836" s="1213" t="s">
        <v>3189</v>
      </c>
      <c r="B836" s="1161" t="s">
        <v>1335</v>
      </c>
      <c r="C836" s="1212" t="s">
        <v>285</v>
      </c>
      <c r="D836" s="1161">
        <f>'14. Inst. Hidro-Sanitarias'!I54</f>
        <v>1</v>
      </c>
      <c r="E836" s="1215">
        <f>APU!F1958</f>
        <v>0.44600000000000001</v>
      </c>
      <c r="F836" s="938">
        <f t="shared" si="174"/>
        <v>0.44600000000000001</v>
      </c>
      <c r="G836" s="938">
        <f t="shared" si="175"/>
        <v>5.5750000000000001E-2</v>
      </c>
      <c r="H836" s="938">
        <v>1</v>
      </c>
      <c r="I836" s="938">
        <f t="shared" si="173"/>
        <v>1</v>
      </c>
      <c r="J836" s="1154">
        <f>'Estructura de Presupuesto'!$H$241</f>
        <v>112524.52654300001</v>
      </c>
      <c r="L836" s="812"/>
    </row>
    <row r="837" spans="1:12" hidden="1" outlineLevel="1">
      <c r="A837" s="1213" t="s">
        <v>3190</v>
      </c>
      <c r="B837" s="1161" t="s">
        <v>1336</v>
      </c>
      <c r="C837" s="1212" t="s">
        <v>285</v>
      </c>
      <c r="D837" s="1161">
        <f>'14. Inst. Hidro-Sanitarias'!I56</f>
        <v>4</v>
      </c>
      <c r="E837" s="1215">
        <f>APU!F1965</f>
        <v>0.44600000000000001</v>
      </c>
      <c r="F837" s="938">
        <f t="shared" si="174"/>
        <v>1.784</v>
      </c>
      <c r="G837" s="938">
        <f t="shared" si="175"/>
        <v>0.223</v>
      </c>
      <c r="H837" s="938">
        <v>1</v>
      </c>
      <c r="I837" s="938">
        <f t="shared" si="173"/>
        <v>1</v>
      </c>
      <c r="J837" s="1154">
        <f>'Estructura de Presupuesto'!$H$242*D837</f>
        <v>450098.10617200006</v>
      </c>
      <c r="L837" s="812"/>
    </row>
    <row r="838" spans="1:12" hidden="1" outlineLevel="1">
      <c r="A838" s="1213" t="s">
        <v>3191</v>
      </c>
      <c r="B838" s="1161" t="s">
        <v>2926</v>
      </c>
      <c r="C838" s="1212" t="s">
        <v>285</v>
      </c>
      <c r="D838" s="1161">
        <f>'14. Inst. Hidro-Sanitarias'!I33</f>
        <v>1</v>
      </c>
      <c r="E838" s="1215">
        <f>APU!F1708</f>
        <v>2.5</v>
      </c>
      <c r="F838" s="938">
        <f t="shared" si="174"/>
        <v>2.5</v>
      </c>
      <c r="G838" s="938">
        <f t="shared" si="175"/>
        <v>0.3125</v>
      </c>
      <c r="H838" s="938">
        <v>1</v>
      </c>
      <c r="I838" s="938">
        <f t="shared" si="173"/>
        <v>1</v>
      </c>
      <c r="J838" s="1154">
        <f>'Estructura de Presupuesto'!$H$220</f>
        <v>520534.04500000004</v>
      </c>
      <c r="L838"/>
    </row>
    <row r="839" spans="1:12" hidden="1" outlineLevel="1">
      <c r="A839" s="1213" t="s">
        <v>3192</v>
      </c>
      <c r="B839" s="1161" t="s">
        <v>2927</v>
      </c>
      <c r="C839" s="1212" t="s">
        <v>285</v>
      </c>
      <c r="D839" s="1161">
        <f>'14. Inst. Hidro-Sanitarias'!I34</f>
        <v>1</v>
      </c>
      <c r="E839" s="1215">
        <f>APU!F1718</f>
        <v>2.5</v>
      </c>
      <c r="F839" s="938">
        <f t="shared" si="174"/>
        <v>2.5</v>
      </c>
      <c r="G839" s="938">
        <f t="shared" si="175"/>
        <v>0.3125</v>
      </c>
      <c r="H839" s="938">
        <v>1</v>
      </c>
      <c r="I839" s="938">
        <f t="shared" si="173"/>
        <v>1</v>
      </c>
      <c r="J839" s="1154">
        <f>'Estructura de Presupuesto'!$H$221</f>
        <v>520534.04500000004</v>
      </c>
      <c r="L839"/>
    </row>
    <row r="840" spans="1:12" hidden="1" outlineLevel="1">
      <c r="A840" s="1213" t="s">
        <v>3193</v>
      </c>
      <c r="B840" s="1161" t="s">
        <v>2928</v>
      </c>
      <c r="C840" s="1212" t="s">
        <v>285</v>
      </c>
      <c r="D840" s="1161">
        <f>'14. Inst. Hidro-Sanitarias'!I35</f>
        <v>1</v>
      </c>
      <c r="E840" s="1215">
        <f>APU!F1728</f>
        <v>2.5</v>
      </c>
      <c r="F840" s="938">
        <f t="shared" si="174"/>
        <v>2.5</v>
      </c>
      <c r="G840" s="938">
        <f t="shared" si="175"/>
        <v>0.3125</v>
      </c>
      <c r="H840" s="938">
        <v>1</v>
      </c>
      <c r="I840" s="938">
        <f t="shared" si="173"/>
        <v>1</v>
      </c>
      <c r="J840" s="1154">
        <f>'Estructura de Presupuesto'!$H$222</f>
        <v>520534.04500000004</v>
      </c>
      <c r="L840" s="1408"/>
    </row>
    <row r="841" spans="1:12" hidden="1" outlineLevel="1">
      <c r="A841" s="1213" t="s">
        <v>3194</v>
      </c>
      <c r="B841" s="1161" t="s">
        <v>1329</v>
      </c>
      <c r="C841" s="1212" t="s">
        <v>285</v>
      </c>
      <c r="D841" s="1161">
        <f>'14. Inst. Hidro-Sanitarias'!I43</f>
        <v>3</v>
      </c>
      <c r="E841" s="1215">
        <f>APU!F1907</f>
        <v>4.1120000000000001</v>
      </c>
      <c r="F841" s="938">
        <f t="shared" si="174"/>
        <v>12.336</v>
      </c>
      <c r="G841" s="938">
        <f t="shared" si="175"/>
        <v>1.542</v>
      </c>
      <c r="H841" s="938">
        <v>1</v>
      </c>
      <c r="I841" s="938">
        <f t="shared" si="173"/>
        <v>2</v>
      </c>
      <c r="J841" s="1154">
        <f>'Estructura de Presupuesto'!$H$236*D841</f>
        <v>3197853.8999280003</v>
      </c>
      <c r="L841" s="1408"/>
    </row>
    <row r="842" spans="1:12" hidden="1" outlineLevel="1">
      <c r="A842" s="1213" t="s">
        <v>3195</v>
      </c>
      <c r="B842" s="1161" t="s">
        <v>1330</v>
      </c>
      <c r="C842" s="1212" t="s">
        <v>285</v>
      </c>
      <c r="D842" s="1161">
        <f>'14. Inst. Hidro-Sanitarias'!I44</f>
        <v>2</v>
      </c>
      <c r="E842" s="1215">
        <f>APU!F1918</f>
        <v>4.1120000000000001</v>
      </c>
      <c r="F842" s="938">
        <f t="shared" si="174"/>
        <v>8.2240000000000002</v>
      </c>
      <c r="G842" s="938">
        <f t="shared" si="175"/>
        <v>1.028</v>
      </c>
      <c r="H842" s="938">
        <v>1</v>
      </c>
      <c r="I842" s="938">
        <f t="shared" si="173"/>
        <v>2</v>
      </c>
      <c r="J842" s="1154">
        <f>'Estructura de Presupuesto'!$H$237*D842</f>
        <v>1489235.0638720002</v>
      </c>
      <c r="L842" s="812"/>
    </row>
    <row r="843" spans="1:12" hidden="1" outlineLevel="1">
      <c r="A843" s="1213" t="s">
        <v>3196</v>
      </c>
      <c r="B843" s="1161" t="s">
        <v>1331</v>
      </c>
      <c r="C843" s="1212" t="s">
        <v>285</v>
      </c>
      <c r="D843" s="1161">
        <f>'14. Inst. Hidro-Sanitarias'!I45</f>
        <v>1</v>
      </c>
      <c r="E843" s="1215">
        <f>APU!F1929</f>
        <v>4.1120000000000001</v>
      </c>
      <c r="F843" s="938">
        <f t="shared" si="174"/>
        <v>4.1120000000000001</v>
      </c>
      <c r="G843" s="938">
        <f t="shared" si="175"/>
        <v>0.51400000000000001</v>
      </c>
      <c r="H843" s="938">
        <v>1</v>
      </c>
      <c r="I843" s="938">
        <f t="shared" si="173"/>
        <v>1</v>
      </c>
      <c r="J843" s="1154">
        <f>'Estructura de Presupuesto'!$H$238</f>
        <v>749017.5319360001</v>
      </c>
      <c r="L843" s="812"/>
    </row>
    <row r="844" spans="1:12" hidden="1" outlineLevel="1">
      <c r="A844" s="1213" t="s">
        <v>3197</v>
      </c>
      <c r="B844" s="1161" t="s">
        <v>1341</v>
      </c>
      <c r="C844" s="1212" t="s">
        <v>345</v>
      </c>
      <c r="D844" s="1161">
        <f>'14. Inst. Hidro-Sanitarias'!$R$86</f>
        <v>14.047777777777778</v>
      </c>
      <c r="E844" s="1215">
        <f>APU!$F$2026</f>
        <v>0.33900000000000002</v>
      </c>
      <c r="F844" s="938">
        <f t="shared" ref="F844:F849" si="176">+D844*E844</f>
        <v>4.7621966666666671</v>
      </c>
      <c r="G844" s="938">
        <f t="shared" ref="G844:G849" si="177">+F844/8</f>
        <v>0.59527458333333338</v>
      </c>
      <c r="H844" s="938">
        <v>1</v>
      </c>
      <c r="I844" s="938">
        <f t="shared" ref="I844:I849" si="178">+ROUNDUP(G844/H844,0)</f>
        <v>1</v>
      </c>
      <c r="J844" s="1154">
        <f>'Estructura de Presupuesto'!$H$248*D844</f>
        <v>486311.5703937838</v>
      </c>
      <c r="L844" s="812"/>
    </row>
    <row r="845" spans="1:12" hidden="1" outlineLevel="1">
      <c r="A845" s="1213" t="s">
        <v>3198</v>
      </c>
      <c r="B845" s="1161" t="s">
        <v>1342</v>
      </c>
      <c r="C845" s="1212" t="s">
        <v>345</v>
      </c>
      <c r="D845" s="1161">
        <f>'14. Inst. Hidro-Sanitarias'!$R$87</f>
        <v>17.907777777777778</v>
      </c>
      <c r="E845" s="1215">
        <f>APU!$F$2037</f>
        <v>0.33900000000000002</v>
      </c>
      <c r="F845" s="938">
        <f t="shared" si="176"/>
        <v>6.0707366666666669</v>
      </c>
      <c r="G845" s="938">
        <f t="shared" si="177"/>
        <v>0.75884208333333336</v>
      </c>
      <c r="H845" s="938">
        <v>1</v>
      </c>
      <c r="I845" s="938">
        <f t="shared" si="178"/>
        <v>1</v>
      </c>
      <c r="J845" s="1154">
        <f>'Estructura de Presupuesto'!$H$249*D845</f>
        <v>619938.5889453938</v>
      </c>
      <c r="L845" s="812"/>
    </row>
    <row r="846" spans="1:12" hidden="1" outlineLevel="1">
      <c r="A846" s="1213" t="s">
        <v>3199</v>
      </c>
      <c r="B846" s="1161" t="s">
        <v>1337</v>
      </c>
      <c r="C846" s="1212" t="s">
        <v>345</v>
      </c>
      <c r="D846" s="1161">
        <f>'14. Inst. Hidro-Sanitarias'!$L$83</f>
        <v>12.236481111111111</v>
      </c>
      <c r="E846" s="1215">
        <f>APU!$F$1977</f>
        <v>0.1</v>
      </c>
      <c r="F846" s="938">
        <f t="shared" si="176"/>
        <v>1.2236481111111113</v>
      </c>
      <c r="G846" s="938">
        <f t="shared" si="177"/>
        <v>0.15295601388888891</v>
      </c>
      <c r="H846" s="938">
        <v>1</v>
      </c>
      <c r="I846" s="938">
        <f t="shared" si="178"/>
        <v>1</v>
      </c>
      <c r="J846" s="1154">
        <f>'Estructura de Presupuesto'!$H$244*D846</f>
        <v>144989.5818340109</v>
      </c>
      <c r="L846"/>
    </row>
    <row r="847" spans="1:12" hidden="1" outlineLevel="1">
      <c r="A847" s="1213" t="s">
        <v>3200</v>
      </c>
      <c r="B847" s="1161" t="s">
        <v>1338</v>
      </c>
      <c r="C847" s="1212" t="s">
        <v>345</v>
      </c>
      <c r="D847" s="1161">
        <f>'14. Inst. Hidro-Sanitarias'!$L$84</f>
        <v>4.1335777777777771</v>
      </c>
      <c r="E847" s="1215">
        <f>APU!$F$1989</f>
        <v>0.13999999999999999</v>
      </c>
      <c r="F847" s="938">
        <f t="shared" si="176"/>
        <v>0.57870088888888871</v>
      </c>
      <c r="G847" s="938">
        <f t="shared" si="177"/>
        <v>7.2337611111111089E-2</v>
      </c>
      <c r="H847" s="938">
        <v>1</v>
      </c>
      <c r="I847" s="938">
        <f t="shared" si="178"/>
        <v>1</v>
      </c>
      <c r="J847" s="1154">
        <f>'Estructura de Presupuesto'!$H$245*D847</f>
        <v>115702.79415504908</v>
      </c>
      <c r="L847"/>
    </row>
    <row r="848" spans="1:12" hidden="1" outlineLevel="1">
      <c r="A848" s="1213" t="s">
        <v>3201</v>
      </c>
      <c r="B848" s="1161" t="s">
        <v>1339</v>
      </c>
      <c r="C848" s="1212" t="s">
        <v>345</v>
      </c>
      <c r="D848" s="1161">
        <f>'14. Inst. Hidro-Sanitarias'!$L$86</f>
        <v>5.1133333333333333</v>
      </c>
      <c r="E848" s="1215">
        <f>APU!$F$2002</f>
        <v>0.12</v>
      </c>
      <c r="F848" s="938">
        <f t="shared" si="176"/>
        <v>0.61359999999999992</v>
      </c>
      <c r="G848" s="938">
        <f t="shared" si="177"/>
        <v>7.669999999999999E-2</v>
      </c>
      <c r="H848" s="938">
        <v>1</v>
      </c>
      <c r="I848" s="938">
        <f t="shared" si="178"/>
        <v>1</v>
      </c>
      <c r="J848" s="1154">
        <f>'Estructura de Presupuesto'!$H$246*D848</f>
        <v>107530.24987986668</v>
      </c>
      <c r="L848" s="1408"/>
    </row>
    <row r="849" spans="1:12" ht="15.75" hidden="1" outlineLevel="1" thickBot="1">
      <c r="A849" s="1213" t="s">
        <v>3202</v>
      </c>
      <c r="B849" s="1161" t="s">
        <v>1340</v>
      </c>
      <c r="C849" s="1212" t="s">
        <v>345</v>
      </c>
      <c r="D849" s="1161">
        <f>'14. Inst. Hidro-Sanitarias'!$L$85</f>
        <v>11.855555555555558</v>
      </c>
      <c r="E849" s="1215">
        <f>APU!$F$2016</f>
        <v>0.16</v>
      </c>
      <c r="F849" s="938">
        <f t="shared" si="176"/>
        <v>1.8968888888888893</v>
      </c>
      <c r="G849" s="938">
        <f t="shared" si="177"/>
        <v>0.23711111111111116</v>
      </c>
      <c r="H849" s="938">
        <v>1</v>
      </c>
      <c r="I849" s="938">
        <f t="shared" si="178"/>
        <v>1</v>
      </c>
      <c r="J849" s="1154">
        <f>'Estructura de Presupuesto'!$H$247*D849</f>
        <v>596918.37216855574</v>
      </c>
      <c r="L849" s="1408"/>
    </row>
    <row r="850" spans="1:12" ht="15.75" hidden="1" outlineLevel="1" thickBot="1">
      <c r="A850" s="1937" t="s">
        <v>824</v>
      </c>
      <c r="B850" s="1938"/>
      <c r="C850" s="1938"/>
      <c r="D850" s="1938"/>
      <c r="E850" s="1938"/>
      <c r="F850" s="1938"/>
      <c r="G850" s="1938"/>
      <c r="H850" s="1938"/>
      <c r="I850" s="1938"/>
      <c r="J850" s="1242">
        <f>SUM(J851:J866)</f>
        <v>2879019.9041526602</v>
      </c>
      <c r="L850" s="812"/>
    </row>
    <row r="851" spans="1:12" hidden="1" outlineLevel="1">
      <c r="A851" s="1213" t="s">
        <v>3203</v>
      </c>
      <c r="B851" s="1161" t="s">
        <v>1316</v>
      </c>
      <c r="C851" s="1212" t="s">
        <v>285</v>
      </c>
      <c r="D851" s="1161">
        <f>'14. Inst. Hidro-Sanitarias'!E80</f>
        <v>21</v>
      </c>
      <c r="E851" s="1215">
        <f>APU!$F$1741</f>
        <v>0.06</v>
      </c>
      <c r="F851" s="938">
        <f t="shared" ref="F851:F866" si="179">+D851*E851</f>
        <v>1.26</v>
      </c>
      <c r="G851" s="938">
        <f t="shared" ref="G851:G858" si="180">+F851/8</f>
        <v>0.1575</v>
      </c>
      <c r="H851" s="938">
        <v>1</v>
      </c>
      <c r="I851" s="938">
        <f>+ROUNDUP(G851/H851,0)</f>
        <v>1</v>
      </c>
      <c r="J851" s="1154">
        <f>APU!$J$1744*D851</f>
        <v>141151.39437000002</v>
      </c>
      <c r="L851" s="812"/>
    </row>
    <row r="852" spans="1:12" hidden="1" outlineLevel="1">
      <c r="A852" s="1213" t="s">
        <v>3204</v>
      </c>
      <c r="B852" s="1161" t="s">
        <v>1317</v>
      </c>
      <c r="C852" s="1212" t="s">
        <v>285</v>
      </c>
      <c r="D852" s="1161">
        <f>'14. Inst. Hidro-Sanitarias'!E81</f>
        <v>1</v>
      </c>
      <c r="E852" s="1215">
        <f>APU!$F$1754</f>
        <v>0.08</v>
      </c>
      <c r="F852" s="938">
        <f t="shared" si="179"/>
        <v>0.08</v>
      </c>
      <c r="G852" s="938">
        <f t="shared" si="180"/>
        <v>0.01</v>
      </c>
      <c r="H852" s="938">
        <v>1</v>
      </c>
      <c r="I852" s="938">
        <f t="shared" ref="I852:I863" si="181">+ROUNDUP(G852/H852,0)</f>
        <v>1</v>
      </c>
      <c r="J852" s="1154">
        <f>APU!$J$1757*D852</f>
        <v>7762.7151400000002</v>
      </c>
      <c r="L852" s="812"/>
    </row>
    <row r="853" spans="1:12" hidden="1" outlineLevel="1">
      <c r="A853" s="1213" t="s">
        <v>3205</v>
      </c>
      <c r="B853" s="1161" t="s">
        <v>1318</v>
      </c>
      <c r="C853" s="1212" t="s">
        <v>285</v>
      </c>
      <c r="D853" s="1161">
        <f>'14. Inst. Hidro-Sanitarias'!E82</f>
        <v>1</v>
      </c>
      <c r="E853" s="1215">
        <f>APU!$F$1767</f>
        <v>0.1</v>
      </c>
      <c r="F853" s="938">
        <f t="shared" si="179"/>
        <v>0.1</v>
      </c>
      <c r="G853" s="938">
        <f t="shared" si="180"/>
        <v>1.2500000000000001E-2</v>
      </c>
      <c r="H853" s="938">
        <v>1</v>
      </c>
      <c r="I853" s="938">
        <f t="shared" si="181"/>
        <v>1</v>
      </c>
      <c r="J853" s="1154">
        <f>'Estructura de Presupuesto'!$H$225*D853</f>
        <v>11848.96054</v>
      </c>
      <c r="L853" s="812"/>
    </row>
    <row r="854" spans="1:12" hidden="1" outlineLevel="1">
      <c r="A854" s="1213" t="s">
        <v>3206</v>
      </c>
      <c r="B854" s="1161" t="s">
        <v>1321</v>
      </c>
      <c r="C854" s="1212" t="s">
        <v>285</v>
      </c>
      <c r="D854" s="1161">
        <f>'14. Inst. Hidro-Sanitarias'!E83</f>
        <v>1</v>
      </c>
      <c r="E854" s="1215">
        <f>APU!F1828</f>
        <v>1</v>
      </c>
      <c r="F854" s="938">
        <f t="shared" si="179"/>
        <v>1</v>
      </c>
      <c r="G854" s="938">
        <f t="shared" si="180"/>
        <v>0.125</v>
      </c>
      <c r="H854" s="938">
        <v>1</v>
      </c>
      <c r="I854" s="938">
        <f t="shared" si="181"/>
        <v>1</v>
      </c>
      <c r="J854" s="1154">
        <f>'Estructura de Presupuesto'!$H$228*D854</f>
        <v>50349.253510000002</v>
      </c>
      <c r="L854"/>
    </row>
    <row r="855" spans="1:12" hidden="1" outlineLevel="1">
      <c r="A855" s="1213" t="s">
        <v>3207</v>
      </c>
      <c r="B855" s="1161" t="s">
        <v>1322</v>
      </c>
      <c r="C855" s="1212" t="s">
        <v>285</v>
      </c>
      <c r="D855" s="1161">
        <f>'14. Inst. Hidro-Sanitarias'!E103</f>
        <v>2</v>
      </c>
      <c r="E855" s="1215">
        <f>APU!$F$1819</f>
        <v>0.06</v>
      </c>
      <c r="F855" s="938">
        <f t="shared" si="179"/>
        <v>0.12</v>
      </c>
      <c r="G855" s="938">
        <f t="shared" si="180"/>
        <v>1.4999999999999999E-2</v>
      </c>
      <c r="H855" s="938">
        <v>1</v>
      </c>
      <c r="I855" s="938">
        <f t="shared" si="181"/>
        <v>1</v>
      </c>
      <c r="J855" s="1154">
        <f>'Estructura de Presupuesto'!$H$229*D855</f>
        <v>13442.989940000001</v>
      </c>
      <c r="L855"/>
    </row>
    <row r="856" spans="1:12" hidden="1" outlineLevel="1">
      <c r="A856" s="1213" t="s">
        <v>3208</v>
      </c>
      <c r="B856" s="1161" t="s">
        <v>1323</v>
      </c>
      <c r="C856" s="1212" t="s">
        <v>285</v>
      </c>
      <c r="D856" s="1161">
        <f>'14. Inst. Hidro-Sanitarias'!E104</f>
        <v>2</v>
      </c>
      <c r="E856" s="1215">
        <f>APU!$F$1831</f>
        <v>0.08</v>
      </c>
      <c r="F856" s="938">
        <f t="shared" si="179"/>
        <v>0.16</v>
      </c>
      <c r="G856" s="938">
        <f t="shared" si="180"/>
        <v>0.02</v>
      </c>
      <c r="H856" s="938">
        <v>1</v>
      </c>
      <c r="I856" s="938">
        <f t="shared" si="181"/>
        <v>1</v>
      </c>
      <c r="J856" s="1154">
        <f>'Estructura de Presupuesto'!$H$230*D856</f>
        <v>15525.43028</v>
      </c>
      <c r="L856" s="1408"/>
    </row>
    <row r="857" spans="1:12" hidden="1" outlineLevel="1">
      <c r="A857" s="1213" t="s">
        <v>3209</v>
      </c>
      <c r="B857" s="1161" t="s">
        <v>1324</v>
      </c>
      <c r="C857" s="1212" t="s">
        <v>285</v>
      </c>
      <c r="D857" s="1161">
        <f>'14. Inst. Hidro-Sanitarias'!E105</f>
        <v>7</v>
      </c>
      <c r="E857" s="1215">
        <f>APU!$F$1844</f>
        <v>0.12</v>
      </c>
      <c r="F857" s="938">
        <f t="shared" si="179"/>
        <v>0.84</v>
      </c>
      <c r="G857" s="938">
        <f t="shared" si="180"/>
        <v>0.105</v>
      </c>
      <c r="H857" s="938">
        <v>1</v>
      </c>
      <c r="I857" s="938">
        <f t="shared" si="181"/>
        <v>1</v>
      </c>
      <c r="J857" s="1154">
        <f>'Estructura de Presupuesto'!$H$231*D857</f>
        <v>147205.68758000003</v>
      </c>
      <c r="L857" s="1408"/>
    </row>
    <row r="858" spans="1:12" hidden="1" outlineLevel="1">
      <c r="A858" s="1213" t="s">
        <v>3210</v>
      </c>
      <c r="B858" s="1161" t="s">
        <v>1327</v>
      </c>
      <c r="C858" s="1212" t="s">
        <v>285</v>
      </c>
      <c r="D858" s="1161">
        <f>'14. Inst. Hidro-Sanitarias'!E106</f>
        <v>1</v>
      </c>
      <c r="E858" s="1215">
        <f>APU!$F$1883</f>
        <v>0.2</v>
      </c>
      <c r="F858" s="938">
        <f t="shared" si="179"/>
        <v>0.2</v>
      </c>
      <c r="G858" s="938">
        <f t="shared" si="180"/>
        <v>2.5000000000000001E-2</v>
      </c>
      <c r="H858" s="938">
        <v>1</v>
      </c>
      <c r="I858" s="938">
        <f t="shared" si="181"/>
        <v>1</v>
      </c>
      <c r="J858" s="1154">
        <f>'Estructura de Presupuesto'!$H$234</f>
        <v>70276.378309999986</v>
      </c>
      <c r="L858" s="812"/>
    </row>
    <row r="859" spans="1:12" hidden="1" outlineLevel="1">
      <c r="A859" s="1213" t="s">
        <v>3211</v>
      </c>
      <c r="B859" s="1161" t="s">
        <v>1328</v>
      </c>
      <c r="C859" s="1212" t="s">
        <v>285</v>
      </c>
      <c r="D859" s="1161">
        <v>1</v>
      </c>
      <c r="E859" s="1215">
        <f>APU!$F$1896</f>
        <v>0.22000000000000003</v>
      </c>
      <c r="F859" s="938">
        <f t="shared" si="179"/>
        <v>0.22000000000000003</v>
      </c>
      <c r="G859" s="938">
        <f>+F859/8</f>
        <v>2.7500000000000004E-2</v>
      </c>
      <c r="H859" s="938">
        <v>1</v>
      </c>
      <c r="I859" s="938">
        <f t="shared" si="181"/>
        <v>1</v>
      </c>
      <c r="J859" s="1154">
        <f>'Estructura de Presupuesto'!$H$235*D859</f>
        <v>125016.88402000001</v>
      </c>
      <c r="L859" s="812"/>
    </row>
    <row r="860" spans="1:12" hidden="1" outlineLevel="1">
      <c r="A860" s="1213" t="s">
        <v>3212</v>
      </c>
      <c r="B860" s="1161" t="s">
        <v>1332</v>
      </c>
      <c r="C860" s="1212" t="s">
        <v>285</v>
      </c>
      <c r="D860" s="1161">
        <f>'14. Inst. Hidro-Sanitarias'!I57</f>
        <v>2</v>
      </c>
      <c r="E860" s="1215">
        <f>APU!$F$1937</f>
        <v>0.44600000000000001</v>
      </c>
      <c r="F860" s="938">
        <f t="shared" si="179"/>
        <v>0.89200000000000002</v>
      </c>
      <c r="G860" s="938">
        <f>+F860/8</f>
        <v>0.1115</v>
      </c>
      <c r="H860" s="938">
        <v>1</v>
      </c>
      <c r="I860" s="938">
        <f t="shared" si="181"/>
        <v>1</v>
      </c>
      <c r="J860" s="1154">
        <f>'Estructura de Presupuesto'!$H$239*D860</f>
        <v>225049.05308600003</v>
      </c>
      <c r="L860" s="812"/>
    </row>
    <row r="861" spans="1:12" hidden="1" outlineLevel="1">
      <c r="A861" s="1213" t="s">
        <v>3213</v>
      </c>
      <c r="B861" s="1161" t="s">
        <v>1341</v>
      </c>
      <c r="C861" s="1212" t="s">
        <v>345</v>
      </c>
      <c r="D861" s="1161">
        <f>'14. Inst. Hidro-Sanitarias'!$R$86</f>
        <v>14.047777777777778</v>
      </c>
      <c r="E861" s="1215">
        <f>APU!$F$2026</f>
        <v>0.33900000000000002</v>
      </c>
      <c r="F861" s="938">
        <f t="shared" si="179"/>
        <v>4.7621966666666671</v>
      </c>
      <c r="G861" s="938">
        <f t="shared" ref="G861:G866" si="182">+F861/8</f>
        <v>0.59527458333333338</v>
      </c>
      <c r="H861" s="938">
        <v>1</v>
      </c>
      <c r="I861" s="938">
        <f t="shared" si="181"/>
        <v>1</v>
      </c>
      <c r="J861" s="1154">
        <f>'Estructura de Presupuesto'!$H$248*D861</f>
        <v>486311.5703937838</v>
      </c>
      <c r="L861" s="812"/>
    </row>
    <row r="862" spans="1:12" hidden="1" outlineLevel="1">
      <c r="A862" s="1213" t="s">
        <v>3214</v>
      </c>
      <c r="B862" s="1161" t="s">
        <v>1342</v>
      </c>
      <c r="C862" s="1212" t="s">
        <v>345</v>
      </c>
      <c r="D862" s="1161">
        <f>'14. Inst. Hidro-Sanitarias'!$R$87</f>
        <v>17.907777777777778</v>
      </c>
      <c r="E862" s="1215">
        <f>APU!$F$2037</f>
        <v>0.33900000000000002</v>
      </c>
      <c r="F862" s="938">
        <f t="shared" si="179"/>
        <v>6.0707366666666669</v>
      </c>
      <c r="G862" s="938">
        <f t="shared" si="182"/>
        <v>0.75884208333333336</v>
      </c>
      <c r="H862" s="938">
        <v>1</v>
      </c>
      <c r="I862" s="938">
        <f t="shared" si="181"/>
        <v>1</v>
      </c>
      <c r="J862" s="1154">
        <f>'Estructura de Presupuesto'!$H$249*D862</f>
        <v>619938.5889453938</v>
      </c>
      <c r="L862"/>
    </row>
    <row r="863" spans="1:12" hidden="1" outlineLevel="1">
      <c r="A863" s="1213" t="s">
        <v>3215</v>
      </c>
      <c r="B863" s="1161" t="s">
        <v>1337</v>
      </c>
      <c r="C863" s="1212" t="s">
        <v>345</v>
      </c>
      <c r="D863" s="1161">
        <f>'14. Inst. Hidro-Sanitarias'!$L$83</f>
        <v>12.236481111111111</v>
      </c>
      <c r="E863" s="1215">
        <f>APU!$F$1977</f>
        <v>0.1</v>
      </c>
      <c r="F863" s="938">
        <f t="shared" si="179"/>
        <v>1.2236481111111113</v>
      </c>
      <c r="G863" s="938">
        <f t="shared" si="182"/>
        <v>0.15295601388888891</v>
      </c>
      <c r="H863" s="938">
        <v>1</v>
      </c>
      <c r="I863" s="938">
        <f t="shared" si="181"/>
        <v>1</v>
      </c>
      <c r="J863" s="1154">
        <f>'Estructura de Presupuesto'!$H$244*D863</f>
        <v>144989.5818340109</v>
      </c>
      <c r="L863"/>
    </row>
    <row r="864" spans="1:12" hidden="1" outlineLevel="1">
      <c r="A864" s="1213" t="s">
        <v>3216</v>
      </c>
      <c r="B864" s="1161" t="s">
        <v>1338</v>
      </c>
      <c r="C864" s="1212" t="s">
        <v>345</v>
      </c>
      <c r="D864" s="1161">
        <f>'14. Inst. Hidro-Sanitarias'!$L$84</f>
        <v>4.1335777777777771</v>
      </c>
      <c r="E864" s="1215">
        <f>APU!$F$1989</f>
        <v>0.13999999999999999</v>
      </c>
      <c r="F864" s="938">
        <f t="shared" si="179"/>
        <v>0.57870088888888871</v>
      </c>
      <c r="G864" s="938">
        <f t="shared" si="182"/>
        <v>7.2337611111111089E-2</v>
      </c>
      <c r="H864" s="938">
        <v>1</v>
      </c>
      <c r="I864" s="938">
        <f>+ROUNDUP(G864/H864,0)</f>
        <v>1</v>
      </c>
      <c r="J864" s="1154">
        <f>'Estructura de Presupuesto'!$H$245*D864</f>
        <v>115702.79415504908</v>
      </c>
      <c r="L864" s="1408"/>
    </row>
    <row r="865" spans="1:12" hidden="1" outlineLevel="1">
      <c r="A865" s="1213" t="s">
        <v>3217</v>
      </c>
      <c r="B865" s="1161" t="s">
        <v>1339</v>
      </c>
      <c r="C865" s="1212" t="s">
        <v>345</v>
      </c>
      <c r="D865" s="1161">
        <f>'14. Inst. Hidro-Sanitarias'!$L$86</f>
        <v>5.1133333333333333</v>
      </c>
      <c r="E865" s="1215">
        <f>APU!$F$2002</f>
        <v>0.12</v>
      </c>
      <c r="F865" s="938">
        <f t="shared" si="179"/>
        <v>0.61359999999999992</v>
      </c>
      <c r="G865" s="938">
        <f t="shared" si="182"/>
        <v>7.669999999999999E-2</v>
      </c>
      <c r="H865" s="938">
        <v>1</v>
      </c>
      <c r="I865" s="938">
        <f>+ROUNDUP(G865/H865,0)</f>
        <v>1</v>
      </c>
      <c r="J865" s="1154">
        <f>'Estructura de Presupuesto'!$H$246*D865</f>
        <v>107530.24987986668</v>
      </c>
      <c r="L865" s="1408"/>
    </row>
    <row r="866" spans="1:12" ht="15.75" hidden="1" outlineLevel="1" thickBot="1">
      <c r="A866" s="1213" t="s">
        <v>3218</v>
      </c>
      <c r="B866" s="1161" t="s">
        <v>1340</v>
      </c>
      <c r="C866" s="1212" t="s">
        <v>345</v>
      </c>
      <c r="D866" s="1161">
        <f>'14. Inst. Hidro-Sanitarias'!$L$85</f>
        <v>11.855555555555558</v>
      </c>
      <c r="E866" s="1215">
        <f>APU!$F$2016</f>
        <v>0.16</v>
      </c>
      <c r="F866" s="938">
        <f t="shared" si="179"/>
        <v>1.8968888888888893</v>
      </c>
      <c r="G866" s="938">
        <f t="shared" si="182"/>
        <v>0.23711111111111116</v>
      </c>
      <c r="H866" s="938">
        <v>1</v>
      </c>
      <c r="I866" s="938">
        <f>+ROUNDUP(G866/H866,0)</f>
        <v>1</v>
      </c>
      <c r="J866" s="1154">
        <f>'Estructura de Presupuesto'!$H$247*D866</f>
        <v>596918.37216855574</v>
      </c>
      <c r="L866" s="812"/>
    </row>
    <row r="867" spans="1:12" ht="15.75" hidden="1" outlineLevel="1" thickBot="1">
      <c r="A867" s="1937" t="s">
        <v>2255</v>
      </c>
      <c r="B867" s="1938"/>
      <c r="C867" s="1938"/>
      <c r="D867" s="1938"/>
      <c r="E867" s="1938"/>
      <c r="F867" s="1938"/>
      <c r="G867" s="1938"/>
      <c r="H867" s="1938"/>
      <c r="I867" s="1938"/>
      <c r="J867" s="1242">
        <f>SUM(J868:J879)</f>
        <v>2493980.9318466596</v>
      </c>
      <c r="L867" s="812"/>
    </row>
    <row r="868" spans="1:12" hidden="1" outlineLevel="1">
      <c r="A868" s="1213" t="s">
        <v>3219</v>
      </c>
      <c r="B868" s="1161" t="s">
        <v>1316</v>
      </c>
      <c r="C868" s="1212" t="s">
        <v>285</v>
      </c>
      <c r="D868" s="1161">
        <v>13</v>
      </c>
      <c r="E868" s="1215">
        <f>APU!$F$1741</f>
        <v>0.06</v>
      </c>
      <c r="F868" s="938">
        <f>+D868*E868</f>
        <v>0.78</v>
      </c>
      <c r="G868" s="938">
        <f>+F868/8</f>
        <v>9.7500000000000003E-2</v>
      </c>
      <c r="H868" s="938">
        <v>1</v>
      </c>
      <c r="I868" s="938">
        <f>+ROUNDUP(G868/H868,0)</f>
        <v>1</v>
      </c>
      <c r="J868" s="1154">
        <f>APU!$J$1744*D868</f>
        <v>87379.434610000011</v>
      </c>
      <c r="L868" s="812"/>
    </row>
    <row r="869" spans="1:12" hidden="1" outlineLevel="1">
      <c r="A869" s="1213" t="s">
        <v>3220</v>
      </c>
      <c r="B869" s="1161" t="s">
        <v>1317</v>
      </c>
      <c r="C869" s="1212" t="s">
        <v>285</v>
      </c>
      <c r="D869" s="1161">
        <f>'14. Inst. Hidro-Sanitarias'!G88</f>
        <v>2</v>
      </c>
      <c r="E869" s="1215">
        <f>APU!$F$1754</f>
        <v>0.08</v>
      </c>
      <c r="F869" s="938">
        <f>+D869*E869</f>
        <v>0.16</v>
      </c>
      <c r="G869" s="938">
        <f>+F869/8</f>
        <v>0.02</v>
      </c>
      <c r="H869" s="938">
        <v>1</v>
      </c>
      <c r="I869" s="938">
        <f>+ROUNDUP(G869/H869,0)</f>
        <v>1</v>
      </c>
      <c r="J869" s="1154">
        <f>'Estructura de Presupuesto'!$H$224*D869</f>
        <v>15525.43028</v>
      </c>
      <c r="L869" s="812"/>
    </row>
    <row r="870" spans="1:12" hidden="1" outlineLevel="1">
      <c r="A870" s="1213" t="s">
        <v>3221</v>
      </c>
      <c r="B870" s="1161" t="s">
        <v>1320</v>
      </c>
      <c r="C870" s="1212" t="s">
        <v>285</v>
      </c>
      <c r="D870" s="1161">
        <f>'14. Inst. Hidro-Sanitarias'!G89</f>
        <v>1</v>
      </c>
      <c r="E870" s="1215">
        <f>APU!$F$1792</f>
        <v>0.13999999999999999</v>
      </c>
      <c r="F870" s="938">
        <f>+D870*E870</f>
        <v>0.13999999999999999</v>
      </c>
      <c r="G870" s="938">
        <f>+F870/8</f>
        <v>1.7499999999999998E-2</v>
      </c>
      <c r="H870" s="938">
        <v>1</v>
      </c>
      <c r="I870" s="938">
        <f>+ROUNDUP(G870/H870,0)</f>
        <v>1</v>
      </c>
      <c r="J870" s="1154">
        <f>'Estructura de Presupuesto'!$H$227</f>
        <v>27990.956109999996</v>
      </c>
      <c r="L870"/>
    </row>
    <row r="871" spans="1:12" hidden="1" outlineLevel="1">
      <c r="A871" s="1213" t="s">
        <v>3222</v>
      </c>
      <c r="B871" s="1161" t="s">
        <v>1323</v>
      </c>
      <c r="C871" s="1212" t="s">
        <v>285</v>
      </c>
      <c r="D871" s="1161">
        <f>'14. Inst. Hidro-Sanitarias'!E108/4</f>
        <v>4</v>
      </c>
      <c r="E871" s="1215">
        <f>APU!$F$1831</f>
        <v>0.08</v>
      </c>
      <c r="F871" s="938">
        <f>+D871*E871</f>
        <v>0.32</v>
      </c>
      <c r="G871" s="938">
        <f>+F871/8</f>
        <v>0.04</v>
      </c>
      <c r="H871" s="938">
        <v>1</v>
      </c>
      <c r="I871" s="938">
        <f>+ROUNDUP(G871/H871,0)</f>
        <v>1</v>
      </c>
      <c r="J871" s="1154">
        <f>'Estructura de Presupuesto'!$H$230*D871</f>
        <v>31050.860560000001</v>
      </c>
      <c r="L871"/>
    </row>
    <row r="872" spans="1:12" hidden="1" outlineLevel="1">
      <c r="A872" s="1213" t="s">
        <v>3223</v>
      </c>
      <c r="B872" s="1161" t="s">
        <v>1324</v>
      </c>
      <c r="C872" s="1212" t="s">
        <v>285</v>
      </c>
      <c r="D872" s="1161">
        <f>'14. Inst. Hidro-Sanitarias'!$E$109/4</f>
        <v>10</v>
      </c>
      <c r="E872" s="1215">
        <f>APU!$F$1844</f>
        <v>0.12</v>
      </c>
      <c r="F872" s="938">
        <f t="shared" ref="F872:F879" si="183">+D872*E872</f>
        <v>1.2</v>
      </c>
      <c r="G872" s="938">
        <f t="shared" ref="G872:G879" si="184">+F872/8</f>
        <v>0.15</v>
      </c>
      <c r="H872" s="938">
        <v>1</v>
      </c>
      <c r="I872" s="938">
        <f t="shared" ref="I872:I879" si="185">+ROUNDUP(G872/H872,0)</f>
        <v>1</v>
      </c>
      <c r="J872" s="1154">
        <f>'Estructura de Presupuesto'!$H$231*D872</f>
        <v>210293.83940000003</v>
      </c>
      <c r="L872" s="1408"/>
    </row>
    <row r="873" spans="1:12" hidden="1" outlineLevel="1">
      <c r="A873" s="1213" t="s">
        <v>3224</v>
      </c>
      <c r="B873" s="1161" t="s">
        <v>1325</v>
      </c>
      <c r="C873" s="1212" t="s">
        <v>285</v>
      </c>
      <c r="D873" s="1161">
        <f>'14. Inst. Hidro-Sanitarias'!G110</f>
        <v>1</v>
      </c>
      <c r="E873" s="1215">
        <f>APU!$F$1857</f>
        <v>0.16</v>
      </c>
      <c r="F873" s="938">
        <f t="shared" si="183"/>
        <v>0.16</v>
      </c>
      <c r="G873" s="938">
        <f t="shared" si="184"/>
        <v>0.02</v>
      </c>
      <c r="H873" s="938">
        <v>1</v>
      </c>
      <c r="I873" s="938">
        <f t="shared" si="185"/>
        <v>1</v>
      </c>
      <c r="J873" s="1154">
        <f>'Estructura de Presupuesto'!$H$232*D873</f>
        <v>50349.253510000002</v>
      </c>
      <c r="L873" s="1408"/>
    </row>
    <row r="874" spans="1:12" hidden="1" outlineLevel="1">
      <c r="A874" s="1213" t="s">
        <v>3225</v>
      </c>
      <c r="B874" s="1161" t="s">
        <v>1341</v>
      </c>
      <c r="C874" s="1212" t="s">
        <v>345</v>
      </c>
      <c r="D874" s="1161">
        <f>'14. Inst. Hidro-Sanitarias'!$R$86</f>
        <v>14.047777777777778</v>
      </c>
      <c r="E874" s="1215">
        <f>APU!$F$2026</f>
        <v>0.33900000000000002</v>
      </c>
      <c r="F874" s="938">
        <f t="shared" si="183"/>
        <v>4.7621966666666671</v>
      </c>
      <c r="G874" s="938">
        <f t="shared" si="184"/>
        <v>0.59527458333333338</v>
      </c>
      <c r="H874" s="938">
        <v>1</v>
      </c>
      <c r="I874" s="938">
        <f t="shared" si="185"/>
        <v>1</v>
      </c>
      <c r="J874" s="1154">
        <f>'Estructura de Presupuesto'!$H$248*D874</f>
        <v>486311.5703937838</v>
      </c>
      <c r="L874" s="812"/>
    </row>
    <row r="875" spans="1:12" hidden="1" outlineLevel="1">
      <c r="A875" s="1213" t="s">
        <v>3226</v>
      </c>
      <c r="B875" s="1161" t="s">
        <v>1342</v>
      </c>
      <c r="C875" s="1212" t="s">
        <v>345</v>
      </c>
      <c r="D875" s="1161">
        <f>'14. Inst. Hidro-Sanitarias'!$R$87</f>
        <v>17.907777777777778</v>
      </c>
      <c r="E875" s="1215">
        <f>APU!$F$2037</f>
        <v>0.33900000000000002</v>
      </c>
      <c r="F875" s="938">
        <f t="shared" si="183"/>
        <v>6.0707366666666669</v>
      </c>
      <c r="G875" s="938">
        <f t="shared" si="184"/>
        <v>0.75884208333333336</v>
      </c>
      <c r="H875" s="938">
        <v>1</v>
      </c>
      <c r="I875" s="938">
        <f t="shared" si="185"/>
        <v>1</v>
      </c>
      <c r="J875" s="1154">
        <f>'Estructura de Presupuesto'!$H$249*D875</f>
        <v>619938.5889453938</v>
      </c>
      <c r="L875" s="812"/>
    </row>
    <row r="876" spans="1:12" hidden="1" outlineLevel="1">
      <c r="A876" s="1213" t="s">
        <v>3227</v>
      </c>
      <c r="B876" s="1161" t="s">
        <v>1337</v>
      </c>
      <c r="C876" s="1212" t="s">
        <v>345</v>
      </c>
      <c r="D876" s="1161">
        <f>'14. Inst. Hidro-Sanitarias'!$L$83</f>
        <v>12.236481111111111</v>
      </c>
      <c r="E876" s="1215">
        <f>APU!$F$1977</f>
        <v>0.1</v>
      </c>
      <c r="F876" s="938">
        <f t="shared" si="183"/>
        <v>1.2236481111111113</v>
      </c>
      <c r="G876" s="938">
        <f t="shared" si="184"/>
        <v>0.15295601388888891</v>
      </c>
      <c r="H876" s="938">
        <v>1</v>
      </c>
      <c r="I876" s="938">
        <f t="shared" si="185"/>
        <v>1</v>
      </c>
      <c r="J876" s="1154">
        <f>'Estructura de Presupuesto'!$H$244*D876</f>
        <v>144989.5818340109</v>
      </c>
      <c r="L876" s="812"/>
    </row>
    <row r="877" spans="1:12" hidden="1" outlineLevel="1">
      <c r="A877" s="1213" t="s">
        <v>3228</v>
      </c>
      <c r="B877" s="1161" t="s">
        <v>1338</v>
      </c>
      <c r="C877" s="1212" t="s">
        <v>345</v>
      </c>
      <c r="D877" s="1161">
        <f>'14. Inst. Hidro-Sanitarias'!$L$84</f>
        <v>4.1335777777777771</v>
      </c>
      <c r="E877" s="1215">
        <f>APU!$F$1989</f>
        <v>0.13999999999999999</v>
      </c>
      <c r="F877" s="938">
        <f t="shared" si="183"/>
        <v>0.57870088888888871</v>
      </c>
      <c r="G877" s="938">
        <f t="shared" si="184"/>
        <v>7.2337611111111089E-2</v>
      </c>
      <c r="H877" s="938">
        <v>1</v>
      </c>
      <c r="I877" s="938">
        <f t="shared" si="185"/>
        <v>1</v>
      </c>
      <c r="J877" s="1154">
        <f>'Estructura de Presupuesto'!$H$245*D877</f>
        <v>115702.79415504908</v>
      </c>
      <c r="L877" s="812"/>
    </row>
    <row r="878" spans="1:12" hidden="1" outlineLevel="1">
      <c r="A878" s="1213" t="s">
        <v>3229</v>
      </c>
      <c r="B878" s="1161" t="s">
        <v>1339</v>
      </c>
      <c r="C878" s="1212" t="s">
        <v>345</v>
      </c>
      <c r="D878" s="1161">
        <f>'14. Inst. Hidro-Sanitarias'!$L$86</f>
        <v>5.1133333333333333</v>
      </c>
      <c r="E878" s="1215">
        <f>APU!$F$2002</f>
        <v>0.12</v>
      </c>
      <c r="F878" s="938">
        <f t="shared" si="183"/>
        <v>0.61359999999999992</v>
      </c>
      <c r="G878" s="938">
        <f t="shared" si="184"/>
        <v>7.669999999999999E-2</v>
      </c>
      <c r="H878" s="938">
        <v>1</v>
      </c>
      <c r="I878" s="938">
        <f t="shared" si="185"/>
        <v>1</v>
      </c>
      <c r="J878" s="1154">
        <f>'Estructura de Presupuesto'!$H$246*D878</f>
        <v>107530.24987986668</v>
      </c>
      <c r="L878"/>
    </row>
    <row r="879" spans="1:12" ht="15.75" hidden="1" outlineLevel="1" thickBot="1">
      <c r="A879" s="1213" t="s">
        <v>3230</v>
      </c>
      <c r="B879" s="1161" t="s">
        <v>1340</v>
      </c>
      <c r="C879" s="1212" t="s">
        <v>345</v>
      </c>
      <c r="D879" s="1161">
        <f>'14. Inst. Hidro-Sanitarias'!$L$85</f>
        <v>11.855555555555558</v>
      </c>
      <c r="E879" s="1215">
        <f>APU!$F$2016</f>
        <v>0.16</v>
      </c>
      <c r="F879" s="938">
        <f t="shared" si="183"/>
        <v>1.8968888888888893</v>
      </c>
      <c r="G879" s="938">
        <f t="shared" si="184"/>
        <v>0.23711111111111116</v>
      </c>
      <c r="H879" s="938">
        <v>1</v>
      </c>
      <c r="I879" s="938">
        <f t="shared" si="185"/>
        <v>1</v>
      </c>
      <c r="J879" s="1154">
        <f>'Estructura de Presupuesto'!$H$247*D879</f>
        <v>596918.37216855574</v>
      </c>
      <c r="L879"/>
    </row>
    <row r="880" spans="1:12" ht="15.75" hidden="1" outlineLevel="1" thickBot="1">
      <c r="A880" s="1937" t="s">
        <v>2258</v>
      </c>
      <c r="B880" s="1938"/>
      <c r="C880" s="1938"/>
      <c r="D880" s="1938"/>
      <c r="E880" s="1938"/>
      <c r="F880" s="1938"/>
      <c r="G880" s="1938"/>
      <c r="H880" s="1938"/>
      <c r="I880" s="1938"/>
      <c r="J880" s="1242">
        <f>SUM(J881:J892)</f>
        <v>2493980.9318466596</v>
      </c>
      <c r="L880" s="1408"/>
    </row>
    <row r="881" spans="1:12" hidden="1" outlineLevel="1">
      <c r="A881" s="1213" t="s">
        <v>3231</v>
      </c>
      <c r="B881" s="1161" t="s">
        <v>1316</v>
      </c>
      <c r="C881" s="1212" t="s">
        <v>285</v>
      </c>
      <c r="D881" s="1161">
        <v>13</v>
      </c>
      <c r="E881" s="1215">
        <f>APU!$F$1741</f>
        <v>0.06</v>
      </c>
      <c r="F881" s="938">
        <f t="shared" ref="F881:F892" si="186">+D881*E881</f>
        <v>0.78</v>
      </c>
      <c r="G881" s="938">
        <f t="shared" ref="G881:G892" si="187">+F881/8</f>
        <v>9.7500000000000003E-2</v>
      </c>
      <c r="H881" s="938">
        <v>1</v>
      </c>
      <c r="I881" s="938">
        <f>+ROUNDUP(G881/H881,0)</f>
        <v>1</v>
      </c>
      <c r="J881" s="1154">
        <f>APU!$J$1744*D881</f>
        <v>87379.434610000011</v>
      </c>
      <c r="L881" s="1408"/>
    </row>
    <row r="882" spans="1:12" hidden="1" outlineLevel="1">
      <c r="A882" s="1213" t="s">
        <v>3232</v>
      </c>
      <c r="B882" s="1161" t="s">
        <v>1317</v>
      </c>
      <c r="C882" s="1212" t="s">
        <v>285</v>
      </c>
      <c r="D882" s="1161">
        <f>'14. Inst. Hidro-Sanitarias'!G88</f>
        <v>2</v>
      </c>
      <c r="E882" s="1215">
        <f>APU!$F$1754</f>
        <v>0.08</v>
      </c>
      <c r="F882" s="938">
        <f t="shared" si="186"/>
        <v>0.16</v>
      </c>
      <c r="G882" s="938">
        <f t="shared" si="187"/>
        <v>0.02</v>
      </c>
      <c r="H882" s="938">
        <v>1</v>
      </c>
      <c r="I882" s="938">
        <f t="shared" ref="I882:I892" si="188">+ROUNDUP(G882/H882,0)</f>
        <v>1</v>
      </c>
      <c r="J882" s="1154">
        <f>'Estructura de Presupuesto'!$H$224*D882</f>
        <v>15525.43028</v>
      </c>
      <c r="L882" s="812"/>
    </row>
    <row r="883" spans="1:12" hidden="1" outlineLevel="1">
      <c r="A883" s="1213" t="s">
        <v>3233</v>
      </c>
      <c r="B883" s="1161" t="s">
        <v>1320</v>
      </c>
      <c r="C883" s="1212" t="s">
        <v>285</v>
      </c>
      <c r="D883" s="1161">
        <f>'14. Inst. Hidro-Sanitarias'!G89</f>
        <v>1</v>
      </c>
      <c r="E883" s="1215">
        <f>APU!$F$1792</f>
        <v>0.13999999999999999</v>
      </c>
      <c r="F883" s="938">
        <f t="shared" si="186"/>
        <v>0.13999999999999999</v>
      </c>
      <c r="G883" s="938">
        <f t="shared" si="187"/>
        <v>1.7499999999999998E-2</v>
      </c>
      <c r="H883" s="938">
        <v>1</v>
      </c>
      <c r="I883" s="938">
        <f t="shared" si="188"/>
        <v>1</v>
      </c>
      <c r="J883" s="1154">
        <f>'Estructura de Presupuesto'!$H$227</f>
        <v>27990.956109999996</v>
      </c>
      <c r="L883" s="812"/>
    </row>
    <row r="884" spans="1:12" hidden="1" outlineLevel="1">
      <c r="A884" s="1213" t="s">
        <v>3234</v>
      </c>
      <c r="B884" s="1161" t="s">
        <v>1323</v>
      </c>
      <c r="C884" s="1212" t="s">
        <v>285</v>
      </c>
      <c r="D884" s="1161">
        <f>'14. Inst. Hidro-Sanitarias'!$E$108/4</f>
        <v>4</v>
      </c>
      <c r="E884" s="1215">
        <f>APU!$F$1831</f>
        <v>0.08</v>
      </c>
      <c r="F884" s="938">
        <f t="shared" si="186"/>
        <v>0.32</v>
      </c>
      <c r="G884" s="938">
        <f t="shared" si="187"/>
        <v>0.04</v>
      </c>
      <c r="H884" s="938">
        <v>1</v>
      </c>
      <c r="I884" s="938">
        <f t="shared" si="188"/>
        <v>1</v>
      </c>
      <c r="J884" s="1154">
        <f>'Estructura de Presupuesto'!$H$230*D884</f>
        <v>31050.860560000001</v>
      </c>
      <c r="L884" s="812"/>
    </row>
    <row r="885" spans="1:12" hidden="1" outlineLevel="1">
      <c r="A885" s="1213" t="s">
        <v>3235</v>
      </c>
      <c r="B885" s="1161" t="s">
        <v>1324</v>
      </c>
      <c r="C885" s="1212" t="s">
        <v>285</v>
      </c>
      <c r="D885" s="1161">
        <f>'14. Inst. Hidro-Sanitarias'!$E$109/4</f>
        <v>10</v>
      </c>
      <c r="E885" s="1215">
        <f>APU!$F$1844</f>
        <v>0.12</v>
      </c>
      <c r="F885" s="938">
        <f t="shared" si="186"/>
        <v>1.2</v>
      </c>
      <c r="G885" s="938">
        <f t="shared" si="187"/>
        <v>0.15</v>
      </c>
      <c r="H885" s="938">
        <v>1</v>
      </c>
      <c r="I885" s="938">
        <f t="shared" si="188"/>
        <v>1</v>
      </c>
      <c r="J885" s="1154">
        <f>'Estructura de Presupuesto'!$H$231*D885</f>
        <v>210293.83940000003</v>
      </c>
      <c r="L885" s="812"/>
    </row>
    <row r="886" spans="1:12" hidden="1" outlineLevel="1">
      <c r="A886" s="1213" t="s">
        <v>3236</v>
      </c>
      <c r="B886" s="1161" t="s">
        <v>1325</v>
      </c>
      <c r="C886" s="1212" t="s">
        <v>285</v>
      </c>
      <c r="D886" s="1161">
        <f>'14. Inst. Hidro-Sanitarias'!G110</f>
        <v>1</v>
      </c>
      <c r="E886" s="1215">
        <f>APU!$F$1857</f>
        <v>0.16</v>
      </c>
      <c r="F886" s="938">
        <f t="shared" si="186"/>
        <v>0.16</v>
      </c>
      <c r="G886" s="938">
        <f t="shared" si="187"/>
        <v>0.02</v>
      </c>
      <c r="H886" s="938">
        <v>1</v>
      </c>
      <c r="I886" s="938">
        <f t="shared" si="188"/>
        <v>1</v>
      </c>
      <c r="J886" s="1154">
        <f>'Estructura de Presupuesto'!$H$232*D886</f>
        <v>50349.253510000002</v>
      </c>
      <c r="L886"/>
    </row>
    <row r="887" spans="1:12" hidden="1" outlineLevel="1">
      <c r="A887" s="1213" t="s">
        <v>3237</v>
      </c>
      <c r="B887" s="1161" t="s">
        <v>1341</v>
      </c>
      <c r="C887" s="1212" t="s">
        <v>345</v>
      </c>
      <c r="D887" s="1161">
        <f>'14. Inst. Hidro-Sanitarias'!$R$86</f>
        <v>14.047777777777778</v>
      </c>
      <c r="E887" s="1215">
        <f>APU!$F$2026</f>
        <v>0.33900000000000002</v>
      </c>
      <c r="F887" s="938">
        <f t="shared" si="186"/>
        <v>4.7621966666666671</v>
      </c>
      <c r="G887" s="938">
        <f t="shared" si="187"/>
        <v>0.59527458333333338</v>
      </c>
      <c r="H887" s="938">
        <v>1</v>
      </c>
      <c r="I887" s="938">
        <f t="shared" si="188"/>
        <v>1</v>
      </c>
      <c r="J887" s="1154">
        <f>'Estructura de Presupuesto'!$H$248*D887</f>
        <v>486311.5703937838</v>
      </c>
      <c r="L887"/>
    </row>
    <row r="888" spans="1:12" hidden="1" outlineLevel="1">
      <c r="A888" s="1213" t="s">
        <v>3238</v>
      </c>
      <c r="B888" s="1161" t="s">
        <v>1342</v>
      </c>
      <c r="C888" s="1212" t="s">
        <v>345</v>
      </c>
      <c r="D888" s="1161">
        <f>'14. Inst. Hidro-Sanitarias'!$R$87</f>
        <v>17.907777777777778</v>
      </c>
      <c r="E888" s="1215">
        <f>APU!$F$2037</f>
        <v>0.33900000000000002</v>
      </c>
      <c r="F888" s="938">
        <f t="shared" si="186"/>
        <v>6.0707366666666669</v>
      </c>
      <c r="G888" s="938">
        <f t="shared" si="187"/>
        <v>0.75884208333333336</v>
      </c>
      <c r="H888" s="938">
        <v>1</v>
      </c>
      <c r="I888" s="938">
        <f t="shared" si="188"/>
        <v>1</v>
      </c>
      <c r="J888" s="1154">
        <f>'Estructura de Presupuesto'!$H$249*D888</f>
        <v>619938.5889453938</v>
      </c>
      <c r="L888" s="1408"/>
    </row>
    <row r="889" spans="1:12" hidden="1" outlineLevel="1">
      <c r="A889" s="1213" t="s">
        <v>3239</v>
      </c>
      <c r="B889" s="1161" t="s">
        <v>1337</v>
      </c>
      <c r="C889" s="1212" t="s">
        <v>345</v>
      </c>
      <c r="D889" s="1161">
        <f>'14. Inst. Hidro-Sanitarias'!$L$83</f>
        <v>12.236481111111111</v>
      </c>
      <c r="E889" s="1215">
        <f>APU!$F$1977</f>
        <v>0.1</v>
      </c>
      <c r="F889" s="938">
        <f t="shared" si="186"/>
        <v>1.2236481111111113</v>
      </c>
      <c r="G889" s="938">
        <f t="shared" si="187"/>
        <v>0.15295601388888891</v>
      </c>
      <c r="H889" s="938">
        <v>1</v>
      </c>
      <c r="I889" s="938">
        <f t="shared" si="188"/>
        <v>1</v>
      </c>
      <c r="J889" s="1154">
        <f>'Estructura de Presupuesto'!$H$244*D889</f>
        <v>144989.5818340109</v>
      </c>
      <c r="L889" s="1408"/>
    </row>
    <row r="890" spans="1:12" hidden="1" outlineLevel="1">
      <c r="A890" s="1213" t="s">
        <v>3240</v>
      </c>
      <c r="B890" s="1161" t="s">
        <v>1338</v>
      </c>
      <c r="C890" s="1212" t="s">
        <v>345</v>
      </c>
      <c r="D890" s="1161">
        <f>'14. Inst. Hidro-Sanitarias'!$L$84</f>
        <v>4.1335777777777771</v>
      </c>
      <c r="E890" s="1215">
        <f>APU!$F$1989</f>
        <v>0.13999999999999999</v>
      </c>
      <c r="F890" s="938">
        <f t="shared" si="186"/>
        <v>0.57870088888888871</v>
      </c>
      <c r="G890" s="938">
        <f t="shared" si="187"/>
        <v>7.2337611111111089E-2</v>
      </c>
      <c r="H890" s="938">
        <v>1</v>
      </c>
      <c r="I890" s="938">
        <f t="shared" si="188"/>
        <v>1</v>
      </c>
      <c r="J890" s="1154">
        <f>'Estructura de Presupuesto'!$H$245*D890</f>
        <v>115702.79415504908</v>
      </c>
      <c r="L890" s="812"/>
    </row>
    <row r="891" spans="1:12" hidden="1" outlineLevel="1">
      <c r="A891" s="1213" t="s">
        <v>3241</v>
      </c>
      <c r="B891" s="1161" t="s">
        <v>1339</v>
      </c>
      <c r="C891" s="1212" t="s">
        <v>345</v>
      </c>
      <c r="D891" s="1161">
        <f>'14. Inst. Hidro-Sanitarias'!$L$86</f>
        <v>5.1133333333333333</v>
      </c>
      <c r="E891" s="1215">
        <f>APU!$F$2002</f>
        <v>0.12</v>
      </c>
      <c r="F891" s="938">
        <f t="shared" si="186"/>
        <v>0.61359999999999992</v>
      </c>
      <c r="G891" s="938">
        <f t="shared" si="187"/>
        <v>7.669999999999999E-2</v>
      </c>
      <c r="H891" s="938">
        <v>1</v>
      </c>
      <c r="I891" s="938">
        <f t="shared" si="188"/>
        <v>1</v>
      </c>
      <c r="J891" s="1154">
        <f>'Estructura de Presupuesto'!$H$246*D891</f>
        <v>107530.24987986668</v>
      </c>
      <c r="L891" s="812"/>
    </row>
    <row r="892" spans="1:12" ht="15.75" hidden="1" outlineLevel="1" thickBot="1">
      <c r="A892" s="1213" t="s">
        <v>3242</v>
      </c>
      <c r="B892" s="1161" t="s">
        <v>1340</v>
      </c>
      <c r="C892" s="1212" t="s">
        <v>345</v>
      </c>
      <c r="D892" s="1161">
        <f>'14. Inst. Hidro-Sanitarias'!$L$85</f>
        <v>11.855555555555558</v>
      </c>
      <c r="E892" s="1215">
        <f>APU!$F$2016</f>
        <v>0.16</v>
      </c>
      <c r="F892" s="938">
        <f t="shared" si="186"/>
        <v>1.8968888888888893</v>
      </c>
      <c r="G892" s="938">
        <f t="shared" si="187"/>
        <v>0.23711111111111116</v>
      </c>
      <c r="H892" s="938">
        <v>1</v>
      </c>
      <c r="I892" s="938">
        <f t="shared" si="188"/>
        <v>1</v>
      </c>
      <c r="J892" s="1154">
        <f>'Estructura de Presupuesto'!$H$247*D892</f>
        <v>596918.37216855574</v>
      </c>
      <c r="L892" s="812"/>
    </row>
    <row r="893" spans="1:12" ht="15.75" hidden="1" outlineLevel="1" thickBot="1">
      <c r="A893" s="1937" t="s">
        <v>2261</v>
      </c>
      <c r="B893" s="1938"/>
      <c r="C893" s="1938"/>
      <c r="D893" s="1938"/>
      <c r="E893" s="1938"/>
      <c r="F893" s="1938"/>
      <c r="G893" s="1938"/>
      <c r="H893" s="1938"/>
      <c r="I893" s="1938"/>
      <c r="J893" s="1242">
        <f>SUM(J894:J905)</f>
        <v>2493980.9318466596</v>
      </c>
      <c r="L893" s="812"/>
    </row>
    <row r="894" spans="1:12" hidden="1" outlineLevel="1">
      <c r="A894" s="1213" t="s">
        <v>3243</v>
      </c>
      <c r="B894" s="1161" t="s">
        <v>1316</v>
      </c>
      <c r="C894" s="1212" t="s">
        <v>285</v>
      </c>
      <c r="D894" s="1161">
        <v>13</v>
      </c>
      <c r="E894" s="1215">
        <f>APU!$F$1741</f>
        <v>0.06</v>
      </c>
      <c r="F894" s="938">
        <f t="shared" ref="F894:F905" si="189">+D894*E894</f>
        <v>0.78</v>
      </c>
      <c r="G894" s="938">
        <f t="shared" ref="G894:G905" si="190">+F894/8</f>
        <v>9.7500000000000003E-2</v>
      </c>
      <c r="H894" s="938">
        <v>1</v>
      </c>
      <c r="I894" s="938">
        <f>+ROUNDUP(G894/H894,0)</f>
        <v>1</v>
      </c>
      <c r="J894" s="1154">
        <f>APU!$J$1744*D894</f>
        <v>87379.434610000011</v>
      </c>
      <c r="L894"/>
    </row>
    <row r="895" spans="1:12" hidden="1" outlineLevel="1">
      <c r="A895" s="1213" t="s">
        <v>3244</v>
      </c>
      <c r="B895" s="1161" t="s">
        <v>1317</v>
      </c>
      <c r="C895" s="1212" t="s">
        <v>285</v>
      </c>
      <c r="D895" s="1161">
        <f>'14. Inst. Hidro-Sanitarias'!G88</f>
        <v>2</v>
      </c>
      <c r="E895" s="1215">
        <f>APU!$F$1754</f>
        <v>0.08</v>
      </c>
      <c r="F895" s="938">
        <f t="shared" si="189"/>
        <v>0.16</v>
      </c>
      <c r="G895" s="938">
        <f t="shared" si="190"/>
        <v>0.02</v>
      </c>
      <c r="H895" s="938">
        <v>1</v>
      </c>
      <c r="I895" s="938">
        <f t="shared" ref="I895:I907" si="191">+ROUNDUP(G895/H895,0)</f>
        <v>1</v>
      </c>
      <c r="J895" s="1154">
        <f>'Estructura de Presupuesto'!$H$224*D895</f>
        <v>15525.43028</v>
      </c>
      <c r="L895"/>
    </row>
    <row r="896" spans="1:12" hidden="1" outlineLevel="1">
      <c r="A896" s="1213" t="s">
        <v>3245</v>
      </c>
      <c r="B896" s="1161" t="s">
        <v>1320</v>
      </c>
      <c r="C896" s="1212" t="s">
        <v>285</v>
      </c>
      <c r="D896" s="1161">
        <f>'14. Inst. Hidro-Sanitarias'!G89</f>
        <v>1</v>
      </c>
      <c r="E896" s="1215">
        <f>APU!$F$1792</f>
        <v>0.13999999999999999</v>
      </c>
      <c r="F896" s="938">
        <f t="shared" si="189"/>
        <v>0.13999999999999999</v>
      </c>
      <c r="G896" s="938">
        <f t="shared" si="190"/>
        <v>1.7499999999999998E-2</v>
      </c>
      <c r="H896" s="938">
        <v>1</v>
      </c>
      <c r="I896" s="938">
        <f t="shared" si="191"/>
        <v>1</v>
      </c>
      <c r="J896" s="1154">
        <f>'Estructura de Presupuesto'!$H$227</f>
        <v>27990.956109999996</v>
      </c>
      <c r="L896" s="1408"/>
    </row>
    <row r="897" spans="1:12" hidden="1" outlineLevel="1">
      <c r="A897" s="1213" t="s">
        <v>3246</v>
      </c>
      <c r="B897" s="1161" t="s">
        <v>1323</v>
      </c>
      <c r="C897" s="1212" t="s">
        <v>285</v>
      </c>
      <c r="D897" s="1161">
        <f>'14. Inst. Hidro-Sanitarias'!$E$108/4</f>
        <v>4</v>
      </c>
      <c r="E897" s="1215">
        <f>APU!$F$1831</f>
        <v>0.08</v>
      </c>
      <c r="F897" s="938">
        <f t="shared" si="189"/>
        <v>0.32</v>
      </c>
      <c r="G897" s="938">
        <f t="shared" si="190"/>
        <v>0.04</v>
      </c>
      <c r="H897" s="938">
        <v>1</v>
      </c>
      <c r="I897" s="938">
        <f t="shared" si="191"/>
        <v>1</v>
      </c>
      <c r="J897" s="1154">
        <f>'Estructura de Presupuesto'!$H$230*D897</f>
        <v>31050.860560000001</v>
      </c>
      <c r="L897" s="1408"/>
    </row>
    <row r="898" spans="1:12" hidden="1" outlineLevel="1">
      <c r="A898" s="1213" t="s">
        <v>3247</v>
      </c>
      <c r="B898" s="1161" t="s">
        <v>1324</v>
      </c>
      <c r="C898" s="1212" t="s">
        <v>285</v>
      </c>
      <c r="D898" s="1161">
        <f>'14. Inst. Hidro-Sanitarias'!$E$109/4</f>
        <v>10</v>
      </c>
      <c r="E898" s="1215">
        <f>APU!$F$1844</f>
        <v>0.12</v>
      </c>
      <c r="F898" s="938">
        <f t="shared" si="189"/>
        <v>1.2</v>
      </c>
      <c r="G898" s="938">
        <f t="shared" si="190"/>
        <v>0.15</v>
      </c>
      <c r="H898" s="938">
        <v>1</v>
      </c>
      <c r="I898" s="938">
        <f t="shared" si="191"/>
        <v>1</v>
      </c>
      <c r="J898" s="1154">
        <f>'Estructura de Presupuesto'!$H$231*D898</f>
        <v>210293.83940000003</v>
      </c>
      <c r="L898" s="812"/>
    </row>
    <row r="899" spans="1:12" hidden="1" outlineLevel="1">
      <c r="A899" s="1213" t="s">
        <v>3248</v>
      </c>
      <c r="B899" s="1161" t="s">
        <v>1325</v>
      </c>
      <c r="C899" s="1212" t="s">
        <v>285</v>
      </c>
      <c r="D899" s="1161">
        <f>'14. Inst. Hidro-Sanitarias'!G110</f>
        <v>1</v>
      </c>
      <c r="E899" s="1215">
        <f>APU!$F$1857</f>
        <v>0.16</v>
      </c>
      <c r="F899" s="938">
        <f t="shared" si="189"/>
        <v>0.16</v>
      </c>
      <c r="G899" s="938">
        <f t="shared" si="190"/>
        <v>0.02</v>
      </c>
      <c r="H899" s="938">
        <v>1</v>
      </c>
      <c r="I899" s="938">
        <f t="shared" si="191"/>
        <v>1</v>
      </c>
      <c r="J899" s="1154">
        <f>'Estructura de Presupuesto'!$H$232*D899</f>
        <v>50349.253510000002</v>
      </c>
      <c r="L899" s="812"/>
    </row>
    <row r="900" spans="1:12" hidden="1" outlineLevel="1">
      <c r="A900" s="1213" t="s">
        <v>3249</v>
      </c>
      <c r="B900" s="1161" t="s">
        <v>1341</v>
      </c>
      <c r="C900" s="1212" t="s">
        <v>345</v>
      </c>
      <c r="D900" s="1161">
        <f>'14. Inst. Hidro-Sanitarias'!$R$86</f>
        <v>14.047777777777778</v>
      </c>
      <c r="E900" s="1215">
        <f>APU!$F$2026</f>
        <v>0.33900000000000002</v>
      </c>
      <c r="F900" s="938">
        <f t="shared" si="189"/>
        <v>4.7621966666666671</v>
      </c>
      <c r="G900" s="938">
        <f t="shared" si="190"/>
        <v>0.59527458333333338</v>
      </c>
      <c r="H900" s="938">
        <v>1</v>
      </c>
      <c r="I900" s="938">
        <f t="shared" si="191"/>
        <v>1</v>
      </c>
      <c r="J900" s="1154">
        <f>'Estructura de Presupuesto'!$H$248*D900</f>
        <v>486311.5703937838</v>
      </c>
      <c r="L900" s="812"/>
    </row>
    <row r="901" spans="1:12" hidden="1" outlineLevel="1">
      <c r="A901" s="1213" t="s">
        <v>3250</v>
      </c>
      <c r="B901" s="1161" t="s">
        <v>1342</v>
      </c>
      <c r="C901" s="1212" t="s">
        <v>345</v>
      </c>
      <c r="D901" s="1161">
        <f>'14. Inst. Hidro-Sanitarias'!$R$87</f>
        <v>17.907777777777778</v>
      </c>
      <c r="E901" s="1215">
        <f>APU!$F$2037</f>
        <v>0.33900000000000002</v>
      </c>
      <c r="F901" s="938">
        <f t="shared" si="189"/>
        <v>6.0707366666666669</v>
      </c>
      <c r="G901" s="938">
        <f t="shared" si="190"/>
        <v>0.75884208333333336</v>
      </c>
      <c r="H901" s="938">
        <v>1</v>
      </c>
      <c r="I901" s="938">
        <f t="shared" si="191"/>
        <v>1</v>
      </c>
      <c r="J901" s="1154">
        <f>'Estructura de Presupuesto'!$H$249*D901</f>
        <v>619938.5889453938</v>
      </c>
      <c r="L901" s="812"/>
    </row>
    <row r="902" spans="1:12" hidden="1" outlineLevel="1">
      <c r="A902" s="1213" t="s">
        <v>3251</v>
      </c>
      <c r="B902" s="1161" t="s">
        <v>1337</v>
      </c>
      <c r="C902" s="1212" t="s">
        <v>345</v>
      </c>
      <c r="D902" s="1161">
        <f>'14. Inst. Hidro-Sanitarias'!$L$83</f>
        <v>12.236481111111111</v>
      </c>
      <c r="E902" s="1215">
        <f>APU!$F$1977</f>
        <v>0.1</v>
      </c>
      <c r="F902" s="938">
        <f t="shared" si="189"/>
        <v>1.2236481111111113</v>
      </c>
      <c r="G902" s="938">
        <f t="shared" si="190"/>
        <v>0.15295601388888891</v>
      </c>
      <c r="H902" s="938">
        <v>1</v>
      </c>
      <c r="I902" s="938">
        <f t="shared" si="191"/>
        <v>1</v>
      </c>
      <c r="J902" s="1154">
        <f>'Estructura de Presupuesto'!$H$244*D902</f>
        <v>144989.5818340109</v>
      </c>
      <c r="L902"/>
    </row>
    <row r="903" spans="1:12" hidden="1" outlineLevel="1">
      <c r="A903" s="1213" t="s">
        <v>3252</v>
      </c>
      <c r="B903" s="1161" t="s">
        <v>1338</v>
      </c>
      <c r="C903" s="1212" t="s">
        <v>345</v>
      </c>
      <c r="D903" s="1161">
        <f>'14. Inst. Hidro-Sanitarias'!$L$84</f>
        <v>4.1335777777777771</v>
      </c>
      <c r="E903" s="1215">
        <f>APU!$F$1989</f>
        <v>0.13999999999999999</v>
      </c>
      <c r="F903" s="938">
        <f t="shared" si="189"/>
        <v>0.57870088888888871</v>
      </c>
      <c r="G903" s="938">
        <f t="shared" si="190"/>
        <v>7.2337611111111089E-2</v>
      </c>
      <c r="H903" s="938">
        <v>1</v>
      </c>
      <c r="I903" s="938">
        <f t="shared" si="191"/>
        <v>1</v>
      </c>
      <c r="J903" s="1154">
        <f>'Estructura de Presupuesto'!$H$245*D903</f>
        <v>115702.79415504908</v>
      </c>
      <c r="L903"/>
    </row>
    <row r="904" spans="1:12" hidden="1" outlineLevel="1">
      <c r="A904" s="1213" t="s">
        <v>3253</v>
      </c>
      <c r="B904" s="1161" t="s">
        <v>1339</v>
      </c>
      <c r="C904" s="1212" t="s">
        <v>345</v>
      </c>
      <c r="D904" s="1161">
        <f>'14. Inst. Hidro-Sanitarias'!$L$86</f>
        <v>5.1133333333333333</v>
      </c>
      <c r="E904" s="1215">
        <f>APU!$F$2002</f>
        <v>0.12</v>
      </c>
      <c r="F904" s="938">
        <f t="shared" si="189"/>
        <v>0.61359999999999992</v>
      </c>
      <c r="G904" s="938">
        <f t="shared" si="190"/>
        <v>7.669999999999999E-2</v>
      </c>
      <c r="H904" s="938">
        <v>1</v>
      </c>
      <c r="I904" s="938">
        <f t="shared" si="191"/>
        <v>1</v>
      </c>
      <c r="J904" s="1154">
        <f>'Estructura de Presupuesto'!$H$246*D904</f>
        <v>107530.24987986668</v>
      </c>
      <c r="L904" s="1408"/>
    </row>
    <row r="905" spans="1:12" ht="15.75" hidden="1" outlineLevel="1" thickBot="1">
      <c r="A905" s="1213" t="s">
        <v>3254</v>
      </c>
      <c r="B905" s="1161" t="s">
        <v>1340</v>
      </c>
      <c r="C905" s="1212" t="s">
        <v>345</v>
      </c>
      <c r="D905" s="1161">
        <f>'14. Inst. Hidro-Sanitarias'!$L$85</f>
        <v>11.855555555555558</v>
      </c>
      <c r="E905" s="1215">
        <f>APU!$F$2016</f>
        <v>0.16</v>
      </c>
      <c r="F905" s="938">
        <f t="shared" si="189"/>
        <v>1.8968888888888893</v>
      </c>
      <c r="G905" s="938">
        <f t="shared" si="190"/>
        <v>0.23711111111111116</v>
      </c>
      <c r="H905" s="938">
        <v>1</v>
      </c>
      <c r="I905" s="938">
        <f t="shared" si="191"/>
        <v>1</v>
      </c>
      <c r="J905" s="1154">
        <f>'Estructura de Presupuesto'!$H$247*D905</f>
        <v>596918.37216855574</v>
      </c>
      <c r="L905" s="1408"/>
    </row>
    <row r="906" spans="1:12" ht="15.75" hidden="1" outlineLevel="1" thickBot="1">
      <c r="A906" s="1937" t="s">
        <v>2264</v>
      </c>
      <c r="B906" s="1938"/>
      <c r="C906" s="1938"/>
      <c r="D906" s="1938"/>
      <c r="E906" s="1938"/>
      <c r="F906" s="1938"/>
      <c r="G906" s="1938"/>
      <c r="H906" s="1938"/>
      <c r="I906" s="1938"/>
      <c r="J906" s="1242">
        <f>SUM(J907:J918)</f>
        <v>2485978.1395066599</v>
      </c>
      <c r="L906" s="812"/>
    </row>
    <row r="907" spans="1:12" hidden="1" outlineLevel="1">
      <c r="A907" s="1229">
        <v>17110</v>
      </c>
      <c r="B907" s="1161" t="s">
        <v>1316</v>
      </c>
      <c r="C907" s="1212" t="s">
        <v>285</v>
      </c>
      <c r="D907" s="1161">
        <f>'14. Inst. Hidro-Sanitarias'!E87</f>
        <v>14</v>
      </c>
      <c r="E907" s="1215">
        <f>APU!$F$1741</f>
        <v>0.06</v>
      </c>
      <c r="F907" s="938">
        <f t="shared" ref="F907:F935" si="192">+D907*E907</f>
        <v>0.84</v>
      </c>
      <c r="G907" s="938">
        <f t="shared" ref="G907:G935" si="193">+F907/8</f>
        <v>0.105</v>
      </c>
      <c r="H907" s="938">
        <v>1</v>
      </c>
      <c r="I907" s="938">
        <f t="shared" si="191"/>
        <v>1</v>
      </c>
      <c r="J907" s="1154">
        <f>APU!$J$1744*D907</f>
        <v>94100.929580000011</v>
      </c>
      <c r="L907" s="812"/>
    </row>
    <row r="908" spans="1:12" hidden="1" outlineLevel="1">
      <c r="A908" s="1229">
        <v>17111</v>
      </c>
      <c r="B908" s="1161" t="s">
        <v>1317</v>
      </c>
      <c r="C908" s="1212" t="s">
        <v>285</v>
      </c>
      <c r="D908" s="1161">
        <f>'14. Inst. Hidro-Sanitarias'!E88</f>
        <v>1</v>
      </c>
      <c r="E908" s="1215">
        <f>APU!$F$1754</f>
        <v>0.08</v>
      </c>
      <c r="F908" s="938">
        <f t="shared" si="192"/>
        <v>0.08</v>
      </c>
      <c r="G908" s="938">
        <f t="shared" si="193"/>
        <v>0.01</v>
      </c>
      <c r="H908" s="938">
        <v>1</v>
      </c>
      <c r="I908" s="938">
        <f t="shared" ref="I908:I935" si="194">+ROUNDUP(G908/H908,0)</f>
        <v>1</v>
      </c>
      <c r="J908" s="1154">
        <f>'Estructura de Presupuesto'!$H$224*D908</f>
        <v>7762.7151400000002</v>
      </c>
      <c r="L908" s="812"/>
    </row>
    <row r="909" spans="1:12" hidden="1" outlineLevel="1">
      <c r="A909" s="1229">
        <v>17112</v>
      </c>
      <c r="B909" s="1161" t="s">
        <v>1319</v>
      </c>
      <c r="C909" s="1212" t="s">
        <v>285</v>
      </c>
      <c r="D909" s="1161">
        <f>'14. Inst. Hidro-Sanitarias'!E89</f>
        <v>1</v>
      </c>
      <c r="E909" s="1215">
        <f>APU!$F$1780</f>
        <v>0.12</v>
      </c>
      <c r="F909" s="938">
        <f t="shared" si="192"/>
        <v>0.12</v>
      </c>
      <c r="G909" s="938">
        <f t="shared" si="193"/>
        <v>1.4999999999999999E-2</v>
      </c>
      <c r="H909" s="938">
        <v>1</v>
      </c>
      <c r="I909" s="938">
        <f t="shared" si="194"/>
        <v>1</v>
      </c>
      <c r="J909" s="1154">
        <f>'Estructura de Presupuesto'!$H$226*D909</f>
        <v>21029.383940000003</v>
      </c>
      <c r="L909" s="812"/>
    </row>
    <row r="910" spans="1:12" hidden="1" outlineLevel="1">
      <c r="A910" s="1229">
        <v>17113</v>
      </c>
      <c r="B910" s="1161" t="s">
        <v>1323</v>
      </c>
      <c r="C910" s="1212" t="s">
        <v>285</v>
      </c>
      <c r="D910" s="1161">
        <f>'14. Inst. Hidro-Sanitarias'!$E$108/4</f>
        <v>4</v>
      </c>
      <c r="E910" s="1215">
        <f>APU!$F$1831</f>
        <v>0.08</v>
      </c>
      <c r="F910" s="938">
        <f t="shared" si="192"/>
        <v>0.32</v>
      </c>
      <c r="G910" s="938">
        <f t="shared" si="193"/>
        <v>0.04</v>
      </c>
      <c r="H910" s="938">
        <v>1</v>
      </c>
      <c r="I910" s="938">
        <f t="shared" si="194"/>
        <v>1</v>
      </c>
      <c r="J910" s="1154">
        <f>'Estructura de Presupuesto'!$H$230*D910</f>
        <v>31050.860560000001</v>
      </c>
      <c r="L910"/>
    </row>
    <row r="911" spans="1:12" hidden="1" outlineLevel="1">
      <c r="A911" s="1229">
        <v>17114</v>
      </c>
      <c r="B911" s="1161" t="s">
        <v>1324</v>
      </c>
      <c r="C911" s="1212" t="s">
        <v>285</v>
      </c>
      <c r="D911" s="1161">
        <f>'14. Inst. Hidro-Sanitarias'!$E$109/4</f>
        <v>10</v>
      </c>
      <c r="E911" s="1215">
        <f>APU!$F$1844</f>
        <v>0.12</v>
      </c>
      <c r="F911" s="938">
        <f t="shared" si="192"/>
        <v>1.2</v>
      </c>
      <c r="G911" s="938">
        <f t="shared" si="193"/>
        <v>0.15</v>
      </c>
      <c r="H911" s="938">
        <v>1</v>
      </c>
      <c r="I911" s="938">
        <f t="shared" si="194"/>
        <v>1</v>
      </c>
      <c r="J911" s="1154">
        <f>'Estructura de Presupuesto'!$H$231*D911</f>
        <v>210293.83940000003</v>
      </c>
      <c r="L911"/>
    </row>
    <row r="912" spans="1:12" hidden="1" outlineLevel="1">
      <c r="A912" s="1229">
        <v>17115</v>
      </c>
      <c r="B912" s="1161" t="s">
        <v>1325</v>
      </c>
      <c r="C912" s="1212" t="s">
        <v>285</v>
      </c>
      <c r="D912" s="1161">
        <f>'14. Inst. Hidro-Sanitarias'!G110</f>
        <v>1</v>
      </c>
      <c r="E912" s="1215">
        <f>APU!$F$1857</f>
        <v>0.16</v>
      </c>
      <c r="F912" s="938">
        <f t="shared" si="192"/>
        <v>0.16</v>
      </c>
      <c r="G912" s="938">
        <f t="shared" si="193"/>
        <v>0.02</v>
      </c>
      <c r="H912" s="938">
        <v>1</v>
      </c>
      <c r="I912" s="938">
        <f t="shared" si="194"/>
        <v>1</v>
      </c>
      <c r="J912" s="1154">
        <f>'Estructura de Presupuesto'!$H$232*D912</f>
        <v>50349.253510000002</v>
      </c>
      <c r="L912" s="1408"/>
    </row>
    <row r="913" spans="1:12" hidden="1" outlineLevel="1">
      <c r="A913" s="1229">
        <v>17116</v>
      </c>
      <c r="B913" s="1161" t="s">
        <v>1341</v>
      </c>
      <c r="C913" s="1212" t="s">
        <v>345</v>
      </c>
      <c r="D913" s="1161">
        <f>'14. Inst. Hidro-Sanitarias'!$R$86</f>
        <v>14.047777777777778</v>
      </c>
      <c r="E913" s="1215">
        <f>APU!$F$2026</f>
        <v>0.33900000000000002</v>
      </c>
      <c r="F913" s="938">
        <f t="shared" si="192"/>
        <v>4.7621966666666671</v>
      </c>
      <c r="G913" s="938">
        <f t="shared" si="193"/>
        <v>0.59527458333333338</v>
      </c>
      <c r="H913" s="938">
        <v>1</v>
      </c>
      <c r="I913" s="938">
        <f t="shared" si="194"/>
        <v>1</v>
      </c>
      <c r="J913" s="1154">
        <f>'Estructura de Presupuesto'!$H$248*D913</f>
        <v>486311.5703937838</v>
      </c>
      <c r="L913" s="1408"/>
    </row>
    <row r="914" spans="1:12" hidden="1" outlineLevel="1">
      <c r="A914" s="1229">
        <v>17117</v>
      </c>
      <c r="B914" s="1161" t="s">
        <v>1342</v>
      </c>
      <c r="C914" s="1212" t="s">
        <v>345</v>
      </c>
      <c r="D914" s="1161">
        <f>'14. Inst. Hidro-Sanitarias'!$R$87</f>
        <v>17.907777777777778</v>
      </c>
      <c r="E914" s="1215">
        <f>APU!$F$2037</f>
        <v>0.33900000000000002</v>
      </c>
      <c r="F914" s="938">
        <f t="shared" si="192"/>
        <v>6.0707366666666669</v>
      </c>
      <c r="G914" s="938">
        <f t="shared" si="193"/>
        <v>0.75884208333333336</v>
      </c>
      <c r="H914" s="938">
        <v>1</v>
      </c>
      <c r="I914" s="938">
        <f t="shared" si="194"/>
        <v>1</v>
      </c>
      <c r="J914" s="1154">
        <f>'Estructura de Presupuesto'!$H$249*D914</f>
        <v>619938.5889453938</v>
      </c>
      <c r="L914" s="812"/>
    </row>
    <row r="915" spans="1:12" hidden="1" outlineLevel="1">
      <c r="A915" s="1229">
        <v>17118</v>
      </c>
      <c r="B915" s="1161" t="s">
        <v>1337</v>
      </c>
      <c r="C915" s="1212" t="s">
        <v>345</v>
      </c>
      <c r="D915" s="1161">
        <f>'14. Inst. Hidro-Sanitarias'!$L$83</f>
        <v>12.236481111111111</v>
      </c>
      <c r="E915" s="1215">
        <f>APU!$F$1977</f>
        <v>0.1</v>
      </c>
      <c r="F915" s="938">
        <f t="shared" si="192"/>
        <v>1.2236481111111113</v>
      </c>
      <c r="G915" s="938">
        <f t="shared" si="193"/>
        <v>0.15295601388888891</v>
      </c>
      <c r="H915" s="938">
        <v>1</v>
      </c>
      <c r="I915" s="938">
        <f t="shared" si="194"/>
        <v>1</v>
      </c>
      <c r="J915" s="1154">
        <f>'Estructura de Presupuesto'!$H$244*D915</f>
        <v>144989.5818340109</v>
      </c>
      <c r="L915" s="812"/>
    </row>
    <row r="916" spans="1:12" hidden="1" outlineLevel="1">
      <c r="A916" s="1229">
        <v>17119</v>
      </c>
      <c r="B916" s="1161" t="s">
        <v>1338</v>
      </c>
      <c r="C916" s="1212" t="s">
        <v>345</v>
      </c>
      <c r="D916" s="1161">
        <f>'14. Inst. Hidro-Sanitarias'!$L$84</f>
        <v>4.1335777777777771</v>
      </c>
      <c r="E916" s="1215">
        <f>APU!$F$1989</f>
        <v>0.13999999999999999</v>
      </c>
      <c r="F916" s="938">
        <f t="shared" si="192"/>
        <v>0.57870088888888871</v>
      </c>
      <c r="G916" s="938">
        <f t="shared" si="193"/>
        <v>7.2337611111111089E-2</v>
      </c>
      <c r="H916" s="938">
        <v>1</v>
      </c>
      <c r="I916" s="938">
        <f t="shared" si="194"/>
        <v>1</v>
      </c>
      <c r="J916" s="1154">
        <f>'Estructura de Presupuesto'!$H$245*D916</f>
        <v>115702.79415504908</v>
      </c>
      <c r="L916" s="812"/>
    </row>
    <row r="917" spans="1:12" hidden="1" outlineLevel="1">
      <c r="A917" s="1229">
        <v>17120</v>
      </c>
      <c r="B917" s="1161" t="s">
        <v>1339</v>
      </c>
      <c r="C917" s="1212" t="s">
        <v>345</v>
      </c>
      <c r="D917" s="1161">
        <f>'14. Inst. Hidro-Sanitarias'!$L$86</f>
        <v>5.1133333333333333</v>
      </c>
      <c r="E917" s="1215">
        <f>APU!$F$2002</f>
        <v>0.12</v>
      </c>
      <c r="F917" s="938">
        <f t="shared" si="192"/>
        <v>0.61359999999999992</v>
      </c>
      <c r="G917" s="938">
        <f t="shared" si="193"/>
        <v>7.669999999999999E-2</v>
      </c>
      <c r="H917" s="938">
        <v>1</v>
      </c>
      <c r="I917" s="938">
        <f t="shared" si="194"/>
        <v>1</v>
      </c>
      <c r="J917" s="1154">
        <f>'Estructura de Presupuesto'!$H$246*D917</f>
        <v>107530.24987986668</v>
      </c>
      <c r="L917" s="812"/>
    </row>
    <row r="918" spans="1:12" ht="15.75" hidden="1" outlineLevel="1" thickBot="1">
      <c r="A918" s="1229">
        <v>17121</v>
      </c>
      <c r="B918" s="1161" t="s">
        <v>1340</v>
      </c>
      <c r="C918" s="1212" t="s">
        <v>345</v>
      </c>
      <c r="D918" s="1161">
        <f>'14. Inst. Hidro-Sanitarias'!$L$85</f>
        <v>11.855555555555558</v>
      </c>
      <c r="E918" s="1215">
        <f>APU!$F$2016</f>
        <v>0.16</v>
      </c>
      <c r="F918" s="938">
        <f t="shared" si="192"/>
        <v>1.8968888888888893</v>
      </c>
      <c r="G918" s="938">
        <f t="shared" si="193"/>
        <v>0.23711111111111116</v>
      </c>
      <c r="H918" s="938">
        <v>1</v>
      </c>
      <c r="I918" s="938">
        <f t="shared" si="194"/>
        <v>1</v>
      </c>
      <c r="J918" s="1154">
        <f>'Estructura de Presupuesto'!$H$247*D918</f>
        <v>596918.37216855574</v>
      </c>
      <c r="L918"/>
    </row>
    <row r="919" spans="1:12" ht="15.75" hidden="1" outlineLevel="1" thickBot="1">
      <c r="A919" s="1937" t="s">
        <v>3598</v>
      </c>
      <c r="B919" s="1938"/>
      <c r="C919" s="1938"/>
      <c r="D919" s="1938"/>
      <c r="E919" s="1938"/>
      <c r="F919" s="1938"/>
      <c r="G919" s="1938"/>
      <c r="H919" s="1938"/>
      <c r="I919" s="1938"/>
      <c r="J919" s="1242">
        <f>+J920</f>
        <v>846592.16800000006</v>
      </c>
      <c r="L919"/>
    </row>
    <row r="920" spans="1:12" ht="15.75" hidden="1" outlineLevel="1" thickBot="1">
      <c r="A920" s="1386">
        <v>17122</v>
      </c>
      <c r="B920" s="497" t="s">
        <v>2489</v>
      </c>
      <c r="C920" s="659" t="s">
        <v>345</v>
      </c>
      <c r="D920" s="1392">
        <f>+APU!F2047</f>
        <v>31.84</v>
      </c>
      <c r="E920" s="5">
        <f t="shared" ref="E920" si="195">+F920/D920</f>
        <v>0.25125628140703515</v>
      </c>
      <c r="F920" s="5">
        <v>8</v>
      </c>
      <c r="G920" s="5">
        <v>1</v>
      </c>
      <c r="H920" s="1391">
        <v>1</v>
      </c>
      <c r="I920" s="4">
        <f t="shared" ref="I920" si="196">ROUNDUP(G920/H920,0)</f>
        <v>1</v>
      </c>
      <c r="J920" s="829">
        <f>+D920*APU!J2047</f>
        <v>846592.16800000006</v>
      </c>
      <c r="L920" s="1408"/>
    </row>
    <row r="921" spans="1:12" ht="15.75" collapsed="1" thickBot="1">
      <c r="A921" s="1042">
        <v>18</v>
      </c>
      <c r="B921" s="1943" t="s">
        <v>1890</v>
      </c>
      <c r="C921" s="1944"/>
      <c r="D921" s="1944"/>
      <c r="E921" s="1944"/>
      <c r="F921" s="1944"/>
      <c r="G921" s="1944"/>
      <c r="H921" s="1944"/>
      <c r="I921" s="1944"/>
      <c r="J921" s="1238">
        <f>SUM(J922:J935)</f>
        <v>1216508280.0837648</v>
      </c>
      <c r="L921" s="1408"/>
    </row>
    <row r="922" spans="1:12" ht="15.75" hidden="1" outlineLevel="1" thickBot="1">
      <c r="A922" s="1229" t="s">
        <v>1737</v>
      </c>
      <c r="B922" s="1161" t="s">
        <v>1179</v>
      </c>
      <c r="C922" s="1212" t="s">
        <v>285</v>
      </c>
      <c r="D922" s="1161">
        <v>4</v>
      </c>
      <c r="E922" s="1215">
        <v>1.73</v>
      </c>
      <c r="F922" s="938">
        <f t="shared" si="192"/>
        <v>6.92</v>
      </c>
      <c r="G922" s="938">
        <f t="shared" si="193"/>
        <v>0.86499999999999999</v>
      </c>
      <c r="H922" s="938">
        <v>1</v>
      </c>
      <c r="I922" s="938">
        <f t="shared" si="194"/>
        <v>1</v>
      </c>
      <c r="J922" s="1154">
        <f>'Estructura de Presupuesto'!H253*D922</f>
        <v>565680000</v>
      </c>
      <c r="L922" s="812"/>
    </row>
    <row r="923" spans="1:12" ht="15.75" hidden="1" outlineLevel="1" thickBot="1">
      <c r="A923" s="1229" t="s">
        <v>1191</v>
      </c>
      <c r="B923" s="1228" t="s">
        <v>3255</v>
      </c>
      <c r="C923" s="1212" t="s">
        <v>55</v>
      </c>
      <c r="D923" s="1161">
        <f>'18. Fachada'!F6</f>
        <v>189.105165</v>
      </c>
      <c r="E923" s="1215">
        <f>APU!$H$2060/(APU!$H$423+APU!$H$424)</f>
        <v>4.0882231150111892</v>
      </c>
      <c r="F923" s="938">
        <f t="shared" si="192"/>
        <v>773.10410672100488</v>
      </c>
      <c r="G923" s="938">
        <f t="shared" si="193"/>
        <v>96.63801334012561</v>
      </c>
      <c r="H923" s="938">
        <v>20</v>
      </c>
      <c r="I923" s="938">
        <f t="shared" si="194"/>
        <v>5</v>
      </c>
      <c r="J923" s="1154">
        <f>'Estructura de Presupuesto'!$H$254*D923</f>
        <v>31686681.376706894</v>
      </c>
      <c r="L923" s="812"/>
    </row>
    <row r="924" spans="1:12" ht="15.75" hidden="1" outlineLevel="1" thickBot="1">
      <c r="A924" s="1229" t="s">
        <v>1192</v>
      </c>
      <c r="B924" s="1228" t="s">
        <v>3256</v>
      </c>
      <c r="C924" s="1212" t="s">
        <v>55</v>
      </c>
      <c r="D924" s="1161">
        <f>'18. Fachada'!F7</f>
        <v>216.06820500000001</v>
      </c>
      <c r="E924" s="1215">
        <f>APU!$H$2060/(APU!$H$423+APU!$H$424)</f>
        <v>4.0882231150111892</v>
      </c>
      <c r="F924" s="938">
        <f t="shared" si="192"/>
        <v>883.33503009997628</v>
      </c>
      <c r="G924" s="938">
        <f t="shared" si="193"/>
        <v>110.41687876249703</v>
      </c>
      <c r="H924" s="938">
        <v>20</v>
      </c>
      <c r="I924" s="938">
        <f t="shared" si="194"/>
        <v>6</v>
      </c>
      <c r="J924" s="1154">
        <f>'Estructura de Presupuesto'!$H$254*D924</f>
        <v>36204639.717122413</v>
      </c>
      <c r="L924" s="812"/>
    </row>
    <row r="925" spans="1:12" ht="15.75" hidden="1" outlineLevel="1" thickBot="1">
      <c r="A925" s="1229" t="s">
        <v>1193</v>
      </c>
      <c r="B925" s="1228" t="s">
        <v>3257</v>
      </c>
      <c r="C925" s="1212" t="s">
        <v>55</v>
      </c>
      <c r="D925" s="1161">
        <f>'18. Fachada'!F8</f>
        <v>344.48450000000003</v>
      </c>
      <c r="E925" s="1215">
        <f>APU!$H$2060/(APU!$H$423+APU!$H$424)</f>
        <v>4.0882231150111892</v>
      </c>
      <c r="F925" s="938">
        <f t="shared" si="192"/>
        <v>1408.3294956630721</v>
      </c>
      <c r="G925" s="938">
        <f t="shared" si="193"/>
        <v>176.04118695788401</v>
      </c>
      <c r="H925" s="938">
        <v>20</v>
      </c>
      <c r="I925" s="938">
        <f t="shared" si="194"/>
        <v>9</v>
      </c>
      <c r="J925" s="1154">
        <f>'Estructura de Presupuesto'!$H$254*D925</f>
        <v>57722223.455473505</v>
      </c>
      <c r="L925" s="812"/>
    </row>
    <row r="926" spans="1:12" ht="15.75" hidden="1" outlineLevel="1" thickBot="1">
      <c r="A926" s="1229" t="s">
        <v>1194</v>
      </c>
      <c r="B926" s="1228" t="s">
        <v>3258</v>
      </c>
      <c r="C926" s="1212" t="s">
        <v>55</v>
      </c>
      <c r="D926" s="1161">
        <f>'18. Fachada'!F9</f>
        <v>330.86058000000003</v>
      </c>
      <c r="E926" s="1215">
        <f>APU!$H$2060/(APU!$H$423+APU!$H$424)</f>
        <v>4.0882231150111892</v>
      </c>
      <c r="F926" s="938">
        <f t="shared" si="192"/>
        <v>1352.6318710020089</v>
      </c>
      <c r="G926" s="938">
        <f t="shared" si="193"/>
        <v>169.07898387525111</v>
      </c>
      <c r="H926" s="938">
        <v>20</v>
      </c>
      <c r="I926" s="938">
        <f t="shared" si="194"/>
        <v>9</v>
      </c>
      <c r="J926" s="1154">
        <f>'Estructura de Presupuesto'!$H$254*D926</f>
        <v>55439383.575654544</v>
      </c>
      <c r="L926"/>
    </row>
    <row r="927" spans="1:12" ht="15.75" hidden="1" outlineLevel="1" thickBot="1">
      <c r="A927" s="1229" t="s">
        <v>1195</v>
      </c>
      <c r="B927" s="1228" t="s">
        <v>3259</v>
      </c>
      <c r="C927" s="1212" t="s">
        <v>55</v>
      </c>
      <c r="D927" s="1161">
        <f>'18. Fachada'!F10</f>
        <v>88.38000000000001</v>
      </c>
      <c r="E927" s="1215">
        <f>APU!$H$2060/(APU!$H$423+APU!$H$424)</f>
        <v>4.0882231150111892</v>
      </c>
      <c r="F927" s="938">
        <f t="shared" si="192"/>
        <v>361.31715890468894</v>
      </c>
      <c r="G927" s="938">
        <f t="shared" si="193"/>
        <v>45.164644863086117</v>
      </c>
      <c r="H927" s="938">
        <v>20</v>
      </c>
      <c r="I927" s="938">
        <f t="shared" si="194"/>
        <v>3</v>
      </c>
      <c r="J927" s="1154">
        <f>'Estructura de Presupuesto'!$H$254*D927</f>
        <v>14809055.585940002</v>
      </c>
      <c r="L927"/>
    </row>
    <row r="928" spans="1:12" ht="15.75" hidden="1" outlineLevel="1" thickBot="1">
      <c r="A928" s="1229" t="s">
        <v>1196</v>
      </c>
      <c r="B928" s="1228" t="s">
        <v>3260</v>
      </c>
      <c r="C928" s="1212" t="s">
        <v>55</v>
      </c>
      <c r="D928" s="1161">
        <f>'18. Fachada'!E14</f>
        <v>181.03689</v>
      </c>
      <c r="E928" s="1215">
        <f>APU!$H$2060/(APU!$H$423+APU!$H$424)</f>
        <v>4.0882231150111892</v>
      </c>
      <c r="F928" s="938">
        <f t="shared" si="192"/>
        <v>740.11919836773802</v>
      </c>
      <c r="G928" s="938">
        <f t="shared" si="193"/>
        <v>92.514899795967253</v>
      </c>
      <c r="H928" s="938">
        <v>20</v>
      </c>
      <c r="I928" s="938">
        <f t="shared" si="194"/>
        <v>5</v>
      </c>
      <c r="J928" s="1154">
        <f>'Estructura de Presupuesto'!$H$254*D928</f>
        <v>30334751.83430307</v>
      </c>
      <c r="L928" s="1408"/>
    </row>
    <row r="929" spans="1:12" ht="15.75" hidden="1" outlineLevel="1" thickBot="1">
      <c r="A929" s="1229" t="s">
        <v>1197</v>
      </c>
      <c r="B929" s="1228" t="s">
        <v>3261</v>
      </c>
      <c r="C929" s="1212" t="s">
        <v>55</v>
      </c>
      <c r="D929" s="1161">
        <f>'18. Fachada'!E14</f>
        <v>181.03689</v>
      </c>
      <c r="E929" s="1215">
        <f>APU!$H$2060/(APU!$H$423+APU!$H$424)</f>
        <v>4.0882231150111892</v>
      </c>
      <c r="F929" s="938">
        <f t="shared" si="192"/>
        <v>740.11919836773802</v>
      </c>
      <c r="G929" s="938">
        <f t="shared" si="193"/>
        <v>92.514899795967253</v>
      </c>
      <c r="H929" s="938">
        <v>20</v>
      </c>
      <c r="I929" s="938">
        <f t="shared" si="194"/>
        <v>5</v>
      </c>
      <c r="J929" s="1154">
        <f>'Estructura de Presupuesto'!$H$254*D929</f>
        <v>30334751.83430307</v>
      </c>
      <c r="L929" s="1408"/>
    </row>
    <row r="930" spans="1:12" ht="15.75" hidden="1" outlineLevel="1" thickBot="1">
      <c r="A930" s="1229" t="s">
        <v>1198</v>
      </c>
      <c r="B930" s="1228" t="s">
        <v>3262</v>
      </c>
      <c r="C930" s="1212" t="s">
        <v>55</v>
      </c>
      <c r="D930" s="1161">
        <f>'18. Fachada'!E14</f>
        <v>181.03689</v>
      </c>
      <c r="E930" s="1215">
        <f>APU!$H$2060/(APU!$H$423+APU!$H$424)</f>
        <v>4.0882231150111892</v>
      </c>
      <c r="F930" s="938">
        <f t="shared" si="192"/>
        <v>740.11919836773802</v>
      </c>
      <c r="G930" s="938">
        <f t="shared" si="193"/>
        <v>92.514899795967253</v>
      </c>
      <c r="H930" s="938">
        <v>20</v>
      </c>
      <c r="I930" s="938">
        <f t="shared" si="194"/>
        <v>5</v>
      </c>
      <c r="J930" s="1154">
        <f>'Estructura de Presupuesto'!$H$254*D930</f>
        <v>30334751.83430307</v>
      </c>
      <c r="L930" s="812"/>
    </row>
    <row r="931" spans="1:12" ht="15.75" hidden="1" outlineLevel="1" thickBot="1">
      <c r="A931" s="1229" t="s">
        <v>1199</v>
      </c>
      <c r="B931" s="1228" t="s">
        <v>3263</v>
      </c>
      <c r="C931" s="1212" t="s">
        <v>55</v>
      </c>
      <c r="D931" s="1161">
        <f>'18. Fachada'!F12</f>
        <v>356.06772000000001</v>
      </c>
      <c r="E931" s="1215">
        <f>APU!$H$2060/(APU!$H$423+APU!$H$424)</f>
        <v>4.0882231150111892</v>
      </c>
      <c r="F931" s="938">
        <f t="shared" si="192"/>
        <v>1455.684283413332</v>
      </c>
      <c r="G931" s="938">
        <f t="shared" si="193"/>
        <v>181.9605354266665</v>
      </c>
      <c r="H931" s="938">
        <v>20</v>
      </c>
      <c r="I931" s="938">
        <f t="shared" si="194"/>
        <v>10</v>
      </c>
      <c r="J931" s="1154">
        <f>'Estructura de Presupuesto'!$H$254*D931</f>
        <v>59663121.269958362</v>
      </c>
      <c r="L931" s="812"/>
    </row>
    <row r="932" spans="1:12" ht="15.75" hidden="1" outlineLevel="1" thickBot="1">
      <c r="A932" s="1229" t="s">
        <v>1200</v>
      </c>
      <c r="B932" s="1228" t="s">
        <v>3264</v>
      </c>
      <c r="C932" s="1228" t="s">
        <v>285</v>
      </c>
      <c r="D932" s="1228">
        <f>'18. Fachada'!$L$9</f>
        <v>130</v>
      </c>
      <c r="E932" s="1215">
        <f>APU!$H$2060/(APU!$H$423+APU!$H$424)</f>
        <v>4.0882231150111892</v>
      </c>
      <c r="F932" s="938">
        <f t="shared" si="192"/>
        <v>531.46900495145462</v>
      </c>
      <c r="G932" s="938">
        <f t="shared" si="193"/>
        <v>66.433625618931828</v>
      </c>
      <c r="H932" s="938">
        <v>15</v>
      </c>
      <c r="I932" s="938">
        <f t="shared" si="194"/>
        <v>5</v>
      </c>
      <c r="J932" s="1154">
        <f>'Estructura de Presupuesto'!$H$255*D932</f>
        <v>76074729.899999991</v>
      </c>
      <c r="L932" s="812"/>
    </row>
    <row r="933" spans="1:12" ht="15.75" hidden="1" outlineLevel="1" thickBot="1">
      <c r="A933" s="1229" t="s">
        <v>1201</v>
      </c>
      <c r="B933" s="1228" t="s">
        <v>3265</v>
      </c>
      <c r="C933" s="1228" t="s">
        <v>285</v>
      </c>
      <c r="D933" s="1228">
        <f>'18. Fachada'!$L$9</f>
        <v>130</v>
      </c>
      <c r="E933" s="1215">
        <f>APU!$H$2060/(APU!$H$423+APU!$H$424)</f>
        <v>4.0882231150111892</v>
      </c>
      <c r="F933" s="938">
        <f t="shared" si="192"/>
        <v>531.46900495145462</v>
      </c>
      <c r="G933" s="938">
        <f t="shared" si="193"/>
        <v>66.433625618931828</v>
      </c>
      <c r="H933" s="938">
        <v>15</v>
      </c>
      <c r="I933" s="938">
        <f t="shared" si="194"/>
        <v>5</v>
      </c>
      <c r="J933" s="1154">
        <f>'Estructura de Presupuesto'!$H$255*D933</f>
        <v>76074729.899999991</v>
      </c>
      <c r="L933" s="812"/>
    </row>
    <row r="934" spans="1:12" ht="15.75" hidden="1" outlineLevel="1" thickBot="1">
      <c r="A934" s="1229" t="s">
        <v>1202</v>
      </c>
      <c r="B934" s="1228" t="s">
        <v>3266</v>
      </c>
      <c r="C934" s="1228" t="s">
        <v>285</v>
      </c>
      <c r="D934" s="1228">
        <f>'18. Fachada'!$L$9</f>
        <v>130</v>
      </c>
      <c r="E934" s="1215">
        <f>APU!$H$2060/(APU!$H$423+APU!$H$424)</f>
        <v>4.0882231150111892</v>
      </c>
      <c r="F934" s="938">
        <f t="shared" si="192"/>
        <v>531.46900495145462</v>
      </c>
      <c r="G934" s="938">
        <f t="shared" si="193"/>
        <v>66.433625618931828</v>
      </c>
      <c r="H934" s="938">
        <v>15</v>
      </c>
      <c r="I934" s="938">
        <f t="shared" si="194"/>
        <v>5</v>
      </c>
      <c r="J934" s="1154">
        <f>'Estructura de Presupuesto'!$H$255*D934</f>
        <v>76074729.899999991</v>
      </c>
      <c r="L934"/>
    </row>
    <row r="935" spans="1:12" ht="15.75" hidden="1" outlineLevel="1" thickBot="1">
      <c r="A935" s="1229" t="s">
        <v>1203</v>
      </c>
      <c r="B935" s="1228" t="s">
        <v>3267</v>
      </c>
      <c r="C935" s="1228" t="s">
        <v>285</v>
      </c>
      <c r="D935" s="1228">
        <f>'18. Fachada'!$L$9</f>
        <v>130</v>
      </c>
      <c r="E935" s="1215">
        <f>APU!$H$2060/(APU!$H$423+APU!$H$424)</f>
        <v>4.0882231150111892</v>
      </c>
      <c r="F935" s="938">
        <f t="shared" si="192"/>
        <v>531.46900495145462</v>
      </c>
      <c r="G935" s="938">
        <f t="shared" si="193"/>
        <v>66.433625618931828</v>
      </c>
      <c r="H935" s="938">
        <v>15</v>
      </c>
      <c r="I935" s="938">
        <f t="shared" si="194"/>
        <v>5</v>
      </c>
      <c r="J935" s="1154">
        <f>'Estructura de Presupuesto'!$H$255*D935</f>
        <v>76074729.899999991</v>
      </c>
      <c r="L935"/>
    </row>
    <row r="936" spans="1:12" ht="15.75" collapsed="1" thickBot="1">
      <c r="A936" s="1244">
        <v>19</v>
      </c>
      <c r="B936" s="1943" t="s">
        <v>2737</v>
      </c>
      <c r="C936" s="1944"/>
      <c r="D936" s="1944"/>
      <c r="E936" s="1944"/>
      <c r="F936" s="1944"/>
      <c r="G936" s="1944"/>
      <c r="H936" s="1944"/>
      <c r="I936" s="1945"/>
      <c r="J936" s="1238">
        <f>SUM(J937:J946)</f>
        <v>33199606.805614799</v>
      </c>
      <c r="L936" s="1408"/>
    </row>
    <row r="937" spans="1:12" hidden="1" outlineLevel="1">
      <c r="A937" s="940">
        <v>19.100000000000001</v>
      </c>
      <c r="B937" s="1243" t="s">
        <v>2769</v>
      </c>
      <c r="C937" s="1243" t="s">
        <v>55</v>
      </c>
      <c r="D937" s="916">
        <v>240.18550000000005</v>
      </c>
      <c r="E937" s="1243">
        <v>0.06</v>
      </c>
      <c r="F937" s="940">
        <f t="shared" ref="F937:F945" si="197">+D937*E937</f>
        <v>14.411130000000002</v>
      </c>
      <c r="G937" s="940">
        <f>+F937/8</f>
        <v>1.8013912500000002</v>
      </c>
      <c r="H937" s="940">
        <v>5</v>
      </c>
      <c r="I937" s="940">
        <f>+ROUNDUP(G937/H937,0)</f>
        <v>1</v>
      </c>
      <c r="J937" s="1235">
        <f>+APU!$H$2072*'Cuadro de programación'!D937</f>
        <v>48037.100000000006</v>
      </c>
    </row>
    <row r="938" spans="1:12" hidden="1" outlineLevel="1">
      <c r="A938" s="938">
        <v>19.2</v>
      </c>
      <c r="B938" s="1161" t="s">
        <v>2770</v>
      </c>
      <c r="C938" s="1161" t="s">
        <v>55</v>
      </c>
      <c r="D938" s="916">
        <v>275.28460000000001</v>
      </c>
      <c r="E938" s="1161">
        <v>0.06</v>
      </c>
      <c r="F938" s="938">
        <f t="shared" si="197"/>
        <v>16.517075999999999</v>
      </c>
      <c r="G938" s="938">
        <f t="shared" ref="G938:G945" si="198">+F938/8</f>
        <v>2.0646344999999999</v>
      </c>
      <c r="H938" s="938">
        <v>5</v>
      </c>
      <c r="I938" s="938">
        <f t="shared" ref="I938:I945" si="199">+ROUNDUP(G938/H938,0)</f>
        <v>1</v>
      </c>
      <c r="J938" s="1154">
        <f>+APU!$H$2072*'Cuadro de programación'!D938</f>
        <v>55056.920000000006</v>
      </c>
    </row>
    <row r="939" spans="1:12" hidden="1" outlineLevel="1">
      <c r="A939" s="938">
        <v>19.3</v>
      </c>
      <c r="B939" s="1161" t="s">
        <v>2771</v>
      </c>
      <c r="C939" s="1161" t="s">
        <v>55</v>
      </c>
      <c r="D939" s="916">
        <v>915.07859999999994</v>
      </c>
      <c r="E939" s="1161">
        <v>0.06</v>
      </c>
      <c r="F939" s="938">
        <f t="shared" si="197"/>
        <v>54.904715999999993</v>
      </c>
      <c r="G939" s="938">
        <f t="shared" si="198"/>
        <v>6.8630894999999992</v>
      </c>
      <c r="H939" s="938">
        <v>5</v>
      </c>
      <c r="I939" s="938">
        <f t="shared" si="199"/>
        <v>2</v>
      </c>
      <c r="J939" s="1154">
        <f>+APU!$H$2072*'Cuadro de programación'!D939</f>
        <v>183015.72</v>
      </c>
    </row>
    <row r="940" spans="1:12" hidden="1" outlineLevel="1">
      <c r="A940" s="938">
        <v>19.399999999999999</v>
      </c>
      <c r="B940" s="1161" t="s">
        <v>2772</v>
      </c>
      <c r="C940" s="1161" t="s">
        <v>55</v>
      </c>
      <c r="D940" s="916">
        <v>621.9529</v>
      </c>
      <c r="E940" s="1161">
        <v>0.06</v>
      </c>
      <c r="F940" s="938">
        <f t="shared" si="197"/>
        <v>37.317174000000001</v>
      </c>
      <c r="G940" s="938">
        <f t="shared" si="198"/>
        <v>4.6646467500000002</v>
      </c>
      <c r="H940" s="938">
        <v>5</v>
      </c>
      <c r="I940" s="938">
        <f t="shared" si="199"/>
        <v>1</v>
      </c>
      <c r="J940" s="1154">
        <f>+APU!$H$2072*'Cuadro de programación'!D940</f>
        <v>124390.58</v>
      </c>
    </row>
    <row r="941" spans="1:12" hidden="1" outlineLevel="1">
      <c r="A941" s="938">
        <v>19.5</v>
      </c>
      <c r="B941" s="1161" t="s">
        <v>2773</v>
      </c>
      <c r="C941" s="1161" t="s">
        <v>55</v>
      </c>
      <c r="D941" s="916">
        <v>1055.6867000000002</v>
      </c>
      <c r="E941" s="1161">
        <v>0.06</v>
      </c>
      <c r="F941" s="938">
        <f t="shared" si="197"/>
        <v>63.34120200000001</v>
      </c>
      <c r="G941" s="938">
        <f t="shared" si="198"/>
        <v>7.9176502500000012</v>
      </c>
      <c r="H941" s="938">
        <v>5</v>
      </c>
      <c r="I941" s="938">
        <f t="shared" si="199"/>
        <v>2</v>
      </c>
      <c r="J941" s="1154">
        <f>+APU!$H$2072*'Cuadro de programación'!D941</f>
        <v>211137.34000000003</v>
      </c>
    </row>
    <row r="942" spans="1:12" hidden="1" outlineLevel="1">
      <c r="A942" s="938">
        <v>19.600000000000001</v>
      </c>
      <c r="B942" s="1161" t="s">
        <v>2774</v>
      </c>
      <c r="C942" s="1161" t="s">
        <v>55</v>
      </c>
      <c r="D942" s="916">
        <v>885.01089999999988</v>
      </c>
      <c r="E942" s="1161">
        <v>0.06</v>
      </c>
      <c r="F942" s="938">
        <f t="shared" si="197"/>
        <v>53.100653999999992</v>
      </c>
      <c r="G942" s="938">
        <f t="shared" si="198"/>
        <v>6.6375817499999989</v>
      </c>
      <c r="H942" s="938">
        <v>5</v>
      </c>
      <c r="I942" s="938">
        <f t="shared" si="199"/>
        <v>2</v>
      </c>
      <c r="J942" s="1154">
        <f>+APU!$H$2072*'Cuadro de programación'!D942</f>
        <v>177002.17999999996</v>
      </c>
    </row>
    <row r="943" spans="1:12" hidden="1" outlineLevel="1">
      <c r="A943" s="938">
        <v>19.7</v>
      </c>
      <c r="B943" s="1161" t="s">
        <v>2775</v>
      </c>
      <c r="C943" s="1161" t="s">
        <v>55</v>
      </c>
      <c r="D943" s="916">
        <v>848.00069999999994</v>
      </c>
      <c r="E943" s="1161">
        <v>0.06</v>
      </c>
      <c r="F943" s="938">
        <f t="shared" si="197"/>
        <v>50.880041999999996</v>
      </c>
      <c r="G943" s="938">
        <f t="shared" si="198"/>
        <v>6.3600052499999995</v>
      </c>
      <c r="H943" s="938">
        <v>5</v>
      </c>
      <c r="I943" s="938">
        <f t="shared" si="199"/>
        <v>2</v>
      </c>
      <c r="J943" s="1154">
        <f>+APU!$H$2072*'Cuadro de programación'!D943</f>
        <v>169600.13999999998</v>
      </c>
    </row>
    <row r="944" spans="1:12" hidden="1" outlineLevel="1">
      <c r="A944" s="938">
        <v>19.8</v>
      </c>
      <c r="B944" s="1161" t="s">
        <v>2776</v>
      </c>
      <c r="C944" s="1161" t="s">
        <v>55</v>
      </c>
      <c r="D944" s="916">
        <v>848.00069999999994</v>
      </c>
      <c r="E944" s="1161">
        <v>0.06</v>
      </c>
      <c r="F944" s="938">
        <f t="shared" si="197"/>
        <v>50.880041999999996</v>
      </c>
      <c r="G944" s="938">
        <f t="shared" si="198"/>
        <v>6.3600052499999995</v>
      </c>
      <c r="H944" s="938">
        <v>5</v>
      </c>
      <c r="I944" s="938">
        <f t="shared" si="199"/>
        <v>2</v>
      </c>
      <c r="J944" s="1154">
        <f>+APU!$H$2072*'Cuadro de programación'!D944</f>
        <v>169600.13999999998</v>
      </c>
    </row>
    <row r="945" spans="1:10" hidden="1" outlineLevel="1">
      <c r="A945" s="938">
        <v>19.899999999999999</v>
      </c>
      <c r="B945" s="1161" t="s">
        <v>2777</v>
      </c>
      <c r="C945" s="1161" t="s">
        <v>55</v>
      </c>
      <c r="D945" s="916">
        <v>895.98019999999997</v>
      </c>
      <c r="E945" s="1161">
        <v>0.06</v>
      </c>
      <c r="F945" s="938">
        <f t="shared" si="197"/>
        <v>53.758811999999999</v>
      </c>
      <c r="G945" s="938">
        <f t="shared" si="198"/>
        <v>6.7198514999999999</v>
      </c>
      <c r="H945" s="938">
        <v>5</v>
      </c>
      <c r="I945" s="938">
        <f t="shared" si="199"/>
        <v>2</v>
      </c>
      <c r="J945" s="1154">
        <f>+APU!$H$2072*'Cuadro de programación'!D945</f>
        <v>179196.03999999998</v>
      </c>
    </row>
    <row r="946" spans="1:10" hidden="1" outlineLevel="1">
      <c r="A946" s="938">
        <v>19.100000000000001</v>
      </c>
      <c r="B946" s="1161" t="s">
        <v>677</v>
      </c>
      <c r="C946" s="1161" t="s">
        <v>2728</v>
      </c>
      <c r="D946" s="1161" t="s">
        <v>2728</v>
      </c>
      <c r="E946" s="1161" t="s">
        <v>2728</v>
      </c>
      <c r="F946" s="1161" t="s">
        <v>2728</v>
      </c>
      <c r="G946" s="1161" t="s">
        <v>2728</v>
      </c>
      <c r="H946" s="1161" t="s">
        <v>2728</v>
      </c>
      <c r="I946" s="938">
        <v>13</v>
      </c>
      <c r="J946" s="1154">
        <f>+APU!J2078</f>
        <v>31882570.645614799</v>
      </c>
    </row>
    <row r="947" spans="1:10" collapsed="1"/>
    <row r="948" spans="1:10">
      <c r="J948" s="1461"/>
    </row>
    <row r="951" spans="1:10">
      <c r="J951" s="1461"/>
    </row>
  </sheetData>
  <mergeCells count="100">
    <mergeCell ref="A919:I919"/>
    <mergeCell ref="I2:I3"/>
    <mergeCell ref="J2:J3"/>
    <mergeCell ref="A2:A3"/>
    <mergeCell ref="B2:B3"/>
    <mergeCell ref="C2:C3"/>
    <mergeCell ref="D2:D3"/>
    <mergeCell ref="A693:I693"/>
    <mergeCell ref="A715:I715"/>
    <mergeCell ref="A734:I734"/>
    <mergeCell ref="A325:I325"/>
    <mergeCell ref="A345:I345"/>
    <mergeCell ref="A359:I359"/>
    <mergeCell ref="A364:I364"/>
    <mergeCell ref="A368:I368"/>
    <mergeCell ref="A371:I371"/>
    <mergeCell ref="B921:I921"/>
    <mergeCell ref="A747:I747"/>
    <mergeCell ref="A760:I760"/>
    <mergeCell ref="B80:I80"/>
    <mergeCell ref="B98:I98"/>
    <mergeCell ref="B108:I108"/>
    <mergeCell ref="B127:I127"/>
    <mergeCell ref="B211:I211"/>
    <mergeCell ref="A182:I182"/>
    <mergeCell ref="A191:I191"/>
    <mergeCell ref="A153:I153"/>
    <mergeCell ref="A164:I164"/>
    <mergeCell ref="A172:I172"/>
    <mergeCell ref="A624:I624"/>
    <mergeCell ref="A639:I639"/>
    <mergeCell ref="A374:I374"/>
    <mergeCell ref="A289:I289"/>
    <mergeCell ref="B5:I5"/>
    <mergeCell ref="B16:I16"/>
    <mergeCell ref="B12:I12"/>
    <mergeCell ref="B23:I23"/>
    <mergeCell ref="B70:I70"/>
    <mergeCell ref="A68:I68"/>
    <mergeCell ref="A200:I200"/>
    <mergeCell ref="A224:I224"/>
    <mergeCell ref="A238:I238"/>
    <mergeCell ref="B223:I223"/>
    <mergeCell ref="B936:I936"/>
    <mergeCell ref="A24:I24"/>
    <mergeCell ref="A31:I31"/>
    <mergeCell ref="A37:I37"/>
    <mergeCell ref="A42:I42"/>
    <mergeCell ref="A47:I47"/>
    <mergeCell ref="A51:I51"/>
    <mergeCell ref="A60:I60"/>
    <mergeCell ref="A64:I64"/>
    <mergeCell ref="A55:I55"/>
    <mergeCell ref="A128:I128"/>
    <mergeCell ref="A135:I135"/>
    <mergeCell ref="A143:I143"/>
    <mergeCell ref="A253:I253"/>
    <mergeCell ref="A266:I266"/>
    <mergeCell ref="A279:I279"/>
    <mergeCell ref="B358:I358"/>
    <mergeCell ref="A305:I305"/>
    <mergeCell ref="B510:I510"/>
    <mergeCell ref="B638:I638"/>
    <mergeCell ref="A380:I380"/>
    <mergeCell ref="A384:I384"/>
    <mergeCell ref="A418:I418"/>
    <mergeCell ref="B507:I507"/>
    <mergeCell ref="A377:I377"/>
    <mergeCell ref="A387:I387"/>
    <mergeCell ref="A392:I392"/>
    <mergeCell ref="A403:I403"/>
    <mergeCell ref="B391:I391"/>
    <mergeCell ref="A655:I655"/>
    <mergeCell ref="A672:I672"/>
    <mergeCell ref="A429:I429"/>
    <mergeCell ref="A444:I444"/>
    <mergeCell ref="A459:I459"/>
    <mergeCell ref="A470:I470"/>
    <mergeCell ref="A481:I481"/>
    <mergeCell ref="A492:I492"/>
    <mergeCell ref="A511:I511"/>
    <mergeCell ref="A530:I530"/>
    <mergeCell ref="A540:I540"/>
    <mergeCell ref="A555:I555"/>
    <mergeCell ref="A574:I574"/>
    <mergeCell ref="A583:I583"/>
    <mergeCell ref="A598:I598"/>
    <mergeCell ref="A611:I611"/>
    <mergeCell ref="A906:I906"/>
    <mergeCell ref="A773:I773"/>
    <mergeCell ref="A789:I789"/>
    <mergeCell ref="A802:I802"/>
    <mergeCell ref="A816:I816"/>
    <mergeCell ref="A828:I828"/>
    <mergeCell ref="A850:I850"/>
    <mergeCell ref="A867:I867"/>
    <mergeCell ref="A880:I880"/>
    <mergeCell ref="A893:I893"/>
    <mergeCell ref="B788:I788"/>
    <mergeCell ref="A784:I784"/>
  </mergeCells>
  <pageMargins left="0.7" right="0.7" top="0.75" bottom="0.75" header="0.3" footer="0.3"/>
  <pageSetup orientation="portrait" horizontalDpi="1200" verticalDpi="1200" r:id="rId1"/>
  <ignoredErrors>
    <ignoredError sqref="E514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opLeftCell="F7" workbookViewId="0">
      <selection activeCell="E13" sqref="E13"/>
    </sheetView>
  </sheetViews>
  <sheetFormatPr baseColWidth="10" defaultRowHeight="12.75"/>
  <cols>
    <col min="1" max="1" width="11.5703125" bestFit="1" customWidth="1"/>
    <col min="2" max="2" width="11" bestFit="1" customWidth="1"/>
    <col min="3" max="3" width="12" customWidth="1"/>
    <col min="4" max="4" width="15.42578125" customWidth="1"/>
    <col min="5" max="5" width="15.42578125" bestFit="1" customWidth="1"/>
    <col min="6" max="6" width="6" bestFit="1" customWidth="1"/>
    <col min="7" max="16" width="14.5703125" customWidth="1"/>
    <col min="17" max="23" width="14.5703125" bestFit="1" customWidth="1"/>
    <col min="24" max="25" width="14.5703125" customWidth="1"/>
    <col min="26" max="28" width="14.5703125" bestFit="1" customWidth="1"/>
    <col min="29" max="29" width="14.5703125" customWidth="1"/>
    <col min="30" max="30" width="14.5703125" bestFit="1" customWidth="1"/>
    <col min="31" max="31" width="14.5703125" customWidth="1"/>
    <col min="32" max="34" width="14.5703125" bestFit="1" customWidth="1"/>
    <col min="35" max="35" width="8" customWidth="1"/>
    <col min="36" max="36" width="17.7109375" bestFit="1" customWidth="1"/>
    <col min="37" max="37" width="8.42578125" customWidth="1"/>
    <col min="38" max="40" width="14.5703125" bestFit="1" customWidth="1"/>
    <col min="41" max="41" width="9.42578125" bestFit="1" customWidth="1"/>
    <col min="42" max="42" width="19.28515625" bestFit="1" customWidth="1"/>
    <col min="43" max="43" width="10" bestFit="1" customWidth="1"/>
    <col min="44" max="44" width="9.42578125" bestFit="1" customWidth="1"/>
    <col min="45" max="45" width="19.28515625" bestFit="1" customWidth="1"/>
    <col min="46" max="46" width="10" bestFit="1" customWidth="1"/>
    <col min="47" max="256" width="9.140625" customWidth="1"/>
    <col min="257" max="257" width="11.5703125" bestFit="1" customWidth="1"/>
    <col min="258" max="258" width="11" bestFit="1" customWidth="1"/>
    <col min="259" max="259" width="12" customWidth="1"/>
    <col min="260" max="260" width="15.42578125" customWidth="1"/>
    <col min="261" max="261" width="15.42578125" bestFit="1" customWidth="1"/>
    <col min="262" max="262" width="6" bestFit="1" customWidth="1"/>
    <col min="263" max="272" width="14.5703125" customWidth="1"/>
    <col min="273" max="279" width="14.5703125" bestFit="1" customWidth="1"/>
    <col min="280" max="281" width="14.5703125" customWidth="1"/>
    <col min="282" max="284" width="14.5703125" bestFit="1" customWidth="1"/>
    <col min="285" max="285" width="14.5703125" customWidth="1"/>
    <col min="286" max="286" width="14.5703125" bestFit="1" customWidth="1"/>
    <col min="287" max="287" width="14.5703125" customWidth="1"/>
    <col min="288" max="290" width="14.5703125" bestFit="1" customWidth="1"/>
    <col min="291" max="291" width="8" customWidth="1"/>
    <col min="292" max="292" width="17.7109375" bestFit="1" customWidth="1"/>
    <col min="293" max="293" width="8.42578125" customWidth="1"/>
    <col min="294" max="296" width="14.5703125" bestFit="1" customWidth="1"/>
    <col min="297" max="297" width="9.42578125" bestFit="1" customWidth="1"/>
    <col min="298" max="298" width="19.28515625" bestFit="1" customWidth="1"/>
    <col min="299" max="299" width="10" bestFit="1" customWidth="1"/>
    <col min="300" max="300" width="9.42578125" bestFit="1" customWidth="1"/>
    <col min="301" max="301" width="19.28515625" bestFit="1" customWidth="1"/>
    <col min="302" max="302" width="10" bestFit="1" customWidth="1"/>
    <col min="303" max="512" width="9.140625" customWidth="1"/>
    <col min="513" max="513" width="11.5703125" bestFit="1" customWidth="1"/>
    <col min="514" max="514" width="11" bestFit="1" customWidth="1"/>
    <col min="515" max="515" width="12" customWidth="1"/>
    <col min="516" max="516" width="15.42578125" customWidth="1"/>
    <col min="517" max="517" width="15.42578125" bestFit="1" customWidth="1"/>
    <col min="518" max="518" width="6" bestFit="1" customWidth="1"/>
    <col min="519" max="528" width="14.5703125" customWidth="1"/>
    <col min="529" max="535" width="14.5703125" bestFit="1" customWidth="1"/>
    <col min="536" max="537" width="14.5703125" customWidth="1"/>
    <col min="538" max="540" width="14.5703125" bestFit="1" customWidth="1"/>
    <col min="541" max="541" width="14.5703125" customWidth="1"/>
    <col min="542" max="542" width="14.5703125" bestFit="1" customWidth="1"/>
    <col min="543" max="543" width="14.5703125" customWidth="1"/>
    <col min="544" max="546" width="14.5703125" bestFit="1" customWidth="1"/>
    <col min="547" max="547" width="8" customWidth="1"/>
    <col min="548" max="548" width="17.7109375" bestFit="1" customWidth="1"/>
    <col min="549" max="549" width="8.42578125" customWidth="1"/>
    <col min="550" max="552" width="14.5703125" bestFit="1" customWidth="1"/>
    <col min="553" max="553" width="9.42578125" bestFit="1" customWidth="1"/>
    <col min="554" max="554" width="19.28515625" bestFit="1" customWidth="1"/>
    <col min="555" max="555" width="10" bestFit="1" customWidth="1"/>
    <col min="556" max="556" width="9.42578125" bestFit="1" customWidth="1"/>
    <col min="557" max="557" width="19.28515625" bestFit="1" customWidth="1"/>
    <col min="558" max="558" width="10" bestFit="1" customWidth="1"/>
    <col min="559" max="768" width="9.140625" customWidth="1"/>
    <col min="769" max="769" width="11.5703125" bestFit="1" customWidth="1"/>
    <col min="770" max="770" width="11" bestFit="1" customWidth="1"/>
    <col min="771" max="771" width="12" customWidth="1"/>
    <col min="772" max="772" width="15.42578125" customWidth="1"/>
    <col min="773" max="773" width="15.42578125" bestFit="1" customWidth="1"/>
    <col min="774" max="774" width="6" bestFit="1" customWidth="1"/>
    <col min="775" max="784" width="14.5703125" customWidth="1"/>
    <col min="785" max="791" width="14.5703125" bestFit="1" customWidth="1"/>
    <col min="792" max="793" width="14.5703125" customWidth="1"/>
    <col min="794" max="796" width="14.5703125" bestFit="1" customWidth="1"/>
    <col min="797" max="797" width="14.5703125" customWidth="1"/>
    <col min="798" max="798" width="14.5703125" bestFit="1" customWidth="1"/>
    <col min="799" max="799" width="14.5703125" customWidth="1"/>
    <col min="800" max="802" width="14.5703125" bestFit="1" customWidth="1"/>
    <col min="803" max="803" width="8" customWidth="1"/>
    <col min="804" max="804" width="17.7109375" bestFit="1" customWidth="1"/>
    <col min="805" max="805" width="8.42578125" customWidth="1"/>
    <col min="806" max="808" width="14.5703125" bestFit="1" customWidth="1"/>
    <col min="809" max="809" width="9.42578125" bestFit="1" customWidth="1"/>
    <col min="810" max="810" width="19.28515625" bestFit="1" customWidth="1"/>
    <col min="811" max="811" width="10" bestFit="1" customWidth="1"/>
    <col min="812" max="812" width="9.42578125" bestFit="1" customWidth="1"/>
    <col min="813" max="813" width="19.28515625" bestFit="1" customWidth="1"/>
    <col min="814" max="814" width="10" bestFit="1" customWidth="1"/>
    <col min="815" max="1024" width="9.140625" customWidth="1"/>
    <col min="1025" max="1025" width="11.5703125" bestFit="1" customWidth="1"/>
    <col min="1026" max="1026" width="11" bestFit="1" customWidth="1"/>
    <col min="1027" max="1027" width="12" customWidth="1"/>
    <col min="1028" max="1028" width="15.42578125" customWidth="1"/>
    <col min="1029" max="1029" width="15.42578125" bestFit="1" customWidth="1"/>
    <col min="1030" max="1030" width="6" bestFit="1" customWidth="1"/>
    <col min="1031" max="1040" width="14.5703125" customWidth="1"/>
    <col min="1041" max="1047" width="14.5703125" bestFit="1" customWidth="1"/>
    <col min="1048" max="1049" width="14.5703125" customWidth="1"/>
    <col min="1050" max="1052" width="14.5703125" bestFit="1" customWidth="1"/>
    <col min="1053" max="1053" width="14.5703125" customWidth="1"/>
    <col min="1054" max="1054" width="14.5703125" bestFit="1" customWidth="1"/>
    <col min="1055" max="1055" width="14.5703125" customWidth="1"/>
    <col min="1056" max="1058" width="14.5703125" bestFit="1" customWidth="1"/>
    <col min="1059" max="1059" width="8" customWidth="1"/>
    <col min="1060" max="1060" width="17.7109375" bestFit="1" customWidth="1"/>
    <col min="1061" max="1061" width="8.42578125" customWidth="1"/>
    <col min="1062" max="1064" width="14.5703125" bestFit="1" customWidth="1"/>
    <col min="1065" max="1065" width="9.42578125" bestFit="1" customWidth="1"/>
    <col min="1066" max="1066" width="19.28515625" bestFit="1" customWidth="1"/>
    <col min="1067" max="1067" width="10" bestFit="1" customWidth="1"/>
    <col min="1068" max="1068" width="9.42578125" bestFit="1" customWidth="1"/>
    <col min="1069" max="1069" width="19.28515625" bestFit="1" customWidth="1"/>
    <col min="1070" max="1070" width="10" bestFit="1" customWidth="1"/>
    <col min="1071" max="1280" width="9.140625" customWidth="1"/>
    <col min="1281" max="1281" width="11.5703125" bestFit="1" customWidth="1"/>
    <col min="1282" max="1282" width="11" bestFit="1" customWidth="1"/>
    <col min="1283" max="1283" width="12" customWidth="1"/>
    <col min="1284" max="1284" width="15.42578125" customWidth="1"/>
    <col min="1285" max="1285" width="15.42578125" bestFit="1" customWidth="1"/>
    <col min="1286" max="1286" width="6" bestFit="1" customWidth="1"/>
    <col min="1287" max="1296" width="14.5703125" customWidth="1"/>
    <col min="1297" max="1303" width="14.5703125" bestFit="1" customWidth="1"/>
    <col min="1304" max="1305" width="14.5703125" customWidth="1"/>
    <col min="1306" max="1308" width="14.5703125" bestFit="1" customWidth="1"/>
    <col min="1309" max="1309" width="14.5703125" customWidth="1"/>
    <col min="1310" max="1310" width="14.5703125" bestFit="1" customWidth="1"/>
    <col min="1311" max="1311" width="14.5703125" customWidth="1"/>
    <col min="1312" max="1314" width="14.5703125" bestFit="1" customWidth="1"/>
    <col min="1315" max="1315" width="8" customWidth="1"/>
    <col min="1316" max="1316" width="17.7109375" bestFit="1" customWidth="1"/>
    <col min="1317" max="1317" width="8.42578125" customWidth="1"/>
    <col min="1318" max="1320" width="14.5703125" bestFit="1" customWidth="1"/>
    <col min="1321" max="1321" width="9.42578125" bestFit="1" customWidth="1"/>
    <col min="1322" max="1322" width="19.28515625" bestFit="1" customWidth="1"/>
    <col min="1323" max="1323" width="10" bestFit="1" customWidth="1"/>
    <col min="1324" max="1324" width="9.42578125" bestFit="1" customWidth="1"/>
    <col min="1325" max="1325" width="19.28515625" bestFit="1" customWidth="1"/>
    <col min="1326" max="1326" width="10" bestFit="1" customWidth="1"/>
    <col min="1327" max="1536" width="9.140625" customWidth="1"/>
    <col min="1537" max="1537" width="11.5703125" bestFit="1" customWidth="1"/>
    <col min="1538" max="1538" width="11" bestFit="1" customWidth="1"/>
    <col min="1539" max="1539" width="12" customWidth="1"/>
    <col min="1540" max="1540" width="15.42578125" customWidth="1"/>
    <col min="1541" max="1541" width="15.42578125" bestFit="1" customWidth="1"/>
    <col min="1542" max="1542" width="6" bestFit="1" customWidth="1"/>
    <col min="1543" max="1552" width="14.5703125" customWidth="1"/>
    <col min="1553" max="1559" width="14.5703125" bestFit="1" customWidth="1"/>
    <col min="1560" max="1561" width="14.5703125" customWidth="1"/>
    <col min="1562" max="1564" width="14.5703125" bestFit="1" customWidth="1"/>
    <col min="1565" max="1565" width="14.5703125" customWidth="1"/>
    <col min="1566" max="1566" width="14.5703125" bestFit="1" customWidth="1"/>
    <col min="1567" max="1567" width="14.5703125" customWidth="1"/>
    <col min="1568" max="1570" width="14.5703125" bestFit="1" customWidth="1"/>
    <col min="1571" max="1571" width="8" customWidth="1"/>
    <col min="1572" max="1572" width="17.7109375" bestFit="1" customWidth="1"/>
    <col min="1573" max="1573" width="8.42578125" customWidth="1"/>
    <col min="1574" max="1576" width="14.5703125" bestFit="1" customWidth="1"/>
    <col min="1577" max="1577" width="9.42578125" bestFit="1" customWidth="1"/>
    <col min="1578" max="1578" width="19.28515625" bestFit="1" customWidth="1"/>
    <col min="1579" max="1579" width="10" bestFit="1" customWidth="1"/>
    <col min="1580" max="1580" width="9.42578125" bestFit="1" customWidth="1"/>
    <col min="1581" max="1581" width="19.28515625" bestFit="1" customWidth="1"/>
    <col min="1582" max="1582" width="10" bestFit="1" customWidth="1"/>
    <col min="1583" max="1792" width="9.140625" customWidth="1"/>
    <col min="1793" max="1793" width="11.5703125" bestFit="1" customWidth="1"/>
    <col min="1794" max="1794" width="11" bestFit="1" customWidth="1"/>
    <col min="1795" max="1795" width="12" customWidth="1"/>
    <col min="1796" max="1796" width="15.42578125" customWidth="1"/>
    <col min="1797" max="1797" width="15.42578125" bestFit="1" customWidth="1"/>
    <col min="1798" max="1798" width="6" bestFit="1" customWidth="1"/>
    <col min="1799" max="1808" width="14.5703125" customWidth="1"/>
    <col min="1809" max="1815" width="14.5703125" bestFit="1" customWidth="1"/>
    <col min="1816" max="1817" width="14.5703125" customWidth="1"/>
    <col min="1818" max="1820" width="14.5703125" bestFit="1" customWidth="1"/>
    <col min="1821" max="1821" width="14.5703125" customWidth="1"/>
    <col min="1822" max="1822" width="14.5703125" bestFit="1" customWidth="1"/>
    <col min="1823" max="1823" width="14.5703125" customWidth="1"/>
    <col min="1824" max="1826" width="14.5703125" bestFit="1" customWidth="1"/>
    <col min="1827" max="1827" width="8" customWidth="1"/>
    <col min="1828" max="1828" width="17.7109375" bestFit="1" customWidth="1"/>
    <col min="1829" max="1829" width="8.42578125" customWidth="1"/>
    <col min="1830" max="1832" width="14.5703125" bestFit="1" customWidth="1"/>
    <col min="1833" max="1833" width="9.42578125" bestFit="1" customWidth="1"/>
    <col min="1834" max="1834" width="19.28515625" bestFit="1" customWidth="1"/>
    <col min="1835" max="1835" width="10" bestFit="1" customWidth="1"/>
    <col min="1836" max="1836" width="9.42578125" bestFit="1" customWidth="1"/>
    <col min="1837" max="1837" width="19.28515625" bestFit="1" customWidth="1"/>
    <col min="1838" max="1838" width="10" bestFit="1" customWidth="1"/>
    <col min="1839" max="2048" width="9.140625" customWidth="1"/>
    <col min="2049" max="2049" width="11.5703125" bestFit="1" customWidth="1"/>
    <col min="2050" max="2050" width="11" bestFit="1" customWidth="1"/>
    <col min="2051" max="2051" width="12" customWidth="1"/>
    <col min="2052" max="2052" width="15.42578125" customWidth="1"/>
    <col min="2053" max="2053" width="15.42578125" bestFit="1" customWidth="1"/>
    <col min="2054" max="2054" width="6" bestFit="1" customWidth="1"/>
    <col min="2055" max="2064" width="14.5703125" customWidth="1"/>
    <col min="2065" max="2071" width="14.5703125" bestFit="1" customWidth="1"/>
    <col min="2072" max="2073" width="14.5703125" customWidth="1"/>
    <col min="2074" max="2076" width="14.5703125" bestFit="1" customWidth="1"/>
    <col min="2077" max="2077" width="14.5703125" customWidth="1"/>
    <col min="2078" max="2078" width="14.5703125" bestFit="1" customWidth="1"/>
    <col min="2079" max="2079" width="14.5703125" customWidth="1"/>
    <col min="2080" max="2082" width="14.5703125" bestFit="1" customWidth="1"/>
    <col min="2083" max="2083" width="8" customWidth="1"/>
    <col min="2084" max="2084" width="17.7109375" bestFit="1" customWidth="1"/>
    <col min="2085" max="2085" width="8.42578125" customWidth="1"/>
    <col min="2086" max="2088" width="14.5703125" bestFit="1" customWidth="1"/>
    <col min="2089" max="2089" width="9.42578125" bestFit="1" customWidth="1"/>
    <col min="2090" max="2090" width="19.28515625" bestFit="1" customWidth="1"/>
    <col min="2091" max="2091" width="10" bestFit="1" customWidth="1"/>
    <col min="2092" max="2092" width="9.42578125" bestFit="1" customWidth="1"/>
    <col min="2093" max="2093" width="19.28515625" bestFit="1" customWidth="1"/>
    <col min="2094" max="2094" width="10" bestFit="1" customWidth="1"/>
    <col min="2095" max="2304" width="9.140625" customWidth="1"/>
    <col min="2305" max="2305" width="11.5703125" bestFit="1" customWidth="1"/>
    <col min="2306" max="2306" width="11" bestFit="1" customWidth="1"/>
    <col min="2307" max="2307" width="12" customWidth="1"/>
    <col min="2308" max="2308" width="15.42578125" customWidth="1"/>
    <col min="2309" max="2309" width="15.42578125" bestFit="1" customWidth="1"/>
    <col min="2310" max="2310" width="6" bestFit="1" customWidth="1"/>
    <col min="2311" max="2320" width="14.5703125" customWidth="1"/>
    <col min="2321" max="2327" width="14.5703125" bestFit="1" customWidth="1"/>
    <col min="2328" max="2329" width="14.5703125" customWidth="1"/>
    <col min="2330" max="2332" width="14.5703125" bestFit="1" customWidth="1"/>
    <col min="2333" max="2333" width="14.5703125" customWidth="1"/>
    <col min="2334" max="2334" width="14.5703125" bestFit="1" customWidth="1"/>
    <col min="2335" max="2335" width="14.5703125" customWidth="1"/>
    <col min="2336" max="2338" width="14.5703125" bestFit="1" customWidth="1"/>
    <col min="2339" max="2339" width="8" customWidth="1"/>
    <col min="2340" max="2340" width="17.7109375" bestFit="1" customWidth="1"/>
    <col min="2341" max="2341" width="8.42578125" customWidth="1"/>
    <col min="2342" max="2344" width="14.5703125" bestFit="1" customWidth="1"/>
    <col min="2345" max="2345" width="9.42578125" bestFit="1" customWidth="1"/>
    <col min="2346" max="2346" width="19.28515625" bestFit="1" customWidth="1"/>
    <col min="2347" max="2347" width="10" bestFit="1" customWidth="1"/>
    <col min="2348" max="2348" width="9.42578125" bestFit="1" customWidth="1"/>
    <col min="2349" max="2349" width="19.28515625" bestFit="1" customWidth="1"/>
    <col min="2350" max="2350" width="10" bestFit="1" customWidth="1"/>
    <col min="2351" max="2560" width="9.140625" customWidth="1"/>
    <col min="2561" max="2561" width="11.5703125" bestFit="1" customWidth="1"/>
    <col min="2562" max="2562" width="11" bestFit="1" customWidth="1"/>
    <col min="2563" max="2563" width="12" customWidth="1"/>
    <col min="2564" max="2564" width="15.42578125" customWidth="1"/>
    <col min="2565" max="2565" width="15.42578125" bestFit="1" customWidth="1"/>
    <col min="2566" max="2566" width="6" bestFit="1" customWidth="1"/>
    <col min="2567" max="2576" width="14.5703125" customWidth="1"/>
    <col min="2577" max="2583" width="14.5703125" bestFit="1" customWidth="1"/>
    <col min="2584" max="2585" width="14.5703125" customWidth="1"/>
    <col min="2586" max="2588" width="14.5703125" bestFit="1" customWidth="1"/>
    <col min="2589" max="2589" width="14.5703125" customWidth="1"/>
    <col min="2590" max="2590" width="14.5703125" bestFit="1" customWidth="1"/>
    <col min="2591" max="2591" width="14.5703125" customWidth="1"/>
    <col min="2592" max="2594" width="14.5703125" bestFit="1" customWidth="1"/>
    <col min="2595" max="2595" width="8" customWidth="1"/>
    <col min="2596" max="2596" width="17.7109375" bestFit="1" customWidth="1"/>
    <col min="2597" max="2597" width="8.42578125" customWidth="1"/>
    <col min="2598" max="2600" width="14.5703125" bestFit="1" customWidth="1"/>
    <col min="2601" max="2601" width="9.42578125" bestFit="1" customWidth="1"/>
    <col min="2602" max="2602" width="19.28515625" bestFit="1" customWidth="1"/>
    <col min="2603" max="2603" width="10" bestFit="1" customWidth="1"/>
    <col min="2604" max="2604" width="9.42578125" bestFit="1" customWidth="1"/>
    <col min="2605" max="2605" width="19.28515625" bestFit="1" customWidth="1"/>
    <col min="2606" max="2606" width="10" bestFit="1" customWidth="1"/>
    <col min="2607" max="2816" width="9.140625" customWidth="1"/>
    <col min="2817" max="2817" width="11.5703125" bestFit="1" customWidth="1"/>
    <col min="2818" max="2818" width="11" bestFit="1" customWidth="1"/>
    <col min="2819" max="2819" width="12" customWidth="1"/>
    <col min="2820" max="2820" width="15.42578125" customWidth="1"/>
    <col min="2821" max="2821" width="15.42578125" bestFit="1" customWidth="1"/>
    <col min="2822" max="2822" width="6" bestFit="1" customWidth="1"/>
    <col min="2823" max="2832" width="14.5703125" customWidth="1"/>
    <col min="2833" max="2839" width="14.5703125" bestFit="1" customWidth="1"/>
    <col min="2840" max="2841" width="14.5703125" customWidth="1"/>
    <col min="2842" max="2844" width="14.5703125" bestFit="1" customWidth="1"/>
    <col min="2845" max="2845" width="14.5703125" customWidth="1"/>
    <col min="2846" max="2846" width="14.5703125" bestFit="1" customWidth="1"/>
    <col min="2847" max="2847" width="14.5703125" customWidth="1"/>
    <col min="2848" max="2850" width="14.5703125" bestFit="1" customWidth="1"/>
    <col min="2851" max="2851" width="8" customWidth="1"/>
    <col min="2852" max="2852" width="17.7109375" bestFit="1" customWidth="1"/>
    <col min="2853" max="2853" width="8.42578125" customWidth="1"/>
    <col min="2854" max="2856" width="14.5703125" bestFit="1" customWidth="1"/>
    <col min="2857" max="2857" width="9.42578125" bestFit="1" customWidth="1"/>
    <col min="2858" max="2858" width="19.28515625" bestFit="1" customWidth="1"/>
    <col min="2859" max="2859" width="10" bestFit="1" customWidth="1"/>
    <col min="2860" max="2860" width="9.42578125" bestFit="1" customWidth="1"/>
    <col min="2861" max="2861" width="19.28515625" bestFit="1" customWidth="1"/>
    <col min="2862" max="2862" width="10" bestFit="1" customWidth="1"/>
    <col min="2863" max="3072" width="9.140625" customWidth="1"/>
    <col min="3073" max="3073" width="11.5703125" bestFit="1" customWidth="1"/>
    <col min="3074" max="3074" width="11" bestFit="1" customWidth="1"/>
    <col min="3075" max="3075" width="12" customWidth="1"/>
    <col min="3076" max="3076" width="15.42578125" customWidth="1"/>
    <col min="3077" max="3077" width="15.42578125" bestFit="1" customWidth="1"/>
    <col min="3078" max="3078" width="6" bestFit="1" customWidth="1"/>
    <col min="3079" max="3088" width="14.5703125" customWidth="1"/>
    <col min="3089" max="3095" width="14.5703125" bestFit="1" customWidth="1"/>
    <col min="3096" max="3097" width="14.5703125" customWidth="1"/>
    <col min="3098" max="3100" width="14.5703125" bestFit="1" customWidth="1"/>
    <col min="3101" max="3101" width="14.5703125" customWidth="1"/>
    <col min="3102" max="3102" width="14.5703125" bestFit="1" customWidth="1"/>
    <col min="3103" max="3103" width="14.5703125" customWidth="1"/>
    <col min="3104" max="3106" width="14.5703125" bestFit="1" customWidth="1"/>
    <col min="3107" max="3107" width="8" customWidth="1"/>
    <col min="3108" max="3108" width="17.7109375" bestFit="1" customWidth="1"/>
    <col min="3109" max="3109" width="8.42578125" customWidth="1"/>
    <col min="3110" max="3112" width="14.5703125" bestFit="1" customWidth="1"/>
    <col min="3113" max="3113" width="9.42578125" bestFit="1" customWidth="1"/>
    <col min="3114" max="3114" width="19.28515625" bestFit="1" customWidth="1"/>
    <col min="3115" max="3115" width="10" bestFit="1" customWidth="1"/>
    <col min="3116" max="3116" width="9.42578125" bestFit="1" customWidth="1"/>
    <col min="3117" max="3117" width="19.28515625" bestFit="1" customWidth="1"/>
    <col min="3118" max="3118" width="10" bestFit="1" customWidth="1"/>
    <col min="3119" max="3328" width="9.140625" customWidth="1"/>
    <col min="3329" max="3329" width="11.5703125" bestFit="1" customWidth="1"/>
    <col min="3330" max="3330" width="11" bestFit="1" customWidth="1"/>
    <col min="3331" max="3331" width="12" customWidth="1"/>
    <col min="3332" max="3332" width="15.42578125" customWidth="1"/>
    <col min="3333" max="3333" width="15.42578125" bestFit="1" customWidth="1"/>
    <col min="3334" max="3334" width="6" bestFit="1" customWidth="1"/>
    <col min="3335" max="3344" width="14.5703125" customWidth="1"/>
    <col min="3345" max="3351" width="14.5703125" bestFit="1" customWidth="1"/>
    <col min="3352" max="3353" width="14.5703125" customWidth="1"/>
    <col min="3354" max="3356" width="14.5703125" bestFit="1" customWidth="1"/>
    <col min="3357" max="3357" width="14.5703125" customWidth="1"/>
    <col min="3358" max="3358" width="14.5703125" bestFit="1" customWidth="1"/>
    <col min="3359" max="3359" width="14.5703125" customWidth="1"/>
    <col min="3360" max="3362" width="14.5703125" bestFit="1" customWidth="1"/>
    <col min="3363" max="3363" width="8" customWidth="1"/>
    <col min="3364" max="3364" width="17.7109375" bestFit="1" customWidth="1"/>
    <col min="3365" max="3365" width="8.42578125" customWidth="1"/>
    <col min="3366" max="3368" width="14.5703125" bestFit="1" customWidth="1"/>
    <col min="3369" max="3369" width="9.42578125" bestFit="1" customWidth="1"/>
    <col min="3370" max="3370" width="19.28515625" bestFit="1" customWidth="1"/>
    <col min="3371" max="3371" width="10" bestFit="1" customWidth="1"/>
    <col min="3372" max="3372" width="9.42578125" bestFit="1" customWidth="1"/>
    <col min="3373" max="3373" width="19.28515625" bestFit="1" customWidth="1"/>
    <col min="3374" max="3374" width="10" bestFit="1" customWidth="1"/>
    <col min="3375" max="3584" width="9.140625" customWidth="1"/>
    <col min="3585" max="3585" width="11.5703125" bestFit="1" customWidth="1"/>
    <col min="3586" max="3586" width="11" bestFit="1" customWidth="1"/>
    <col min="3587" max="3587" width="12" customWidth="1"/>
    <col min="3588" max="3588" width="15.42578125" customWidth="1"/>
    <col min="3589" max="3589" width="15.42578125" bestFit="1" customWidth="1"/>
    <col min="3590" max="3590" width="6" bestFit="1" customWidth="1"/>
    <col min="3591" max="3600" width="14.5703125" customWidth="1"/>
    <col min="3601" max="3607" width="14.5703125" bestFit="1" customWidth="1"/>
    <col min="3608" max="3609" width="14.5703125" customWidth="1"/>
    <col min="3610" max="3612" width="14.5703125" bestFit="1" customWidth="1"/>
    <col min="3613" max="3613" width="14.5703125" customWidth="1"/>
    <col min="3614" max="3614" width="14.5703125" bestFit="1" customWidth="1"/>
    <col min="3615" max="3615" width="14.5703125" customWidth="1"/>
    <col min="3616" max="3618" width="14.5703125" bestFit="1" customWidth="1"/>
    <col min="3619" max="3619" width="8" customWidth="1"/>
    <col min="3620" max="3620" width="17.7109375" bestFit="1" customWidth="1"/>
    <col min="3621" max="3621" width="8.42578125" customWidth="1"/>
    <col min="3622" max="3624" width="14.5703125" bestFit="1" customWidth="1"/>
    <col min="3625" max="3625" width="9.42578125" bestFit="1" customWidth="1"/>
    <col min="3626" max="3626" width="19.28515625" bestFit="1" customWidth="1"/>
    <col min="3627" max="3627" width="10" bestFit="1" customWidth="1"/>
    <col min="3628" max="3628" width="9.42578125" bestFit="1" customWidth="1"/>
    <col min="3629" max="3629" width="19.28515625" bestFit="1" customWidth="1"/>
    <col min="3630" max="3630" width="10" bestFit="1" customWidth="1"/>
    <col min="3631" max="3840" width="9.140625" customWidth="1"/>
    <col min="3841" max="3841" width="11.5703125" bestFit="1" customWidth="1"/>
    <col min="3842" max="3842" width="11" bestFit="1" customWidth="1"/>
    <col min="3843" max="3843" width="12" customWidth="1"/>
    <col min="3844" max="3844" width="15.42578125" customWidth="1"/>
    <col min="3845" max="3845" width="15.42578125" bestFit="1" customWidth="1"/>
    <col min="3846" max="3846" width="6" bestFit="1" customWidth="1"/>
    <col min="3847" max="3856" width="14.5703125" customWidth="1"/>
    <col min="3857" max="3863" width="14.5703125" bestFit="1" customWidth="1"/>
    <col min="3864" max="3865" width="14.5703125" customWidth="1"/>
    <col min="3866" max="3868" width="14.5703125" bestFit="1" customWidth="1"/>
    <col min="3869" max="3869" width="14.5703125" customWidth="1"/>
    <col min="3870" max="3870" width="14.5703125" bestFit="1" customWidth="1"/>
    <col min="3871" max="3871" width="14.5703125" customWidth="1"/>
    <col min="3872" max="3874" width="14.5703125" bestFit="1" customWidth="1"/>
    <col min="3875" max="3875" width="8" customWidth="1"/>
    <col min="3876" max="3876" width="17.7109375" bestFit="1" customWidth="1"/>
    <col min="3877" max="3877" width="8.42578125" customWidth="1"/>
    <col min="3878" max="3880" width="14.5703125" bestFit="1" customWidth="1"/>
    <col min="3881" max="3881" width="9.42578125" bestFit="1" customWidth="1"/>
    <col min="3882" max="3882" width="19.28515625" bestFit="1" customWidth="1"/>
    <col min="3883" max="3883" width="10" bestFit="1" customWidth="1"/>
    <col min="3884" max="3884" width="9.42578125" bestFit="1" customWidth="1"/>
    <col min="3885" max="3885" width="19.28515625" bestFit="1" customWidth="1"/>
    <col min="3886" max="3886" width="10" bestFit="1" customWidth="1"/>
    <col min="3887" max="4096" width="9.140625" customWidth="1"/>
    <col min="4097" max="4097" width="11.5703125" bestFit="1" customWidth="1"/>
    <col min="4098" max="4098" width="11" bestFit="1" customWidth="1"/>
    <col min="4099" max="4099" width="12" customWidth="1"/>
    <col min="4100" max="4100" width="15.42578125" customWidth="1"/>
    <col min="4101" max="4101" width="15.42578125" bestFit="1" customWidth="1"/>
    <col min="4102" max="4102" width="6" bestFit="1" customWidth="1"/>
    <col min="4103" max="4112" width="14.5703125" customWidth="1"/>
    <col min="4113" max="4119" width="14.5703125" bestFit="1" customWidth="1"/>
    <col min="4120" max="4121" width="14.5703125" customWidth="1"/>
    <col min="4122" max="4124" width="14.5703125" bestFit="1" customWidth="1"/>
    <col min="4125" max="4125" width="14.5703125" customWidth="1"/>
    <col min="4126" max="4126" width="14.5703125" bestFit="1" customWidth="1"/>
    <col min="4127" max="4127" width="14.5703125" customWidth="1"/>
    <col min="4128" max="4130" width="14.5703125" bestFit="1" customWidth="1"/>
    <col min="4131" max="4131" width="8" customWidth="1"/>
    <col min="4132" max="4132" width="17.7109375" bestFit="1" customWidth="1"/>
    <col min="4133" max="4133" width="8.42578125" customWidth="1"/>
    <col min="4134" max="4136" width="14.5703125" bestFit="1" customWidth="1"/>
    <col min="4137" max="4137" width="9.42578125" bestFit="1" customWidth="1"/>
    <col min="4138" max="4138" width="19.28515625" bestFit="1" customWidth="1"/>
    <col min="4139" max="4139" width="10" bestFit="1" customWidth="1"/>
    <col min="4140" max="4140" width="9.42578125" bestFit="1" customWidth="1"/>
    <col min="4141" max="4141" width="19.28515625" bestFit="1" customWidth="1"/>
    <col min="4142" max="4142" width="10" bestFit="1" customWidth="1"/>
    <col min="4143" max="4352" width="9.140625" customWidth="1"/>
    <col min="4353" max="4353" width="11.5703125" bestFit="1" customWidth="1"/>
    <col min="4354" max="4354" width="11" bestFit="1" customWidth="1"/>
    <col min="4355" max="4355" width="12" customWidth="1"/>
    <col min="4356" max="4356" width="15.42578125" customWidth="1"/>
    <col min="4357" max="4357" width="15.42578125" bestFit="1" customWidth="1"/>
    <col min="4358" max="4358" width="6" bestFit="1" customWidth="1"/>
    <col min="4359" max="4368" width="14.5703125" customWidth="1"/>
    <col min="4369" max="4375" width="14.5703125" bestFit="1" customWidth="1"/>
    <col min="4376" max="4377" width="14.5703125" customWidth="1"/>
    <col min="4378" max="4380" width="14.5703125" bestFit="1" customWidth="1"/>
    <col min="4381" max="4381" width="14.5703125" customWidth="1"/>
    <col min="4382" max="4382" width="14.5703125" bestFit="1" customWidth="1"/>
    <col min="4383" max="4383" width="14.5703125" customWidth="1"/>
    <col min="4384" max="4386" width="14.5703125" bestFit="1" customWidth="1"/>
    <col min="4387" max="4387" width="8" customWidth="1"/>
    <col min="4388" max="4388" width="17.7109375" bestFit="1" customWidth="1"/>
    <col min="4389" max="4389" width="8.42578125" customWidth="1"/>
    <col min="4390" max="4392" width="14.5703125" bestFit="1" customWidth="1"/>
    <col min="4393" max="4393" width="9.42578125" bestFit="1" customWidth="1"/>
    <col min="4394" max="4394" width="19.28515625" bestFit="1" customWidth="1"/>
    <col min="4395" max="4395" width="10" bestFit="1" customWidth="1"/>
    <col min="4396" max="4396" width="9.42578125" bestFit="1" customWidth="1"/>
    <col min="4397" max="4397" width="19.28515625" bestFit="1" customWidth="1"/>
    <col min="4398" max="4398" width="10" bestFit="1" customWidth="1"/>
    <col min="4399" max="4608" width="9.140625" customWidth="1"/>
    <col min="4609" max="4609" width="11.5703125" bestFit="1" customWidth="1"/>
    <col min="4610" max="4610" width="11" bestFit="1" customWidth="1"/>
    <col min="4611" max="4611" width="12" customWidth="1"/>
    <col min="4612" max="4612" width="15.42578125" customWidth="1"/>
    <col min="4613" max="4613" width="15.42578125" bestFit="1" customWidth="1"/>
    <col min="4614" max="4614" width="6" bestFit="1" customWidth="1"/>
    <col min="4615" max="4624" width="14.5703125" customWidth="1"/>
    <col min="4625" max="4631" width="14.5703125" bestFit="1" customWidth="1"/>
    <col min="4632" max="4633" width="14.5703125" customWidth="1"/>
    <col min="4634" max="4636" width="14.5703125" bestFit="1" customWidth="1"/>
    <col min="4637" max="4637" width="14.5703125" customWidth="1"/>
    <col min="4638" max="4638" width="14.5703125" bestFit="1" customWidth="1"/>
    <col min="4639" max="4639" width="14.5703125" customWidth="1"/>
    <col min="4640" max="4642" width="14.5703125" bestFit="1" customWidth="1"/>
    <col min="4643" max="4643" width="8" customWidth="1"/>
    <col min="4644" max="4644" width="17.7109375" bestFit="1" customWidth="1"/>
    <col min="4645" max="4645" width="8.42578125" customWidth="1"/>
    <col min="4646" max="4648" width="14.5703125" bestFit="1" customWidth="1"/>
    <col min="4649" max="4649" width="9.42578125" bestFit="1" customWidth="1"/>
    <col min="4650" max="4650" width="19.28515625" bestFit="1" customWidth="1"/>
    <col min="4651" max="4651" width="10" bestFit="1" customWidth="1"/>
    <col min="4652" max="4652" width="9.42578125" bestFit="1" customWidth="1"/>
    <col min="4653" max="4653" width="19.28515625" bestFit="1" customWidth="1"/>
    <col min="4654" max="4654" width="10" bestFit="1" customWidth="1"/>
    <col min="4655" max="4864" width="9.140625" customWidth="1"/>
    <col min="4865" max="4865" width="11.5703125" bestFit="1" customWidth="1"/>
    <col min="4866" max="4866" width="11" bestFit="1" customWidth="1"/>
    <col min="4867" max="4867" width="12" customWidth="1"/>
    <col min="4868" max="4868" width="15.42578125" customWidth="1"/>
    <col min="4869" max="4869" width="15.42578125" bestFit="1" customWidth="1"/>
    <col min="4870" max="4870" width="6" bestFit="1" customWidth="1"/>
    <col min="4871" max="4880" width="14.5703125" customWidth="1"/>
    <col min="4881" max="4887" width="14.5703125" bestFit="1" customWidth="1"/>
    <col min="4888" max="4889" width="14.5703125" customWidth="1"/>
    <col min="4890" max="4892" width="14.5703125" bestFit="1" customWidth="1"/>
    <col min="4893" max="4893" width="14.5703125" customWidth="1"/>
    <col min="4894" max="4894" width="14.5703125" bestFit="1" customWidth="1"/>
    <col min="4895" max="4895" width="14.5703125" customWidth="1"/>
    <col min="4896" max="4898" width="14.5703125" bestFit="1" customWidth="1"/>
    <col min="4899" max="4899" width="8" customWidth="1"/>
    <col min="4900" max="4900" width="17.7109375" bestFit="1" customWidth="1"/>
    <col min="4901" max="4901" width="8.42578125" customWidth="1"/>
    <col min="4902" max="4904" width="14.5703125" bestFit="1" customWidth="1"/>
    <col min="4905" max="4905" width="9.42578125" bestFit="1" customWidth="1"/>
    <col min="4906" max="4906" width="19.28515625" bestFit="1" customWidth="1"/>
    <col min="4907" max="4907" width="10" bestFit="1" customWidth="1"/>
    <col min="4908" max="4908" width="9.42578125" bestFit="1" customWidth="1"/>
    <col min="4909" max="4909" width="19.28515625" bestFit="1" customWidth="1"/>
    <col min="4910" max="4910" width="10" bestFit="1" customWidth="1"/>
    <col min="4911" max="5120" width="9.140625" customWidth="1"/>
    <col min="5121" max="5121" width="11.5703125" bestFit="1" customWidth="1"/>
    <col min="5122" max="5122" width="11" bestFit="1" customWidth="1"/>
    <col min="5123" max="5123" width="12" customWidth="1"/>
    <col min="5124" max="5124" width="15.42578125" customWidth="1"/>
    <col min="5125" max="5125" width="15.42578125" bestFit="1" customWidth="1"/>
    <col min="5126" max="5126" width="6" bestFit="1" customWidth="1"/>
    <col min="5127" max="5136" width="14.5703125" customWidth="1"/>
    <col min="5137" max="5143" width="14.5703125" bestFit="1" customWidth="1"/>
    <col min="5144" max="5145" width="14.5703125" customWidth="1"/>
    <col min="5146" max="5148" width="14.5703125" bestFit="1" customWidth="1"/>
    <col min="5149" max="5149" width="14.5703125" customWidth="1"/>
    <col min="5150" max="5150" width="14.5703125" bestFit="1" customWidth="1"/>
    <col min="5151" max="5151" width="14.5703125" customWidth="1"/>
    <col min="5152" max="5154" width="14.5703125" bestFit="1" customWidth="1"/>
    <col min="5155" max="5155" width="8" customWidth="1"/>
    <col min="5156" max="5156" width="17.7109375" bestFit="1" customWidth="1"/>
    <col min="5157" max="5157" width="8.42578125" customWidth="1"/>
    <col min="5158" max="5160" width="14.5703125" bestFit="1" customWidth="1"/>
    <col min="5161" max="5161" width="9.42578125" bestFit="1" customWidth="1"/>
    <col min="5162" max="5162" width="19.28515625" bestFit="1" customWidth="1"/>
    <col min="5163" max="5163" width="10" bestFit="1" customWidth="1"/>
    <col min="5164" max="5164" width="9.42578125" bestFit="1" customWidth="1"/>
    <col min="5165" max="5165" width="19.28515625" bestFit="1" customWidth="1"/>
    <col min="5166" max="5166" width="10" bestFit="1" customWidth="1"/>
    <col min="5167" max="5376" width="9.140625" customWidth="1"/>
    <col min="5377" max="5377" width="11.5703125" bestFit="1" customWidth="1"/>
    <col min="5378" max="5378" width="11" bestFit="1" customWidth="1"/>
    <col min="5379" max="5379" width="12" customWidth="1"/>
    <col min="5380" max="5380" width="15.42578125" customWidth="1"/>
    <col min="5381" max="5381" width="15.42578125" bestFit="1" customWidth="1"/>
    <col min="5382" max="5382" width="6" bestFit="1" customWidth="1"/>
    <col min="5383" max="5392" width="14.5703125" customWidth="1"/>
    <col min="5393" max="5399" width="14.5703125" bestFit="1" customWidth="1"/>
    <col min="5400" max="5401" width="14.5703125" customWidth="1"/>
    <col min="5402" max="5404" width="14.5703125" bestFit="1" customWidth="1"/>
    <col min="5405" max="5405" width="14.5703125" customWidth="1"/>
    <col min="5406" max="5406" width="14.5703125" bestFit="1" customWidth="1"/>
    <col min="5407" max="5407" width="14.5703125" customWidth="1"/>
    <col min="5408" max="5410" width="14.5703125" bestFit="1" customWidth="1"/>
    <col min="5411" max="5411" width="8" customWidth="1"/>
    <col min="5412" max="5412" width="17.7109375" bestFit="1" customWidth="1"/>
    <col min="5413" max="5413" width="8.42578125" customWidth="1"/>
    <col min="5414" max="5416" width="14.5703125" bestFit="1" customWidth="1"/>
    <col min="5417" max="5417" width="9.42578125" bestFit="1" customWidth="1"/>
    <col min="5418" max="5418" width="19.28515625" bestFit="1" customWidth="1"/>
    <col min="5419" max="5419" width="10" bestFit="1" customWidth="1"/>
    <col min="5420" max="5420" width="9.42578125" bestFit="1" customWidth="1"/>
    <col min="5421" max="5421" width="19.28515625" bestFit="1" customWidth="1"/>
    <col min="5422" max="5422" width="10" bestFit="1" customWidth="1"/>
    <col min="5423" max="5632" width="9.140625" customWidth="1"/>
    <col min="5633" max="5633" width="11.5703125" bestFit="1" customWidth="1"/>
    <col min="5634" max="5634" width="11" bestFit="1" customWidth="1"/>
    <col min="5635" max="5635" width="12" customWidth="1"/>
    <col min="5636" max="5636" width="15.42578125" customWidth="1"/>
    <col min="5637" max="5637" width="15.42578125" bestFit="1" customWidth="1"/>
    <col min="5638" max="5638" width="6" bestFit="1" customWidth="1"/>
    <col min="5639" max="5648" width="14.5703125" customWidth="1"/>
    <col min="5649" max="5655" width="14.5703125" bestFit="1" customWidth="1"/>
    <col min="5656" max="5657" width="14.5703125" customWidth="1"/>
    <col min="5658" max="5660" width="14.5703125" bestFit="1" customWidth="1"/>
    <col min="5661" max="5661" width="14.5703125" customWidth="1"/>
    <col min="5662" max="5662" width="14.5703125" bestFit="1" customWidth="1"/>
    <col min="5663" max="5663" width="14.5703125" customWidth="1"/>
    <col min="5664" max="5666" width="14.5703125" bestFit="1" customWidth="1"/>
    <col min="5667" max="5667" width="8" customWidth="1"/>
    <col min="5668" max="5668" width="17.7109375" bestFit="1" customWidth="1"/>
    <col min="5669" max="5669" width="8.42578125" customWidth="1"/>
    <col min="5670" max="5672" width="14.5703125" bestFit="1" customWidth="1"/>
    <col min="5673" max="5673" width="9.42578125" bestFit="1" customWidth="1"/>
    <col min="5674" max="5674" width="19.28515625" bestFit="1" customWidth="1"/>
    <col min="5675" max="5675" width="10" bestFit="1" customWidth="1"/>
    <col min="5676" max="5676" width="9.42578125" bestFit="1" customWidth="1"/>
    <col min="5677" max="5677" width="19.28515625" bestFit="1" customWidth="1"/>
    <col min="5678" max="5678" width="10" bestFit="1" customWidth="1"/>
    <col min="5679" max="5888" width="9.140625" customWidth="1"/>
    <col min="5889" max="5889" width="11.5703125" bestFit="1" customWidth="1"/>
    <col min="5890" max="5890" width="11" bestFit="1" customWidth="1"/>
    <col min="5891" max="5891" width="12" customWidth="1"/>
    <col min="5892" max="5892" width="15.42578125" customWidth="1"/>
    <col min="5893" max="5893" width="15.42578125" bestFit="1" customWidth="1"/>
    <col min="5894" max="5894" width="6" bestFit="1" customWidth="1"/>
    <col min="5895" max="5904" width="14.5703125" customWidth="1"/>
    <col min="5905" max="5911" width="14.5703125" bestFit="1" customWidth="1"/>
    <col min="5912" max="5913" width="14.5703125" customWidth="1"/>
    <col min="5914" max="5916" width="14.5703125" bestFit="1" customWidth="1"/>
    <col min="5917" max="5917" width="14.5703125" customWidth="1"/>
    <col min="5918" max="5918" width="14.5703125" bestFit="1" customWidth="1"/>
    <col min="5919" max="5919" width="14.5703125" customWidth="1"/>
    <col min="5920" max="5922" width="14.5703125" bestFit="1" customWidth="1"/>
    <col min="5923" max="5923" width="8" customWidth="1"/>
    <col min="5924" max="5924" width="17.7109375" bestFit="1" customWidth="1"/>
    <col min="5925" max="5925" width="8.42578125" customWidth="1"/>
    <col min="5926" max="5928" width="14.5703125" bestFit="1" customWidth="1"/>
    <col min="5929" max="5929" width="9.42578125" bestFit="1" customWidth="1"/>
    <col min="5930" max="5930" width="19.28515625" bestFit="1" customWidth="1"/>
    <col min="5931" max="5931" width="10" bestFit="1" customWidth="1"/>
    <col min="5932" max="5932" width="9.42578125" bestFit="1" customWidth="1"/>
    <col min="5933" max="5933" width="19.28515625" bestFit="1" customWidth="1"/>
    <col min="5934" max="5934" width="10" bestFit="1" customWidth="1"/>
    <col min="5935" max="6144" width="9.140625" customWidth="1"/>
    <col min="6145" max="6145" width="11.5703125" bestFit="1" customWidth="1"/>
    <col min="6146" max="6146" width="11" bestFit="1" customWidth="1"/>
    <col min="6147" max="6147" width="12" customWidth="1"/>
    <col min="6148" max="6148" width="15.42578125" customWidth="1"/>
    <col min="6149" max="6149" width="15.42578125" bestFit="1" customWidth="1"/>
    <col min="6150" max="6150" width="6" bestFit="1" customWidth="1"/>
    <col min="6151" max="6160" width="14.5703125" customWidth="1"/>
    <col min="6161" max="6167" width="14.5703125" bestFit="1" customWidth="1"/>
    <col min="6168" max="6169" width="14.5703125" customWidth="1"/>
    <col min="6170" max="6172" width="14.5703125" bestFit="1" customWidth="1"/>
    <col min="6173" max="6173" width="14.5703125" customWidth="1"/>
    <col min="6174" max="6174" width="14.5703125" bestFit="1" customWidth="1"/>
    <col min="6175" max="6175" width="14.5703125" customWidth="1"/>
    <col min="6176" max="6178" width="14.5703125" bestFit="1" customWidth="1"/>
    <col min="6179" max="6179" width="8" customWidth="1"/>
    <col min="6180" max="6180" width="17.7109375" bestFit="1" customWidth="1"/>
    <col min="6181" max="6181" width="8.42578125" customWidth="1"/>
    <col min="6182" max="6184" width="14.5703125" bestFit="1" customWidth="1"/>
    <col min="6185" max="6185" width="9.42578125" bestFit="1" customWidth="1"/>
    <col min="6186" max="6186" width="19.28515625" bestFit="1" customWidth="1"/>
    <col min="6187" max="6187" width="10" bestFit="1" customWidth="1"/>
    <col min="6188" max="6188" width="9.42578125" bestFit="1" customWidth="1"/>
    <col min="6189" max="6189" width="19.28515625" bestFit="1" customWidth="1"/>
    <col min="6190" max="6190" width="10" bestFit="1" customWidth="1"/>
    <col min="6191" max="6400" width="9.140625" customWidth="1"/>
    <col min="6401" max="6401" width="11.5703125" bestFit="1" customWidth="1"/>
    <col min="6402" max="6402" width="11" bestFit="1" customWidth="1"/>
    <col min="6403" max="6403" width="12" customWidth="1"/>
    <col min="6404" max="6404" width="15.42578125" customWidth="1"/>
    <col min="6405" max="6405" width="15.42578125" bestFit="1" customWidth="1"/>
    <col min="6406" max="6406" width="6" bestFit="1" customWidth="1"/>
    <col min="6407" max="6416" width="14.5703125" customWidth="1"/>
    <col min="6417" max="6423" width="14.5703125" bestFit="1" customWidth="1"/>
    <col min="6424" max="6425" width="14.5703125" customWidth="1"/>
    <col min="6426" max="6428" width="14.5703125" bestFit="1" customWidth="1"/>
    <col min="6429" max="6429" width="14.5703125" customWidth="1"/>
    <col min="6430" max="6430" width="14.5703125" bestFit="1" customWidth="1"/>
    <col min="6431" max="6431" width="14.5703125" customWidth="1"/>
    <col min="6432" max="6434" width="14.5703125" bestFit="1" customWidth="1"/>
    <col min="6435" max="6435" width="8" customWidth="1"/>
    <col min="6436" max="6436" width="17.7109375" bestFit="1" customWidth="1"/>
    <col min="6437" max="6437" width="8.42578125" customWidth="1"/>
    <col min="6438" max="6440" width="14.5703125" bestFit="1" customWidth="1"/>
    <col min="6441" max="6441" width="9.42578125" bestFit="1" customWidth="1"/>
    <col min="6442" max="6442" width="19.28515625" bestFit="1" customWidth="1"/>
    <col min="6443" max="6443" width="10" bestFit="1" customWidth="1"/>
    <col min="6444" max="6444" width="9.42578125" bestFit="1" customWidth="1"/>
    <col min="6445" max="6445" width="19.28515625" bestFit="1" customWidth="1"/>
    <col min="6446" max="6446" width="10" bestFit="1" customWidth="1"/>
    <col min="6447" max="6656" width="9.140625" customWidth="1"/>
    <col min="6657" max="6657" width="11.5703125" bestFit="1" customWidth="1"/>
    <col min="6658" max="6658" width="11" bestFit="1" customWidth="1"/>
    <col min="6659" max="6659" width="12" customWidth="1"/>
    <col min="6660" max="6660" width="15.42578125" customWidth="1"/>
    <col min="6661" max="6661" width="15.42578125" bestFit="1" customWidth="1"/>
    <col min="6662" max="6662" width="6" bestFit="1" customWidth="1"/>
    <col min="6663" max="6672" width="14.5703125" customWidth="1"/>
    <col min="6673" max="6679" width="14.5703125" bestFit="1" customWidth="1"/>
    <col min="6680" max="6681" width="14.5703125" customWidth="1"/>
    <col min="6682" max="6684" width="14.5703125" bestFit="1" customWidth="1"/>
    <col min="6685" max="6685" width="14.5703125" customWidth="1"/>
    <col min="6686" max="6686" width="14.5703125" bestFit="1" customWidth="1"/>
    <col min="6687" max="6687" width="14.5703125" customWidth="1"/>
    <col min="6688" max="6690" width="14.5703125" bestFit="1" customWidth="1"/>
    <col min="6691" max="6691" width="8" customWidth="1"/>
    <col min="6692" max="6692" width="17.7109375" bestFit="1" customWidth="1"/>
    <col min="6693" max="6693" width="8.42578125" customWidth="1"/>
    <col min="6694" max="6696" width="14.5703125" bestFit="1" customWidth="1"/>
    <col min="6697" max="6697" width="9.42578125" bestFit="1" customWidth="1"/>
    <col min="6698" max="6698" width="19.28515625" bestFit="1" customWidth="1"/>
    <col min="6699" max="6699" width="10" bestFit="1" customWidth="1"/>
    <col min="6700" max="6700" width="9.42578125" bestFit="1" customWidth="1"/>
    <col min="6701" max="6701" width="19.28515625" bestFit="1" customWidth="1"/>
    <col min="6702" max="6702" width="10" bestFit="1" customWidth="1"/>
    <col min="6703" max="6912" width="9.140625" customWidth="1"/>
    <col min="6913" max="6913" width="11.5703125" bestFit="1" customWidth="1"/>
    <col min="6914" max="6914" width="11" bestFit="1" customWidth="1"/>
    <col min="6915" max="6915" width="12" customWidth="1"/>
    <col min="6916" max="6916" width="15.42578125" customWidth="1"/>
    <col min="6917" max="6917" width="15.42578125" bestFit="1" customWidth="1"/>
    <col min="6918" max="6918" width="6" bestFit="1" customWidth="1"/>
    <col min="6919" max="6928" width="14.5703125" customWidth="1"/>
    <col min="6929" max="6935" width="14.5703125" bestFit="1" customWidth="1"/>
    <col min="6936" max="6937" width="14.5703125" customWidth="1"/>
    <col min="6938" max="6940" width="14.5703125" bestFit="1" customWidth="1"/>
    <col min="6941" max="6941" width="14.5703125" customWidth="1"/>
    <col min="6942" max="6942" width="14.5703125" bestFit="1" customWidth="1"/>
    <col min="6943" max="6943" width="14.5703125" customWidth="1"/>
    <col min="6944" max="6946" width="14.5703125" bestFit="1" customWidth="1"/>
    <col min="6947" max="6947" width="8" customWidth="1"/>
    <col min="6948" max="6948" width="17.7109375" bestFit="1" customWidth="1"/>
    <col min="6949" max="6949" width="8.42578125" customWidth="1"/>
    <col min="6950" max="6952" width="14.5703125" bestFit="1" customWidth="1"/>
    <col min="6953" max="6953" width="9.42578125" bestFit="1" customWidth="1"/>
    <col min="6954" max="6954" width="19.28515625" bestFit="1" customWidth="1"/>
    <col min="6955" max="6955" width="10" bestFit="1" customWidth="1"/>
    <col min="6956" max="6956" width="9.42578125" bestFit="1" customWidth="1"/>
    <col min="6957" max="6957" width="19.28515625" bestFit="1" customWidth="1"/>
    <col min="6958" max="6958" width="10" bestFit="1" customWidth="1"/>
    <col min="6959" max="7168" width="9.140625" customWidth="1"/>
    <col min="7169" max="7169" width="11.5703125" bestFit="1" customWidth="1"/>
    <col min="7170" max="7170" width="11" bestFit="1" customWidth="1"/>
    <col min="7171" max="7171" width="12" customWidth="1"/>
    <col min="7172" max="7172" width="15.42578125" customWidth="1"/>
    <col min="7173" max="7173" width="15.42578125" bestFit="1" customWidth="1"/>
    <col min="7174" max="7174" width="6" bestFit="1" customWidth="1"/>
    <col min="7175" max="7184" width="14.5703125" customWidth="1"/>
    <col min="7185" max="7191" width="14.5703125" bestFit="1" customWidth="1"/>
    <col min="7192" max="7193" width="14.5703125" customWidth="1"/>
    <col min="7194" max="7196" width="14.5703125" bestFit="1" customWidth="1"/>
    <col min="7197" max="7197" width="14.5703125" customWidth="1"/>
    <col min="7198" max="7198" width="14.5703125" bestFit="1" customWidth="1"/>
    <col min="7199" max="7199" width="14.5703125" customWidth="1"/>
    <col min="7200" max="7202" width="14.5703125" bestFit="1" customWidth="1"/>
    <col min="7203" max="7203" width="8" customWidth="1"/>
    <col min="7204" max="7204" width="17.7109375" bestFit="1" customWidth="1"/>
    <col min="7205" max="7205" width="8.42578125" customWidth="1"/>
    <col min="7206" max="7208" width="14.5703125" bestFit="1" customWidth="1"/>
    <col min="7209" max="7209" width="9.42578125" bestFit="1" customWidth="1"/>
    <col min="7210" max="7210" width="19.28515625" bestFit="1" customWidth="1"/>
    <col min="7211" max="7211" width="10" bestFit="1" customWidth="1"/>
    <col min="7212" max="7212" width="9.42578125" bestFit="1" customWidth="1"/>
    <col min="7213" max="7213" width="19.28515625" bestFit="1" customWidth="1"/>
    <col min="7214" max="7214" width="10" bestFit="1" customWidth="1"/>
    <col min="7215" max="7424" width="9.140625" customWidth="1"/>
    <col min="7425" max="7425" width="11.5703125" bestFit="1" customWidth="1"/>
    <col min="7426" max="7426" width="11" bestFit="1" customWidth="1"/>
    <col min="7427" max="7427" width="12" customWidth="1"/>
    <col min="7428" max="7428" width="15.42578125" customWidth="1"/>
    <col min="7429" max="7429" width="15.42578125" bestFit="1" customWidth="1"/>
    <col min="7430" max="7430" width="6" bestFit="1" customWidth="1"/>
    <col min="7431" max="7440" width="14.5703125" customWidth="1"/>
    <col min="7441" max="7447" width="14.5703125" bestFit="1" customWidth="1"/>
    <col min="7448" max="7449" width="14.5703125" customWidth="1"/>
    <col min="7450" max="7452" width="14.5703125" bestFit="1" customWidth="1"/>
    <col min="7453" max="7453" width="14.5703125" customWidth="1"/>
    <col min="7454" max="7454" width="14.5703125" bestFit="1" customWidth="1"/>
    <col min="7455" max="7455" width="14.5703125" customWidth="1"/>
    <col min="7456" max="7458" width="14.5703125" bestFit="1" customWidth="1"/>
    <col min="7459" max="7459" width="8" customWidth="1"/>
    <col min="7460" max="7460" width="17.7109375" bestFit="1" customWidth="1"/>
    <col min="7461" max="7461" width="8.42578125" customWidth="1"/>
    <col min="7462" max="7464" width="14.5703125" bestFit="1" customWidth="1"/>
    <col min="7465" max="7465" width="9.42578125" bestFit="1" customWidth="1"/>
    <col min="7466" max="7466" width="19.28515625" bestFit="1" customWidth="1"/>
    <col min="7467" max="7467" width="10" bestFit="1" customWidth="1"/>
    <col min="7468" max="7468" width="9.42578125" bestFit="1" customWidth="1"/>
    <col min="7469" max="7469" width="19.28515625" bestFit="1" customWidth="1"/>
    <col min="7470" max="7470" width="10" bestFit="1" customWidth="1"/>
    <col min="7471" max="7680" width="9.140625" customWidth="1"/>
    <col min="7681" max="7681" width="11.5703125" bestFit="1" customWidth="1"/>
    <col min="7682" max="7682" width="11" bestFit="1" customWidth="1"/>
    <col min="7683" max="7683" width="12" customWidth="1"/>
    <col min="7684" max="7684" width="15.42578125" customWidth="1"/>
    <col min="7685" max="7685" width="15.42578125" bestFit="1" customWidth="1"/>
    <col min="7686" max="7686" width="6" bestFit="1" customWidth="1"/>
    <col min="7687" max="7696" width="14.5703125" customWidth="1"/>
    <col min="7697" max="7703" width="14.5703125" bestFit="1" customWidth="1"/>
    <col min="7704" max="7705" width="14.5703125" customWidth="1"/>
    <col min="7706" max="7708" width="14.5703125" bestFit="1" customWidth="1"/>
    <col min="7709" max="7709" width="14.5703125" customWidth="1"/>
    <col min="7710" max="7710" width="14.5703125" bestFit="1" customWidth="1"/>
    <col min="7711" max="7711" width="14.5703125" customWidth="1"/>
    <col min="7712" max="7714" width="14.5703125" bestFit="1" customWidth="1"/>
    <col min="7715" max="7715" width="8" customWidth="1"/>
    <col min="7716" max="7716" width="17.7109375" bestFit="1" customWidth="1"/>
    <col min="7717" max="7717" width="8.42578125" customWidth="1"/>
    <col min="7718" max="7720" width="14.5703125" bestFit="1" customWidth="1"/>
    <col min="7721" max="7721" width="9.42578125" bestFit="1" customWidth="1"/>
    <col min="7722" max="7722" width="19.28515625" bestFit="1" customWidth="1"/>
    <col min="7723" max="7723" width="10" bestFit="1" customWidth="1"/>
    <col min="7724" max="7724" width="9.42578125" bestFit="1" customWidth="1"/>
    <col min="7725" max="7725" width="19.28515625" bestFit="1" customWidth="1"/>
    <col min="7726" max="7726" width="10" bestFit="1" customWidth="1"/>
    <col min="7727" max="7936" width="9.140625" customWidth="1"/>
    <col min="7937" max="7937" width="11.5703125" bestFit="1" customWidth="1"/>
    <col min="7938" max="7938" width="11" bestFit="1" customWidth="1"/>
    <col min="7939" max="7939" width="12" customWidth="1"/>
    <col min="7940" max="7940" width="15.42578125" customWidth="1"/>
    <col min="7941" max="7941" width="15.42578125" bestFit="1" customWidth="1"/>
    <col min="7942" max="7942" width="6" bestFit="1" customWidth="1"/>
    <col min="7943" max="7952" width="14.5703125" customWidth="1"/>
    <col min="7953" max="7959" width="14.5703125" bestFit="1" customWidth="1"/>
    <col min="7960" max="7961" width="14.5703125" customWidth="1"/>
    <col min="7962" max="7964" width="14.5703125" bestFit="1" customWidth="1"/>
    <col min="7965" max="7965" width="14.5703125" customWidth="1"/>
    <col min="7966" max="7966" width="14.5703125" bestFit="1" customWidth="1"/>
    <col min="7967" max="7967" width="14.5703125" customWidth="1"/>
    <col min="7968" max="7970" width="14.5703125" bestFit="1" customWidth="1"/>
    <col min="7971" max="7971" width="8" customWidth="1"/>
    <col min="7972" max="7972" width="17.7109375" bestFit="1" customWidth="1"/>
    <col min="7973" max="7973" width="8.42578125" customWidth="1"/>
    <col min="7974" max="7976" width="14.5703125" bestFit="1" customWidth="1"/>
    <col min="7977" max="7977" width="9.42578125" bestFit="1" customWidth="1"/>
    <col min="7978" max="7978" width="19.28515625" bestFit="1" customWidth="1"/>
    <col min="7979" max="7979" width="10" bestFit="1" customWidth="1"/>
    <col min="7980" max="7980" width="9.42578125" bestFit="1" customWidth="1"/>
    <col min="7981" max="7981" width="19.28515625" bestFit="1" customWidth="1"/>
    <col min="7982" max="7982" width="10" bestFit="1" customWidth="1"/>
    <col min="7983" max="8192" width="9.140625" customWidth="1"/>
    <col min="8193" max="8193" width="11.5703125" bestFit="1" customWidth="1"/>
    <col min="8194" max="8194" width="11" bestFit="1" customWidth="1"/>
    <col min="8195" max="8195" width="12" customWidth="1"/>
    <col min="8196" max="8196" width="15.42578125" customWidth="1"/>
    <col min="8197" max="8197" width="15.42578125" bestFit="1" customWidth="1"/>
    <col min="8198" max="8198" width="6" bestFit="1" customWidth="1"/>
    <col min="8199" max="8208" width="14.5703125" customWidth="1"/>
    <col min="8209" max="8215" width="14.5703125" bestFit="1" customWidth="1"/>
    <col min="8216" max="8217" width="14.5703125" customWidth="1"/>
    <col min="8218" max="8220" width="14.5703125" bestFit="1" customWidth="1"/>
    <col min="8221" max="8221" width="14.5703125" customWidth="1"/>
    <col min="8222" max="8222" width="14.5703125" bestFit="1" customWidth="1"/>
    <col min="8223" max="8223" width="14.5703125" customWidth="1"/>
    <col min="8224" max="8226" width="14.5703125" bestFit="1" customWidth="1"/>
    <col min="8227" max="8227" width="8" customWidth="1"/>
    <col min="8228" max="8228" width="17.7109375" bestFit="1" customWidth="1"/>
    <col min="8229" max="8229" width="8.42578125" customWidth="1"/>
    <col min="8230" max="8232" width="14.5703125" bestFit="1" customWidth="1"/>
    <col min="8233" max="8233" width="9.42578125" bestFit="1" customWidth="1"/>
    <col min="8234" max="8234" width="19.28515625" bestFit="1" customWidth="1"/>
    <col min="8235" max="8235" width="10" bestFit="1" customWidth="1"/>
    <col min="8236" max="8236" width="9.42578125" bestFit="1" customWidth="1"/>
    <col min="8237" max="8237" width="19.28515625" bestFit="1" customWidth="1"/>
    <col min="8238" max="8238" width="10" bestFit="1" customWidth="1"/>
    <col min="8239" max="8448" width="9.140625" customWidth="1"/>
    <col min="8449" max="8449" width="11.5703125" bestFit="1" customWidth="1"/>
    <col min="8450" max="8450" width="11" bestFit="1" customWidth="1"/>
    <col min="8451" max="8451" width="12" customWidth="1"/>
    <col min="8452" max="8452" width="15.42578125" customWidth="1"/>
    <col min="8453" max="8453" width="15.42578125" bestFit="1" customWidth="1"/>
    <col min="8454" max="8454" width="6" bestFit="1" customWidth="1"/>
    <col min="8455" max="8464" width="14.5703125" customWidth="1"/>
    <col min="8465" max="8471" width="14.5703125" bestFit="1" customWidth="1"/>
    <col min="8472" max="8473" width="14.5703125" customWidth="1"/>
    <col min="8474" max="8476" width="14.5703125" bestFit="1" customWidth="1"/>
    <col min="8477" max="8477" width="14.5703125" customWidth="1"/>
    <col min="8478" max="8478" width="14.5703125" bestFit="1" customWidth="1"/>
    <col min="8479" max="8479" width="14.5703125" customWidth="1"/>
    <col min="8480" max="8482" width="14.5703125" bestFit="1" customWidth="1"/>
    <col min="8483" max="8483" width="8" customWidth="1"/>
    <col min="8484" max="8484" width="17.7109375" bestFit="1" customWidth="1"/>
    <col min="8485" max="8485" width="8.42578125" customWidth="1"/>
    <col min="8486" max="8488" width="14.5703125" bestFit="1" customWidth="1"/>
    <col min="8489" max="8489" width="9.42578125" bestFit="1" customWidth="1"/>
    <col min="8490" max="8490" width="19.28515625" bestFit="1" customWidth="1"/>
    <col min="8491" max="8491" width="10" bestFit="1" customWidth="1"/>
    <col min="8492" max="8492" width="9.42578125" bestFit="1" customWidth="1"/>
    <col min="8493" max="8493" width="19.28515625" bestFit="1" customWidth="1"/>
    <col min="8494" max="8494" width="10" bestFit="1" customWidth="1"/>
    <col min="8495" max="8704" width="9.140625" customWidth="1"/>
    <col min="8705" max="8705" width="11.5703125" bestFit="1" customWidth="1"/>
    <col min="8706" max="8706" width="11" bestFit="1" customWidth="1"/>
    <col min="8707" max="8707" width="12" customWidth="1"/>
    <col min="8708" max="8708" width="15.42578125" customWidth="1"/>
    <col min="8709" max="8709" width="15.42578125" bestFit="1" customWidth="1"/>
    <col min="8710" max="8710" width="6" bestFit="1" customWidth="1"/>
    <col min="8711" max="8720" width="14.5703125" customWidth="1"/>
    <col min="8721" max="8727" width="14.5703125" bestFit="1" customWidth="1"/>
    <col min="8728" max="8729" width="14.5703125" customWidth="1"/>
    <col min="8730" max="8732" width="14.5703125" bestFit="1" customWidth="1"/>
    <col min="8733" max="8733" width="14.5703125" customWidth="1"/>
    <col min="8734" max="8734" width="14.5703125" bestFit="1" customWidth="1"/>
    <col min="8735" max="8735" width="14.5703125" customWidth="1"/>
    <col min="8736" max="8738" width="14.5703125" bestFit="1" customWidth="1"/>
    <col min="8739" max="8739" width="8" customWidth="1"/>
    <col min="8740" max="8740" width="17.7109375" bestFit="1" customWidth="1"/>
    <col min="8741" max="8741" width="8.42578125" customWidth="1"/>
    <col min="8742" max="8744" width="14.5703125" bestFit="1" customWidth="1"/>
    <col min="8745" max="8745" width="9.42578125" bestFit="1" customWidth="1"/>
    <col min="8746" max="8746" width="19.28515625" bestFit="1" customWidth="1"/>
    <col min="8747" max="8747" width="10" bestFit="1" customWidth="1"/>
    <col min="8748" max="8748" width="9.42578125" bestFit="1" customWidth="1"/>
    <col min="8749" max="8749" width="19.28515625" bestFit="1" customWidth="1"/>
    <col min="8750" max="8750" width="10" bestFit="1" customWidth="1"/>
    <col min="8751" max="8960" width="9.140625" customWidth="1"/>
    <col min="8961" max="8961" width="11.5703125" bestFit="1" customWidth="1"/>
    <col min="8962" max="8962" width="11" bestFit="1" customWidth="1"/>
    <col min="8963" max="8963" width="12" customWidth="1"/>
    <col min="8964" max="8964" width="15.42578125" customWidth="1"/>
    <col min="8965" max="8965" width="15.42578125" bestFit="1" customWidth="1"/>
    <col min="8966" max="8966" width="6" bestFit="1" customWidth="1"/>
    <col min="8967" max="8976" width="14.5703125" customWidth="1"/>
    <col min="8977" max="8983" width="14.5703125" bestFit="1" customWidth="1"/>
    <col min="8984" max="8985" width="14.5703125" customWidth="1"/>
    <col min="8986" max="8988" width="14.5703125" bestFit="1" customWidth="1"/>
    <col min="8989" max="8989" width="14.5703125" customWidth="1"/>
    <col min="8990" max="8990" width="14.5703125" bestFit="1" customWidth="1"/>
    <col min="8991" max="8991" width="14.5703125" customWidth="1"/>
    <col min="8992" max="8994" width="14.5703125" bestFit="1" customWidth="1"/>
    <col min="8995" max="8995" width="8" customWidth="1"/>
    <col min="8996" max="8996" width="17.7109375" bestFit="1" customWidth="1"/>
    <col min="8997" max="8997" width="8.42578125" customWidth="1"/>
    <col min="8998" max="9000" width="14.5703125" bestFit="1" customWidth="1"/>
    <col min="9001" max="9001" width="9.42578125" bestFit="1" customWidth="1"/>
    <col min="9002" max="9002" width="19.28515625" bestFit="1" customWidth="1"/>
    <col min="9003" max="9003" width="10" bestFit="1" customWidth="1"/>
    <col min="9004" max="9004" width="9.42578125" bestFit="1" customWidth="1"/>
    <col min="9005" max="9005" width="19.28515625" bestFit="1" customWidth="1"/>
    <col min="9006" max="9006" width="10" bestFit="1" customWidth="1"/>
    <col min="9007" max="9216" width="9.140625" customWidth="1"/>
    <col min="9217" max="9217" width="11.5703125" bestFit="1" customWidth="1"/>
    <col min="9218" max="9218" width="11" bestFit="1" customWidth="1"/>
    <col min="9219" max="9219" width="12" customWidth="1"/>
    <col min="9220" max="9220" width="15.42578125" customWidth="1"/>
    <col min="9221" max="9221" width="15.42578125" bestFit="1" customWidth="1"/>
    <col min="9222" max="9222" width="6" bestFit="1" customWidth="1"/>
    <col min="9223" max="9232" width="14.5703125" customWidth="1"/>
    <col min="9233" max="9239" width="14.5703125" bestFit="1" customWidth="1"/>
    <col min="9240" max="9241" width="14.5703125" customWidth="1"/>
    <col min="9242" max="9244" width="14.5703125" bestFit="1" customWidth="1"/>
    <col min="9245" max="9245" width="14.5703125" customWidth="1"/>
    <col min="9246" max="9246" width="14.5703125" bestFit="1" customWidth="1"/>
    <col min="9247" max="9247" width="14.5703125" customWidth="1"/>
    <col min="9248" max="9250" width="14.5703125" bestFit="1" customWidth="1"/>
    <col min="9251" max="9251" width="8" customWidth="1"/>
    <col min="9252" max="9252" width="17.7109375" bestFit="1" customWidth="1"/>
    <col min="9253" max="9253" width="8.42578125" customWidth="1"/>
    <col min="9254" max="9256" width="14.5703125" bestFit="1" customWidth="1"/>
    <col min="9257" max="9257" width="9.42578125" bestFit="1" customWidth="1"/>
    <col min="9258" max="9258" width="19.28515625" bestFit="1" customWidth="1"/>
    <col min="9259" max="9259" width="10" bestFit="1" customWidth="1"/>
    <col min="9260" max="9260" width="9.42578125" bestFit="1" customWidth="1"/>
    <col min="9261" max="9261" width="19.28515625" bestFit="1" customWidth="1"/>
    <col min="9262" max="9262" width="10" bestFit="1" customWidth="1"/>
    <col min="9263" max="9472" width="9.140625" customWidth="1"/>
    <col min="9473" max="9473" width="11.5703125" bestFit="1" customWidth="1"/>
    <col min="9474" max="9474" width="11" bestFit="1" customWidth="1"/>
    <col min="9475" max="9475" width="12" customWidth="1"/>
    <col min="9476" max="9476" width="15.42578125" customWidth="1"/>
    <col min="9477" max="9477" width="15.42578125" bestFit="1" customWidth="1"/>
    <col min="9478" max="9478" width="6" bestFit="1" customWidth="1"/>
    <col min="9479" max="9488" width="14.5703125" customWidth="1"/>
    <col min="9489" max="9495" width="14.5703125" bestFit="1" customWidth="1"/>
    <col min="9496" max="9497" width="14.5703125" customWidth="1"/>
    <col min="9498" max="9500" width="14.5703125" bestFit="1" customWidth="1"/>
    <col min="9501" max="9501" width="14.5703125" customWidth="1"/>
    <col min="9502" max="9502" width="14.5703125" bestFit="1" customWidth="1"/>
    <col min="9503" max="9503" width="14.5703125" customWidth="1"/>
    <col min="9504" max="9506" width="14.5703125" bestFit="1" customWidth="1"/>
    <col min="9507" max="9507" width="8" customWidth="1"/>
    <col min="9508" max="9508" width="17.7109375" bestFit="1" customWidth="1"/>
    <col min="9509" max="9509" width="8.42578125" customWidth="1"/>
    <col min="9510" max="9512" width="14.5703125" bestFit="1" customWidth="1"/>
    <col min="9513" max="9513" width="9.42578125" bestFit="1" customWidth="1"/>
    <col min="9514" max="9514" width="19.28515625" bestFit="1" customWidth="1"/>
    <col min="9515" max="9515" width="10" bestFit="1" customWidth="1"/>
    <col min="9516" max="9516" width="9.42578125" bestFit="1" customWidth="1"/>
    <col min="9517" max="9517" width="19.28515625" bestFit="1" customWidth="1"/>
    <col min="9518" max="9518" width="10" bestFit="1" customWidth="1"/>
    <col min="9519" max="9728" width="9.140625" customWidth="1"/>
    <col min="9729" max="9729" width="11.5703125" bestFit="1" customWidth="1"/>
    <col min="9730" max="9730" width="11" bestFit="1" customWidth="1"/>
    <col min="9731" max="9731" width="12" customWidth="1"/>
    <col min="9732" max="9732" width="15.42578125" customWidth="1"/>
    <col min="9733" max="9733" width="15.42578125" bestFit="1" customWidth="1"/>
    <col min="9734" max="9734" width="6" bestFit="1" customWidth="1"/>
    <col min="9735" max="9744" width="14.5703125" customWidth="1"/>
    <col min="9745" max="9751" width="14.5703125" bestFit="1" customWidth="1"/>
    <col min="9752" max="9753" width="14.5703125" customWidth="1"/>
    <col min="9754" max="9756" width="14.5703125" bestFit="1" customWidth="1"/>
    <col min="9757" max="9757" width="14.5703125" customWidth="1"/>
    <col min="9758" max="9758" width="14.5703125" bestFit="1" customWidth="1"/>
    <col min="9759" max="9759" width="14.5703125" customWidth="1"/>
    <col min="9760" max="9762" width="14.5703125" bestFit="1" customWidth="1"/>
    <col min="9763" max="9763" width="8" customWidth="1"/>
    <col min="9764" max="9764" width="17.7109375" bestFit="1" customWidth="1"/>
    <col min="9765" max="9765" width="8.42578125" customWidth="1"/>
    <col min="9766" max="9768" width="14.5703125" bestFit="1" customWidth="1"/>
    <col min="9769" max="9769" width="9.42578125" bestFit="1" customWidth="1"/>
    <col min="9770" max="9770" width="19.28515625" bestFit="1" customWidth="1"/>
    <col min="9771" max="9771" width="10" bestFit="1" customWidth="1"/>
    <col min="9772" max="9772" width="9.42578125" bestFit="1" customWidth="1"/>
    <col min="9773" max="9773" width="19.28515625" bestFit="1" customWidth="1"/>
    <col min="9774" max="9774" width="10" bestFit="1" customWidth="1"/>
    <col min="9775" max="9984" width="9.140625" customWidth="1"/>
    <col min="9985" max="9985" width="11.5703125" bestFit="1" customWidth="1"/>
    <col min="9986" max="9986" width="11" bestFit="1" customWidth="1"/>
    <col min="9987" max="9987" width="12" customWidth="1"/>
    <col min="9988" max="9988" width="15.42578125" customWidth="1"/>
    <col min="9989" max="9989" width="15.42578125" bestFit="1" customWidth="1"/>
    <col min="9990" max="9990" width="6" bestFit="1" customWidth="1"/>
    <col min="9991" max="10000" width="14.5703125" customWidth="1"/>
    <col min="10001" max="10007" width="14.5703125" bestFit="1" customWidth="1"/>
    <col min="10008" max="10009" width="14.5703125" customWidth="1"/>
    <col min="10010" max="10012" width="14.5703125" bestFit="1" customWidth="1"/>
    <col min="10013" max="10013" width="14.5703125" customWidth="1"/>
    <col min="10014" max="10014" width="14.5703125" bestFit="1" customWidth="1"/>
    <col min="10015" max="10015" width="14.5703125" customWidth="1"/>
    <col min="10016" max="10018" width="14.5703125" bestFit="1" customWidth="1"/>
    <col min="10019" max="10019" width="8" customWidth="1"/>
    <col min="10020" max="10020" width="17.7109375" bestFit="1" customWidth="1"/>
    <col min="10021" max="10021" width="8.42578125" customWidth="1"/>
    <col min="10022" max="10024" width="14.5703125" bestFit="1" customWidth="1"/>
    <col min="10025" max="10025" width="9.42578125" bestFit="1" customWidth="1"/>
    <col min="10026" max="10026" width="19.28515625" bestFit="1" customWidth="1"/>
    <col min="10027" max="10027" width="10" bestFit="1" customWidth="1"/>
    <col min="10028" max="10028" width="9.42578125" bestFit="1" customWidth="1"/>
    <col min="10029" max="10029" width="19.28515625" bestFit="1" customWidth="1"/>
    <col min="10030" max="10030" width="10" bestFit="1" customWidth="1"/>
    <col min="10031" max="10240" width="9.140625" customWidth="1"/>
    <col min="10241" max="10241" width="11.5703125" bestFit="1" customWidth="1"/>
    <col min="10242" max="10242" width="11" bestFit="1" customWidth="1"/>
    <col min="10243" max="10243" width="12" customWidth="1"/>
    <col min="10244" max="10244" width="15.42578125" customWidth="1"/>
    <col min="10245" max="10245" width="15.42578125" bestFit="1" customWidth="1"/>
    <col min="10246" max="10246" width="6" bestFit="1" customWidth="1"/>
    <col min="10247" max="10256" width="14.5703125" customWidth="1"/>
    <col min="10257" max="10263" width="14.5703125" bestFit="1" customWidth="1"/>
    <col min="10264" max="10265" width="14.5703125" customWidth="1"/>
    <col min="10266" max="10268" width="14.5703125" bestFit="1" customWidth="1"/>
    <col min="10269" max="10269" width="14.5703125" customWidth="1"/>
    <col min="10270" max="10270" width="14.5703125" bestFit="1" customWidth="1"/>
    <col min="10271" max="10271" width="14.5703125" customWidth="1"/>
    <col min="10272" max="10274" width="14.5703125" bestFit="1" customWidth="1"/>
    <col min="10275" max="10275" width="8" customWidth="1"/>
    <col min="10276" max="10276" width="17.7109375" bestFit="1" customWidth="1"/>
    <col min="10277" max="10277" width="8.42578125" customWidth="1"/>
    <col min="10278" max="10280" width="14.5703125" bestFit="1" customWidth="1"/>
    <col min="10281" max="10281" width="9.42578125" bestFit="1" customWidth="1"/>
    <col min="10282" max="10282" width="19.28515625" bestFit="1" customWidth="1"/>
    <col min="10283" max="10283" width="10" bestFit="1" customWidth="1"/>
    <col min="10284" max="10284" width="9.42578125" bestFit="1" customWidth="1"/>
    <col min="10285" max="10285" width="19.28515625" bestFit="1" customWidth="1"/>
    <col min="10286" max="10286" width="10" bestFit="1" customWidth="1"/>
    <col min="10287" max="10496" width="9.140625" customWidth="1"/>
    <col min="10497" max="10497" width="11.5703125" bestFit="1" customWidth="1"/>
    <col min="10498" max="10498" width="11" bestFit="1" customWidth="1"/>
    <col min="10499" max="10499" width="12" customWidth="1"/>
    <col min="10500" max="10500" width="15.42578125" customWidth="1"/>
    <col min="10501" max="10501" width="15.42578125" bestFit="1" customWidth="1"/>
    <col min="10502" max="10502" width="6" bestFit="1" customWidth="1"/>
    <col min="10503" max="10512" width="14.5703125" customWidth="1"/>
    <col min="10513" max="10519" width="14.5703125" bestFit="1" customWidth="1"/>
    <col min="10520" max="10521" width="14.5703125" customWidth="1"/>
    <col min="10522" max="10524" width="14.5703125" bestFit="1" customWidth="1"/>
    <col min="10525" max="10525" width="14.5703125" customWidth="1"/>
    <col min="10526" max="10526" width="14.5703125" bestFit="1" customWidth="1"/>
    <col min="10527" max="10527" width="14.5703125" customWidth="1"/>
    <col min="10528" max="10530" width="14.5703125" bestFit="1" customWidth="1"/>
    <col min="10531" max="10531" width="8" customWidth="1"/>
    <col min="10532" max="10532" width="17.7109375" bestFit="1" customWidth="1"/>
    <col min="10533" max="10533" width="8.42578125" customWidth="1"/>
    <col min="10534" max="10536" width="14.5703125" bestFit="1" customWidth="1"/>
    <col min="10537" max="10537" width="9.42578125" bestFit="1" customWidth="1"/>
    <col min="10538" max="10538" width="19.28515625" bestFit="1" customWidth="1"/>
    <col min="10539" max="10539" width="10" bestFit="1" customWidth="1"/>
    <col min="10540" max="10540" width="9.42578125" bestFit="1" customWidth="1"/>
    <col min="10541" max="10541" width="19.28515625" bestFit="1" customWidth="1"/>
    <col min="10542" max="10542" width="10" bestFit="1" customWidth="1"/>
    <col min="10543" max="10752" width="9.140625" customWidth="1"/>
    <col min="10753" max="10753" width="11.5703125" bestFit="1" customWidth="1"/>
    <col min="10754" max="10754" width="11" bestFit="1" customWidth="1"/>
    <col min="10755" max="10755" width="12" customWidth="1"/>
    <col min="10756" max="10756" width="15.42578125" customWidth="1"/>
    <col min="10757" max="10757" width="15.42578125" bestFit="1" customWidth="1"/>
    <col min="10758" max="10758" width="6" bestFit="1" customWidth="1"/>
    <col min="10759" max="10768" width="14.5703125" customWidth="1"/>
    <col min="10769" max="10775" width="14.5703125" bestFit="1" customWidth="1"/>
    <col min="10776" max="10777" width="14.5703125" customWidth="1"/>
    <col min="10778" max="10780" width="14.5703125" bestFit="1" customWidth="1"/>
    <col min="10781" max="10781" width="14.5703125" customWidth="1"/>
    <col min="10782" max="10782" width="14.5703125" bestFit="1" customWidth="1"/>
    <col min="10783" max="10783" width="14.5703125" customWidth="1"/>
    <col min="10784" max="10786" width="14.5703125" bestFit="1" customWidth="1"/>
    <col min="10787" max="10787" width="8" customWidth="1"/>
    <col min="10788" max="10788" width="17.7109375" bestFit="1" customWidth="1"/>
    <col min="10789" max="10789" width="8.42578125" customWidth="1"/>
    <col min="10790" max="10792" width="14.5703125" bestFit="1" customWidth="1"/>
    <col min="10793" max="10793" width="9.42578125" bestFit="1" customWidth="1"/>
    <col min="10794" max="10794" width="19.28515625" bestFit="1" customWidth="1"/>
    <col min="10795" max="10795" width="10" bestFit="1" customWidth="1"/>
    <col min="10796" max="10796" width="9.42578125" bestFit="1" customWidth="1"/>
    <col min="10797" max="10797" width="19.28515625" bestFit="1" customWidth="1"/>
    <col min="10798" max="10798" width="10" bestFit="1" customWidth="1"/>
    <col min="10799" max="11008" width="9.140625" customWidth="1"/>
    <col min="11009" max="11009" width="11.5703125" bestFit="1" customWidth="1"/>
    <col min="11010" max="11010" width="11" bestFit="1" customWidth="1"/>
    <col min="11011" max="11011" width="12" customWidth="1"/>
    <col min="11012" max="11012" width="15.42578125" customWidth="1"/>
    <col min="11013" max="11013" width="15.42578125" bestFit="1" customWidth="1"/>
    <col min="11014" max="11014" width="6" bestFit="1" customWidth="1"/>
    <col min="11015" max="11024" width="14.5703125" customWidth="1"/>
    <col min="11025" max="11031" width="14.5703125" bestFit="1" customWidth="1"/>
    <col min="11032" max="11033" width="14.5703125" customWidth="1"/>
    <col min="11034" max="11036" width="14.5703125" bestFit="1" customWidth="1"/>
    <col min="11037" max="11037" width="14.5703125" customWidth="1"/>
    <col min="11038" max="11038" width="14.5703125" bestFit="1" customWidth="1"/>
    <col min="11039" max="11039" width="14.5703125" customWidth="1"/>
    <col min="11040" max="11042" width="14.5703125" bestFit="1" customWidth="1"/>
    <col min="11043" max="11043" width="8" customWidth="1"/>
    <col min="11044" max="11044" width="17.7109375" bestFit="1" customWidth="1"/>
    <col min="11045" max="11045" width="8.42578125" customWidth="1"/>
    <col min="11046" max="11048" width="14.5703125" bestFit="1" customWidth="1"/>
    <col min="11049" max="11049" width="9.42578125" bestFit="1" customWidth="1"/>
    <col min="11050" max="11050" width="19.28515625" bestFit="1" customWidth="1"/>
    <col min="11051" max="11051" width="10" bestFit="1" customWidth="1"/>
    <col min="11052" max="11052" width="9.42578125" bestFit="1" customWidth="1"/>
    <col min="11053" max="11053" width="19.28515625" bestFit="1" customWidth="1"/>
    <col min="11054" max="11054" width="10" bestFit="1" customWidth="1"/>
    <col min="11055" max="11264" width="9.140625" customWidth="1"/>
    <col min="11265" max="11265" width="11.5703125" bestFit="1" customWidth="1"/>
    <col min="11266" max="11266" width="11" bestFit="1" customWidth="1"/>
    <col min="11267" max="11267" width="12" customWidth="1"/>
    <col min="11268" max="11268" width="15.42578125" customWidth="1"/>
    <col min="11269" max="11269" width="15.42578125" bestFit="1" customWidth="1"/>
    <col min="11270" max="11270" width="6" bestFit="1" customWidth="1"/>
    <col min="11271" max="11280" width="14.5703125" customWidth="1"/>
    <col min="11281" max="11287" width="14.5703125" bestFit="1" customWidth="1"/>
    <col min="11288" max="11289" width="14.5703125" customWidth="1"/>
    <col min="11290" max="11292" width="14.5703125" bestFit="1" customWidth="1"/>
    <col min="11293" max="11293" width="14.5703125" customWidth="1"/>
    <col min="11294" max="11294" width="14.5703125" bestFit="1" customWidth="1"/>
    <col min="11295" max="11295" width="14.5703125" customWidth="1"/>
    <col min="11296" max="11298" width="14.5703125" bestFit="1" customWidth="1"/>
    <col min="11299" max="11299" width="8" customWidth="1"/>
    <col min="11300" max="11300" width="17.7109375" bestFit="1" customWidth="1"/>
    <col min="11301" max="11301" width="8.42578125" customWidth="1"/>
    <col min="11302" max="11304" width="14.5703125" bestFit="1" customWidth="1"/>
    <col min="11305" max="11305" width="9.42578125" bestFit="1" customWidth="1"/>
    <col min="11306" max="11306" width="19.28515625" bestFit="1" customWidth="1"/>
    <col min="11307" max="11307" width="10" bestFit="1" customWidth="1"/>
    <col min="11308" max="11308" width="9.42578125" bestFit="1" customWidth="1"/>
    <col min="11309" max="11309" width="19.28515625" bestFit="1" customWidth="1"/>
    <col min="11310" max="11310" width="10" bestFit="1" customWidth="1"/>
    <col min="11311" max="11520" width="9.140625" customWidth="1"/>
    <col min="11521" max="11521" width="11.5703125" bestFit="1" customWidth="1"/>
    <col min="11522" max="11522" width="11" bestFit="1" customWidth="1"/>
    <col min="11523" max="11523" width="12" customWidth="1"/>
    <col min="11524" max="11524" width="15.42578125" customWidth="1"/>
    <col min="11525" max="11525" width="15.42578125" bestFit="1" customWidth="1"/>
    <col min="11526" max="11526" width="6" bestFit="1" customWidth="1"/>
    <col min="11527" max="11536" width="14.5703125" customWidth="1"/>
    <col min="11537" max="11543" width="14.5703125" bestFit="1" customWidth="1"/>
    <col min="11544" max="11545" width="14.5703125" customWidth="1"/>
    <col min="11546" max="11548" width="14.5703125" bestFit="1" customWidth="1"/>
    <col min="11549" max="11549" width="14.5703125" customWidth="1"/>
    <col min="11550" max="11550" width="14.5703125" bestFit="1" customWidth="1"/>
    <col min="11551" max="11551" width="14.5703125" customWidth="1"/>
    <col min="11552" max="11554" width="14.5703125" bestFit="1" customWidth="1"/>
    <col min="11555" max="11555" width="8" customWidth="1"/>
    <col min="11556" max="11556" width="17.7109375" bestFit="1" customWidth="1"/>
    <col min="11557" max="11557" width="8.42578125" customWidth="1"/>
    <col min="11558" max="11560" width="14.5703125" bestFit="1" customWidth="1"/>
    <col min="11561" max="11561" width="9.42578125" bestFit="1" customWidth="1"/>
    <col min="11562" max="11562" width="19.28515625" bestFit="1" customWidth="1"/>
    <col min="11563" max="11563" width="10" bestFit="1" customWidth="1"/>
    <col min="11564" max="11564" width="9.42578125" bestFit="1" customWidth="1"/>
    <col min="11565" max="11565" width="19.28515625" bestFit="1" customWidth="1"/>
    <col min="11566" max="11566" width="10" bestFit="1" customWidth="1"/>
    <col min="11567" max="11776" width="9.140625" customWidth="1"/>
    <col min="11777" max="11777" width="11.5703125" bestFit="1" customWidth="1"/>
    <col min="11778" max="11778" width="11" bestFit="1" customWidth="1"/>
    <col min="11779" max="11779" width="12" customWidth="1"/>
    <col min="11780" max="11780" width="15.42578125" customWidth="1"/>
    <col min="11781" max="11781" width="15.42578125" bestFit="1" customWidth="1"/>
    <col min="11782" max="11782" width="6" bestFit="1" customWidth="1"/>
    <col min="11783" max="11792" width="14.5703125" customWidth="1"/>
    <col min="11793" max="11799" width="14.5703125" bestFit="1" customWidth="1"/>
    <col min="11800" max="11801" width="14.5703125" customWidth="1"/>
    <col min="11802" max="11804" width="14.5703125" bestFit="1" customWidth="1"/>
    <col min="11805" max="11805" width="14.5703125" customWidth="1"/>
    <col min="11806" max="11806" width="14.5703125" bestFit="1" customWidth="1"/>
    <col min="11807" max="11807" width="14.5703125" customWidth="1"/>
    <col min="11808" max="11810" width="14.5703125" bestFit="1" customWidth="1"/>
    <col min="11811" max="11811" width="8" customWidth="1"/>
    <col min="11812" max="11812" width="17.7109375" bestFit="1" customWidth="1"/>
    <col min="11813" max="11813" width="8.42578125" customWidth="1"/>
    <col min="11814" max="11816" width="14.5703125" bestFit="1" customWidth="1"/>
    <col min="11817" max="11817" width="9.42578125" bestFit="1" customWidth="1"/>
    <col min="11818" max="11818" width="19.28515625" bestFit="1" customWidth="1"/>
    <col min="11819" max="11819" width="10" bestFit="1" customWidth="1"/>
    <col min="11820" max="11820" width="9.42578125" bestFit="1" customWidth="1"/>
    <col min="11821" max="11821" width="19.28515625" bestFit="1" customWidth="1"/>
    <col min="11822" max="11822" width="10" bestFit="1" customWidth="1"/>
    <col min="11823" max="12032" width="9.140625" customWidth="1"/>
    <col min="12033" max="12033" width="11.5703125" bestFit="1" customWidth="1"/>
    <col min="12034" max="12034" width="11" bestFit="1" customWidth="1"/>
    <col min="12035" max="12035" width="12" customWidth="1"/>
    <col min="12036" max="12036" width="15.42578125" customWidth="1"/>
    <col min="12037" max="12037" width="15.42578125" bestFit="1" customWidth="1"/>
    <col min="12038" max="12038" width="6" bestFit="1" customWidth="1"/>
    <col min="12039" max="12048" width="14.5703125" customWidth="1"/>
    <col min="12049" max="12055" width="14.5703125" bestFit="1" customWidth="1"/>
    <col min="12056" max="12057" width="14.5703125" customWidth="1"/>
    <col min="12058" max="12060" width="14.5703125" bestFit="1" customWidth="1"/>
    <col min="12061" max="12061" width="14.5703125" customWidth="1"/>
    <col min="12062" max="12062" width="14.5703125" bestFit="1" customWidth="1"/>
    <col min="12063" max="12063" width="14.5703125" customWidth="1"/>
    <col min="12064" max="12066" width="14.5703125" bestFit="1" customWidth="1"/>
    <col min="12067" max="12067" width="8" customWidth="1"/>
    <col min="12068" max="12068" width="17.7109375" bestFit="1" customWidth="1"/>
    <col min="12069" max="12069" width="8.42578125" customWidth="1"/>
    <col min="12070" max="12072" width="14.5703125" bestFit="1" customWidth="1"/>
    <col min="12073" max="12073" width="9.42578125" bestFit="1" customWidth="1"/>
    <col min="12074" max="12074" width="19.28515625" bestFit="1" customWidth="1"/>
    <col min="12075" max="12075" width="10" bestFit="1" customWidth="1"/>
    <col min="12076" max="12076" width="9.42578125" bestFit="1" customWidth="1"/>
    <col min="12077" max="12077" width="19.28515625" bestFit="1" customWidth="1"/>
    <col min="12078" max="12078" width="10" bestFit="1" customWidth="1"/>
    <col min="12079" max="12288" width="9.140625" customWidth="1"/>
    <col min="12289" max="12289" width="11.5703125" bestFit="1" customWidth="1"/>
    <col min="12290" max="12290" width="11" bestFit="1" customWidth="1"/>
    <col min="12291" max="12291" width="12" customWidth="1"/>
    <col min="12292" max="12292" width="15.42578125" customWidth="1"/>
    <col min="12293" max="12293" width="15.42578125" bestFit="1" customWidth="1"/>
    <col min="12294" max="12294" width="6" bestFit="1" customWidth="1"/>
    <col min="12295" max="12304" width="14.5703125" customWidth="1"/>
    <col min="12305" max="12311" width="14.5703125" bestFit="1" customWidth="1"/>
    <col min="12312" max="12313" width="14.5703125" customWidth="1"/>
    <col min="12314" max="12316" width="14.5703125" bestFit="1" customWidth="1"/>
    <col min="12317" max="12317" width="14.5703125" customWidth="1"/>
    <col min="12318" max="12318" width="14.5703125" bestFit="1" customWidth="1"/>
    <col min="12319" max="12319" width="14.5703125" customWidth="1"/>
    <col min="12320" max="12322" width="14.5703125" bestFit="1" customWidth="1"/>
    <col min="12323" max="12323" width="8" customWidth="1"/>
    <col min="12324" max="12324" width="17.7109375" bestFit="1" customWidth="1"/>
    <col min="12325" max="12325" width="8.42578125" customWidth="1"/>
    <col min="12326" max="12328" width="14.5703125" bestFit="1" customWidth="1"/>
    <col min="12329" max="12329" width="9.42578125" bestFit="1" customWidth="1"/>
    <col min="12330" max="12330" width="19.28515625" bestFit="1" customWidth="1"/>
    <col min="12331" max="12331" width="10" bestFit="1" customWidth="1"/>
    <col min="12332" max="12332" width="9.42578125" bestFit="1" customWidth="1"/>
    <col min="12333" max="12333" width="19.28515625" bestFit="1" customWidth="1"/>
    <col min="12334" max="12334" width="10" bestFit="1" customWidth="1"/>
    <col min="12335" max="12544" width="9.140625" customWidth="1"/>
    <col min="12545" max="12545" width="11.5703125" bestFit="1" customWidth="1"/>
    <col min="12546" max="12546" width="11" bestFit="1" customWidth="1"/>
    <col min="12547" max="12547" width="12" customWidth="1"/>
    <col min="12548" max="12548" width="15.42578125" customWidth="1"/>
    <col min="12549" max="12549" width="15.42578125" bestFit="1" customWidth="1"/>
    <col min="12550" max="12550" width="6" bestFit="1" customWidth="1"/>
    <col min="12551" max="12560" width="14.5703125" customWidth="1"/>
    <col min="12561" max="12567" width="14.5703125" bestFit="1" customWidth="1"/>
    <col min="12568" max="12569" width="14.5703125" customWidth="1"/>
    <col min="12570" max="12572" width="14.5703125" bestFit="1" customWidth="1"/>
    <col min="12573" max="12573" width="14.5703125" customWidth="1"/>
    <col min="12574" max="12574" width="14.5703125" bestFit="1" customWidth="1"/>
    <col min="12575" max="12575" width="14.5703125" customWidth="1"/>
    <col min="12576" max="12578" width="14.5703125" bestFit="1" customWidth="1"/>
    <col min="12579" max="12579" width="8" customWidth="1"/>
    <col min="12580" max="12580" width="17.7109375" bestFit="1" customWidth="1"/>
    <col min="12581" max="12581" width="8.42578125" customWidth="1"/>
    <col min="12582" max="12584" width="14.5703125" bestFit="1" customWidth="1"/>
    <col min="12585" max="12585" width="9.42578125" bestFit="1" customWidth="1"/>
    <col min="12586" max="12586" width="19.28515625" bestFit="1" customWidth="1"/>
    <col min="12587" max="12587" width="10" bestFit="1" customWidth="1"/>
    <col min="12588" max="12588" width="9.42578125" bestFit="1" customWidth="1"/>
    <col min="12589" max="12589" width="19.28515625" bestFit="1" customWidth="1"/>
    <col min="12590" max="12590" width="10" bestFit="1" customWidth="1"/>
    <col min="12591" max="12800" width="9.140625" customWidth="1"/>
    <col min="12801" max="12801" width="11.5703125" bestFit="1" customWidth="1"/>
    <col min="12802" max="12802" width="11" bestFit="1" customWidth="1"/>
    <col min="12803" max="12803" width="12" customWidth="1"/>
    <col min="12804" max="12804" width="15.42578125" customWidth="1"/>
    <col min="12805" max="12805" width="15.42578125" bestFit="1" customWidth="1"/>
    <col min="12806" max="12806" width="6" bestFit="1" customWidth="1"/>
    <col min="12807" max="12816" width="14.5703125" customWidth="1"/>
    <col min="12817" max="12823" width="14.5703125" bestFit="1" customWidth="1"/>
    <col min="12824" max="12825" width="14.5703125" customWidth="1"/>
    <col min="12826" max="12828" width="14.5703125" bestFit="1" customWidth="1"/>
    <col min="12829" max="12829" width="14.5703125" customWidth="1"/>
    <col min="12830" max="12830" width="14.5703125" bestFit="1" customWidth="1"/>
    <col min="12831" max="12831" width="14.5703125" customWidth="1"/>
    <col min="12832" max="12834" width="14.5703125" bestFit="1" customWidth="1"/>
    <col min="12835" max="12835" width="8" customWidth="1"/>
    <col min="12836" max="12836" width="17.7109375" bestFit="1" customWidth="1"/>
    <col min="12837" max="12837" width="8.42578125" customWidth="1"/>
    <col min="12838" max="12840" width="14.5703125" bestFit="1" customWidth="1"/>
    <col min="12841" max="12841" width="9.42578125" bestFit="1" customWidth="1"/>
    <col min="12842" max="12842" width="19.28515625" bestFit="1" customWidth="1"/>
    <col min="12843" max="12843" width="10" bestFit="1" customWidth="1"/>
    <col min="12844" max="12844" width="9.42578125" bestFit="1" customWidth="1"/>
    <col min="12845" max="12845" width="19.28515625" bestFit="1" customWidth="1"/>
    <col min="12846" max="12846" width="10" bestFit="1" customWidth="1"/>
    <col min="12847" max="13056" width="9.140625" customWidth="1"/>
    <col min="13057" max="13057" width="11.5703125" bestFit="1" customWidth="1"/>
    <col min="13058" max="13058" width="11" bestFit="1" customWidth="1"/>
    <col min="13059" max="13059" width="12" customWidth="1"/>
    <col min="13060" max="13060" width="15.42578125" customWidth="1"/>
    <col min="13061" max="13061" width="15.42578125" bestFit="1" customWidth="1"/>
    <col min="13062" max="13062" width="6" bestFit="1" customWidth="1"/>
    <col min="13063" max="13072" width="14.5703125" customWidth="1"/>
    <col min="13073" max="13079" width="14.5703125" bestFit="1" customWidth="1"/>
    <col min="13080" max="13081" width="14.5703125" customWidth="1"/>
    <col min="13082" max="13084" width="14.5703125" bestFit="1" customWidth="1"/>
    <col min="13085" max="13085" width="14.5703125" customWidth="1"/>
    <col min="13086" max="13086" width="14.5703125" bestFit="1" customWidth="1"/>
    <col min="13087" max="13087" width="14.5703125" customWidth="1"/>
    <col min="13088" max="13090" width="14.5703125" bestFit="1" customWidth="1"/>
    <col min="13091" max="13091" width="8" customWidth="1"/>
    <col min="13092" max="13092" width="17.7109375" bestFit="1" customWidth="1"/>
    <col min="13093" max="13093" width="8.42578125" customWidth="1"/>
    <col min="13094" max="13096" width="14.5703125" bestFit="1" customWidth="1"/>
    <col min="13097" max="13097" width="9.42578125" bestFit="1" customWidth="1"/>
    <col min="13098" max="13098" width="19.28515625" bestFit="1" customWidth="1"/>
    <col min="13099" max="13099" width="10" bestFit="1" customWidth="1"/>
    <col min="13100" max="13100" width="9.42578125" bestFit="1" customWidth="1"/>
    <col min="13101" max="13101" width="19.28515625" bestFit="1" customWidth="1"/>
    <col min="13102" max="13102" width="10" bestFit="1" customWidth="1"/>
    <col min="13103" max="13312" width="9.140625" customWidth="1"/>
    <col min="13313" max="13313" width="11.5703125" bestFit="1" customWidth="1"/>
    <col min="13314" max="13314" width="11" bestFit="1" customWidth="1"/>
    <col min="13315" max="13315" width="12" customWidth="1"/>
    <col min="13316" max="13316" width="15.42578125" customWidth="1"/>
    <col min="13317" max="13317" width="15.42578125" bestFit="1" customWidth="1"/>
    <col min="13318" max="13318" width="6" bestFit="1" customWidth="1"/>
    <col min="13319" max="13328" width="14.5703125" customWidth="1"/>
    <col min="13329" max="13335" width="14.5703125" bestFit="1" customWidth="1"/>
    <col min="13336" max="13337" width="14.5703125" customWidth="1"/>
    <col min="13338" max="13340" width="14.5703125" bestFit="1" customWidth="1"/>
    <col min="13341" max="13341" width="14.5703125" customWidth="1"/>
    <col min="13342" max="13342" width="14.5703125" bestFit="1" customWidth="1"/>
    <col min="13343" max="13343" width="14.5703125" customWidth="1"/>
    <col min="13344" max="13346" width="14.5703125" bestFit="1" customWidth="1"/>
    <col min="13347" max="13347" width="8" customWidth="1"/>
    <col min="13348" max="13348" width="17.7109375" bestFit="1" customWidth="1"/>
    <col min="13349" max="13349" width="8.42578125" customWidth="1"/>
    <col min="13350" max="13352" width="14.5703125" bestFit="1" customWidth="1"/>
    <col min="13353" max="13353" width="9.42578125" bestFit="1" customWidth="1"/>
    <col min="13354" max="13354" width="19.28515625" bestFit="1" customWidth="1"/>
    <col min="13355" max="13355" width="10" bestFit="1" customWidth="1"/>
    <col min="13356" max="13356" width="9.42578125" bestFit="1" customWidth="1"/>
    <col min="13357" max="13357" width="19.28515625" bestFit="1" customWidth="1"/>
    <col min="13358" max="13358" width="10" bestFit="1" customWidth="1"/>
    <col min="13359" max="13568" width="9.140625" customWidth="1"/>
    <col min="13569" max="13569" width="11.5703125" bestFit="1" customWidth="1"/>
    <col min="13570" max="13570" width="11" bestFit="1" customWidth="1"/>
    <col min="13571" max="13571" width="12" customWidth="1"/>
    <col min="13572" max="13572" width="15.42578125" customWidth="1"/>
    <col min="13573" max="13573" width="15.42578125" bestFit="1" customWidth="1"/>
    <col min="13574" max="13574" width="6" bestFit="1" customWidth="1"/>
    <col min="13575" max="13584" width="14.5703125" customWidth="1"/>
    <col min="13585" max="13591" width="14.5703125" bestFit="1" customWidth="1"/>
    <col min="13592" max="13593" width="14.5703125" customWidth="1"/>
    <col min="13594" max="13596" width="14.5703125" bestFit="1" customWidth="1"/>
    <col min="13597" max="13597" width="14.5703125" customWidth="1"/>
    <col min="13598" max="13598" width="14.5703125" bestFit="1" customWidth="1"/>
    <col min="13599" max="13599" width="14.5703125" customWidth="1"/>
    <col min="13600" max="13602" width="14.5703125" bestFit="1" customWidth="1"/>
    <col min="13603" max="13603" width="8" customWidth="1"/>
    <col min="13604" max="13604" width="17.7109375" bestFit="1" customWidth="1"/>
    <col min="13605" max="13605" width="8.42578125" customWidth="1"/>
    <col min="13606" max="13608" width="14.5703125" bestFit="1" customWidth="1"/>
    <col min="13609" max="13609" width="9.42578125" bestFit="1" customWidth="1"/>
    <col min="13610" max="13610" width="19.28515625" bestFit="1" customWidth="1"/>
    <col min="13611" max="13611" width="10" bestFit="1" customWidth="1"/>
    <col min="13612" max="13612" width="9.42578125" bestFit="1" customWidth="1"/>
    <col min="13613" max="13613" width="19.28515625" bestFit="1" customWidth="1"/>
    <col min="13614" max="13614" width="10" bestFit="1" customWidth="1"/>
    <col min="13615" max="13824" width="9.140625" customWidth="1"/>
    <col min="13825" max="13825" width="11.5703125" bestFit="1" customWidth="1"/>
    <col min="13826" max="13826" width="11" bestFit="1" customWidth="1"/>
    <col min="13827" max="13827" width="12" customWidth="1"/>
    <col min="13828" max="13828" width="15.42578125" customWidth="1"/>
    <col min="13829" max="13829" width="15.42578125" bestFit="1" customWidth="1"/>
    <col min="13830" max="13830" width="6" bestFit="1" customWidth="1"/>
    <col min="13831" max="13840" width="14.5703125" customWidth="1"/>
    <col min="13841" max="13847" width="14.5703125" bestFit="1" customWidth="1"/>
    <col min="13848" max="13849" width="14.5703125" customWidth="1"/>
    <col min="13850" max="13852" width="14.5703125" bestFit="1" customWidth="1"/>
    <col min="13853" max="13853" width="14.5703125" customWidth="1"/>
    <col min="13854" max="13854" width="14.5703125" bestFit="1" customWidth="1"/>
    <col min="13855" max="13855" width="14.5703125" customWidth="1"/>
    <col min="13856" max="13858" width="14.5703125" bestFit="1" customWidth="1"/>
    <col min="13859" max="13859" width="8" customWidth="1"/>
    <col min="13860" max="13860" width="17.7109375" bestFit="1" customWidth="1"/>
    <col min="13861" max="13861" width="8.42578125" customWidth="1"/>
    <col min="13862" max="13864" width="14.5703125" bestFit="1" customWidth="1"/>
    <col min="13865" max="13865" width="9.42578125" bestFit="1" customWidth="1"/>
    <col min="13866" max="13866" width="19.28515625" bestFit="1" customWidth="1"/>
    <col min="13867" max="13867" width="10" bestFit="1" customWidth="1"/>
    <col min="13868" max="13868" width="9.42578125" bestFit="1" customWidth="1"/>
    <col min="13869" max="13869" width="19.28515625" bestFit="1" customWidth="1"/>
    <col min="13870" max="13870" width="10" bestFit="1" customWidth="1"/>
    <col min="13871" max="14080" width="9.140625" customWidth="1"/>
    <col min="14081" max="14081" width="11.5703125" bestFit="1" customWidth="1"/>
    <col min="14082" max="14082" width="11" bestFit="1" customWidth="1"/>
    <col min="14083" max="14083" width="12" customWidth="1"/>
    <col min="14084" max="14084" width="15.42578125" customWidth="1"/>
    <col min="14085" max="14085" width="15.42578125" bestFit="1" customWidth="1"/>
    <col min="14086" max="14086" width="6" bestFit="1" customWidth="1"/>
    <col min="14087" max="14096" width="14.5703125" customWidth="1"/>
    <col min="14097" max="14103" width="14.5703125" bestFit="1" customWidth="1"/>
    <col min="14104" max="14105" width="14.5703125" customWidth="1"/>
    <col min="14106" max="14108" width="14.5703125" bestFit="1" customWidth="1"/>
    <col min="14109" max="14109" width="14.5703125" customWidth="1"/>
    <col min="14110" max="14110" width="14.5703125" bestFit="1" customWidth="1"/>
    <col min="14111" max="14111" width="14.5703125" customWidth="1"/>
    <col min="14112" max="14114" width="14.5703125" bestFit="1" customWidth="1"/>
    <col min="14115" max="14115" width="8" customWidth="1"/>
    <col min="14116" max="14116" width="17.7109375" bestFit="1" customWidth="1"/>
    <col min="14117" max="14117" width="8.42578125" customWidth="1"/>
    <col min="14118" max="14120" width="14.5703125" bestFit="1" customWidth="1"/>
    <col min="14121" max="14121" width="9.42578125" bestFit="1" customWidth="1"/>
    <col min="14122" max="14122" width="19.28515625" bestFit="1" customWidth="1"/>
    <col min="14123" max="14123" width="10" bestFit="1" customWidth="1"/>
    <col min="14124" max="14124" width="9.42578125" bestFit="1" customWidth="1"/>
    <col min="14125" max="14125" width="19.28515625" bestFit="1" customWidth="1"/>
    <col min="14126" max="14126" width="10" bestFit="1" customWidth="1"/>
    <col min="14127" max="14336" width="9.140625" customWidth="1"/>
    <col min="14337" max="14337" width="11.5703125" bestFit="1" customWidth="1"/>
    <col min="14338" max="14338" width="11" bestFit="1" customWidth="1"/>
    <col min="14339" max="14339" width="12" customWidth="1"/>
    <col min="14340" max="14340" width="15.42578125" customWidth="1"/>
    <col min="14341" max="14341" width="15.42578125" bestFit="1" customWidth="1"/>
    <col min="14342" max="14342" width="6" bestFit="1" customWidth="1"/>
    <col min="14343" max="14352" width="14.5703125" customWidth="1"/>
    <col min="14353" max="14359" width="14.5703125" bestFit="1" customWidth="1"/>
    <col min="14360" max="14361" width="14.5703125" customWidth="1"/>
    <col min="14362" max="14364" width="14.5703125" bestFit="1" customWidth="1"/>
    <col min="14365" max="14365" width="14.5703125" customWidth="1"/>
    <col min="14366" max="14366" width="14.5703125" bestFit="1" customWidth="1"/>
    <col min="14367" max="14367" width="14.5703125" customWidth="1"/>
    <col min="14368" max="14370" width="14.5703125" bestFit="1" customWidth="1"/>
    <col min="14371" max="14371" width="8" customWidth="1"/>
    <col min="14372" max="14372" width="17.7109375" bestFit="1" customWidth="1"/>
    <col min="14373" max="14373" width="8.42578125" customWidth="1"/>
    <col min="14374" max="14376" width="14.5703125" bestFit="1" customWidth="1"/>
    <col min="14377" max="14377" width="9.42578125" bestFit="1" customWidth="1"/>
    <col min="14378" max="14378" width="19.28515625" bestFit="1" customWidth="1"/>
    <col min="14379" max="14379" width="10" bestFit="1" customWidth="1"/>
    <col min="14380" max="14380" width="9.42578125" bestFit="1" customWidth="1"/>
    <col min="14381" max="14381" width="19.28515625" bestFit="1" customWidth="1"/>
    <col min="14382" max="14382" width="10" bestFit="1" customWidth="1"/>
    <col min="14383" max="14592" width="9.140625" customWidth="1"/>
    <col min="14593" max="14593" width="11.5703125" bestFit="1" customWidth="1"/>
    <col min="14594" max="14594" width="11" bestFit="1" customWidth="1"/>
    <col min="14595" max="14595" width="12" customWidth="1"/>
    <col min="14596" max="14596" width="15.42578125" customWidth="1"/>
    <col min="14597" max="14597" width="15.42578125" bestFit="1" customWidth="1"/>
    <col min="14598" max="14598" width="6" bestFit="1" customWidth="1"/>
    <col min="14599" max="14608" width="14.5703125" customWidth="1"/>
    <col min="14609" max="14615" width="14.5703125" bestFit="1" customWidth="1"/>
    <col min="14616" max="14617" width="14.5703125" customWidth="1"/>
    <col min="14618" max="14620" width="14.5703125" bestFit="1" customWidth="1"/>
    <col min="14621" max="14621" width="14.5703125" customWidth="1"/>
    <col min="14622" max="14622" width="14.5703125" bestFit="1" customWidth="1"/>
    <col min="14623" max="14623" width="14.5703125" customWidth="1"/>
    <col min="14624" max="14626" width="14.5703125" bestFit="1" customWidth="1"/>
    <col min="14627" max="14627" width="8" customWidth="1"/>
    <col min="14628" max="14628" width="17.7109375" bestFit="1" customWidth="1"/>
    <col min="14629" max="14629" width="8.42578125" customWidth="1"/>
    <col min="14630" max="14632" width="14.5703125" bestFit="1" customWidth="1"/>
    <col min="14633" max="14633" width="9.42578125" bestFit="1" customWidth="1"/>
    <col min="14634" max="14634" width="19.28515625" bestFit="1" customWidth="1"/>
    <col min="14635" max="14635" width="10" bestFit="1" customWidth="1"/>
    <col min="14636" max="14636" width="9.42578125" bestFit="1" customWidth="1"/>
    <col min="14637" max="14637" width="19.28515625" bestFit="1" customWidth="1"/>
    <col min="14638" max="14638" width="10" bestFit="1" customWidth="1"/>
    <col min="14639" max="14848" width="9.140625" customWidth="1"/>
    <col min="14849" max="14849" width="11.5703125" bestFit="1" customWidth="1"/>
    <col min="14850" max="14850" width="11" bestFit="1" customWidth="1"/>
    <col min="14851" max="14851" width="12" customWidth="1"/>
    <col min="14852" max="14852" width="15.42578125" customWidth="1"/>
    <col min="14853" max="14853" width="15.42578125" bestFit="1" customWidth="1"/>
    <col min="14854" max="14854" width="6" bestFit="1" customWidth="1"/>
    <col min="14855" max="14864" width="14.5703125" customWidth="1"/>
    <col min="14865" max="14871" width="14.5703125" bestFit="1" customWidth="1"/>
    <col min="14872" max="14873" width="14.5703125" customWidth="1"/>
    <col min="14874" max="14876" width="14.5703125" bestFit="1" customWidth="1"/>
    <col min="14877" max="14877" width="14.5703125" customWidth="1"/>
    <col min="14878" max="14878" width="14.5703125" bestFit="1" customWidth="1"/>
    <col min="14879" max="14879" width="14.5703125" customWidth="1"/>
    <col min="14880" max="14882" width="14.5703125" bestFit="1" customWidth="1"/>
    <col min="14883" max="14883" width="8" customWidth="1"/>
    <col min="14884" max="14884" width="17.7109375" bestFit="1" customWidth="1"/>
    <col min="14885" max="14885" width="8.42578125" customWidth="1"/>
    <col min="14886" max="14888" width="14.5703125" bestFit="1" customWidth="1"/>
    <col min="14889" max="14889" width="9.42578125" bestFit="1" customWidth="1"/>
    <col min="14890" max="14890" width="19.28515625" bestFit="1" customWidth="1"/>
    <col min="14891" max="14891" width="10" bestFit="1" customWidth="1"/>
    <col min="14892" max="14892" width="9.42578125" bestFit="1" customWidth="1"/>
    <col min="14893" max="14893" width="19.28515625" bestFit="1" customWidth="1"/>
    <col min="14894" max="14894" width="10" bestFit="1" customWidth="1"/>
    <col min="14895" max="15104" width="9.140625" customWidth="1"/>
    <col min="15105" max="15105" width="11.5703125" bestFit="1" customWidth="1"/>
    <col min="15106" max="15106" width="11" bestFit="1" customWidth="1"/>
    <col min="15107" max="15107" width="12" customWidth="1"/>
    <col min="15108" max="15108" width="15.42578125" customWidth="1"/>
    <col min="15109" max="15109" width="15.42578125" bestFit="1" customWidth="1"/>
    <col min="15110" max="15110" width="6" bestFit="1" customWidth="1"/>
    <col min="15111" max="15120" width="14.5703125" customWidth="1"/>
    <col min="15121" max="15127" width="14.5703125" bestFit="1" customWidth="1"/>
    <col min="15128" max="15129" width="14.5703125" customWidth="1"/>
    <col min="15130" max="15132" width="14.5703125" bestFit="1" customWidth="1"/>
    <col min="15133" max="15133" width="14.5703125" customWidth="1"/>
    <col min="15134" max="15134" width="14.5703125" bestFit="1" customWidth="1"/>
    <col min="15135" max="15135" width="14.5703125" customWidth="1"/>
    <col min="15136" max="15138" width="14.5703125" bestFit="1" customWidth="1"/>
    <col min="15139" max="15139" width="8" customWidth="1"/>
    <col min="15140" max="15140" width="17.7109375" bestFit="1" customWidth="1"/>
    <col min="15141" max="15141" width="8.42578125" customWidth="1"/>
    <col min="15142" max="15144" width="14.5703125" bestFit="1" customWidth="1"/>
    <col min="15145" max="15145" width="9.42578125" bestFit="1" customWidth="1"/>
    <col min="15146" max="15146" width="19.28515625" bestFit="1" customWidth="1"/>
    <col min="15147" max="15147" width="10" bestFit="1" customWidth="1"/>
    <col min="15148" max="15148" width="9.42578125" bestFit="1" customWidth="1"/>
    <col min="15149" max="15149" width="19.28515625" bestFit="1" customWidth="1"/>
    <col min="15150" max="15150" width="10" bestFit="1" customWidth="1"/>
    <col min="15151" max="15360" width="9.140625" customWidth="1"/>
    <col min="15361" max="15361" width="11.5703125" bestFit="1" customWidth="1"/>
    <col min="15362" max="15362" width="11" bestFit="1" customWidth="1"/>
    <col min="15363" max="15363" width="12" customWidth="1"/>
    <col min="15364" max="15364" width="15.42578125" customWidth="1"/>
    <col min="15365" max="15365" width="15.42578125" bestFit="1" customWidth="1"/>
    <col min="15366" max="15366" width="6" bestFit="1" customWidth="1"/>
    <col min="15367" max="15376" width="14.5703125" customWidth="1"/>
    <col min="15377" max="15383" width="14.5703125" bestFit="1" customWidth="1"/>
    <col min="15384" max="15385" width="14.5703125" customWidth="1"/>
    <col min="15386" max="15388" width="14.5703125" bestFit="1" customWidth="1"/>
    <col min="15389" max="15389" width="14.5703125" customWidth="1"/>
    <col min="15390" max="15390" width="14.5703125" bestFit="1" customWidth="1"/>
    <col min="15391" max="15391" width="14.5703125" customWidth="1"/>
    <col min="15392" max="15394" width="14.5703125" bestFit="1" customWidth="1"/>
    <col min="15395" max="15395" width="8" customWidth="1"/>
    <col min="15396" max="15396" width="17.7109375" bestFit="1" customWidth="1"/>
    <col min="15397" max="15397" width="8.42578125" customWidth="1"/>
    <col min="15398" max="15400" width="14.5703125" bestFit="1" customWidth="1"/>
    <col min="15401" max="15401" width="9.42578125" bestFit="1" customWidth="1"/>
    <col min="15402" max="15402" width="19.28515625" bestFit="1" customWidth="1"/>
    <col min="15403" max="15403" width="10" bestFit="1" customWidth="1"/>
    <col min="15404" max="15404" width="9.42578125" bestFit="1" customWidth="1"/>
    <col min="15405" max="15405" width="19.28515625" bestFit="1" customWidth="1"/>
    <col min="15406" max="15406" width="10" bestFit="1" customWidth="1"/>
    <col min="15407" max="15616" width="9.140625" customWidth="1"/>
    <col min="15617" max="15617" width="11.5703125" bestFit="1" customWidth="1"/>
    <col min="15618" max="15618" width="11" bestFit="1" customWidth="1"/>
    <col min="15619" max="15619" width="12" customWidth="1"/>
    <col min="15620" max="15620" width="15.42578125" customWidth="1"/>
    <col min="15621" max="15621" width="15.42578125" bestFit="1" customWidth="1"/>
    <col min="15622" max="15622" width="6" bestFit="1" customWidth="1"/>
    <col min="15623" max="15632" width="14.5703125" customWidth="1"/>
    <col min="15633" max="15639" width="14.5703125" bestFit="1" customWidth="1"/>
    <col min="15640" max="15641" width="14.5703125" customWidth="1"/>
    <col min="15642" max="15644" width="14.5703125" bestFit="1" customWidth="1"/>
    <col min="15645" max="15645" width="14.5703125" customWidth="1"/>
    <col min="15646" max="15646" width="14.5703125" bestFit="1" customWidth="1"/>
    <col min="15647" max="15647" width="14.5703125" customWidth="1"/>
    <col min="15648" max="15650" width="14.5703125" bestFit="1" customWidth="1"/>
    <col min="15651" max="15651" width="8" customWidth="1"/>
    <col min="15652" max="15652" width="17.7109375" bestFit="1" customWidth="1"/>
    <col min="15653" max="15653" width="8.42578125" customWidth="1"/>
    <col min="15654" max="15656" width="14.5703125" bestFit="1" customWidth="1"/>
    <col min="15657" max="15657" width="9.42578125" bestFit="1" customWidth="1"/>
    <col min="15658" max="15658" width="19.28515625" bestFit="1" customWidth="1"/>
    <col min="15659" max="15659" width="10" bestFit="1" customWidth="1"/>
    <col min="15660" max="15660" width="9.42578125" bestFit="1" customWidth="1"/>
    <col min="15661" max="15661" width="19.28515625" bestFit="1" customWidth="1"/>
    <col min="15662" max="15662" width="10" bestFit="1" customWidth="1"/>
    <col min="15663" max="15872" width="9.140625" customWidth="1"/>
    <col min="15873" max="15873" width="11.5703125" bestFit="1" customWidth="1"/>
    <col min="15874" max="15874" width="11" bestFit="1" customWidth="1"/>
    <col min="15875" max="15875" width="12" customWidth="1"/>
    <col min="15876" max="15876" width="15.42578125" customWidth="1"/>
    <col min="15877" max="15877" width="15.42578125" bestFit="1" customWidth="1"/>
    <col min="15878" max="15878" width="6" bestFit="1" customWidth="1"/>
    <col min="15879" max="15888" width="14.5703125" customWidth="1"/>
    <col min="15889" max="15895" width="14.5703125" bestFit="1" customWidth="1"/>
    <col min="15896" max="15897" width="14.5703125" customWidth="1"/>
    <col min="15898" max="15900" width="14.5703125" bestFit="1" customWidth="1"/>
    <col min="15901" max="15901" width="14.5703125" customWidth="1"/>
    <col min="15902" max="15902" width="14.5703125" bestFit="1" customWidth="1"/>
    <col min="15903" max="15903" width="14.5703125" customWidth="1"/>
    <col min="15904" max="15906" width="14.5703125" bestFit="1" customWidth="1"/>
    <col min="15907" max="15907" width="8" customWidth="1"/>
    <col min="15908" max="15908" width="17.7109375" bestFit="1" customWidth="1"/>
    <col min="15909" max="15909" width="8.42578125" customWidth="1"/>
    <col min="15910" max="15912" width="14.5703125" bestFit="1" customWidth="1"/>
    <col min="15913" max="15913" width="9.42578125" bestFit="1" customWidth="1"/>
    <col min="15914" max="15914" width="19.28515625" bestFit="1" customWidth="1"/>
    <col min="15915" max="15915" width="10" bestFit="1" customWidth="1"/>
    <col min="15916" max="15916" width="9.42578125" bestFit="1" customWidth="1"/>
    <col min="15917" max="15917" width="19.28515625" bestFit="1" customWidth="1"/>
    <col min="15918" max="15918" width="10" bestFit="1" customWidth="1"/>
    <col min="15919" max="16128" width="9.140625" customWidth="1"/>
    <col min="16129" max="16129" width="11.5703125" bestFit="1" customWidth="1"/>
    <col min="16130" max="16130" width="11" bestFit="1" customWidth="1"/>
    <col min="16131" max="16131" width="12" customWidth="1"/>
    <col min="16132" max="16132" width="15.42578125" customWidth="1"/>
    <col min="16133" max="16133" width="15.42578125" bestFit="1" customWidth="1"/>
    <col min="16134" max="16134" width="6" bestFit="1" customWidth="1"/>
    <col min="16135" max="16144" width="14.5703125" customWidth="1"/>
    <col min="16145" max="16151" width="14.5703125" bestFit="1" customWidth="1"/>
    <col min="16152" max="16153" width="14.5703125" customWidth="1"/>
    <col min="16154" max="16156" width="14.5703125" bestFit="1" customWidth="1"/>
    <col min="16157" max="16157" width="14.5703125" customWidth="1"/>
    <col min="16158" max="16158" width="14.5703125" bestFit="1" customWidth="1"/>
    <col min="16159" max="16159" width="14.5703125" customWidth="1"/>
    <col min="16160" max="16162" width="14.5703125" bestFit="1" customWidth="1"/>
    <col min="16163" max="16163" width="8" customWidth="1"/>
    <col min="16164" max="16164" width="17.7109375" bestFit="1" customWidth="1"/>
    <col min="16165" max="16165" width="8.42578125" customWidth="1"/>
    <col min="16166" max="16168" width="14.5703125" bestFit="1" customWidth="1"/>
    <col min="16169" max="16169" width="9.42578125" bestFit="1" customWidth="1"/>
    <col min="16170" max="16170" width="19.28515625" bestFit="1" customWidth="1"/>
    <col min="16171" max="16171" width="10" bestFit="1" customWidth="1"/>
    <col min="16172" max="16172" width="9.42578125" bestFit="1" customWidth="1"/>
    <col min="16173" max="16173" width="19.28515625" bestFit="1" customWidth="1"/>
    <col min="16174" max="16174" width="10" bestFit="1" customWidth="1"/>
    <col min="16175" max="16384" width="9.140625" customWidth="1"/>
  </cols>
  <sheetData>
    <row r="1" spans="1:4">
      <c r="A1" s="1491" t="s">
        <v>3662</v>
      </c>
      <c r="B1" s="1475" t="s" vm="1">
        <v>3663</v>
      </c>
    </row>
    <row r="3" spans="1:4">
      <c r="A3" s="1476"/>
      <c r="B3" s="1477"/>
      <c r="C3" s="1490" t="s">
        <v>3664</v>
      </c>
      <c r="D3" s="1478"/>
    </row>
    <row r="4" spans="1:4">
      <c r="A4" s="1490" t="s">
        <v>2904</v>
      </c>
      <c r="B4" s="1490" t="s">
        <v>3665</v>
      </c>
      <c r="C4" s="1476" t="s">
        <v>1997</v>
      </c>
      <c r="D4" s="1479" t="s">
        <v>3666</v>
      </c>
    </row>
    <row r="5" spans="1:4">
      <c r="A5" s="1476" t="s">
        <v>3667</v>
      </c>
      <c r="B5" s="1476" t="s">
        <v>3668</v>
      </c>
      <c r="C5" s="1480">
        <v>1511189463.8699999</v>
      </c>
      <c r="D5" s="1481">
        <v>1511189463.859107</v>
      </c>
    </row>
    <row r="6" spans="1:4">
      <c r="A6" s="1482"/>
      <c r="B6" s="1483" t="s">
        <v>3669</v>
      </c>
      <c r="C6" s="1484">
        <v>326004287.93000007</v>
      </c>
      <c r="D6" s="1485">
        <v>1837193751.7995138</v>
      </c>
    </row>
    <row r="7" spans="1:4">
      <c r="A7" s="1482"/>
      <c r="B7" s="1483" t="s">
        <v>3670</v>
      </c>
      <c r="C7" s="1484">
        <v>644454437.96999991</v>
      </c>
      <c r="D7" s="1485">
        <v>2481648189.7757592</v>
      </c>
    </row>
    <row r="8" spans="1:4">
      <c r="A8" s="1476" t="s">
        <v>3671</v>
      </c>
      <c r="B8" s="1477"/>
      <c r="C8" s="1480">
        <v>2481648189.77</v>
      </c>
      <c r="D8" s="1481">
        <v>2481648189.7757592</v>
      </c>
    </row>
    <row r="9" spans="1:4">
      <c r="A9" s="1476" t="s">
        <v>3672</v>
      </c>
      <c r="B9" s="1476" t="s">
        <v>3673</v>
      </c>
      <c r="C9" s="1480">
        <v>1462945175.3700001</v>
      </c>
      <c r="D9" s="1481">
        <v>3944593365.0757303</v>
      </c>
    </row>
    <row r="10" spans="1:4">
      <c r="A10" s="1482"/>
      <c r="B10" s="1483" t="s">
        <v>3668</v>
      </c>
      <c r="C10" s="1484">
        <v>1504003547.3599999</v>
      </c>
      <c r="D10" s="1485">
        <v>5448596912.3708382</v>
      </c>
    </row>
    <row r="11" spans="1:4">
      <c r="A11" s="1482"/>
      <c r="B11" s="1483" t="s">
        <v>3669</v>
      </c>
      <c r="C11" s="1484">
        <v>1323234077.5699999</v>
      </c>
      <c r="D11" s="1485">
        <v>6771830989.9200077</v>
      </c>
    </row>
    <row r="12" spans="1:4">
      <c r="A12" s="1476" t="s">
        <v>3674</v>
      </c>
      <c r="B12" s="1477"/>
      <c r="C12" s="1480">
        <v>4290182800.3000007</v>
      </c>
      <c r="D12" s="1481">
        <v>6771830989.9200077</v>
      </c>
    </row>
    <row r="13" spans="1:4">
      <c r="A13" s="1486" t="s">
        <v>3675</v>
      </c>
      <c r="B13" s="1487"/>
      <c r="C13" s="1488">
        <v>6771830990.0699997</v>
      </c>
      <c r="D13" s="1489">
        <v>6771830989.9200077</v>
      </c>
    </row>
  </sheetData>
  <pageMargins left="0.75" right="0.75" top="1" bottom="1" header="0.5" footer="0.5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1"/>
  <sheetViews>
    <sheetView topLeftCell="A70" zoomScaleNormal="100" workbookViewId="0">
      <selection activeCell="B78" sqref="B78:D86"/>
    </sheetView>
  </sheetViews>
  <sheetFormatPr baseColWidth="10" defaultRowHeight="12.75"/>
  <cols>
    <col min="2" max="2" width="14.140625" customWidth="1"/>
    <col min="3" max="3" width="13" customWidth="1"/>
    <col min="4" max="4" width="19.28515625" customWidth="1"/>
    <col min="6" max="6" width="16.140625" bestFit="1" customWidth="1"/>
  </cols>
  <sheetData>
    <row r="1" spans="1:8">
      <c r="A1" s="1965" t="s">
        <v>274</v>
      </c>
      <c r="B1" s="1965"/>
      <c r="C1" s="1965"/>
      <c r="D1" s="1965"/>
      <c r="E1" s="1965"/>
      <c r="F1" s="1965"/>
      <c r="G1" s="1965"/>
      <c r="H1" s="1965"/>
    </row>
    <row r="2" spans="1:8">
      <c r="A2" s="1965"/>
      <c r="B2" s="1965"/>
      <c r="C2" s="1965"/>
      <c r="D2" s="1965"/>
      <c r="E2" s="1965"/>
      <c r="F2" s="1965"/>
      <c r="G2" s="1965"/>
      <c r="H2" s="1965"/>
    </row>
    <row r="3" spans="1:8">
      <c r="A3" s="1966" t="s">
        <v>30</v>
      </c>
      <c r="B3" s="1967" t="s">
        <v>31</v>
      </c>
      <c r="C3" s="1967"/>
      <c r="D3" s="1967"/>
      <c r="E3" s="712" t="s">
        <v>32</v>
      </c>
      <c r="F3" s="1968" t="s">
        <v>33</v>
      </c>
      <c r="G3" s="712" t="s">
        <v>34</v>
      </c>
      <c r="H3" s="712" t="s">
        <v>35</v>
      </c>
    </row>
    <row r="4" spans="1:8">
      <c r="A4" s="1966"/>
      <c r="B4" s="1967"/>
      <c r="C4" s="1967"/>
      <c r="D4" s="1967"/>
      <c r="E4" s="712" t="s">
        <v>36</v>
      </c>
      <c r="F4" s="1968"/>
      <c r="G4" s="712" t="s">
        <v>37</v>
      </c>
      <c r="H4" s="712" t="s">
        <v>38</v>
      </c>
    </row>
    <row r="5" spans="1:8">
      <c r="A5" s="1971" t="s">
        <v>1441</v>
      </c>
      <c r="B5" s="1971"/>
      <c r="C5" s="1971"/>
      <c r="D5" s="1971"/>
      <c r="E5" s="1971"/>
      <c r="F5" s="1971"/>
      <c r="G5" s="1971"/>
      <c r="H5" s="1971"/>
    </row>
    <row r="6" spans="1:8" ht="14.25" customHeight="1">
      <c r="A6" s="28"/>
      <c r="B6" s="1957" t="s">
        <v>1440</v>
      </c>
      <c r="C6" s="1957"/>
      <c r="D6" s="1957"/>
      <c r="E6" s="1952" t="s">
        <v>55</v>
      </c>
      <c r="F6" s="1969">
        <f>(+'3.Concreto'!C68)*5</f>
        <v>4425.0544999999993</v>
      </c>
      <c r="G6" s="1952"/>
      <c r="H6" s="1952"/>
    </row>
    <row r="7" spans="1:8">
      <c r="A7" s="28"/>
      <c r="B7" s="1957"/>
      <c r="C7" s="1957"/>
      <c r="D7" s="1957"/>
      <c r="E7" s="1952"/>
      <c r="F7" s="1970"/>
      <c r="G7" s="1952"/>
      <c r="H7" s="1952"/>
    </row>
    <row r="8" spans="1:8">
      <c r="A8" s="28"/>
      <c r="B8" s="1959" t="s">
        <v>107</v>
      </c>
      <c r="C8" s="1964"/>
      <c r="D8" s="1964"/>
      <c r="E8" s="51" t="s">
        <v>49</v>
      </c>
      <c r="F8" s="713">
        <f>+'3.Concreto'!I73</f>
        <v>1312.2009600000001</v>
      </c>
      <c r="G8" s="714">
        <f>+F8/F6</f>
        <v>0.29653893754302918</v>
      </c>
      <c r="H8" s="28" t="s">
        <v>56</v>
      </c>
    </row>
    <row r="9" spans="1:8">
      <c r="A9" s="28"/>
      <c r="B9" s="1959" t="s">
        <v>106</v>
      </c>
      <c r="C9" s="1964"/>
      <c r="D9" s="1964"/>
      <c r="E9" s="51" t="s">
        <v>39</v>
      </c>
      <c r="F9" s="713">
        <f>(+'4. Refuerzo'!H907)*5+F18</f>
        <v>196532.66567999998</v>
      </c>
      <c r="G9" s="714">
        <f>F9/$F$6</f>
        <v>44.41361472045147</v>
      </c>
      <c r="H9" s="28" t="s">
        <v>57</v>
      </c>
    </row>
    <row r="10" spans="1:8">
      <c r="A10" s="28"/>
      <c r="B10" s="1950" t="str">
        <f>+'4. Refuerzo'!$H$7</f>
        <v>1/4 (0.25)</v>
      </c>
      <c r="C10" s="1950"/>
      <c r="D10" s="1950"/>
      <c r="E10" s="51" t="s">
        <v>39</v>
      </c>
      <c r="F10" s="713">
        <f>(+'4. Refuerzo'!H906)*5</f>
        <v>3207.6250000000005</v>
      </c>
      <c r="G10" s="714">
        <f t="shared" ref="G10:G17" si="0">F10/$F$6</f>
        <v>0.72487807777282764</v>
      </c>
      <c r="H10" s="28" t="s">
        <v>57</v>
      </c>
    </row>
    <row r="11" spans="1:8">
      <c r="A11" s="28"/>
      <c r="B11" s="1950" t="str">
        <f>+'4. Refuerzo'!$I$7</f>
        <v>3/8 (0.56)</v>
      </c>
      <c r="C11" s="1950"/>
      <c r="D11" s="1950"/>
      <c r="E11" s="51" t="s">
        <v>39</v>
      </c>
      <c r="F11" s="713">
        <f>(+'4. Refuerzo'!I906)*5</f>
        <v>17736.376</v>
      </c>
      <c r="G11" s="714">
        <f t="shared" si="0"/>
        <v>4.008171198795405</v>
      </c>
      <c r="H11" s="28" t="s">
        <v>57</v>
      </c>
    </row>
    <row r="12" spans="1:8">
      <c r="A12" s="28"/>
      <c r="B12" s="1950" t="str">
        <f>+'4. Refuerzo'!$J$7</f>
        <v>1/2 (1.00)</v>
      </c>
      <c r="C12" s="1950"/>
      <c r="D12" s="1950"/>
      <c r="E12" s="51" t="s">
        <v>39</v>
      </c>
      <c r="F12" s="713">
        <f>(+'4. Refuerzo'!J906)*5</f>
        <v>8971.0600000000013</v>
      </c>
      <c r="G12" s="714">
        <f t="shared" si="0"/>
        <v>2.0273332226755634</v>
      </c>
      <c r="H12" s="28" t="s">
        <v>57</v>
      </c>
    </row>
    <row r="13" spans="1:8">
      <c r="A13" s="28"/>
      <c r="B13" s="1950" t="str">
        <f>+'4. Refuerzo'!$K$7</f>
        <v>5/8 (1.55)</v>
      </c>
      <c r="C13" s="1950"/>
      <c r="D13" s="1950"/>
      <c r="E13" s="51" t="s">
        <v>39</v>
      </c>
      <c r="F13" s="713">
        <f>(+'4. Refuerzo'!K906)*5</f>
        <v>14732.025000000001</v>
      </c>
      <c r="G13" s="714">
        <f t="shared" si="0"/>
        <v>3.3292301823627266</v>
      </c>
      <c r="H13" s="28" t="s">
        <v>57</v>
      </c>
    </row>
    <row r="14" spans="1:8">
      <c r="A14" s="28"/>
      <c r="B14" s="1950" t="str">
        <f>+'4. Refuerzo'!$L$7</f>
        <v>3/4 (2.24)</v>
      </c>
      <c r="C14" s="1950"/>
      <c r="D14" s="1950"/>
      <c r="E14" s="51" t="s">
        <v>39</v>
      </c>
      <c r="F14" s="713">
        <f>(+'4. Refuerzo'!L906)*5</f>
        <v>10459.055000000004</v>
      </c>
      <c r="G14" s="714">
        <f t="shared" si="0"/>
        <v>2.3635991375925438</v>
      </c>
      <c r="H14" s="28" t="s">
        <v>57</v>
      </c>
    </row>
    <row r="15" spans="1:8">
      <c r="A15" s="28"/>
      <c r="B15" s="1950" t="s">
        <v>271</v>
      </c>
      <c r="C15" s="1950"/>
      <c r="D15" s="1950"/>
      <c r="E15" s="51" t="s">
        <v>39</v>
      </c>
      <c r="F15" s="713">
        <f>(+'4. Refuerzo'!M906)*5</f>
        <v>8251.5</v>
      </c>
      <c r="G15" s="714">
        <f t="shared" si="0"/>
        <v>1.8647227960695176</v>
      </c>
      <c r="H15" s="28" t="s">
        <v>57</v>
      </c>
    </row>
    <row r="16" spans="1:8">
      <c r="A16" s="28"/>
      <c r="B16" s="1950" t="s">
        <v>272</v>
      </c>
      <c r="C16" s="1950"/>
      <c r="D16" s="1950"/>
      <c r="E16" s="51" t="s">
        <v>39</v>
      </c>
      <c r="F16" s="713">
        <f>(+'4. Refuerzo'!N906)*5</f>
        <v>28356</v>
      </c>
      <c r="G16" s="714">
        <f t="shared" si="0"/>
        <v>6.4080566691325505</v>
      </c>
      <c r="H16" s="28" t="s">
        <v>57</v>
      </c>
    </row>
    <row r="17" spans="1:10">
      <c r="A17" s="28"/>
      <c r="B17" s="1950" t="s">
        <v>18</v>
      </c>
      <c r="C17" s="1950"/>
      <c r="D17" s="1950"/>
      <c r="E17" s="51" t="s">
        <v>39</v>
      </c>
      <c r="F17" s="713">
        <f>(+'4. Refuerzo'!O906)*5</f>
        <v>84965.43</v>
      </c>
      <c r="G17" s="714">
        <f t="shared" si="0"/>
        <v>19.200990631866794</v>
      </c>
      <c r="H17" s="28" t="s">
        <v>57</v>
      </c>
    </row>
    <row r="18" spans="1:10">
      <c r="A18" s="28"/>
      <c r="B18" s="1950" t="s">
        <v>273</v>
      </c>
      <c r="C18" s="1958"/>
      <c r="D18" s="1958"/>
      <c r="E18" s="51" t="s">
        <v>39</v>
      </c>
      <c r="F18" s="713">
        <f>(+'5. Malla'!J31)*5</f>
        <v>19853.594679999995</v>
      </c>
      <c r="G18" s="714">
        <f>F18/$F$6</f>
        <v>4.4866328041835413</v>
      </c>
      <c r="H18" s="28" t="s">
        <v>57</v>
      </c>
    </row>
    <row r="19" spans="1:10">
      <c r="A19" s="28"/>
      <c r="B19" s="1959" t="s">
        <v>108</v>
      </c>
      <c r="C19" s="1959"/>
      <c r="D19" s="1959"/>
      <c r="E19" s="51" t="s">
        <v>55</v>
      </c>
      <c r="F19" s="713">
        <f>(+'20. Casetones'!H74)*5</f>
        <v>2240.6539999999991</v>
      </c>
      <c r="G19" s="714">
        <f>F19/F6</f>
        <v>0.50635624939760615</v>
      </c>
      <c r="H19" s="28" t="s">
        <v>109</v>
      </c>
    </row>
    <row r="20" spans="1:10">
      <c r="A20" s="1953"/>
      <c r="B20" s="1954"/>
      <c r="C20" s="1954"/>
      <c r="D20" s="1954"/>
      <c r="E20" s="1954"/>
      <c r="F20" s="1954"/>
      <c r="G20" s="1954"/>
      <c r="H20" s="1955"/>
      <c r="J20" s="29" t="s">
        <v>111</v>
      </c>
    </row>
    <row r="21" spans="1:10">
      <c r="A21" s="1956" t="s">
        <v>1442</v>
      </c>
      <c r="B21" s="1956"/>
      <c r="C21" s="1956"/>
      <c r="D21" s="1956"/>
      <c r="E21" s="1956"/>
      <c r="F21" s="1956"/>
      <c r="G21" s="1956"/>
      <c r="H21" s="1956"/>
    </row>
    <row r="22" spans="1:10">
      <c r="A22" s="28"/>
      <c r="B22" s="1957" t="s">
        <v>1440</v>
      </c>
      <c r="C22" s="1957"/>
      <c r="D22" s="1957"/>
      <c r="E22" s="1952" t="s">
        <v>55</v>
      </c>
      <c r="F22" s="1960">
        <f>(+'3.Concreto'!N49)*4</f>
        <v>3660.3143999999998</v>
      </c>
      <c r="G22" s="1952"/>
      <c r="H22" s="1952"/>
    </row>
    <row r="23" spans="1:10">
      <c r="A23" s="28"/>
      <c r="B23" s="1957"/>
      <c r="C23" s="1957"/>
      <c r="D23" s="1957"/>
      <c r="E23" s="1952"/>
      <c r="F23" s="1952"/>
      <c r="G23" s="1952"/>
      <c r="H23" s="1952"/>
    </row>
    <row r="24" spans="1:10">
      <c r="A24" s="28"/>
      <c r="B24" s="1959" t="s">
        <v>107</v>
      </c>
      <c r="C24" s="1964"/>
      <c r="D24" s="1964"/>
      <c r="E24" s="51" t="s">
        <v>49</v>
      </c>
      <c r="F24" s="713">
        <f>+'3.Concreto'!T54</f>
        <v>647.79484799999989</v>
      </c>
      <c r="G24" s="28">
        <f>+F24/$F$22</f>
        <v>0.17697792517495217</v>
      </c>
      <c r="H24" s="28" t="s">
        <v>56</v>
      </c>
    </row>
    <row r="25" spans="1:10" ht="12.75" customHeight="1">
      <c r="A25" s="28"/>
      <c r="B25" s="1959" t="s">
        <v>106</v>
      </c>
      <c r="C25" s="1964"/>
      <c r="D25" s="1964"/>
      <c r="E25" s="51" t="s">
        <v>39</v>
      </c>
      <c r="F25" s="28">
        <f>(+'4. Refuerzo'!H1372)*5+F34</f>
        <v>64501.337811999998</v>
      </c>
      <c r="G25" s="28">
        <f t="shared" ref="G25:G35" si="1">+F25/$F$22</f>
        <v>17.621802600344932</v>
      </c>
      <c r="H25" s="28" t="s">
        <v>57</v>
      </c>
    </row>
    <row r="26" spans="1:10" ht="12.75" customHeight="1">
      <c r="A26" s="28"/>
      <c r="B26" s="1950" t="str">
        <f>+'4. Refuerzo'!$H$7</f>
        <v>1/4 (0.25)</v>
      </c>
      <c r="C26" s="1950"/>
      <c r="D26" s="1950"/>
      <c r="E26" s="51" t="s">
        <v>39</v>
      </c>
      <c r="F26" s="28">
        <f>(+'4. Refuerzo'!H1371)*5</f>
        <v>2037.6749999999997</v>
      </c>
      <c r="G26" s="28">
        <f t="shared" si="1"/>
        <v>0.55669398235299128</v>
      </c>
      <c r="H26" s="28" t="s">
        <v>57</v>
      </c>
    </row>
    <row r="27" spans="1:10">
      <c r="A27" s="28"/>
      <c r="B27" s="1950" t="str">
        <f>+'4. Refuerzo'!$I$7</f>
        <v>3/8 (0.56)</v>
      </c>
      <c r="C27" s="1950"/>
      <c r="D27" s="1950"/>
      <c r="E27" s="51" t="s">
        <v>39</v>
      </c>
      <c r="F27" s="28">
        <f>(+'4. Refuerzo'!I1371)*5</f>
        <v>6771.0720000000019</v>
      </c>
      <c r="G27" s="28">
        <f t="shared" si="1"/>
        <v>1.8498607660587851</v>
      </c>
      <c r="H27" s="28" t="s">
        <v>57</v>
      </c>
    </row>
    <row r="28" spans="1:10">
      <c r="A28" s="28"/>
      <c r="B28" s="1950" t="str">
        <f>+'4. Refuerzo'!$J$7</f>
        <v>1/2 (1.00)</v>
      </c>
      <c r="C28" s="1950"/>
      <c r="D28" s="1950"/>
      <c r="E28" s="51" t="s">
        <v>39</v>
      </c>
      <c r="F28" s="28">
        <f>(+'4. Refuerzo'!J1371)*5</f>
        <v>3929.25</v>
      </c>
      <c r="G28" s="28">
        <f t="shared" si="1"/>
        <v>1.0734733606490197</v>
      </c>
      <c r="H28" s="28" t="s">
        <v>57</v>
      </c>
    </row>
    <row r="29" spans="1:10">
      <c r="A29" s="28"/>
      <c r="B29" s="1950" t="str">
        <f>+'4. Refuerzo'!$K$7</f>
        <v>5/8 (1.55)</v>
      </c>
      <c r="C29" s="1950"/>
      <c r="D29" s="1950"/>
      <c r="E29" s="51" t="s">
        <v>39</v>
      </c>
      <c r="F29" s="28">
        <f>(+'4. Refuerzo'!K1371)*5</f>
        <v>4644.1875</v>
      </c>
      <c r="G29" s="28">
        <f t="shared" si="1"/>
        <v>1.2687946969801283</v>
      </c>
      <c r="H29" s="28" t="s">
        <v>57</v>
      </c>
    </row>
    <row r="30" spans="1:10">
      <c r="A30" s="28"/>
      <c r="B30" s="1950" t="str">
        <f>+'4. Refuerzo'!$L$7</f>
        <v>3/4 (2.24)</v>
      </c>
      <c r="C30" s="1950"/>
      <c r="D30" s="1950"/>
      <c r="E30" s="51" t="s">
        <v>39</v>
      </c>
      <c r="F30" s="28">
        <f>(+'4. Refuerzo'!L1371)*5</f>
        <v>3879.6799999999994</v>
      </c>
      <c r="G30" s="28">
        <f t="shared" si="1"/>
        <v>1.0599308081294874</v>
      </c>
      <c r="H30" s="28" t="s">
        <v>57</v>
      </c>
    </row>
    <row r="31" spans="1:10">
      <c r="A31" s="28"/>
      <c r="B31" s="1950" t="s">
        <v>271</v>
      </c>
      <c r="C31" s="1950"/>
      <c r="D31" s="1950"/>
      <c r="E31" s="51" t="s">
        <v>39</v>
      </c>
      <c r="F31" s="28">
        <f>(+'4. Refuerzo'!M1371)*5</f>
        <v>5200.5</v>
      </c>
      <c r="G31" s="28">
        <f t="shared" si="1"/>
        <v>1.4207795920481585</v>
      </c>
      <c r="H31" s="28" t="s">
        <v>57</v>
      </c>
    </row>
    <row r="32" spans="1:10">
      <c r="A32" s="28"/>
      <c r="B32" s="1950" t="s">
        <v>272</v>
      </c>
      <c r="C32" s="1950"/>
      <c r="D32" s="1950"/>
      <c r="E32" s="51" t="s">
        <v>39</v>
      </c>
      <c r="F32" s="28">
        <f>(+'4. Refuerzo'!N1371)*5</f>
        <v>12518.000000000002</v>
      </c>
      <c r="G32" s="28">
        <f t="shared" si="1"/>
        <v>3.41992480208804</v>
      </c>
      <c r="H32" s="28" t="s">
        <v>57</v>
      </c>
    </row>
    <row r="33" spans="1:8">
      <c r="A33" s="28"/>
      <c r="B33" s="1950" t="s">
        <v>18</v>
      </c>
      <c r="C33" s="1950"/>
      <c r="D33" s="1950"/>
      <c r="E33" s="51" t="s">
        <v>39</v>
      </c>
      <c r="F33" s="28">
        <f>(+'4. Refuerzo'!O1371)*5</f>
        <v>18835.2</v>
      </c>
      <c r="G33" s="28">
        <f t="shared" si="1"/>
        <v>5.1457874766167633</v>
      </c>
      <c r="H33" s="28" t="s">
        <v>57</v>
      </c>
    </row>
    <row r="34" spans="1:8">
      <c r="A34" s="28"/>
      <c r="B34" s="1950" t="s">
        <v>273</v>
      </c>
      <c r="C34" s="1958"/>
      <c r="D34" s="1958"/>
      <c r="E34" s="51" t="s">
        <v>39</v>
      </c>
      <c r="F34" s="28">
        <f>+'5. Malla'!J65</f>
        <v>6685.7733119999994</v>
      </c>
      <c r="G34" s="28">
        <f t="shared" si="1"/>
        <v>1.8265571154215605</v>
      </c>
      <c r="H34" s="28" t="s">
        <v>57</v>
      </c>
    </row>
    <row r="35" spans="1:8">
      <c r="A35" s="28"/>
      <c r="B35" s="1959" t="s">
        <v>108</v>
      </c>
      <c r="C35" s="1959"/>
      <c r="D35" s="1959"/>
      <c r="E35" s="51" t="s">
        <v>55</v>
      </c>
      <c r="F35" s="28">
        <f>(+'20. Casetones'!Q50)*4</f>
        <v>1416.2400000000002</v>
      </c>
      <c r="G35" s="28">
        <f t="shared" si="1"/>
        <v>0.38691758281747612</v>
      </c>
      <c r="H35" s="28" t="s">
        <v>109</v>
      </c>
    </row>
    <row r="36" spans="1:8">
      <c r="A36" s="1953"/>
      <c r="B36" s="1954"/>
      <c r="C36" s="1954"/>
      <c r="D36" s="1954"/>
      <c r="E36" s="1954"/>
      <c r="F36" s="1954"/>
      <c r="G36" s="1954"/>
      <c r="H36" s="1955"/>
    </row>
    <row r="37" spans="1:8">
      <c r="A37" s="1956" t="s">
        <v>494</v>
      </c>
      <c r="B37" s="1956"/>
      <c r="C37" s="1956"/>
      <c r="D37" s="1956"/>
      <c r="E37" s="1956"/>
      <c r="F37" s="1956"/>
      <c r="G37" s="1956"/>
      <c r="H37" s="1956"/>
    </row>
    <row r="38" spans="1:8">
      <c r="A38" s="28"/>
      <c r="B38" s="1957" t="s">
        <v>1446</v>
      </c>
      <c r="C38" s="1957"/>
      <c r="D38" s="1957"/>
      <c r="E38" s="1952" t="s">
        <v>49</v>
      </c>
      <c r="F38" s="1960">
        <f>+'3.Concreto'!I102</f>
        <v>128.13299999999998</v>
      </c>
      <c r="G38" s="1952"/>
      <c r="H38" s="1952"/>
    </row>
    <row r="39" spans="1:8">
      <c r="A39" s="28"/>
      <c r="B39" s="1957"/>
      <c r="C39" s="1957"/>
      <c r="D39" s="1957"/>
      <c r="E39" s="1952"/>
      <c r="F39" s="1952"/>
      <c r="G39" s="1952"/>
      <c r="H39" s="1952"/>
    </row>
    <row r="40" spans="1:8">
      <c r="A40" s="28"/>
      <c r="B40" s="1959" t="s">
        <v>107</v>
      </c>
      <c r="C40" s="1964"/>
      <c r="D40" s="1964"/>
      <c r="E40" s="51" t="s">
        <v>49</v>
      </c>
      <c r="F40" s="28">
        <v>128.13299999999998</v>
      </c>
      <c r="G40" s="28">
        <f>+F40/$F$38</f>
        <v>1</v>
      </c>
      <c r="H40" s="28" t="s">
        <v>1447</v>
      </c>
    </row>
    <row r="41" spans="1:8">
      <c r="A41" s="28"/>
      <c r="B41" s="1959" t="s">
        <v>106</v>
      </c>
      <c r="C41" s="1964"/>
      <c r="D41" s="1964"/>
      <c r="E41" s="51" t="s">
        <v>39</v>
      </c>
      <c r="F41" s="28">
        <f>+'4. Refuerzo'!H1894</f>
        <v>10435.615000000002</v>
      </c>
      <c r="G41" s="28">
        <f t="shared" ref="G41:G49" si="2">+F41/$F$38</f>
        <v>81.44361717902494</v>
      </c>
      <c r="H41" s="28" t="s">
        <v>270</v>
      </c>
    </row>
    <row r="42" spans="1:8">
      <c r="A42" s="28"/>
      <c r="B42" s="1950" t="str">
        <f>+'4. Refuerzo'!$H$7</f>
        <v>1/4 (0.25)</v>
      </c>
      <c r="C42" s="1950"/>
      <c r="D42" s="1950"/>
      <c r="E42" s="51" t="s">
        <v>39</v>
      </c>
      <c r="F42" s="28">
        <f>+'4. Refuerzo'!H1893</f>
        <v>0</v>
      </c>
      <c r="G42" s="28">
        <f t="shared" si="2"/>
        <v>0</v>
      </c>
      <c r="H42" s="28" t="s">
        <v>270</v>
      </c>
    </row>
    <row r="43" spans="1:8">
      <c r="A43" s="28"/>
      <c r="B43" s="1950" t="str">
        <f>+'4. Refuerzo'!$I$7</f>
        <v>3/8 (0.56)</v>
      </c>
      <c r="C43" s="1950"/>
      <c r="D43" s="1950"/>
      <c r="E43" s="51" t="s">
        <v>39</v>
      </c>
      <c r="F43" s="28">
        <f>+'4. Refuerzo'!I1893</f>
        <v>3113.8799999999997</v>
      </c>
      <c r="G43" s="28">
        <f t="shared" si="2"/>
        <v>24.301936269345134</v>
      </c>
      <c r="H43" s="28" t="s">
        <v>270</v>
      </c>
    </row>
    <row r="44" spans="1:8">
      <c r="A44" s="28"/>
      <c r="B44" s="1950" t="str">
        <f>+'4. Refuerzo'!$J$7</f>
        <v>1/2 (1.00)</v>
      </c>
      <c r="C44" s="1950"/>
      <c r="D44" s="1950"/>
      <c r="E44" s="51" t="s">
        <v>39</v>
      </c>
      <c r="F44" s="28">
        <f>+'4. Refuerzo'!J1893</f>
        <v>1575.35</v>
      </c>
      <c r="G44" s="28">
        <f t="shared" si="2"/>
        <v>12.294646968384415</v>
      </c>
      <c r="H44" s="28" t="s">
        <v>270</v>
      </c>
    </row>
    <row r="45" spans="1:8">
      <c r="A45" s="28"/>
      <c r="B45" s="1950" t="str">
        <f>+'4. Refuerzo'!$K$7</f>
        <v>5/8 (1.55)</v>
      </c>
      <c r="C45" s="1950"/>
      <c r="D45" s="1950"/>
      <c r="E45" s="51" t="s">
        <v>39</v>
      </c>
      <c r="F45" s="28">
        <f>+'4. Refuerzo'!K1893</f>
        <v>1823.2650000000001</v>
      </c>
      <c r="G45" s="28">
        <f t="shared" si="2"/>
        <v>14.229472501229194</v>
      </c>
      <c r="H45" s="28" t="s">
        <v>270</v>
      </c>
    </row>
    <row r="46" spans="1:8">
      <c r="A46" s="28"/>
      <c r="B46" s="1950" t="str">
        <f>+'4. Refuerzo'!$L$7</f>
        <v>3/4 (2.24)</v>
      </c>
      <c r="C46" s="1950"/>
      <c r="D46" s="1950"/>
      <c r="E46" s="51" t="s">
        <v>39</v>
      </c>
      <c r="F46" s="28">
        <f>+'4. Refuerzo'!L1893</f>
        <v>2666.72</v>
      </c>
      <c r="G46" s="28">
        <f t="shared" si="2"/>
        <v>20.81212490146957</v>
      </c>
      <c r="H46" s="28" t="s">
        <v>270</v>
      </c>
    </row>
    <row r="47" spans="1:8">
      <c r="A47" s="28"/>
      <c r="B47" s="1950" t="s">
        <v>271</v>
      </c>
      <c r="C47" s="1950"/>
      <c r="D47" s="1950"/>
      <c r="E47" s="51" t="s">
        <v>39</v>
      </c>
      <c r="F47" s="28">
        <f>+'4. Refuerzo'!M1893</f>
        <v>201.6</v>
      </c>
      <c r="G47" s="28">
        <f t="shared" si="2"/>
        <v>1.5733651752475946</v>
      </c>
      <c r="H47" s="28" t="s">
        <v>270</v>
      </c>
    </row>
    <row r="48" spans="1:8">
      <c r="A48" s="5"/>
      <c r="B48" s="1950" t="s">
        <v>272</v>
      </c>
      <c r="C48" s="1950"/>
      <c r="D48" s="1950"/>
      <c r="E48" s="51" t="s">
        <v>39</v>
      </c>
      <c r="F48" s="28">
        <f>+'4. Refuerzo'!N1893</f>
        <v>485.2</v>
      </c>
      <c r="G48" s="28">
        <f t="shared" si="2"/>
        <v>3.786690392014548</v>
      </c>
      <c r="H48" s="28" t="s">
        <v>270</v>
      </c>
    </row>
    <row r="49" spans="1:8">
      <c r="A49" s="5"/>
      <c r="B49" s="1950" t="s">
        <v>18</v>
      </c>
      <c r="C49" s="1950"/>
      <c r="D49" s="1950"/>
      <c r="E49" s="51" t="s">
        <v>39</v>
      </c>
      <c r="F49" s="28">
        <f>+'4. Refuerzo'!O1893</f>
        <v>569.6</v>
      </c>
      <c r="G49" s="28">
        <f t="shared" si="2"/>
        <v>4.4453809713344734</v>
      </c>
      <c r="H49" s="28" t="s">
        <v>270</v>
      </c>
    </row>
    <row r="50" spans="1:8">
      <c r="A50" s="1961"/>
      <c r="B50" s="1962"/>
      <c r="C50" s="1962"/>
      <c r="D50" s="1962"/>
      <c r="E50" s="1962"/>
      <c r="F50" s="1962"/>
      <c r="G50" s="1962"/>
      <c r="H50" s="1963"/>
    </row>
    <row r="51" spans="1:8">
      <c r="A51" s="1956" t="s">
        <v>514</v>
      </c>
      <c r="B51" s="1956"/>
      <c r="C51" s="1956"/>
      <c r="D51" s="1956"/>
      <c r="E51" s="1956"/>
      <c r="F51" s="1956"/>
      <c r="G51" s="1956"/>
      <c r="H51" s="1956"/>
    </row>
    <row r="52" spans="1:8">
      <c r="A52" s="5"/>
      <c r="B52" s="1957" t="s">
        <v>1448</v>
      </c>
      <c r="C52" s="1957"/>
      <c r="D52" s="1957"/>
      <c r="E52" s="1952" t="s">
        <v>49</v>
      </c>
      <c r="F52" s="1951">
        <f>+'2. Movimiento de tierra'!H25</f>
        <v>280.42316792865017</v>
      </c>
      <c r="G52" s="1828"/>
      <c r="H52" s="1828"/>
    </row>
    <row r="53" spans="1:8">
      <c r="A53" s="5"/>
      <c r="B53" s="1957"/>
      <c r="C53" s="1957"/>
      <c r="D53" s="1957"/>
      <c r="E53" s="1952"/>
      <c r="F53" s="1828"/>
      <c r="G53" s="1828"/>
      <c r="H53" s="1828"/>
    </row>
    <row r="54" spans="1:8">
      <c r="A54" s="5"/>
      <c r="B54" s="1959" t="s">
        <v>107</v>
      </c>
      <c r="C54" s="1964"/>
      <c r="D54" s="1964"/>
      <c r="E54" s="51" t="s">
        <v>49</v>
      </c>
      <c r="F54" s="227">
        <f>+'3.Concreto'!AL59</f>
        <v>226.49668283223019</v>
      </c>
      <c r="G54" s="5">
        <f t="shared" ref="G54:G59" si="3">+F54/$F$52</f>
        <v>0.80769604203979029</v>
      </c>
      <c r="H54" s="28" t="s">
        <v>1447</v>
      </c>
    </row>
    <row r="55" spans="1:8">
      <c r="A55" s="5"/>
      <c r="B55" s="1959" t="s">
        <v>106</v>
      </c>
      <c r="C55" s="1964"/>
      <c r="D55" s="1964"/>
      <c r="E55" s="51" t="s">
        <v>39</v>
      </c>
      <c r="F55" s="5">
        <f>+SUM(F56:F58)</f>
        <v>36095.018830233574</v>
      </c>
      <c r="G55" s="5">
        <f t="shared" si="3"/>
        <v>128.71625086061883</v>
      </c>
      <c r="H55" s="28" t="s">
        <v>270</v>
      </c>
    </row>
    <row r="56" spans="1:8">
      <c r="A56" s="5"/>
      <c r="B56" s="1950" t="str">
        <f>+'4. Refuerzo'!$J$7</f>
        <v>1/2 (1.00)</v>
      </c>
      <c r="C56" s="1950"/>
      <c r="D56" s="1950"/>
      <c r="E56" s="51" t="s">
        <v>39</v>
      </c>
      <c r="F56" s="5">
        <f>+'4. Refuerzo'!J1929</f>
        <v>7356.1020302335719</v>
      </c>
      <c r="G56" s="5">
        <f t="shared" si="3"/>
        <v>26.23214795185978</v>
      </c>
      <c r="H56" s="28" t="s">
        <v>270</v>
      </c>
    </row>
    <row r="57" spans="1:8">
      <c r="A57" s="5"/>
      <c r="B57" s="1950" t="str">
        <f>+'4. Refuerzo'!$L$7</f>
        <v>3/4 (2.24)</v>
      </c>
      <c r="C57" s="1950"/>
      <c r="D57" s="1950"/>
      <c r="E57" s="51" t="s">
        <v>39</v>
      </c>
      <c r="F57" s="5">
        <f>+'4. Refuerzo'!L1911</f>
        <v>14529.356800000001</v>
      </c>
      <c r="G57" s="5">
        <f t="shared" si="3"/>
        <v>51.812255411424481</v>
      </c>
      <c r="H57" s="28" t="s">
        <v>270</v>
      </c>
    </row>
    <row r="58" spans="1:8">
      <c r="A58" s="5"/>
      <c r="B58" s="1950" t="s">
        <v>271</v>
      </c>
      <c r="C58" s="1950"/>
      <c r="D58" s="1950"/>
      <c r="E58" s="51" t="s">
        <v>39</v>
      </c>
      <c r="F58" s="5">
        <f>+'4. Refuerzo'!M1911</f>
        <v>14209.56</v>
      </c>
      <c r="G58" s="5">
        <f t="shared" si="3"/>
        <v>50.671847497334554</v>
      </c>
      <c r="H58" s="28" t="s">
        <v>270</v>
      </c>
    </row>
    <row r="59" spans="1:8">
      <c r="A59" s="5"/>
      <c r="B59" s="1959" t="s">
        <v>1449</v>
      </c>
      <c r="C59" s="1959"/>
      <c r="D59" s="1959"/>
      <c r="E59" s="51" t="s">
        <v>49</v>
      </c>
      <c r="F59" s="227">
        <f>+'3.Concreto'!AK79</f>
        <v>52.741057468465435</v>
      </c>
      <c r="G59" s="5">
        <f t="shared" si="3"/>
        <v>0.1880766766099892</v>
      </c>
      <c r="H59" s="28" t="s">
        <v>1447</v>
      </c>
    </row>
    <row r="60" spans="1:8">
      <c r="A60" s="1961"/>
      <c r="B60" s="1962"/>
      <c r="C60" s="1962"/>
      <c r="D60" s="1962"/>
      <c r="E60" s="1962"/>
      <c r="F60" s="1962"/>
      <c r="G60" s="1962"/>
      <c r="H60" s="1963"/>
    </row>
    <row r="61" spans="1:8">
      <c r="A61" s="1956" t="s">
        <v>1450</v>
      </c>
      <c r="B61" s="1956"/>
      <c r="C61" s="1956"/>
      <c r="D61" s="1956"/>
      <c r="E61" s="1956"/>
      <c r="F61" s="1956"/>
      <c r="G61" s="1956"/>
      <c r="H61" s="1956"/>
    </row>
    <row r="62" spans="1:8">
      <c r="A62" s="5"/>
      <c r="B62" s="1957" t="s">
        <v>1452</v>
      </c>
      <c r="C62" s="1957"/>
      <c r="D62" s="1957"/>
      <c r="E62" s="1972" t="s">
        <v>49</v>
      </c>
      <c r="F62" s="1974">
        <f>+'3.Concreto'!AJ21+'3.Concreto'!AJ39</f>
        <v>133.8366</v>
      </c>
      <c r="G62" s="1972"/>
      <c r="H62" s="1972"/>
    </row>
    <row r="63" spans="1:8">
      <c r="A63" s="5"/>
      <c r="B63" s="1957"/>
      <c r="C63" s="1957"/>
      <c r="D63" s="1957"/>
      <c r="E63" s="1973"/>
      <c r="F63" s="1973"/>
      <c r="G63" s="1973"/>
      <c r="H63" s="1973"/>
    </row>
    <row r="64" spans="1:8">
      <c r="A64" s="5"/>
      <c r="B64" s="1959" t="s">
        <v>107</v>
      </c>
      <c r="C64" s="1964"/>
      <c r="D64" s="1964"/>
      <c r="E64" s="51" t="s">
        <v>49</v>
      </c>
      <c r="F64" s="588">
        <f>+F62</f>
        <v>133.8366</v>
      </c>
      <c r="G64">
        <f t="shared" ref="G64:G69" si="4">+F64/$F$62</f>
        <v>1</v>
      </c>
      <c r="H64" s="28" t="s">
        <v>1447</v>
      </c>
    </row>
    <row r="65" spans="1:13">
      <c r="A65" s="5"/>
      <c r="B65" s="1959" t="s">
        <v>106</v>
      </c>
      <c r="C65" s="1964"/>
      <c r="D65" s="1964"/>
      <c r="E65" s="51" t="s">
        <v>39</v>
      </c>
      <c r="F65">
        <f>+F66+F67+F68+F69</f>
        <v>3434.2096000000001</v>
      </c>
      <c r="G65">
        <f t="shared" si="4"/>
        <v>25.659719389165595</v>
      </c>
      <c r="H65" s="28" t="s">
        <v>270</v>
      </c>
    </row>
    <row r="66" spans="1:13">
      <c r="A66" s="5"/>
      <c r="B66" s="1950" t="str">
        <f>+'4. Refuerzo'!$I$7</f>
        <v>3/8 (0.56)</v>
      </c>
      <c r="C66" s="1950"/>
      <c r="D66" s="1950"/>
      <c r="E66" s="51" t="s">
        <v>39</v>
      </c>
      <c r="F66">
        <f>+'4. Refuerzo'!I2165</f>
        <v>975.6096</v>
      </c>
      <c r="G66">
        <f t="shared" si="4"/>
        <v>7.2895575649710169</v>
      </c>
      <c r="H66" s="28" t="s">
        <v>270</v>
      </c>
    </row>
    <row r="67" spans="1:13">
      <c r="A67" s="5"/>
      <c r="B67" s="1950" t="str">
        <f>+'4. Refuerzo'!$L$7</f>
        <v>3/4 (2.24)</v>
      </c>
      <c r="C67" s="1950"/>
      <c r="D67" s="1950"/>
      <c r="E67" s="51" t="s">
        <v>39</v>
      </c>
      <c r="F67">
        <f>+'4. Refuerzo'!L2165</f>
        <v>551.6</v>
      </c>
      <c r="G67">
        <f t="shared" si="4"/>
        <v>4.1214436110899406</v>
      </c>
      <c r="H67" s="28" t="s">
        <v>270</v>
      </c>
    </row>
    <row r="68" spans="1:13">
      <c r="A68" s="5"/>
      <c r="B68" s="1950" t="s">
        <v>271</v>
      </c>
      <c r="C68" s="1950"/>
      <c r="D68" s="1950"/>
      <c r="E68" s="51" t="s">
        <v>39</v>
      </c>
      <c r="F68">
        <f>+'4. Refuerzo'!M2165</f>
        <v>93</v>
      </c>
      <c r="G68">
        <f t="shared" si="4"/>
        <v>0.69487718606121196</v>
      </c>
      <c r="H68" s="28" t="s">
        <v>270</v>
      </c>
    </row>
    <row r="69" spans="1:13">
      <c r="A69" s="5"/>
      <c r="B69" s="1950" t="s">
        <v>272</v>
      </c>
      <c r="C69" s="1950"/>
      <c r="D69" s="1950"/>
      <c r="E69" s="51" t="s">
        <v>39</v>
      </c>
      <c r="F69">
        <f>+'4. Refuerzo'!N2165</f>
        <v>1814</v>
      </c>
      <c r="G69">
        <f t="shared" si="4"/>
        <v>13.553841027043424</v>
      </c>
      <c r="H69" s="28" t="s">
        <v>270</v>
      </c>
    </row>
    <row r="70" spans="1:13">
      <c r="A70" s="1961"/>
      <c r="B70" s="1962"/>
      <c r="C70" s="1962"/>
      <c r="D70" s="1962"/>
      <c r="E70" s="1962"/>
      <c r="F70" s="1962"/>
      <c r="G70" s="1962"/>
      <c r="H70" s="1963"/>
    </row>
    <row r="71" spans="1:13">
      <c r="A71" s="1956" t="s">
        <v>507</v>
      </c>
      <c r="B71" s="1956"/>
      <c r="C71" s="1956"/>
      <c r="D71" s="1956"/>
      <c r="E71" s="1956"/>
      <c r="F71" s="1956"/>
      <c r="G71" s="1956"/>
      <c r="H71" s="1956"/>
    </row>
    <row r="72" spans="1:13">
      <c r="A72" s="5"/>
      <c r="B72" s="1957" t="s">
        <v>1631</v>
      </c>
      <c r="C72" s="1957"/>
      <c r="D72" s="1957"/>
      <c r="E72" s="1952" t="s">
        <v>49</v>
      </c>
      <c r="F72" s="1975">
        <f>'3.Concreto'!R168</f>
        <v>120.37619999999995</v>
      </c>
      <c r="G72" s="1952"/>
      <c r="H72" s="1952"/>
    </row>
    <row r="73" spans="1:13">
      <c r="A73" s="5"/>
      <c r="B73" s="1957"/>
      <c r="C73" s="1957"/>
      <c r="D73" s="1957"/>
      <c r="E73" s="1952"/>
      <c r="F73" s="1931"/>
      <c r="G73" s="1952"/>
      <c r="H73" s="1952"/>
    </row>
    <row r="74" spans="1:13">
      <c r="A74" s="5"/>
      <c r="B74" s="1957" t="s">
        <v>1632</v>
      </c>
      <c r="C74" s="1957"/>
      <c r="D74" s="1957"/>
      <c r="E74" s="1952" t="s">
        <v>49</v>
      </c>
      <c r="F74" s="1975">
        <f>'3.Concreto'!R167</f>
        <v>69.487199999999959</v>
      </c>
      <c r="G74" s="768"/>
      <c r="H74" s="768"/>
    </row>
    <row r="75" spans="1:13" ht="12" customHeight="1">
      <c r="A75" s="5"/>
      <c r="B75" s="1957"/>
      <c r="C75" s="1957"/>
      <c r="D75" s="1957"/>
      <c r="E75" s="1952"/>
      <c r="F75" s="1931"/>
      <c r="G75" s="5"/>
      <c r="H75" s="5"/>
      <c r="J75" s="1171"/>
      <c r="K75" s="838"/>
      <c r="L75" s="838"/>
      <c r="M75" s="838"/>
    </row>
    <row r="76" spans="1:13" ht="12" customHeight="1">
      <c r="A76" s="5"/>
      <c r="B76" s="1978" t="s">
        <v>1453</v>
      </c>
      <c r="C76" s="1979"/>
      <c r="D76" s="1980"/>
      <c r="E76" s="581" t="s">
        <v>49</v>
      </c>
      <c r="F76" s="227">
        <f>'3.Concreto'!R168</f>
        <v>120.37619999999995</v>
      </c>
      <c r="G76" s="5">
        <f>+F76/$F$72</f>
        <v>1</v>
      </c>
      <c r="H76" s="28" t="s">
        <v>1447</v>
      </c>
      <c r="J76" s="1171"/>
      <c r="K76" s="838"/>
      <c r="L76" s="838"/>
      <c r="M76" s="838"/>
    </row>
    <row r="77" spans="1:13">
      <c r="A77" s="5"/>
      <c r="B77" s="1976" t="s">
        <v>1454</v>
      </c>
      <c r="C77" s="1977"/>
      <c r="D77" s="1977"/>
      <c r="E77" s="1403" t="s">
        <v>49</v>
      </c>
      <c r="F77" s="1441">
        <f>'3.Concreto'!R167</f>
        <v>69.487199999999959</v>
      </c>
      <c r="G77" s="230">
        <f>+F77/$F$74</f>
        <v>1</v>
      </c>
      <c r="H77" s="1442" t="s">
        <v>1447</v>
      </c>
      <c r="J77" s="838"/>
      <c r="K77" s="838"/>
      <c r="L77" s="838"/>
      <c r="M77" s="838"/>
    </row>
    <row r="78" spans="1:13" ht="13.5" customHeight="1">
      <c r="A78" s="795"/>
      <c r="B78" s="1981" t="s">
        <v>1633</v>
      </c>
      <c r="C78" s="1981"/>
      <c r="D78" s="1981"/>
      <c r="E78" s="1443" t="s">
        <v>48</v>
      </c>
      <c r="F78" s="1444">
        <f>'3.Concreto'!P175</f>
        <v>88.32</v>
      </c>
      <c r="G78" s="1444">
        <f>F78/'3.Concreto'!Q175</f>
        <v>2.083333333333333</v>
      </c>
      <c r="H78" s="1443" t="s">
        <v>3637</v>
      </c>
      <c r="J78" s="838"/>
      <c r="K78" s="838"/>
      <c r="L78" s="838"/>
      <c r="M78" s="838"/>
    </row>
    <row r="79" spans="1:13" ht="13.5" customHeight="1">
      <c r="A79" s="795"/>
      <c r="B79" s="1981" t="s">
        <v>1634</v>
      </c>
      <c r="C79" s="1981"/>
      <c r="D79" s="1981"/>
      <c r="E79" s="1443" t="s">
        <v>48</v>
      </c>
      <c r="F79" s="1444">
        <f>'3.Concreto'!P178</f>
        <v>77.88</v>
      </c>
      <c r="G79" s="1444">
        <f>F79/'3.Concreto'!Q178</f>
        <v>2.0833333333333335</v>
      </c>
      <c r="H79" s="1443" t="s">
        <v>3637</v>
      </c>
      <c r="J79" s="838"/>
      <c r="K79" s="838"/>
      <c r="L79" s="838"/>
      <c r="M79" s="838"/>
    </row>
    <row r="80" spans="1:13" ht="13.5" customHeight="1">
      <c r="A80" s="795"/>
      <c r="B80" s="1981" t="s">
        <v>1635</v>
      </c>
      <c r="C80" s="1981"/>
      <c r="D80" s="1981"/>
      <c r="E80" s="1443" t="s">
        <v>48</v>
      </c>
      <c r="F80" s="1444">
        <f>'3.Concreto'!P174</f>
        <v>87.84</v>
      </c>
      <c r="G80" s="1444">
        <f>F80/'3.Concreto'!Q174</f>
        <v>1.3888888888888897</v>
      </c>
      <c r="H80" s="1443" t="s">
        <v>3637</v>
      </c>
    </row>
    <row r="81" spans="1:8" ht="13.5" customHeight="1">
      <c r="A81" s="795"/>
      <c r="B81" s="1981" t="s">
        <v>1636</v>
      </c>
      <c r="C81" s="1981"/>
      <c r="D81" s="1981"/>
      <c r="E81" s="1443" t="s">
        <v>48</v>
      </c>
      <c r="F81" s="1444">
        <f>'3.Concreto'!P179</f>
        <v>29.59</v>
      </c>
      <c r="G81" s="1444">
        <f>F81/'3.Concreto'!Q179</f>
        <v>1.3888888888888888</v>
      </c>
      <c r="H81" s="1443" t="s">
        <v>3637</v>
      </c>
    </row>
    <row r="82" spans="1:8" ht="13.5" customHeight="1">
      <c r="A82" s="795"/>
      <c r="B82" s="1981" t="s">
        <v>1637</v>
      </c>
      <c r="C82" s="1981"/>
      <c r="D82" s="1981"/>
      <c r="E82" s="1443" t="s">
        <v>48</v>
      </c>
      <c r="F82" s="1444">
        <f>'3.Concreto'!P171</f>
        <v>10.56</v>
      </c>
      <c r="G82" s="1444">
        <f>F82/'3.Concreto'!Q171</f>
        <v>1.1111111111111112</v>
      </c>
      <c r="H82" s="1443" t="s">
        <v>3637</v>
      </c>
    </row>
    <row r="83" spans="1:8" ht="13.5" customHeight="1">
      <c r="A83" s="795"/>
      <c r="B83" s="1981" t="s">
        <v>3645</v>
      </c>
      <c r="C83" s="1981"/>
      <c r="D83" s="1981"/>
      <c r="E83" s="1443" t="s">
        <v>48</v>
      </c>
      <c r="F83" s="1444">
        <f>'3.Concreto'!P177</f>
        <v>12</v>
      </c>
      <c r="G83" s="1444">
        <f>F83/'3.Concreto'!Q177</f>
        <v>1.1111111111111112</v>
      </c>
      <c r="H83" s="1443" t="s">
        <v>3637</v>
      </c>
    </row>
    <row r="84" spans="1:8" ht="13.5" customHeight="1">
      <c r="A84" s="795"/>
      <c r="B84" s="1981" t="s">
        <v>1638</v>
      </c>
      <c r="C84" s="1981"/>
      <c r="D84" s="1981"/>
      <c r="E84" s="1443" t="s">
        <v>48</v>
      </c>
      <c r="F84" s="1444">
        <f>'3.Concreto'!P172</f>
        <v>5.28</v>
      </c>
      <c r="G84" s="1444">
        <f>F84/'3.Concreto'!Q172</f>
        <v>1.25</v>
      </c>
      <c r="H84" s="1443" t="s">
        <v>3637</v>
      </c>
    </row>
    <row r="85" spans="1:8" ht="13.5" customHeight="1">
      <c r="A85" s="795"/>
      <c r="B85" s="1981" t="s">
        <v>1639</v>
      </c>
      <c r="C85" s="1981"/>
      <c r="D85" s="1981"/>
      <c r="E85" s="1443" t="s">
        <v>48</v>
      </c>
      <c r="F85" s="1444">
        <f>'3.Concreto'!P176</f>
        <v>5.28</v>
      </c>
      <c r="G85" s="1444">
        <f>F85/'3.Concreto'!Q176</f>
        <v>6.2499999999999991</v>
      </c>
      <c r="H85" s="1443" t="s">
        <v>3637</v>
      </c>
    </row>
    <row r="86" spans="1:8" ht="13.5" customHeight="1">
      <c r="A86" s="795"/>
      <c r="B86" s="1981" t="s">
        <v>1640</v>
      </c>
      <c r="C86" s="1981"/>
      <c r="D86" s="1981"/>
      <c r="E86" s="1443" t="s">
        <v>48</v>
      </c>
      <c r="F86" s="1444">
        <f>'3.Concreto'!P173</f>
        <v>2.64</v>
      </c>
      <c r="G86" s="1444">
        <f>F86/'3.Concreto'!Q173</f>
        <v>16</v>
      </c>
      <c r="H86" s="1443" t="s">
        <v>3637</v>
      </c>
    </row>
    <row r="87" spans="1:8">
      <c r="A87" s="795"/>
      <c r="B87" s="1566" t="s">
        <v>106</v>
      </c>
      <c r="C87" s="1566"/>
      <c r="D87" s="1566"/>
      <c r="E87" s="1402" t="s">
        <v>39</v>
      </c>
      <c r="F87" s="253">
        <f>+'4. Refuerzo'!H2125</f>
        <v>58989.48</v>
      </c>
      <c r="G87" s="253">
        <f>+F87/$F$72</f>
        <v>490.04271608507349</v>
      </c>
      <c r="H87" s="287" t="s">
        <v>270</v>
      </c>
    </row>
    <row r="88" spans="1:8">
      <c r="A88" s="795"/>
      <c r="B88" s="1950" t="str">
        <f>+'4. Refuerzo'!$J$7</f>
        <v>1/2 (1.00)</v>
      </c>
      <c r="C88" s="1950"/>
      <c r="D88" s="1950"/>
      <c r="E88" s="51" t="s">
        <v>39</v>
      </c>
      <c r="F88" s="5">
        <f>+'4. Refuerzo'!J2124</f>
        <v>32</v>
      </c>
      <c r="G88" s="5">
        <f>+F88/$F$72</f>
        <v>0.26583327933594858</v>
      </c>
      <c r="H88" s="28" t="s">
        <v>270</v>
      </c>
    </row>
    <row r="89" spans="1:8">
      <c r="A89" s="795"/>
      <c r="B89" s="1950" t="str">
        <f>+'4. Refuerzo'!$K$7</f>
        <v>5/8 (1.55)</v>
      </c>
      <c r="C89" s="1950"/>
      <c r="D89" s="1950"/>
      <c r="E89" s="51" t="s">
        <v>39</v>
      </c>
      <c r="F89" s="5">
        <f>+'4. Refuerzo'!K2124</f>
        <v>92.132000000000005</v>
      </c>
      <c r="G89" s="5">
        <f>+F89/$F$72</f>
        <v>0.76536724036811299</v>
      </c>
      <c r="H89" s="28" t="s">
        <v>270</v>
      </c>
    </row>
    <row r="90" spans="1:8">
      <c r="A90" s="795"/>
      <c r="B90" s="1950" t="str">
        <f>+'4. Refuerzo'!$L$7</f>
        <v>3/4 (2.24)</v>
      </c>
      <c r="C90" s="1950"/>
      <c r="D90" s="1950"/>
      <c r="E90" s="51" t="s">
        <v>39</v>
      </c>
      <c r="F90" s="5">
        <f>+'4. Refuerzo'!L2124</f>
        <v>3278.3519999999999</v>
      </c>
      <c r="G90" s="5">
        <f t="shared" ref="G90:G93" si="5">+F90/$F$72</f>
        <v>27.234220718048928</v>
      </c>
      <c r="H90" s="28" t="s">
        <v>270</v>
      </c>
    </row>
    <row r="91" spans="1:8">
      <c r="A91" s="795"/>
      <c r="B91" s="1950" t="s">
        <v>271</v>
      </c>
      <c r="C91" s="1950"/>
      <c r="D91" s="1950"/>
      <c r="E91" s="51" t="s">
        <v>39</v>
      </c>
      <c r="F91" s="5">
        <f>+'4. Refuerzo'!M2124</f>
        <v>4977.54</v>
      </c>
      <c r="G91" s="5">
        <f t="shared" si="5"/>
        <v>41.349868163308045</v>
      </c>
      <c r="H91" s="28" t="s">
        <v>270</v>
      </c>
    </row>
    <row r="92" spans="1:8">
      <c r="A92" s="795"/>
      <c r="B92" s="1950" t="s">
        <v>272</v>
      </c>
      <c r="C92" s="1950"/>
      <c r="D92" s="1950"/>
      <c r="E92" s="51" t="s">
        <v>39</v>
      </c>
      <c r="F92" s="5">
        <f>+'4. Refuerzo'!N2124</f>
        <v>12374.32</v>
      </c>
      <c r="G92" s="5">
        <f t="shared" si="5"/>
        <v>102.79706453601297</v>
      </c>
      <c r="H92" s="28" t="s">
        <v>270</v>
      </c>
    </row>
    <row r="93" spans="1:8">
      <c r="A93" s="795"/>
      <c r="B93" s="1950" t="s">
        <v>18</v>
      </c>
      <c r="C93" s="1950"/>
      <c r="D93" s="1950"/>
      <c r="E93" s="51" t="s">
        <v>39</v>
      </c>
      <c r="F93" s="5">
        <f>+'4. Refuerzo'!O2124</f>
        <v>38235.136000000006</v>
      </c>
      <c r="G93" s="5">
        <f t="shared" si="5"/>
        <v>317.63036214799951</v>
      </c>
      <c r="H93" s="28" t="s">
        <v>270</v>
      </c>
    </row>
    <row r="94" spans="1:8">
      <c r="A94" s="1961"/>
      <c r="B94" s="1962"/>
      <c r="C94" s="1962"/>
      <c r="D94" s="1962"/>
      <c r="E94" s="1962"/>
      <c r="F94" s="1962"/>
      <c r="G94" s="1962"/>
      <c r="H94" s="1963"/>
    </row>
    <row r="95" spans="1:8">
      <c r="A95" s="1956" t="s">
        <v>1455</v>
      </c>
      <c r="B95" s="1956"/>
      <c r="C95" s="1956"/>
      <c r="D95" s="1956"/>
      <c r="E95" s="1956"/>
      <c r="F95" s="1956"/>
      <c r="G95" s="1956"/>
      <c r="H95" s="1956"/>
    </row>
    <row r="96" spans="1:8">
      <c r="A96" s="5"/>
      <c r="B96" s="1901" t="s">
        <v>1054</v>
      </c>
      <c r="C96" s="1901"/>
      <c r="D96" s="1901"/>
      <c r="E96" s="1772" t="s">
        <v>55</v>
      </c>
      <c r="F96" s="1951">
        <f>+'6. Mampostería'!I638</f>
        <v>4937.9292449999994</v>
      </c>
      <c r="G96" s="1828"/>
      <c r="H96" s="1828"/>
    </row>
    <row r="97" spans="1:8">
      <c r="A97" s="5"/>
      <c r="B97" s="1901"/>
      <c r="C97" s="1901"/>
      <c r="D97" s="1901"/>
      <c r="E97" s="1828"/>
      <c r="F97" s="1828"/>
      <c r="G97" s="1828"/>
      <c r="H97" s="1828"/>
    </row>
    <row r="98" spans="1:8">
      <c r="A98" s="5"/>
      <c r="B98" s="1565" t="s">
        <v>1457</v>
      </c>
      <c r="C98" s="1558"/>
      <c r="D98" s="1558"/>
      <c r="E98" s="708" t="s">
        <v>39</v>
      </c>
      <c r="F98" s="227">
        <f>+'6. Mampostería'!O638</f>
        <v>8622.0399999999936</v>
      </c>
      <c r="G98" s="5">
        <f>+F98/F96</f>
        <v>1.7460841523256769</v>
      </c>
      <c r="H98" s="4" t="s">
        <v>57</v>
      </c>
    </row>
    <row r="99" spans="1:8">
      <c r="A99" s="5"/>
      <c r="B99" s="1565" t="s">
        <v>1458</v>
      </c>
      <c r="C99" s="1558"/>
      <c r="D99" s="1558"/>
      <c r="E99" s="708" t="s">
        <v>39</v>
      </c>
      <c r="F99" s="227">
        <f>+'6. Mampostería'!U638</f>
        <v>1846.84</v>
      </c>
      <c r="G99" s="5">
        <f>+F99/F96</f>
        <v>0.37401102939456965</v>
      </c>
      <c r="H99" s="4" t="s">
        <v>57</v>
      </c>
    </row>
    <row r="100" spans="1:8">
      <c r="A100" s="1961"/>
      <c r="B100" s="1962"/>
      <c r="C100" s="1962"/>
      <c r="D100" s="1962"/>
      <c r="E100" s="1962"/>
      <c r="F100" s="1962"/>
      <c r="G100" s="1962"/>
      <c r="H100" s="1963"/>
    </row>
    <row r="101" spans="1:8">
      <c r="A101" s="1956" t="s">
        <v>1461</v>
      </c>
      <c r="B101" s="1956"/>
      <c r="C101" s="1956"/>
      <c r="D101" s="1956"/>
      <c r="E101" s="1956"/>
      <c r="F101" s="1956"/>
      <c r="G101" s="1956"/>
      <c r="H101" s="1956"/>
    </row>
    <row r="102" spans="1:8">
      <c r="A102" s="5"/>
      <c r="B102" s="1901" t="s">
        <v>1460</v>
      </c>
      <c r="C102" s="1901"/>
      <c r="D102" s="1901"/>
      <c r="E102" s="1772" t="s">
        <v>55</v>
      </c>
      <c r="F102" s="1951">
        <f>+'3.Concreto'!C68</f>
        <v>885.01089999999988</v>
      </c>
      <c r="G102" s="1828"/>
      <c r="H102" s="1828"/>
    </row>
    <row r="103" spans="1:8">
      <c r="A103" s="5"/>
      <c r="B103" s="1901"/>
      <c r="C103" s="1901"/>
      <c r="D103" s="1901"/>
      <c r="E103" s="1828"/>
      <c r="F103" s="1828"/>
      <c r="G103" s="1828"/>
      <c r="H103" s="1828"/>
    </row>
    <row r="104" spans="1:8">
      <c r="A104" s="5"/>
      <c r="B104" s="1565" t="s">
        <v>1462</v>
      </c>
      <c r="C104" s="1558"/>
      <c r="D104" s="1558"/>
      <c r="E104" s="708" t="s">
        <v>285</v>
      </c>
      <c r="F104" s="5">
        <f>+'21. Equipos'!A9</f>
        <v>422</v>
      </c>
      <c r="G104" s="5">
        <f>+F104/$F$102</f>
        <v>0.47683028536710687</v>
      </c>
      <c r="H104" s="4" t="s">
        <v>1466</v>
      </c>
    </row>
    <row r="105" spans="1:8">
      <c r="A105" s="5"/>
      <c r="B105" s="1565" t="s">
        <v>1463</v>
      </c>
      <c r="C105" s="1558"/>
      <c r="D105" s="1558"/>
      <c r="E105" s="708" t="s">
        <v>285</v>
      </c>
      <c r="F105" s="5">
        <f>+'21. Equipos'!B9</f>
        <v>348</v>
      </c>
      <c r="G105" s="5">
        <f>+F105/$F$102</f>
        <v>0.39321549598993644</v>
      </c>
      <c r="H105" s="4" t="s">
        <v>1466</v>
      </c>
    </row>
    <row r="106" spans="1:8">
      <c r="A106" s="5"/>
      <c r="B106" s="1565" t="s">
        <v>1464</v>
      </c>
      <c r="C106" s="1558"/>
      <c r="D106" s="1558"/>
      <c r="E106" s="708" t="s">
        <v>285</v>
      </c>
      <c r="F106" s="5">
        <f>+'21. Equipos'!C9</f>
        <v>390</v>
      </c>
      <c r="G106" s="5">
        <f>+F106/$F$102</f>
        <v>0.44067253860941152</v>
      </c>
      <c r="H106" s="4" t="s">
        <v>1466</v>
      </c>
    </row>
    <row r="107" spans="1:8">
      <c r="A107" s="5"/>
      <c r="B107" s="1565" t="s">
        <v>1465</v>
      </c>
      <c r="C107" s="1558"/>
      <c r="D107" s="1558"/>
      <c r="E107" s="708" t="s">
        <v>285</v>
      </c>
      <c r="F107" s="5">
        <f>+'21. Equipos'!D9</f>
        <v>832</v>
      </c>
      <c r="G107" s="5">
        <f>+F107/$F$102</f>
        <v>0.94010141570007799</v>
      </c>
      <c r="H107" s="4" t="s">
        <v>1466</v>
      </c>
    </row>
    <row r="109" spans="1:8">
      <c r="A109" s="1956" t="s">
        <v>1468</v>
      </c>
      <c r="B109" s="1956"/>
      <c r="C109" s="1956"/>
      <c r="D109" s="1956"/>
      <c r="E109" s="1956"/>
      <c r="F109" s="1956"/>
      <c r="G109" s="1956"/>
      <c r="H109" s="1956"/>
    </row>
    <row r="110" spans="1:8">
      <c r="A110" s="5"/>
      <c r="B110" s="1901" t="s">
        <v>1469</v>
      </c>
      <c r="C110" s="1901"/>
      <c r="D110" s="1901"/>
      <c r="E110" s="1772" t="s">
        <v>49</v>
      </c>
      <c r="F110" s="1951" t="e">
        <f>+'3.Concreto'!#REF!+'3.Concreto'!#REF!</f>
        <v>#REF!</v>
      </c>
      <c r="G110" s="1828"/>
      <c r="H110" s="1828"/>
    </row>
    <row r="111" spans="1:8">
      <c r="A111" s="5"/>
      <c r="B111" s="1901"/>
      <c r="C111" s="1901"/>
      <c r="D111" s="1901"/>
      <c r="E111" s="1828"/>
      <c r="F111" s="1828"/>
      <c r="G111" s="1828"/>
      <c r="H111" s="1828"/>
    </row>
    <row r="112" spans="1:8">
      <c r="A112" s="5"/>
      <c r="B112" s="1565" t="s">
        <v>1470</v>
      </c>
      <c r="C112" s="1558"/>
      <c r="D112" s="1558"/>
      <c r="E112" s="708" t="s">
        <v>285</v>
      </c>
      <c r="F112" s="5">
        <f>+'21. Equipos'!D20</f>
        <v>24</v>
      </c>
      <c r="G112" s="5" t="e">
        <f>+F112/$F$110</f>
        <v>#REF!</v>
      </c>
      <c r="H112" s="4" t="s">
        <v>1467</v>
      </c>
    </row>
    <row r="113" spans="1:8">
      <c r="A113" s="5"/>
      <c r="B113" s="1565" t="s">
        <v>1471</v>
      </c>
      <c r="C113" s="1558"/>
      <c r="D113" s="1558"/>
      <c r="E113" s="708" t="s">
        <v>285</v>
      </c>
      <c r="F113" s="5">
        <f>+'21. Equipos'!D21</f>
        <v>18</v>
      </c>
      <c r="G113" s="5" t="e">
        <f>+F113/$F$110</f>
        <v>#REF!</v>
      </c>
      <c r="H113" s="4" t="s">
        <v>1467</v>
      </c>
    </row>
    <row r="114" spans="1:8">
      <c r="A114" s="5"/>
      <c r="B114" s="1565" t="s">
        <v>1472</v>
      </c>
      <c r="C114" s="1558"/>
      <c r="D114" s="1558"/>
      <c r="E114" s="708" t="s">
        <v>285</v>
      </c>
      <c r="F114" s="5">
        <f>+'21. Equipos'!D22</f>
        <v>54</v>
      </c>
      <c r="G114" s="5" t="e">
        <f>+F114/$F$110</f>
        <v>#REF!</v>
      </c>
      <c r="H114" s="4" t="s">
        <v>1467</v>
      </c>
    </row>
    <row r="115" spans="1:8">
      <c r="A115" s="5"/>
      <c r="B115" s="1565" t="s">
        <v>1462</v>
      </c>
      <c r="C115" s="1558"/>
      <c r="D115" s="1558"/>
      <c r="E115" s="708" t="s">
        <v>285</v>
      </c>
      <c r="F115" s="5">
        <f>+'21. Equipos'!D24</f>
        <v>20</v>
      </c>
      <c r="G115" s="5" t="e">
        <f>+F115/$F$110</f>
        <v>#REF!</v>
      </c>
      <c r="H115" s="4" t="s">
        <v>1467</v>
      </c>
    </row>
    <row r="116" spans="1:8">
      <c r="A116" s="8"/>
      <c r="B116" s="1422"/>
      <c r="C116" s="1423"/>
      <c r="D116" s="1423"/>
      <c r="E116" s="134"/>
      <c r="F116" s="8"/>
      <c r="G116" s="8"/>
      <c r="H116" s="459"/>
    </row>
    <row r="117" spans="1:8">
      <c r="A117" s="8"/>
      <c r="B117" s="1422"/>
      <c r="C117" s="1423"/>
      <c r="D117" s="1423"/>
      <c r="E117" s="134"/>
      <c r="F117" s="8"/>
      <c r="G117" s="8"/>
      <c r="H117" s="459"/>
    </row>
    <row r="118" spans="1:8">
      <c r="A118" s="8"/>
      <c r="B118" s="1422"/>
      <c r="C118" s="1423"/>
      <c r="D118" s="1423"/>
      <c r="E118" s="134"/>
      <c r="F118" s="8"/>
      <c r="G118" s="8"/>
      <c r="H118" s="459"/>
    </row>
    <row r="119" spans="1:8">
      <c r="A119" s="8"/>
      <c r="B119" s="1422"/>
      <c r="C119" s="1423"/>
      <c r="D119" s="1423"/>
      <c r="E119" s="134"/>
      <c r="F119" s="8"/>
      <c r="G119" s="8"/>
      <c r="H119" s="459"/>
    </row>
    <row r="120" spans="1:8">
      <c r="A120" s="8"/>
      <c r="B120" s="1422"/>
      <c r="C120" s="1423"/>
      <c r="D120" s="1423"/>
      <c r="E120" s="134"/>
      <c r="F120" s="8"/>
      <c r="G120" s="8"/>
      <c r="H120" s="459"/>
    </row>
    <row r="121" spans="1:8">
      <c r="A121" s="8"/>
      <c r="B121" s="1422"/>
      <c r="C121" s="1423"/>
      <c r="D121" s="1423"/>
      <c r="E121" s="134"/>
      <c r="F121" s="8"/>
      <c r="G121" s="8"/>
      <c r="H121" s="459"/>
    </row>
    <row r="122" spans="1:8">
      <c r="A122" s="8"/>
      <c r="B122" s="1422"/>
      <c r="C122" s="1423"/>
      <c r="D122" s="1423"/>
      <c r="E122" s="134"/>
      <c r="F122" s="8"/>
      <c r="G122" s="8"/>
      <c r="H122" s="459"/>
    </row>
    <row r="123" spans="1:8">
      <c r="A123" s="8"/>
      <c r="B123" s="1422"/>
      <c r="C123" s="1423"/>
      <c r="D123" s="1423"/>
      <c r="E123" s="134"/>
      <c r="F123" s="8"/>
      <c r="G123" s="8"/>
      <c r="H123" s="459"/>
    </row>
    <row r="124" spans="1:8">
      <c r="A124" s="8"/>
      <c r="B124" s="1422"/>
      <c r="C124" s="1423"/>
      <c r="D124" s="1423"/>
      <c r="E124" s="134"/>
      <c r="F124" s="8"/>
      <c r="G124" s="8"/>
      <c r="H124" s="459"/>
    </row>
    <row r="125" spans="1:8">
      <c r="A125" s="8"/>
      <c r="B125" s="1422"/>
      <c r="C125" s="1423"/>
      <c r="D125" s="1423"/>
      <c r="E125" s="134"/>
      <c r="F125" s="8"/>
      <c r="G125" s="8"/>
      <c r="H125" s="459"/>
    </row>
    <row r="126" spans="1:8">
      <c r="A126" s="8"/>
      <c r="B126" s="1422"/>
      <c r="C126" s="1423"/>
      <c r="D126" s="1423"/>
      <c r="E126" s="134"/>
      <c r="F126" s="8"/>
      <c r="G126" s="8"/>
      <c r="H126" s="459"/>
    </row>
    <row r="127" spans="1:8">
      <c r="A127" s="8"/>
      <c r="B127" s="1422"/>
      <c r="C127" s="1423"/>
      <c r="D127" s="1423"/>
      <c r="E127" s="134"/>
      <c r="F127" s="8"/>
      <c r="G127" s="8"/>
      <c r="H127" s="459"/>
    </row>
    <row r="128" spans="1:8">
      <c r="A128" s="8"/>
      <c r="B128" s="1422"/>
      <c r="C128" s="1423"/>
      <c r="D128" s="1423"/>
      <c r="E128" s="134"/>
      <c r="F128" s="8"/>
      <c r="G128" s="8"/>
      <c r="H128" s="459"/>
    </row>
    <row r="129" spans="1:8">
      <c r="A129" s="8"/>
      <c r="B129" s="1422"/>
      <c r="C129" s="1423"/>
      <c r="D129" s="1423"/>
      <c r="E129" s="134"/>
      <c r="F129" s="8"/>
      <c r="G129" s="8"/>
      <c r="H129" s="459"/>
    </row>
    <row r="130" spans="1:8">
      <c r="A130" s="8"/>
      <c r="B130" s="1422"/>
      <c r="C130" s="1423"/>
      <c r="D130" s="1423"/>
      <c r="E130" s="134"/>
      <c r="F130" s="8"/>
      <c r="G130" s="8"/>
      <c r="H130" s="459"/>
    </row>
    <row r="131" spans="1:8">
      <c r="A131" s="8"/>
      <c r="B131" s="1422"/>
      <c r="C131" s="1423"/>
      <c r="D131" s="1423"/>
      <c r="E131" s="134"/>
      <c r="F131" s="8"/>
      <c r="G131" s="8"/>
      <c r="H131" s="459"/>
    </row>
    <row r="132" spans="1:8">
      <c r="A132" s="8"/>
      <c r="B132" s="1422"/>
      <c r="C132" s="1423"/>
      <c r="D132" s="1423"/>
      <c r="E132" s="134"/>
      <c r="F132" s="8"/>
      <c r="G132" s="8"/>
      <c r="H132" s="459"/>
    </row>
    <row r="133" spans="1:8">
      <c r="A133" s="8"/>
      <c r="B133" s="1422"/>
      <c r="C133" s="1423"/>
      <c r="D133" s="1423"/>
      <c r="E133" s="134"/>
      <c r="F133" s="8"/>
      <c r="G133" s="8"/>
      <c r="H133" s="459"/>
    </row>
    <row r="134" spans="1:8">
      <c r="A134" s="8"/>
      <c r="B134" s="1422"/>
      <c r="C134" s="1423"/>
      <c r="D134" s="1423"/>
      <c r="E134" s="134"/>
      <c r="F134" s="8"/>
      <c r="G134" s="8"/>
      <c r="H134" s="459"/>
    </row>
    <row r="137" spans="1:8">
      <c r="A137" s="1982" t="s">
        <v>3450</v>
      </c>
      <c r="B137" s="1971"/>
      <c r="C137" s="1971"/>
      <c r="D137" s="1971"/>
      <c r="E137" s="1971"/>
      <c r="F137" s="1971"/>
      <c r="G137" s="1971"/>
      <c r="H137" s="1971"/>
    </row>
    <row r="138" spans="1:8">
      <c r="A138" s="28"/>
      <c r="B138" s="1957" t="s">
        <v>1440</v>
      </c>
      <c r="C138" s="1957"/>
      <c r="D138" s="1957"/>
      <c r="E138" s="1952" t="s">
        <v>55</v>
      </c>
      <c r="F138" s="1969">
        <v>991.26</v>
      </c>
      <c r="G138" s="1952"/>
      <c r="H138" s="1952"/>
    </row>
    <row r="139" spans="1:8">
      <c r="A139" s="28"/>
      <c r="B139" s="1957"/>
      <c r="C139" s="1957"/>
      <c r="D139" s="1957"/>
      <c r="E139" s="1952"/>
      <c r="F139" s="1970"/>
      <c r="G139" s="1952"/>
      <c r="H139" s="1952"/>
    </row>
    <row r="140" spans="1:8">
      <c r="A140" s="28"/>
      <c r="B140" s="1959" t="s">
        <v>107</v>
      </c>
      <c r="C140" s="1964"/>
      <c r="D140" s="1964"/>
      <c r="E140" s="1312" t="s">
        <v>49</v>
      </c>
      <c r="F140" s="713">
        <f>+'3.Concreto'!I72</f>
        <v>262.44019200000002</v>
      </c>
      <c r="G140" s="714">
        <f>+F140/F138</f>
        <v>0.26475414321167001</v>
      </c>
      <c r="H140" s="28" t="s">
        <v>56</v>
      </c>
    </row>
    <row r="141" spans="1:8">
      <c r="A141" s="28"/>
      <c r="B141" s="1959" t="s">
        <v>106</v>
      </c>
      <c r="C141" s="1964"/>
      <c r="D141" s="1964"/>
      <c r="E141" s="1312" t="s">
        <v>39</v>
      </c>
      <c r="F141" s="713">
        <f>(+'4. Refuerzo'!H907)+F150</f>
        <v>39306.533135999998</v>
      </c>
      <c r="G141" s="714">
        <f t="shared" ref="G141:G151" si="6">F141/$F$138</f>
        <v>39.653101240844983</v>
      </c>
      <c r="H141" s="28" t="s">
        <v>57</v>
      </c>
    </row>
    <row r="142" spans="1:8">
      <c r="A142" s="28"/>
      <c r="B142" s="1950" t="str">
        <f>+'[2]4. Refuerzo'!$H$7</f>
        <v>1/4 (0.25)</v>
      </c>
      <c r="C142" s="1950"/>
      <c r="D142" s="1950"/>
      <c r="E142" s="1312" t="s">
        <v>39</v>
      </c>
      <c r="F142" s="713">
        <f>(+'4. Refuerzo'!H906)</f>
        <v>641.52500000000009</v>
      </c>
      <c r="G142" s="714">
        <f t="shared" si="6"/>
        <v>0.64718136513124724</v>
      </c>
      <c r="H142" s="28" t="s">
        <v>57</v>
      </c>
    </row>
    <row r="143" spans="1:8">
      <c r="A143" s="28"/>
      <c r="B143" s="1950" t="str">
        <f>+'[2]4. Refuerzo'!$I$7</f>
        <v>3/8 (0.56)</v>
      </c>
      <c r="C143" s="1950"/>
      <c r="D143" s="1950"/>
      <c r="E143" s="1312" t="s">
        <v>39</v>
      </c>
      <c r="F143" s="713">
        <f>(+'4. Refuerzo'!I906)</f>
        <v>3547.2752</v>
      </c>
      <c r="G143" s="714">
        <f t="shared" si="6"/>
        <v>3.5785517422270647</v>
      </c>
      <c r="H143" s="28" t="s">
        <v>57</v>
      </c>
    </row>
    <row r="144" spans="1:8">
      <c r="A144" s="28"/>
      <c r="B144" s="1950" t="str">
        <f>+'[2]4. Refuerzo'!$J$7</f>
        <v>1/2 (1.00)</v>
      </c>
      <c r="C144" s="1950"/>
      <c r="D144" s="1950"/>
      <c r="E144" s="1312" t="s">
        <v>39</v>
      </c>
      <c r="F144" s="713">
        <f>(+'4. Refuerzo'!J906)</f>
        <v>1794.2120000000002</v>
      </c>
      <c r="G144" s="714">
        <f t="shared" si="6"/>
        <v>1.8100316768557192</v>
      </c>
      <c r="H144" s="28" t="s">
        <v>57</v>
      </c>
    </row>
    <row r="145" spans="1:8">
      <c r="A145" s="28"/>
      <c r="B145" s="1950" t="str">
        <f>+'[2]4. Refuerzo'!$K$7</f>
        <v>5/8 (1.55)</v>
      </c>
      <c r="C145" s="1950"/>
      <c r="D145" s="1950"/>
      <c r="E145" s="1312" t="s">
        <v>39</v>
      </c>
      <c r="F145" s="713">
        <f>(+'4. Refuerzo'!K906)</f>
        <v>2946.4050000000002</v>
      </c>
      <c r="G145" s="714">
        <f t="shared" si="6"/>
        <v>2.9723836329520008</v>
      </c>
      <c r="H145" s="28" t="s">
        <v>57</v>
      </c>
    </row>
    <row r="146" spans="1:8">
      <c r="A146" s="28"/>
      <c r="B146" s="1950" t="str">
        <f>+'[2]4. Refuerzo'!$L$7</f>
        <v>3/4 (2.24)</v>
      </c>
      <c r="C146" s="1950"/>
      <c r="D146" s="1950"/>
      <c r="E146" s="1312" t="s">
        <v>39</v>
      </c>
      <c r="F146" s="713">
        <f>(+'4. Refuerzo'!L906)</f>
        <v>2091.8110000000006</v>
      </c>
      <c r="G146" s="714">
        <f t="shared" si="6"/>
        <v>2.1102546254262258</v>
      </c>
      <c r="H146" s="28" t="s">
        <v>57</v>
      </c>
    </row>
    <row r="147" spans="1:8">
      <c r="A147" s="28"/>
      <c r="B147" s="1950" t="s">
        <v>271</v>
      </c>
      <c r="C147" s="1950"/>
      <c r="D147" s="1950"/>
      <c r="E147" s="1312" t="s">
        <v>39</v>
      </c>
      <c r="F147" s="713">
        <f>(+'4. Refuerzo'!M906)</f>
        <v>1650.3000000000002</v>
      </c>
      <c r="G147" s="714">
        <f t="shared" si="6"/>
        <v>1.6648507959566614</v>
      </c>
      <c r="H147" s="28" t="s">
        <v>57</v>
      </c>
    </row>
    <row r="148" spans="1:8">
      <c r="A148" s="28"/>
      <c r="B148" s="1950" t="s">
        <v>272</v>
      </c>
      <c r="C148" s="1950"/>
      <c r="D148" s="1950"/>
      <c r="E148" s="1312" t="s">
        <v>39</v>
      </c>
      <c r="F148" s="713">
        <f>(+'4. Refuerzo'!N906)</f>
        <v>5671.2</v>
      </c>
      <c r="G148" s="714">
        <f t="shared" si="6"/>
        <v>5.721203316990497</v>
      </c>
      <c r="H148" s="28" t="s">
        <v>57</v>
      </c>
    </row>
    <row r="149" spans="1:8">
      <c r="A149" s="28"/>
      <c r="B149" s="1950" t="s">
        <v>18</v>
      </c>
      <c r="C149" s="1950"/>
      <c r="D149" s="1950"/>
      <c r="E149" s="1312" t="s">
        <v>39</v>
      </c>
      <c r="F149" s="713">
        <f>(+'4. Refuerzo'!O906)</f>
        <v>16993.085999999999</v>
      </c>
      <c r="G149" s="714">
        <f t="shared" si="6"/>
        <v>17.142915077779794</v>
      </c>
      <c r="H149" s="28" t="s">
        <v>57</v>
      </c>
    </row>
    <row r="150" spans="1:8">
      <c r="A150" s="28"/>
      <c r="B150" s="1950" t="s">
        <v>273</v>
      </c>
      <c r="C150" s="1958"/>
      <c r="D150" s="1958"/>
      <c r="E150" s="1312" t="s">
        <v>39</v>
      </c>
      <c r="F150" s="713">
        <f>(+'5. Malla'!J31)</f>
        <v>3970.7189359999988</v>
      </c>
      <c r="G150" s="714">
        <f t="shared" si="6"/>
        <v>4.0057290075257743</v>
      </c>
      <c r="H150" s="28" t="s">
        <v>57</v>
      </c>
    </row>
    <row r="151" spans="1:8">
      <c r="A151" s="28"/>
      <c r="B151" s="1959" t="s">
        <v>108</v>
      </c>
      <c r="C151" s="1959"/>
      <c r="D151" s="1959"/>
      <c r="E151" s="1312" t="s">
        <v>55</v>
      </c>
      <c r="F151" s="713">
        <f>(+'20. Casetones'!H74)</f>
        <v>448.13079999999985</v>
      </c>
      <c r="G151" s="714">
        <f t="shared" si="6"/>
        <v>0.45208199665072724</v>
      </c>
      <c r="H151" s="28" t="s">
        <v>109</v>
      </c>
    </row>
  </sheetData>
  <mergeCells count="160"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51:D151"/>
    <mergeCell ref="A137:H137"/>
    <mergeCell ref="B138:D139"/>
    <mergeCell ref="E138:E139"/>
    <mergeCell ref="F138:F139"/>
    <mergeCell ref="G138:G139"/>
    <mergeCell ref="H138:H139"/>
    <mergeCell ref="B140:D140"/>
    <mergeCell ref="B141:D141"/>
    <mergeCell ref="B142:D142"/>
    <mergeCell ref="B90:D90"/>
    <mergeCell ref="B91:D91"/>
    <mergeCell ref="B92:D92"/>
    <mergeCell ref="B93:D93"/>
    <mergeCell ref="B78:D78"/>
    <mergeCell ref="B79:D79"/>
    <mergeCell ref="B80:D80"/>
    <mergeCell ref="B81:D81"/>
    <mergeCell ref="B82:D82"/>
    <mergeCell ref="B84:D84"/>
    <mergeCell ref="B85:D85"/>
    <mergeCell ref="B86:D86"/>
    <mergeCell ref="B83:D83"/>
    <mergeCell ref="B112:D112"/>
    <mergeCell ref="B113:D113"/>
    <mergeCell ref="B114:D114"/>
    <mergeCell ref="B115:D115"/>
    <mergeCell ref="B110:D111"/>
    <mergeCell ref="E110:E111"/>
    <mergeCell ref="F110:F111"/>
    <mergeCell ref="A95:H95"/>
    <mergeCell ref="B96:D97"/>
    <mergeCell ref="E96:E97"/>
    <mergeCell ref="F96:F97"/>
    <mergeCell ref="G96:G97"/>
    <mergeCell ref="H96:H97"/>
    <mergeCell ref="G110:G111"/>
    <mergeCell ref="H110:H111"/>
    <mergeCell ref="B104:D104"/>
    <mergeCell ref="B105:D105"/>
    <mergeCell ref="B106:D106"/>
    <mergeCell ref="B107:D107"/>
    <mergeCell ref="A109:H109"/>
    <mergeCell ref="B98:D98"/>
    <mergeCell ref="B99:D99"/>
    <mergeCell ref="A100:H100"/>
    <mergeCell ref="A101:H101"/>
    <mergeCell ref="B102:D103"/>
    <mergeCell ref="E102:E103"/>
    <mergeCell ref="F102:F103"/>
    <mergeCell ref="G102:G103"/>
    <mergeCell ref="H102:H103"/>
    <mergeCell ref="B67:D67"/>
    <mergeCell ref="B68:D68"/>
    <mergeCell ref="B69:D69"/>
    <mergeCell ref="A70:H70"/>
    <mergeCell ref="A71:H71"/>
    <mergeCell ref="B72:D73"/>
    <mergeCell ref="E72:E73"/>
    <mergeCell ref="F74:F75"/>
    <mergeCell ref="G72:G73"/>
    <mergeCell ref="H72:H73"/>
    <mergeCell ref="B74:D75"/>
    <mergeCell ref="E74:E75"/>
    <mergeCell ref="F72:F73"/>
    <mergeCell ref="B77:D77"/>
    <mergeCell ref="B76:D76"/>
    <mergeCell ref="B88:D88"/>
    <mergeCell ref="B87:D87"/>
    <mergeCell ref="A94:H94"/>
    <mergeCell ref="B89:D89"/>
    <mergeCell ref="H62:H63"/>
    <mergeCell ref="B56:D56"/>
    <mergeCell ref="B59:D59"/>
    <mergeCell ref="B57:D57"/>
    <mergeCell ref="B58:D58"/>
    <mergeCell ref="B52:D53"/>
    <mergeCell ref="E52:E53"/>
    <mergeCell ref="B54:D54"/>
    <mergeCell ref="B55:D55"/>
    <mergeCell ref="B44:D44"/>
    <mergeCell ref="B64:D64"/>
    <mergeCell ref="B14:D14"/>
    <mergeCell ref="B28:D28"/>
    <mergeCell ref="B29:D29"/>
    <mergeCell ref="B15:D15"/>
    <mergeCell ref="B17:D17"/>
    <mergeCell ref="B24:D24"/>
    <mergeCell ref="B25:D25"/>
    <mergeCell ref="B26:D26"/>
    <mergeCell ref="B27:D27"/>
    <mergeCell ref="B18:D18"/>
    <mergeCell ref="B19:D19"/>
    <mergeCell ref="B22:D23"/>
    <mergeCell ref="A21:H21"/>
    <mergeCell ref="E22:E23"/>
    <mergeCell ref="F22:F23"/>
    <mergeCell ref="H52:H53"/>
    <mergeCell ref="A61:H61"/>
    <mergeCell ref="A60:H60"/>
    <mergeCell ref="B62:D63"/>
    <mergeCell ref="E62:E63"/>
    <mergeCell ref="F62:F63"/>
    <mergeCell ref="G62:G63"/>
    <mergeCell ref="A50:H50"/>
    <mergeCell ref="B65:D65"/>
    <mergeCell ref="A1:H2"/>
    <mergeCell ref="B8:D8"/>
    <mergeCell ref="G6:G7"/>
    <mergeCell ref="H6:H7"/>
    <mergeCell ref="A3:A4"/>
    <mergeCell ref="B3:D4"/>
    <mergeCell ref="F3:F4"/>
    <mergeCell ref="F6:F7"/>
    <mergeCell ref="B12:D12"/>
    <mergeCell ref="E6:E7"/>
    <mergeCell ref="B6:D7"/>
    <mergeCell ref="A5:H5"/>
    <mergeCell ref="B9:D9"/>
    <mergeCell ref="B10:D10"/>
    <mergeCell ref="B11:D11"/>
    <mergeCell ref="B13:D13"/>
    <mergeCell ref="B16:D16"/>
    <mergeCell ref="B47:D47"/>
    <mergeCell ref="B40:D40"/>
    <mergeCell ref="B41:D41"/>
    <mergeCell ref="B42:D42"/>
    <mergeCell ref="B43:D43"/>
    <mergeCell ref="B66:D66"/>
    <mergeCell ref="F52:F53"/>
    <mergeCell ref="G52:G53"/>
    <mergeCell ref="G22:G23"/>
    <mergeCell ref="H22:H23"/>
    <mergeCell ref="A20:H20"/>
    <mergeCell ref="B45:D45"/>
    <mergeCell ref="B46:D46"/>
    <mergeCell ref="B30:D30"/>
    <mergeCell ref="B31:D31"/>
    <mergeCell ref="B32:D32"/>
    <mergeCell ref="A37:H37"/>
    <mergeCell ref="B38:D39"/>
    <mergeCell ref="E38:E39"/>
    <mergeCell ref="G38:G39"/>
    <mergeCell ref="H38:H39"/>
    <mergeCell ref="A36:H36"/>
    <mergeCell ref="B33:D33"/>
    <mergeCell ref="B34:D34"/>
    <mergeCell ref="B35:D35"/>
    <mergeCell ref="B48:D48"/>
    <mergeCell ref="B49:D49"/>
    <mergeCell ref="F38:F39"/>
    <mergeCell ref="A51:H51"/>
  </mergeCells>
  <phoneticPr fontId="0" type="noConversion"/>
  <pageMargins left="0.75" right="0.75" top="1" bottom="1" header="0" footer="0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/>
  </sheetViews>
  <sheetFormatPr baseColWidth="10" defaultRowHeight="12.75"/>
  <cols>
    <col min="1" max="1" width="31.5703125" bestFit="1" customWidth="1"/>
    <col min="6" max="6" width="32.28515625" bestFit="1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</v>
      </c>
      <c r="O2" s="331"/>
    </row>
    <row r="3" spans="1:15">
      <c r="A3" s="1983" t="s">
        <v>712</v>
      </c>
      <c r="B3" s="1983"/>
      <c r="C3" s="1983"/>
      <c r="D3" s="1983"/>
      <c r="E3" s="1983"/>
      <c r="F3" s="1983"/>
      <c r="G3" s="1983"/>
      <c r="H3" s="1983"/>
      <c r="I3" s="1983"/>
      <c r="J3" s="1983"/>
      <c r="K3" s="1983"/>
      <c r="L3" s="1983"/>
      <c r="M3" s="1983"/>
      <c r="N3" s="1983"/>
      <c r="O3" s="1983"/>
    </row>
    <row r="4" spans="1:15">
      <c r="F4" s="1984" t="s">
        <v>716</v>
      </c>
      <c r="G4" s="1984"/>
      <c r="H4" s="1984"/>
      <c r="I4" s="1984"/>
    </row>
    <row r="5" spans="1:15">
      <c r="F5" s="471" t="s">
        <v>0</v>
      </c>
      <c r="G5" s="471" t="s">
        <v>717</v>
      </c>
      <c r="H5" s="471" t="s">
        <v>46</v>
      </c>
      <c r="I5" s="471" t="s">
        <v>42</v>
      </c>
    </row>
    <row r="6" spans="1:15">
      <c r="A6" s="30"/>
      <c r="C6" s="30"/>
      <c r="F6" s="416" t="s">
        <v>718</v>
      </c>
      <c r="G6" s="420" t="s">
        <v>719</v>
      </c>
      <c r="H6" s="416">
        <v>1</v>
      </c>
      <c r="I6" s="420" t="s">
        <v>285</v>
      </c>
      <c r="K6" s="472"/>
      <c r="M6" s="30"/>
    </row>
    <row r="7" spans="1:15">
      <c r="F7" s="416" t="s">
        <v>720</v>
      </c>
      <c r="G7" s="420" t="s">
        <v>719</v>
      </c>
      <c r="H7" s="416">
        <v>2</v>
      </c>
      <c r="I7" s="420" t="s">
        <v>285</v>
      </c>
    </row>
    <row r="8" spans="1:15">
      <c r="F8" s="416" t="s">
        <v>721</v>
      </c>
      <c r="G8" s="420" t="s">
        <v>719</v>
      </c>
      <c r="H8" s="416">
        <v>1</v>
      </c>
      <c r="I8" s="420" t="s">
        <v>285</v>
      </c>
    </row>
    <row r="9" spans="1:15">
      <c r="A9" s="1984" t="s">
        <v>722</v>
      </c>
      <c r="B9" s="1984"/>
      <c r="C9" s="1984"/>
      <c r="D9" s="1984"/>
      <c r="F9" s="416" t="s">
        <v>723</v>
      </c>
      <c r="G9" s="420" t="s">
        <v>719</v>
      </c>
      <c r="H9" s="416">
        <v>1</v>
      </c>
      <c r="I9" s="420" t="s">
        <v>285</v>
      </c>
    </row>
    <row r="10" spans="1:15">
      <c r="A10" s="471" t="s">
        <v>0</v>
      </c>
      <c r="B10" s="471" t="s">
        <v>717</v>
      </c>
      <c r="C10" s="471" t="s">
        <v>46</v>
      </c>
      <c r="D10" s="471" t="s">
        <v>42</v>
      </c>
      <c r="F10" s="416" t="s">
        <v>724</v>
      </c>
      <c r="G10" s="420" t="s">
        <v>719</v>
      </c>
      <c r="H10" s="416">
        <v>15</v>
      </c>
      <c r="I10" s="420" t="s">
        <v>285</v>
      </c>
    </row>
    <row r="11" spans="1:15">
      <c r="A11" s="420" t="s">
        <v>725</v>
      </c>
      <c r="B11" s="473" t="s">
        <v>726</v>
      </c>
      <c r="C11" s="416">
        <f>36.14+70.02+96.9637</f>
        <v>203.12369999999999</v>
      </c>
      <c r="D11" s="420" t="s">
        <v>345</v>
      </c>
      <c r="F11" s="416" t="s">
        <v>727</v>
      </c>
      <c r="G11" s="420" t="s">
        <v>719</v>
      </c>
      <c r="H11" s="416">
        <v>2</v>
      </c>
      <c r="I11" s="420" t="s">
        <v>285</v>
      </c>
    </row>
    <row r="12" spans="1:15">
      <c r="F12" s="416" t="s">
        <v>728</v>
      </c>
      <c r="G12" s="420" t="s">
        <v>719</v>
      </c>
      <c r="H12" s="416">
        <v>2</v>
      </c>
      <c r="I12" s="420" t="s">
        <v>285</v>
      </c>
    </row>
    <row r="13" spans="1:15">
      <c r="F13" s="416" t="s">
        <v>729</v>
      </c>
      <c r="G13" s="420" t="s">
        <v>719</v>
      </c>
      <c r="H13" s="416">
        <v>1</v>
      </c>
      <c r="I13" s="420" t="s">
        <v>285</v>
      </c>
    </row>
    <row r="14" spans="1:15">
      <c r="F14" s="416" t="s">
        <v>730</v>
      </c>
      <c r="G14" s="420" t="s">
        <v>719</v>
      </c>
      <c r="H14" s="416">
        <v>1</v>
      </c>
      <c r="I14" s="420" t="s">
        <v>285</v>
      </c>
    </row>
    <row r="15" spans="1:15">
      <c r="F15" s="416" t="s">
        <v>731</v>
      </c>
      <c r="G15" s="420" t="s">
        <v>719</v>
      </c>
      <c r="H15" s="416">
        <v>1</v>
      </c>
      <c r="I15" s="420" t="s">
        <v>285</v>
      </c>
    </row>
    <row r="16" spans="1:15">
      <c r="F16" s="474" t="s">
        <v>732</v>
      </c>
      <c r="G16" s="420" t="s">
        <v>719</v>
      </c>
      <c r="H16" s="416">
        <v>1</v>
      </c>
      <c r="I16" s="420" t="s">
        <v>285</v>
      </c>
    </row>
    <row r="17" spans="6:9">
      <c r="F17" s="474" t="s">
        <v>733</v>
      </c>
      <c r="G17" s="420" t="s">
        <v>719</v>
      </c>
      <c r="H17" s="416">
        <v>1</v>
      </c>
      <c r="I17" s="420" t="s">
        <v>285</v>
      </c>
    </row>
    <row r="18" spans="6:9">
      <c r="F18" s="474" t="s">
        <v>734</v>
      </c>
      <c r="G18" s="420" t="s">
        <v>735</v>
      </c>
      <c r="H18" s="226">
        <v>3</v>
      </c>
      <c r="I18" s="420" t="s">
        <v>285</v>
      </c>
    </row>
    <row r="19" spans="6:9">
      <c r="F19" s="475" t="s">
        <v>736</v>
      </c>
      <c r="G19" s="420" t="s">
        <v>719</v>
      </c>
      <c r="H19" s="226">
        <v>1</v>
      </c>
      <c r="I19" s="420" t="s">
        <v>285</v>
      </c>
    </row>
    <row r="20" spans="6:9">
      <c r="F20" s="475" t="s">
        <v>737</v>
      </c>
      <c r="G20" s="420" t="s">
        <v>738</v>
      </c>
      <c r="H20" s="416">
        <v>1</v>
      </c>
      <c r="I20" s="420" t="s">
        <v>285</v>
      </c>
    </row>
    <row r="21" spans="6:9">
      <c r="F21" s="1985" t="s">
        <v>47</v>
      </c>
      <c r="G21" s="1985"/>
      <c r="H21" s="476">
        <f>SUM(H6:H20)</f>
        <v>34</v>
      </c>
      <c r="I21" s="476" t="s">
        <v>285</v>
      </c>
    </row>
  </sheetData>
  <mergeCells count="5">
    <mergeCell ref="B1:G1"/>
    <mergeCell ref="A3:O3"/>
    <mergeCell ref="F4:I4"/>
    <mergeCell ref="A9:D9"/>
    <mergeCell ref="F21:G2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9"/>
  <sheetViews>
    <sheetView topLeftCell="K55" zoomScale="70" zoomScaleNormal="70" workbookViewId="0">
      <selection activeCell="Y85" sqref="Y85"/>
    </sheetView>
  </sheetViews>
  <sheetFormatPr baseColWidth="10" defaultRowHeight="12.75"/>
  <cols>
    <col min="1" max="1" width="14.28515625" bestFit="1" customWidth="1"/>
    <col min="7" max="7" width="15.140625" customWidth="1"/>
    <col min="13" max="13" width="15.5703125" customWidth="1"/>
    <col min="16" max="16" width="13.42578125" customWidth="1"/>
    <col min="22" max="22" width="13.5703125" bestFit="1" customWidth="1"/>
    <col min="23" max="26" width="13.5703125" customWidth="1"/>
    <col min="30" max="30" width="15.42578125" bestFit="1" customWidth="1"/>
    <col min="31" max="31" width="14" bestFit="1" customWidth="1"/>
    <col min="32" max="32" width="12" bestFit="1" customWidth="1"/>
    <col min="33" max="33" width="22.140625" bestFit="1" customWidth="1"/>
    <col min="34" max="34" width="14.28515625" bestFit="1" customWidth="1"/>
    <col min="35" max="35" width="18.7109375" customWidth="1"/>
  </cols>
  <sheetData>
    <row r="1" spans="1:37" ht="13.5">
      <c r="A1" s="13" t="s">
        <v>14</v>
      </c>
      <c r="B1" s="9" t="s">
        <v>275</v>
      </c>
      <c r="C1" s="9"/>
      <c r="D1" s="9"/>
      <c r="E1" s="10"/>
      <c r="F1" s="12"/>
      <c r="G1" s="12"/>
      <c r="H1" s="11" t="s">
        <v>17</v>
      </c>
      <c r="I1" s="12" t="s">
        <v>1473</v>
      </c>
      <c r="J1" s="14"/>
      <c r="K1" s="3"/>
      <c r="L1" s="8"/>
      <c r="M1" s="8"/>
      <c r="N1" s="8"/>
      <c r="O1" s="8"/>
      <c r="P1" s="8"/>
    </row>
    <row r="2" spans="1:37" ht="14.25" thickBot="1">
      <c r="A2" s="13" t="s">
        <v>15</v>
      </c>
      <c r="B2" s="240" t="s">
        <v>277</v>
      </c>
      <c r="C2" s="240"/>
      <c r="D2" s="240"/>
      <c r="E2" s="241"/>
      <c r="F2" s="12"/>
      <c r="G2" s="12"/>
      <c r="H2" s="11" t="s">
        <v>16</v>
      </c>
      <c r="I2" s="12">
        <v>3</v>
      </c>
      <c r="J2" s="14"/>
      <c r="K2" s="3"/>
      <c r="L2" s="8"/>
      <c r="M2" s="8"/>
      <c r="N2" s="8"/>
      <c r="O2" s="8"/>
      <c r="P2" s="8"/>
    </row>
    <row r="3" spans="1:37" ht="13.5">
      <c r="A3" s="2007" t="s">
        <v>571</v>
      </c>
      <c r="B3" s="2008"/>
      <c r="C3" s="2008"/>
      <c r="D3" s="2008"/>
      <c r="E3" s="2008"/>
      <c r="F3" s="2008"/>
      <c r="G3" s="2008"/>
      <c r="H3" s="2008"/>
      <c r="I3" s="2008"/>
      <c r="J3" s="2009"/>
      <c r="K3" s="3"/>
      <c r="L3" s="2007" t="s">
        <v>572</v>
      </c>
      <c r="M3" s="2008"/>
      <c r="N3" s="2008"/>
      <c r="O3" s="2008"/>
      <c r="P3" s="2008"/>
      <c r="Q3" s="2008"/>
      <c r="R3" s="2008"/>
      <c r="S3" s="2008"/>
      <c r="T3" s="2008"/>
      <c r="U3" s="2009"/>
      <c r="AD3" s="2028" t="s">
        <v>1451</v>
      </c>
      <c r="AE3" s="2029"/>
      <c r="AF3" s="2029"/>
      <c r="AG3" s="2029"/>
      <c r="AH3" s="2029"/>
      <c r="AI3" s="2029"/>
      <c r="AJ3" s="2029"/>
      <c r="AK3" s="2030"/>
    </row>
    <row r="4" spans="1:37">
      <c r="A4" s="233" t="s">
        <v>0</v>
      </c>
      <c r="B4" s="26" t="s">
        <v>40</v>
      </c>
      <c r="C4" s="26" t="s">
        <v>41</v>
      </c>
      <c r="D4" s="26" t="s">
        <v>42</v>
      </c>
      <c r="E4" s="7" t="s">
        <v>43</v>
      </c>
      <c r="F4" s="26" t="s">
        <v>44</v>
      </c>
      <c r="G4" s="26" t="s">
        <v>45</v>
      </c>
      <c r="H4" s="26" t="s">
        <v>46</v>
      </c>
      <c r="I4" s="26" t="s">
        <v>47</v>
      </c>
      <c r="J4" s="234" t="s">
        <v>42</v>
      </c>
      <c r="L4" s="233" t="s">
        <v>0</v>
      </c>
      <c r="M4" s="26" t="s">
        <v>40</v>
      </c>
      <c r="N4" s="26" t="s">
        <v>41</v>
      </c>
      <c r="O4" s="26" t="s">
        <v>42</v>
      </c>
      <c r="P4" s="7" t="s">
        <v>43</v>
      </c>
      <c r="Q4" s="26" t="s">
        <v>44</v>
      </c>
      <c r="R4" s="26" t="s">
        <v>45</v>
      </c>
      <c r="S4" s="26" t="s">
        <v>46</v>
      </c>
      <c r="T4" s="26" t="s">
        <v>47</v>
      </c>
      <c r="U4" s="234" t="s">
        <v>42</v>
      </c>
      <c r="AD4" s="2025" t="s">
        <v>479</v>
      </c>
      <c r="AE4" s="2026"/>
      <c r="AF4" s="2026"/>
      <c r="AG4" s="2026"/>
      <c r="AH4" s="2026"/>
      <c r="AI4" s="2026"/>
      <c r="AJ4" s="2026"/>
      <c r="AK4" s="2027"/>
    </row>
    <row r="5" spans="1:37" ht="15.75" customHeight="1">
      <c r="A5" s="2001" t="s">
        <v>247</v>
      </c>
      <c r="B5" s="2002"/>
      <c r="C5" s="2002"/>
      <c r="D5" s="2002"/>
      <c r="E5" s="2002"/>
      <c r="F5" s="2002"/>
      <c r="G5" s="2002"/>
      <c r="H5" s="2002"/>
      <c r="I5" s="2002"/>
      <c r="J5" s="2003"/>
      <c r="L5" s="2013" t="s">
        <v>445</v>
      </c>
      <c r="M5" s="2014"/>
      <c r="N5" s="2014"/>
      <c r="O5" s="2014"/>
      <c r="P5" s="2014"/>
      <c r="Q5" s="2014"/>
      <c r="R5" s="2014"/>
      <c r="S5" s="2014"/>
      <c r="T5" s="2014"/>
      <c r="U5" s="2015"/>
      <c r="AD5" s="2013" t="s">
        <v>486</v>
      </c>
      <c r="AE5" s="2014"/>
      <c r="AF5" s="2014"/>
      <c r="AG5" s="2014"/>
      <c r="AH5" s="2014"/>
      <c r="AI5" s="2014"/>
      <c r="AJ5" s="2014"/>
      <c r="AK5" s="2015"/>
    </row>
    <row r="6" spans="1:37" ht="25.5">
      <c r="A6" s="235" t="s">
        <v>147</v>
      </c>
      <c r="B6" s="1989">
        <v>245</v>
      </c>
      <c r="C6" s="108">
        <v>5.66</v>
      </c>
      <c r="D6" s="60" t="s">
        <v>48</v>
      </c>
      <c r="E6" s="50">
        <v>0.4</v>
      </c>
      <c r="F6" s="50">
        <v>0.48</v>
      </c>
      <c r="G6" s="109">
        <f>C6*E6*F6</f>
        <v>1.0867200000000001</v>
      </c>
      <c r="H6" s="110">
        <v>1</v>
      </c>
      <c r="I6" s="109">
        <f>G6*H6</f>
        <v>1.0867200000000001</v>
      </c>
      <c r="J6" s="1992" t="s">
        <v>49</v>
      </c>
      <c r="L6" s="235" t="s">
        <v>404</v>
      </c>
      <c r="M6" s="1918">
        <v>245</v>
      </c>
      <c r="N6" s="5">
        <f>4.19+9.06</f>
        <v>13.25</v>
      </c>
      <c r="O6" s="210" t="s">
        <v>48</v>
      </c>
      <c r="P6" s="5">
        <v>0.4</v>
      </c>
      <c r="Q6" s="5">
        <v>0.48</v>
      </c>
      <c r="R6" s="5">
        <f>+Q6*P6*N6</f>
        <v>2.544</v>
      </c>
      <c r="S6" s="5">
        <v>1</v>
      </c>
      <c r="T6" s="5">
        <f t="shared" ref="T6:T16" si="0">+S6*R6</f>
        <v>2.544</v>
      </c>
      <c r="U6" s="2005" t="s">
        <v>49</v>
      </c>
      <c r="AD6" s="258" t="s">
        <v>480</v>
      </c>
      <c r="AE6" s="7" t="s">
        <v>492</v>
      </c>
      <c r="AF6" s="7" t="s">
        <v>481</v>
      </c>
      <c r="AG6" s="7" t="s">
        <v>482</v>
      </c>
      <c r="AH6" s="7" t="s">
        <v>483</v>
      </c>
      <c r="AI6" s="7" t="s">
        <v>21</v>
      </c>
      <c r="AJ6" s="7" t="s">
        <v>488</v>
      </c>
      <c r="AK6" s="259" t="s">
        <v>42</v>
      </c>
    </row>
    <row r="7" spans="1:37">
      <c r="A7" s="235" t="s">
        <v>148</v>
      </c>
      <c r="B7" s="1990"/>
      <c r="C7" s="108">
        <v>15.82</v>
      </c>
      <c r="D7" s="60" t="s">
        <v>48</v>
      </c>
      <c r="E7" s="50">
        <v>0.5</v>
      </c>
      <c r="F7" s="50">
        <v>0.48</v>
      </c>
      <c r="G7" s="109">
        <f t="shared" ref="G7:G25" si="1">C7*E7*F7</f>
        <v>3.7967999999999997</v>
      </c>
      <c r="H7" s="110">
        <v>1</v>
      </c>
      <c r="I7" s="109">
        <f t="shared" ref="I7:I25" si="2">G7*H7</f>
        <v>3.7967999999999997</v>
      </c>
      <c r="J7" s="1993"/>
      <c r="L7" s="235" t="s">
        <v>446</v>
      </c>
      <c r="M7" s="1918"/>
      <c r="N7" s="5">
        <v>13.47</v>
      </c>
      <c r="O7" s="210" t="s">
        <v>48</v>
      </c>
      <c r="P7" s="5">
        <v>0.4</v>
      </c>
      <c r="Q7" s="5">
        <v>0.48</v>
      </c>
      <c r="R7" s="5">
        <f>+Q7*P7*N7</f>
        <v>2.5862400000000001</v>
      </c>
      <c r="S7" s="5">
        <v>1</v>
      </c>
      <c r="T7" s="5">
        <f t="shared" si="0"/>
        <v>2.5862400000000001</v>
      </c>
      <c r="U7" s="2005"/>
      <c r="AD7" s="145">
        <v>1</v>
      </c>
      <c r="AE7" s="1861">
        <v>24.5</v>
      </c>
      <c r="AF7" s="5">
        <v>10</v>
      </c>
      <c r="AG7" s="5">
        <v>0.3</v>
      </c>
      <c r="AH7" s="5">
        <v>0.18</v>
      </c>
      <c r="AI7" s="5">
        <v>4.76</v>
      </c>
      <c r="AJ7" s="5">
        <f>+(AG7*AH7/2)*AI7*AF7</f>
        <v>1.2851999999999999</v>
      </c>
      <c r="AK7" s="2005" t="s">
        <v>49</v>
      </c>
    </row>
    <row r="8" spans="1:37">
      <c r="A8" s="242" t="s">
        <v>141</v>
      </c>
      <c r="B8" s="1990"/>
      <c r="C8" s="108">
        <v>21.47</v>
      </c>
      <c r="D8" s="60" t="s">
        <v>48</v>
      </c>
      <c r="E8" s="50">
        <v>0.6</v>
      </c>
      <c r="F8" s="50">
        <v>0.48</v>
      </c>
      <c r="G8" s="109">
        <f t="shared" si="1"/>
        <v>6.1833599999999995</v>
      </c>
      <c r="H8" s="110">
        <v>1</v>
      </c>
      <c r="I8" s="109">
        <f t="shared" si="2"/>
        <v>6.1833599999999995</v>
      </c>
      <c r="J8" s="1993"/>
      <c r="L8" s="235" t="s">
        <v>447</v>
      </c>
      <c r="M8" s="1918"/>
      <c r="N8" s="5">
        <v>10.119999999999999</v>
      </c>
      <c r="O8" s="210" t="s">
        <v>48</v>
      </c>
      <c r="P8" s="5">
        <v>0.5</v>
      </c>
      <c r="Q8" s="5">
        <v>0.48</v>
      </c>
      <c r="R8" s="5">
        <f>+Q8*P8*N8</f>
        <v>2.4287999999999998</v>
      </c>
      <c r="S8" s="5">
        <v>1</v>
      </c>
      <c r="T8" s="5">
        <f t="shared" si="0"/>
        <v>2.4287999999999998</v>
      </c>
      <c r="U8" s="2005"/>
      <c r="AD8" s="145">
        <v>2</v>
      </c>
      <c r="AE8" s="1918"/>
      <c r="AF8" s="5">
        <v>6</v>
      </c>
      <c r="AG8" s="5">
        <v>0.3</v>
      </c>
      <c r="AH8" s="5">
        <v>0.18</v>
      </c>
      <c r="AI8" s="5">
        <v>2.38</v>
      </c>
      <c r="AJ8" s="5">
        <f t="shared" ref="AJ8:AJ17" si="3">+(AG8*AH8/2)*AI8*AF8</f>
        <v>0.38556000000000001</v>
      </c>
      <c r="AK8" s="2005"/>
    </row>
    <row r="9" spans="1:37">
      <c r="A9" s="242" t="s">
        <v>142</v>
      </c>
      <c r="B9" s="1990"/>
      <c r="C9" s="108">
        <v>21.48</v>
      </c>
      <c r="D9" s="60" t="s">
        <v>48</v>
      </c>
      <c r="E9" s="50">
        <v>0.4</v>
      </c>
      <c r="F9" s="50">
        <v>0.48</v>
      </c>
      <c r="G9" s="109">
        <f t="shared" si="1"/>
        <v>4.1241599999999998</v>
      </c>
      <c r="H9" s="110">
        <v>1</v>
      </c>
      <c r="I9" s="109">
        <f t="shared" si="2"/>
        <v>4.1241599999999998</v>
      </c>
      <c r="J9" s="1993"/>
      <c r="L9" s="235" t="s">
        <v>406</v>
      </c>
      <c r="M9" s="1918"/>
      <c r="N9" s="5">
        <v>24.61</v>
      </c>
      <c r="O9" s="210" t="s">
        <v>48</v>
      </c>
      <c r="P9" s="5">
        <v>0.4</v>
      </c>
      <c r="Q9" s="5">
        <v>0.48</v>
      </c>
      <c r="R9" s="5">
        <f>+Q9*P9*N9</f>
        <v>4.7251200000000004</v>
      </c>
      <c r="S9" s="5">
        <v>1</v>
      </c>
      <c r="T9" s="5">
        <f t="shared" si="0"/>
        <v>4.7251200000000004</v>
      </c>
      <c r="U9" s="2005"/>
      <c r="AD9" s="145">
        <v>3</v>
      </c>
      <c r="AE9" s="1918"/>
      <c r="AF9" s="5">
        <v>6</v>
      </c>
      <c r="AG9" s="5">
        <v>0.3</v>
      </c>
      <c r="AH9" s="5">
        <v>0.18</v>
      </c>
      <c r="AI9" s="5">
        <v>2.67</v>
      </c>
      <c r="AJ9" s="5">
        <f t="shared" si="3"/>
        <v>0.43254000000000004</v>
      </c>
      <c r="AK9" s="2005"/>
    </row>
    <row r="10" spans="1:37">
      <c r="A10" s="242" t="s">
        <v>143</v>
      </c>
      <c r="B10" s="1990"/>
      <c r="C10" s="108">
        <v>13.89</v>
      </c>
      <c r="D10" s="60" t="s">
        <v>48</v>
      </c>
      <c r="E10" s="50">
        <v>0.4</v>
      </c>
      <c r="F10" s="50">
        <v>0.48</v>
      </c>
      <c r="G10" s="109">
        <f t="shared" si="1"/>
        <v>2.6668800000000004</v>
      </c>
      <c r="H10" s="110">
        <v>1</v>
      </c>
      <c r="I10" s="109">
        <f t="shared" si="2"/>
        <v>2.6668800000000004</v>
      </c>
      <c r="J10" s="1993"/>
      <c r="L10" s="235" t="s">
        <v>407</v>
      </c>
      <c r="M10" s="1918"/>
      <c r="N10" s="5">
        <v>24.4</v>
      </c>
      <c r="O10" s="210" t="s">
        <v>48</v>
      </c>
      <c r="P10" s="5">
        <v>0.4</v>
      </c>
      <c r="Q10" s="5">
        <v>0.48</v>
      </c>
      <c r="R10" s="5">
        <f>+N10*P10*Q10</f>
        <v>4.6848000000000001</v>
      </c>
      <c r="S10" s="5">
        <v>1</v>
      </c>
      <c r="T10" s="5">
        <f t="shared" si="0"/>
        <v>4.6848000000000001</v>
      </c>
      <c r="U10" s="2005"/>
      <c r="AD10" s="145">
        <v>4</v>
      </c>
      <c r="AE10" s="1918"/>
      <c r="AF10" s="5">
        <v>6</v>
      </c>
      <c r="AG10" s="5">
        <v>0.3</v>
      </c>
      <c r="AH10" s="5">
        <v>0.18</v>
      </c>
      <c r="AI10" s="5">
        <v>2.98</v>
      </c>
      <c r="AJ10" s="5">
        <f t="shared" si="3"/>
        <v>0.48276000000000002</v>
      </c>
      <c r="AK10" s="2005"/>
    </row>
    <row r="11" spans="1:37">
      <c r="A11" s="242" t="s">
        <v>133</v>
      </c>
      <c r="B11" s="1990"/>
      <c r="C11" s="108">
        <v>9.52</v>
      </c>
      <c r="D11" s="60" t="s">
        <v>48</v>
      </c>
      <c r="E11" s="50">
        <v>0.4</v>
      </c>
      <c r="F11" s="50">
        <v>0.48</v>
      </c>
      <c r="G11" s="109">
        <f t="shared" si="1"/>
        <v>1.8278399999999999</v>
      </c>
      <c r="H11" s="110">
        <v>1</v>
      </c>
      <c r="I11" s="109">
        <f t="shared" si="2"/>
        <v>1.8278399999999999</v>
      </c>
      <c r="J11" s="1993"/>
      <c r="L11" s="235" t="s">
        <v>408</v>
      </c>
      <c r="M11" s="1918"/>
      <c r="N11" s="5">
        <v>6.77</v>
      </c>
      <c r="O11" s="210" t="s">
        <v>48</v>
      </c>
      <c r="P11" s="5">
        <v>0.4</v>
      </c>
      <c r="Q11" s="5">
        <v>0.48</v>
      </c>
      <c r="R11" s="5">
        <f>+Q11*P11*N11</f>
        <v>1.2998399999999999</v>
      </c>
      <c r="S11" s="5">
        <v>1</v>
      </c>
      <c r="T11" s="5">
        <f t="shared" si="0"/>
        <v>1.2998399999999999</v>
      </c>
      <c r="U11" s="2005"/>
      <c r="AD11" s="145">
        <v>5</v>
      </c>
      <c r="AE11" s="1918"/>
      <c r="AF11" s="5">
        <v>6</v>
      </c>
      <c r="AG11" s="5">
        <v>0.3</v>
      </c>
      <c r="AH11" s="5">
        <v>0.18</v>
      </c>
      <c r="AI11" s="5">
        <v>3.28</v>
      </c>
      <c r="AJ11" s="5">
        <f t="shared" si="3"/>
        <v>0.53136000000000005</v>
      </c>
      <c r="AK11" s="2005"/>
    </row>
    <row r="12" spans="1:37">
      <c r="A12" s="242" t="s">
        <v>144</v>
      </c>
      <c r="B12" s="1990"/>
      <c r="C12" s="108">
        <v>14.86</v>
      </c>
      <c r="D12" s="60" t="s">
        <v>48</v>
      </c>
      <c r="E12" s="50">
        <v>0.4</v>
      </c>
      <c r="F12" s="50">
        <v>0.48</v>
      </c>
      <c r="G12" s="109">
        <f t="shared" si="1"/>
        <v>2.8531199999999997</v>
      </c>
      <c r="H12" s="110">
        <v>1</v>
      </c>
      <c r="I12" s="109">
        <f t="shared" si="2"/>
        <v>2.8531199999999997</v>
      </c>
      <c r="J12" s="1993"/>
      <c r="L12" s="235" t="s">
        <v>409</v>
      </c>
      <c r="M12" s="1918"/>
      <c r="N12" s="5">
        <v>11.65</v>
      </c>
      <c r="O12" s="210" t="s">
        <v>48</v>
      </c>
      <c r="P12" s="5">
        <v>0.4</v>
      </c>
      <c r="Q12" s="5">
        <v>0.48</v>
      </c>
      <c r="R12" s="5">
        <f>+Q12*P12*N12</f>
        <v>2.2368000000000001</v>
      </c>
      <c r="S12" s="5">
        <v>1</v>
      </c>
      <c r="T12" s="5">
        <f t="shared" si="0"/>
        <v>2.2368000000000001</v>
      </c>
      <c r="U12" s="2005"/>
      <c r="AD12" s="145">
        <v>6</v>
      </c>
      <c r="AE12" s="1918"/>
      <c r="AF12" s="5">
        <v>3</v>
      </c>
      <c r="AG12" s="5">
        <v>0.6</v>
      </c>
      <c r="AH12" s="5">
        <v>0.36</v>
      </c>
      <c r="AI12" s="5">
        <v>2.38</v>
      </c>
      <c r="AJ12" s="5">
        <f t="shared" si="3"/>
        <v>0.77112000000000003</v>
      </c>
      <c r="AK12" s="2005"/>
    </row>
    <row r="13" spans="1:37">
      <c r="A13" s="242" t="s">
        <v>145</v>
      </c>
      <c r="B13" s="1990"/>
      <c r="C13" s="108">
        <v>49.18</v>
      </c>
      <c r="D13" s="60" t="s">
        <v>48</v>
      </c>
      <c r="E13" s="50">
        <v>0.4</v>
      </c>
      <c r="F13" s="50">
        <v>0.48</v>
      </c>
      <c r="G13" s="109">
        <f t="shared" si="1"/>
        <v>9.4425600000000003</v>
      </c>
      <c r="H13" s="110">
        <v>1</v>
      </c>
      <c r="I13" s="109">
        <f t="shared" si="2"/>
        <v>9.4425600000000003</v>
      </c>
      <c r="J13" s="1993"/>
      <c r="L13" s="235" t="s">
        <v>410</v>
      </c>
      <c r="M13" s="1918"/>
      <c r="N13" s="5">
        <v>10.95</v>
      </c>
      <c r="O13" s="210" t="s">
        <v>48</v>
      </c>
      <c r="P13" s="5">
        <v>0.4</v>
      </c>
      <c r="Q13" s="5">
        <v>0.48</v>
      </c>
      <c r="R13" s="5">
        <f>+N13*P13*Q13</f>
        <v>2.1023999999999998</v>
      </c>
      <c r="S13" s="5">
        <v>1</v>
      </c>
      <c r="T13" s="5">
        <f t="shared" si="0"/>
        <v>2.1023999999999998</v>
      </c>
      <c r="U13" s="2005"/>
      <c r="AD13" s="145">
        <v>7</v>
      </c>
      <c r="AE13" s="1918"/>
      <c r="AF13" s="5">
        <v>3</v>
      </c>
      <c r="AG13" s="5">
        <v>0.6</v>
      </c>
      <c r="AH13" s="5">
        <v>0.36</v>
      </c>
      <c r="AI13" s="5">
        <v>2.09</v>
      </c>
      <c r="AJ13" s="5">
        <f t="shared" si="3"/>
        <v>0.67715999999999998</v>
      </c>
      <c r="AK13" s="2005"/>
    </row>
    <row r="14" spans="1:37">
      <c r="A14" s="242" t="s">
        <v>112</v>
      </c>
      <c r="B14" s="1990"/>
      <c r="C14" s="108">
        <v>45.77</v>
      </c>
      <c r="D14" s="60" t="s">
        <v>48</v>
      </c>
      <c r="E14" s="50">
        <v>0.4</v>
      </c>
      <c r="F14" s="50">
        <v>0.48</v>
      </c>
      <c r="G14" s="109">
        <f t="shared" si="1"/>
        <v>8.787840000000001</v>
      </c>
      <c r="H14" s="110">
        <v>1</v>
      </c>
      <c r="I14" s="109">
        <f t="shared" si="2"/>
        <v>8.787840000000001</v>
      </c>
      <c r="J14" s="1993"/>
      <c r="L14" s="235" t="s">
        <v>411</v>
      </c>
      <c r="M14" s="1918"/>
      <c r="N14" s="5">
        <v>5.74</v>
      </c>
      <c r="O14" s="210" t="s">
        <v>48</v>
      </c>
      <c r="P14" s="5">
        <v>0.4</v>
      </c>
      <c r="Q14" s="5">
        <v>0.48</v>
      </c>
      <c r="R14" s="5">
        <f>+N14*P14*Q14</f>
        <v>1.1020800000000002</v>
      </c>
      <c r="S14" s="5">
        <v>1</v>
      </c>
      <c r="T14" s="5">
        <f t="shared" si="0"/>
        <v>1.1020800000000002</v>
      </c>
      <c r="U14" s="2005"/>
      <c r="AD14" s="145">
        <v>8</v>
      </c>
      <c r="AE14" s="1918"/>
      <c r="AF14" s="5">
        <v>3</v>
      </c>
      <c r="AG14" s="5">
        <v>0.6</v>
      </c>
      <c r="AH14" s="5">
        <v>0.36</v>
      </c>
      <c r="AI14" s="5">
        <v>1.78</v>
      </c>
      <c r="AJ14" s="5">
        <f t="shared" si="3"/>
        <v>0.57672000000000001</v>
      </c>
      <c r="AK14" s="2005"/>
    </row>
    <row r="15" spans="1:37">
      <c r="A15" s="242" t="s">
        <v>115</v>
      </c>
      <c r="B15" s="1990"/>
      <c r="C15" s="108">
        <v>21.57</v>
      </c>
      <c r="D15" s="60" t="s">
        <v>48</v>
      </c>
      <c r="E15" s="50">
        <v>0.4</v>
      </c>
      <c r="F15" s="50">
        <v>0.48</v>
      </c>
      <c r="G15" s="109">
        <f t="shared" si="1"/>
        <v>4.1414400000000002</v>
      </c>
      <c r="H15" s="110">
        <v>1</v>
      </c>
      <c r="I15" s="109">
        <f t="shared" si="2"/>
        <v>4.1414400000000002</v>
      </c>
      <c r="J15" s="1993"/>
      <c r="L15" s="235" t="s">
        <v>412</v>
      </c>
      <c r="M15" s="1918"/>
      <c r="N15" s="5">
        <v>9.52</v>
      </c>
      <c r="O15" s="210" t="s">
        <v>48</v>
      </c>
      <c r="P15" s="5">
        <v>0.4</v>
      </c>
      <c r="Q15" s="5">
        <v>0.48</v>
      </c>
      <c r="R15" s="5">
        <f>+N15*P15*Q15</f>
        <v>1.8278399999999999</v>
      </c>
      <c r="S15" s="5">
        <v>1</v>
      </c>
      <c r="T15" s="5">
        <f t="shared" si="0"/>
        <v>1.8278399999999999</v>
      </c>
      <c r="U15" s="2005"/>
      <c r="AD15" s="145">
        <v>9</v>
      </c>
      <c r="AE15" s="1918"/>
      <c r="AF15" s="5">
        <v>3</v>
      </c>
      <c r="AG15" s="5">
        <v>0.6</v>
      </c>
      <c r="AH15" s="5">
        <v>0.36</v>
      </c>
      <c r="AI15" s="5">
        <v>1.48</v>
      </c>
      <c r="AJ15" s="5">
        <f t="shared" si="3"/>
        <v>0.47952000000000006</v>
      </c>
      <c r="AK15" s="2005"/>
    </row>
    <row r="16" spans="1:37">
      <c r="A16" s="242" t="s">
        <v>149</v>
      </c>
      <c r="B16" s="1990"/>
      <c r="C16" s="108">
        <v>18.25</v>
      </c>
      <c r="D16" s="60" t="s">
        <v>48</v>
      </c>
      <c r="E16" s="50">
        <v>0.4</v>
      </c>
      <c r="F16" s="50">
        <v>0.48</v>
      </c>
      <c r="G16" s="109">
        <f t="shared" si="1"/>
        <v>3.504</v>
      </c>
      <c r="H16" s="110">
        <v>1</v>
      </c>
      <c r="I16" s="109">
        <f t="shared" si="2"/>
        <v>3.504</v>
      </c>
      <c r="J16" s="1993"/>
      <c r="L16" s="235" t="s">
        <v>448</v>
      </c>
      <c r="M16" s="1918"/>
      <c r="N16" s="5">
        <v>14.15</v>
      </c>
      <c r="O16" s="210" t="s">
        <v>48</v>
      </c>
      <c r="P16" s="5">
        <v>0.4</v>
      </c>
      <c r="Q16" s="5">
        <v>0.48</v>
      </c>
      <c r="R16" s="5">
        <f>+N16*P16*Q16</f>
        <v>2.7168000000000001</v>
      </c>
      <c r="S16" s="5">
        <v>1</v>
      </c>
      <c r="T16" s="5">
        <f t="shared" si="0"/>
        <v>2.7168000000000001</v>
      </c>
      <c r="U16" s="2005"/>
      <c r="AD16" s="145">
        <v>10</v>
      </c>
      <c r="AE16" s="1918"/>
      <c r="AF16" s="5">
        <v>2</v>
      </c>
      <c r="AG16" s="5">
        <v>0.3</v>
      </c>
      <c r="AH16" s="5">
        <v>0.18</v>
      </c>
      <c r="AI16" s="5">
        <v>3.58</v>
      </c>
      <c r="AJ16" s="5">
        <f t="shared" si="3"/>
        <v>0.19331999999999999</v>
      </c>
      <c r="AK16" s="2005"/>
    </row>
    <row r="17" spans="1:39">
      <c r="A17" s="242" t="s">
        <v>150</v>
      </c>
      <c r="B17" s="1990"/>
      <c r="C17" s="108">
        <v>3.38</v>
      </c>
      <c r="D17" s="60" t="s">
        <v>48</v>
      </c>
      <c r="E17" s="50">
        <v>0.5</v>
      </c>
      <c r="F17" s="50">
        <v>0.48</v>
      </c>
      <c r="G17" s="109">
        <f t="shared" si="1"/>
        <v>0.81119999999999992</v>
      </c>
      <c r="H17" s="110">
        <v>1</v>
      </c>
      <c r="I17" s="109">
        <f t="shared" si="2"/>
        <v>0.81119999999999992</v>
      </c>
      <c r="J17" s="1993"/>
      <c r="L17" s="1986" t="s">
        <v>50</v>
      </c>
      <c r="M17" s="1987"/>
      <c r="N17" s="1987"/>
      <c r="O17" s="1987"/>
      <c r="P17" s="1987"/>
      <c r="Q17" s="1987"/>
      <c r="R17" s="1987"/>
      <c r="S17" s="1988"/>
      <c r="T17" s="115">
        <f>+SUM(T6:T16)</f>
        <v>28.254719999999995</v>
      </c>
      <c r="U17" s="236" t="s">
        <v>49</v>
      </c>
      <c r="AD17" s="145">
        <v>11</v>
      </c>
      <c r="AE17" s="1918"/>
      <c r="AF17" s="5">
        <v>1</v>
      </c>
      <c r="AG17" s="5">
        <v>0.6</v>
      </c>
      <c r="AH17" s="5">
        <v>0.36</v>
      </c>
      <c r="AI17" s="5">
        <v>1.18</v>
      </c>
      <c r="AJ17" s="5">
        <f t="shared" si="3"/>
        <v>0.12744</v>
      </c>
      <c r="AK17" s="2005"/>
    </row>
    <row r="18" spans="1:39" ht="11.25" customHeight="1">
      <c r="A18" s="242" t="s">
        <v>119</v>
      </c>
      <c r="B18" s="1990"/>
      <c r="C18" s="108">
        <v>13.6</v>
      </c>
      <c r="D18" s="60" t="s">
        <v>48</v>
      </c>
      <c r="E18" s="50">
        <v>0.4</v>
      </c>
      <c r="F18" s="50">
        <v>0.48</v>
      </c>
      <c r="G18" s="109">
        <f t="shared" si="1"/>
        <v>2.6112000000000002</v>
      </c>
      <c r="H18" s="110">
        <v>1</v>
      </c>
      <c r="I18" s="109">
        <f t="shared" si="2"/>
        <v>2.6112000000000002</v>
      </c>
      <c r="J18" s="1993"/>
      <c r="L18" s="2017"/>
      <c r="M18" s="2018"/>
      <c r="N18" s="2018"/>
      <c r="O18" s="2018"/>
      <c r="P18" s="2018"/>
      <c r="Q18" s="2018"/>
      <c r="R18" s="2018"/>
      <c r="S18" s="2018"/>
      <c r="T18" s="2018"/>
      <c r="U18" s="2019"/>
      <c r="AD18" s="2013" t="s">
        <v>487</v>
      </c>
      <c r="AE18" s="2014"/>
      <c r="AF18" s="2014"/>
      <c r="AG18" s="2014"/>
      <c r="AH18" s="2014"/>
      <c r="AI18" s="2014"/>
      <c r="AJ18" s="1828"/>
      <c r="AK18" s="2000"/>
    </row>
    <row r="19" spans="1:39" ht="25.5">
      <c r="A19" s="242" t="s">
        <v>135</v>
      </c>
      <c r="B19" s="1990"/>
      <c r="C19" s="108">
        <v>8.0399999999999991</v>
      </c>
      <c r="D19" s="60" t="s">
        <v>48</v>
      </c>
      <c r="E19" s="50">
        <v>0.4</v>
      </c>
      <c r="F19" s="50">
        <v>0.48</v>
      </c>
      <c r="G19" s="109">
        <f t="shared" si="1"/>
        <v>1.5436799999999997</v>
      </c>
      <c r="H19" s="110">
        <v>1</v>
      </c>
      <c r="I19" s="109">
        <f t="shared" si="2"/>
        <v>1.5436799999999997</v>
      </c>
      <c r="J19" s="1993"/>
      <c r="L19" s="2013" t="s">
        <v>449</v>
      </c>
      <c r="M19" s="2014"/>
      <c r="N19" s="2014"/>
      <c r="O19" s="2014"/>
      <c r="P19" s="2014"/>
      <c r="Q19" s="2014"/>
      <c r="R19" s="2014"/>
      <c r="S19" s="2014"/>
      <c r="T19" s="2014"/>
      <c r="U19" s="2015"/>
      <c r="AD19" s="258" t="s">
        <v>485</v>
      </c>
      <c r="AE19" s="7" t="s">
        <v>492</v>
      </c>
      <c r="AF19" s="7" t="s">
        <v>20</v>
      </c>
      <c r="AG19" s="7" t="s">
        <v>110</v>
      </c>
      <c r="AH19" s="7" t="s">
        <v>484</v>
      </c>
      <c r="AI19" s="7" t="s">
        <v>42</v>
      </c>
      <c r="AJ19" s="1828"/>
      <c r="AK19" s="2000"/>
    </row>
    <row r="20" spans="1:39">
      <c r="A20" s="242" t="s">
        <v>120</v>
      </c>
      <c r="B20" s="1990"/>
      <c r="C20" s="108">
        <v>42.54</v>
      </c>
      <c r="D20" s="60" t="s">
        <v>48</v>
      </c>
      <c r="E20" s="50">
        <v>0.4</v>
      </c>
      <c r="F20" s="50">
        <v>0.48</v>
      </c>
      <c r="G20" s="109">
        <f t="shared" si="1"/>
        <v>8.1676800000000007</v>
      </c>
      <c r="H20" s="110">
        <v>1</v>
      </c>
      <c r="I20" s="109">
        <f t="shared" si="2"/>
        <v>8.1676800000000007</v>
      </c>
      <c r="J20" s="1993"/>
      <c r="L20" s="235" t="s">
        <v>415</v>
      </c>
      <c r="M20" s="1918">
        <v>245</v>
      </c>
      <c r="N20" s="5">
        <v>12.15</v>
      </c>
      <c r="O20" s="226" t="s">
        <v>48</v>
      </c>
      <c r="P20" s="5">
        <v>0.2</v>
      </c>
      <c r="Q20" s="5">
        <v>0.48</v>
      </c>
      <c r="R20" s="5">
        <f>+N20*P20*Q20</f>
        <v>1.1664000000000001</v>
      </c>
      <c r="S20" s="5">
        <v>1</v>
      </c>
      <c r="T20" s="5">
        <f>+R20*S20</f>
        <v>1.1664000000000001</v>
      </c>
      <c r="U20" s="2005" t="s">
        <v>49</v>
      </c>
      <c r="AD20" s="260">
        <v>0.7</v>
      </c>
      <c r="AE20" s="256">
        <v>24.5</v>
      </c>
      <c r="AF20" s="251">
        <v>4.76</v>
      </c>
      <c r="AG20" s="189">
        <v>18.3</v>
      </c>
      <c r="AH20" s="252">
        <f>+AD20*AF20*AG20</f>
        <v>60.9756</v>
      </c>
      <c r="AI20" s="254" t="s">
        <v>49</v>
      </c>
      <c r="AJ20" s="210"/>
      <c r="AK20" s="261"/>
    </row>
    <row r="21" spans="1:39" ht="12.75" customHeight="1">
      <c r="A21" s="242" t="s">
        <v>146</v>
      </c>
      <c r="B21" s="1990"/>
      <c r="C21" s="108">
        <v>45.95</v>
      </c>
      <c r="D21" s="60" t="s">
        <v>48</v>
      </c>
      <c r="E21" s="50">
        <v>0.4</v>
      </c>
      <c r="F21" s="50">
        <v>0.48</v>
      </c>
      <c r="G21" s="109">
        <f t="shared" si="1"/>
        <v>8.8224</v>
      </c>
      <c r="H21" s="110">
        <v>1</v>
      </c>
      <c r="I21" s="109">
        <f t="shared" si="2"/>
        <v>8.8224</v>
      </c>
      <c r="J21" s="1993"/>
      <c r="L21" s="235" t="s">
        <v>416</v>
      </c>
      <c r="M21" s="1918"/>
      <c r="N21" s="5">
        <v>7.72</v>
      </c>
      <c r="O21" s="226" t="s">
        <v>48</v>
      </c>
      <c r="P21" s="5">
        <v>0.2</v>
      </c>
      <c r="Q21" s="5">
        <v>0.48</v>
      </c>
      <c r="R21" s="5">
        <f t="shared" ref="R21:R45" si="4">+N21*P21*Q21</f>
        <v>0.74112</v>
      </c>
      <c r="S21" s="5">
        <v>1</v>
      </c>
      <c r="T21" s="5">
        <f t="shared" ref="T21:T45" si="5">+R21*S21</f>
        <v>0.74112</v>
      </c>
      <c r="U21" s="2005"/>
      <c r="AD21" s="2020" t="s">
        <v>489</v>
      </c>
      <c r="AE21" s="2021"/>
      <c r="AF21" s="2021"/>
      <c r="AG21" s="2021"/>
      <c r="AH21" s="2021"/>
      <c r="AI21" s="2021"/>
      <c r="AJ21" s="257">
        <f>AH20+SUM(AJ7:AJ17)</f>
        <v>66.918300000000002</v>
      </c>
      <c r="AK21" s="237" t="s">
        <v>49</v>
      </c>
    </row>
    <row r="22" spans="1:39">
      <c r="A22" s="242" t="s">
        <v>151</v>
      </c>
      <c r="B22" s="1990"/>
      <c r="C22" s="108">
        <v>39.04</v>
      </c>
      <c r="D22" s="60" t="s">
        <v>48</v>
      </c>
      <c r="E22" s="50">
        <v>0.4</v>
      </c>
      <c r="F22" s="50">
        <v>0.48</v>
      </c>
      <c r="G22" s="109">
        <f t="shared" si="1"/>
        <v>7.4956799999999992</v>
      </c>
      <c r="H22" s="110">
        <v>1</v>
      </c>
      <c r="I22" s="109">
        <f t="shared" si="2"/>
        <v>7.4956799999999992</v>
      </c>
      <c r="J22" s="1993"/>
      <c r="L22" s="235" t="s">
        <v>417</v>
      </c>
      <c r="M22" s="1918"/>
      <c r="N22" s="5">
        <v>14.34</v>
      </c>
      <c r="O22" s="226" t="s">
        <v>48</v>
      </c>
      <c r="P22" s="5">
        <v>0.3</v>
      </c>
      <c r="Q22" s="5">
        <v>0.48</v>
      </c>
      <c r="R22" s="5">
        <f t="shared" si="4"/>
        <v>2.0649599999999997</v>
      </c>
      <c r="S22" s="5">
        <v>1</v>
      </c>
      <c r="T22" s="5">
        <f t="shared" si="5"/>
        <v>2.0649599999999997</v>
      </c>
      <c r="U22" s="2005"/>
      <c r="AD22" s="2025" t="s">
        <v>490</v>
      </c>
      <c r="AE22" s="2026"/>
      <c r="AF22" s="2026"/>
      <c r="AG22" s="2026"/>
      <c r="AH22" s="2026"/>
      <c r="AI22" s="2026"/>
      <c r="AJ22" s="2026"/>
      <c r="AK22" s="2027"/>
    </row>
    <row r="23" spans="1:39" ht="12.75" customHeight="1">
      <c r="A23" s="242" t="s">
        <v>152</v>
      </c>
      <c r="B23" s="1990"/>
      <c r="C23" s="108">
        <v>10.14</v>
      </c>
      <c r="D23" s="60" t="s">
        <v>48</v>
      </c>
      <c r="E23" s="50">
        <v>0.5</v>
      </c>
      <c r="F23" s="50">
        <v>0.48</v>
      </c>
      <c r="G23" s="109">
        <f>C23*E23*F23</f>
        <v>2.4336000000000002</v>
      </c>
      <c r="H23" s="110">
        <v>1</v>
      </c>
      <c r="I23" s="109">
        <f t="shared" si="2"/>
        <v>2.4336000000000002</v>
      </c>
      <c r="J23" s="1993"/>
      <c r="L23" s="235" t="s">
        <v>418</v>
      </c>
      <c r="M23" s="1918"/>
      <c r="N23" s="5">
        <v>6.09</v>
      </c>
      <c r="O23" s="226" t="s">
        <v>48</v>
      </c>
      <c r="P23" s="5">
        <v>0.2</v>
      </c>
      <c r="Q23" s="5">
        <v>0.48</v>
      </c>
      <c r="R23" s="5">
        <f t="shared" si="4"/>
        <v>0.58463999999999994</v>
      </c>
      <c r="S23" s="5">
        <v>1</v>
      </c>
      <c r="T23" s="5">
        <f t="shared" si="5"/>
        <v>0.58463999999999994</v>
      </c>
      <c r="U23" s="2005"/>
      <c r="AD23" s="2013" t="s">
        <v>486</v>
      </c>
      <c r="AE23" s="2014"/>
      <c r="AF23" s="2014"/>
      <c r="AG23" s="2014"/>
      <c r="AH23" s="2014"/>
      <c r="AI23" s="2014"/>
      <c r="AJ23" s="2014"/>
      <c r="AK23" s="2015"/>
    </row>
    <row r="24" spans="1:39" ht="25.5">
      <c r="A24" s="242" t="s">
        <v>153</v>
      </c>
      <c r="B24" s="1990"/>
      <c r="C24" s="108">
        <v>35.659999999999997</v>
      </c>
      <c r="D24" s="60" t="s">
        <v>48</v>
      </c>
      <c r="E24" s="50">
        <v>0.4</v>
      </c>
      <c r="F24" s="50">
        <v>0.48</v>
      </c>
      <c r="G24" s="109">
        <f t="shared" si="1"/>
        <v>6.8467199999999995</v>
      </c>
      <c r="H24" s="110">
        <v>1</v>
      </c>
      <c r="I24" s="109">
        <f t="shared" si="2"/>
        <v>6.8467199999999995</v>
      </c>
      <c r="J24" s="1993"/>
      <c r="L24" s="235" t="s">
        <v>419</v>
      </c>
      <c r="M24" s="1918"/>
      <c r="N24" s="5">
        <v>4.8499999999999996</v>
      </c>
      <c r="O24" s="226" t="s">
        <v>48</v>
      </c>
      <c r="P24" s="5">
        <v>0.15</v>
      </c>
      <c r="Q24" s="5">
        <v>0.48</v>
      </c>
      <c r="R24" s="5">
        <f t="shared" si="4"/>
        <v>0.34919999999999995</v>
      </c>
      <c r="S24" s="5">
        <v>1</v>
      </c>
      <c r="T24" s="5">
        <f t="shared" si="5"/>
        <v>0.34919999999999995</v>
      </c>
      <c r="U24" s="2005"/>
      <c r="AD24" s="258" t="s">
        <v>480</v>
      </c>
      <c r="AE24" s="7" t="s">
        <v>492</v>
      </c>
      <c r="AF24" s="7" t="s">
        <v>481</v>
      </c>
      <c r="AG24" s="7" t="s">
        <v>482</v>
      </c>
      <c r="AH24" s="7" t="s">
        <v>483</v>
      </c>
      <c r="AI24" s="7" t="s">
        <v>21</v>
      </c>
      <c r="AJ24" s="7" t="s">
        <v>484</v>
      </c>
      <c r="AK24" s="259" t="s">
        <v>42</v>
      </c>
    </row>
    <row r="25" spans="1:39">
      <c r="A25" s="242" t="s">
        <v>154</v>
      </c>
      <c r="B25" s="1991"/>
      <c r="C25" s="111">
        <v>10.11</v>
      </c>
      <c r="D25" s="60" t="s">
        <v>48</v>
      </c>
      <c r="E25" s="112">
        <v>0.5</v>
      </c>
      <c r="F25" s="112">
        <v>0.48</v>
      </c>
      <c r="G25" s="109">
        <f t="shared" si="1"/>
        <v>2.4263999999999997</v>
      </c>
      <c r="H25" s="113">
        <v>1</v>
      </c>
      <c r="I25" s="114">
        <f t="shared" si="2"/>
        <v>2.4263999999999997</v>
      </c>
      <c r="J25" s="1994"/>
      <c r="L25" s="235" t="s">
        <v>450</v>
      </c>
      <c r="M25" s="1918"/>
      <c r="N25" s="5">
        <f>5.22+9.91</f>
        <v>15.129999999999999</v>
      </c>
      <c r="O25" s="226" t="s">
        <v>48</v>
      </c>
      <c r="P25" s="5">
        <v>0.2</v>
      </c>
      <c r="Q25" s="5">
        <v>0.48</v>
      </c>
      <c r="R25" s="5">
        <f t="shared" si="4"/>
        <v>1.4524799999999998</v>
      </c>
      <c r="S25" s="5">
        <v>1</v>
      </c>
      <c r="T25" s="5">
        <f t="shared" si="5"/>
        <v>1.4524799999999998</v>
      </c>
      <c r="U25" s="2005"/>
      <c r="AD25" s="145">
        <v>1</v>
      </c>
      <c r="AE25" s="1861">
        <v>24.5</v>
      </c>
      <c r="AF25" s="5">
        <v>10</v>
      </c>
      <c r="AG25" s="5">
        <v>0.3</v>
      </c>
      <c r="AH25" s="5">
        <v>0.18</v>
      </c>
      <c r="AI25" s="5">
        <v>4.76</v>
      </c>
      <c r="AJ25" s="5">
        <f>+(AG25*AH25/2)*AI25*AF25</f>
        <v>1.2851999999999999</v>
      </c>
      <c r="AK25" s="2005" t="s">
        <v>49</v>
      </c>
      <c r="AM25" s="588"/>
    </row>
    <row r="26" spans="1:39">
      <c r="A26" s="1986" t="s">
        <v>50</v>
      </c>
      <c r="B26" s="1987"/>
      <c r="C26" s="1987"/>
      <c r="D26" s="1987"/>
      <c r="E26" s="1987"/>
      <c r="F26" s="1987"/>
      <c r="G26" s="1987"/>
      <c r="H26" s="1988"/>
      <c r="I26" s="115">
        <f>+SUM(I6:I25)</f>
        <v>89.573279999999997</v>
      </c>
      <c r="J26" s="236" t="s">
        <v>49</v>
      </c>
      <c r="L26" s="235" t="s">
        <v>421</v>
      </c>
      <c r="M26" s="1918"/>
      <c r="N26" s="5">
        <f>4.38+10.04</f>
        <v>14.419999999999998</v>
      </c>
      <c r="O26" s="226" t="s">
        <v>48</v>
      </c>
      <c r="P26" s="5">
        <v>0.3</v>
      </c>
      <c r="Q26" s="5">
        <v>0.48</v>
      </c>
      <c r="R26" s="5">
        <f t="shared" si="4"/>
        <v>2.0764799999999997</v>
      </c>
      <c r="S26" s="5">
        <v>1</v>
      </c>
      <c r="T26" s="5">
        <f t="shared" si="5"/>
        <v>2.0764799999999997</v>
      </c>
      <c r="U26" s="2005"/>
      <c r="AD26" s="145">
        <v>2</v>
      </c>
      <c r="AE26" s="1918"/>
      <c r="AF26" s="5">
        <v>6</v>
      </c>
      <c r="AG26" s="5">
        <v>0.3</v>
      </c>
      <c r="AH26" s="5">
        <v>0.18</v>
      </c>
      <c r="AI26" s="5">
        <v>2.38</v>
      </c>
      <c r="AJ26" s="5">
        <f t="shared" ref="AJ26:AJ35" si="6">+(AG26*AH26/2)*AI26*AF26</f>
        <v>0.38556000000000001</v>
      </c>
      <c r="AK26" s="2005"/>
    </row>
    <row r="27" spans="1:39">
      <c r="A27" s="243"/>
      <c r="B27" s="116"/>
      <c r="C27" s="116"/>
      <c r="D27" s="116"/>
      <c r="E27" s="116"/>
      <c r="F27" s="116"/>
      <c r="G27" s="116"/>
      <c r="H27" s="116"/>
      <c r="I27" s="117"/>
      <c r="J27" s="244"/>
      <c r="L27" s="235" t="s">
        <v>422</v>
      </c>
      <c r="M27" s="1918"/>
      <c r="N27" s="5">
        <f>4.3+10.33+5.42</f>
        <v>20.049999999999997</v>
      </c>
      <c r="O27" s="226" t="s">
        <v>48</v>
      </c>
      <c r="P27" s="5">
        <v>0.2</v>
      </c>
      <c r="Q27" s="5">
        <v>0.48</v>
      </c>
      <c r="R27" s="5">
        <f t="shared" si="4"/>
        <v>1.9247999999999998</v>
      </c>
      <c r="S27" s="5">
        <v>1</v>
      </c>
      <c r="T27" s="5">
        <f t="shared" si="5"/>
        <v>1.9247999999999998</v>
      </c>
      <c r="U27" s="2005"/>
      <c r="AD27" s="145">
        <v>3</v>
      </c>
      <c r="AE27" s="1918"/>
      <c r="AF27" s="5">
        <v>6</v>
      </c>
      <c r="AG27" s="5">
        <v>0.3</v>
      </c>
      <c r="AH27" s="5">
        <v>0.18</v>
      </c>
      <c r="AI27" s="5">
        <v>2.67</v>
      </c>
      <c r="AJ27" s="5">
        <f t="shared" si="6"/>
        <v>0.43254000000000004</v>
      </c>
      <c r="AK27" s="2005"/>
    </row>
    <row r="28" spans="1:39" ht="15.75" customHeight="1">
      <c r="A28" s="2001" t="s">
        <v>248</v>
      </c>
      <c r="B28" s="2002"/>
      <c r="C28" s="2002"/>
      <c r="D28" s="2002"/>
      <c r="E28" s="2002"/>
      <c r="F28" s="2002"/>
      <c r="G28" s="2002"/>
      <c r="H28" s="2002"/>
      <c r="I28" s="2002"/>
      <c r="J28" s="2003"/>
      <c r="L28" s="235" t="s">
        <v>423</v>
      </c>
      <c r="M28" s="1918"/>
      <c r="N28" s="5">
        <v>4.2699999999999996</v>
      </c>
      <c r="O28" s="226" t="s">
        <v>48</v>
      </c>
      <c r="P28" s="5">
        <v>0.2</v>
      </c>
      <c r="Q28" s="5">
        <v>0.48</v>
      </c>
      <c r="R28" s="5">
        <f t="shared" si="4"/>
        <v>0.40991999999999995</v>
      </c>
      <c r="S28" s="5">
        <v>1</v>
      </c>
      <c r="T28" s="5">
        <f t="shared" si="5"/>
        <v>0.40991999999999995</v>
      </c>
      <c r="U28" s="2005"/>
      <c r="AD28" s="145">
        <v>4</v>
      </c>
      <c r="AE28" s="1918"/>
      <c r="AF28" s="5">
        <v>6</v>
      </c>
      <c r="AG28" s="5">
        <v>0.3</v>
      </c>
      <c r="AH28" s="5">
        <v>0.18</v>
      </c>
      <c r="AI28" s="5">
        <v>2.98</v>
      </c>
      <c r="AJ28" s="5">
        <f t="shared" si="6"/>
        <v>0.48276000000000002</v>
      </c>
      <c r="AK28" s="2005"/>
    </row>
    <row r="29" spans="1:39">
      <c r="A29" s="235" t="s">
        <v>155</v>
      </c>
      <c r="B29" s="1995">
        <v>245</v>
      </c>
      <c r="C29" s="6">
        <f>5.09+5.94+10.1+5.05</f>
        <v>26.180000000000003</v>
      </c>
      <c r="D29" s="60" t="s">
        <v>48</v>
      </c>
      <c r="E29" s="50">
        <v>0.2</v>
      </c>
      <c r="F29" s="50">
        <v>0.48</v>
      </c>
      <c r="G29" s="109">
        <f>C29*E29*F29</f>
        <v>2.5132800000000004</v>
      </c>
      <c r="H29" s="110">
        <v>1</v>
      </c>
      <c r="I29" s="109">
        <f>G29*H29</f>
        <v>2.5132800000000004</v>
      </c>
      <c r="J29" s="1992" t="s">
        <v>49</v>
      </c>
      <c r="L29" s="235" t="s">
        <v>424</v>
      </c>
      <c r="M29" s="1918"/>
      <c r="N29" s="5">
        <v>3.79</v>
      </c>
      <c r="O29" s="226" t="s">
        <v>48</v>
      </c>
      <c r="P29" s="5">
        <v>0.2</v>
      </c>
      <c r="Q29" s="5">
        <v>0.48</v>
      </c>
      <c r="R29" s="5">
        <f t="shared" si="4"/>
        <v>0.36384</v>
      </c>
      <c r="S29" s="5">
        <v>1</v>
      </c>
      <c r="T29" s="5">
        <f t="shared" si="5"/>
        <v>0.36384</v>
      </c>
      <c r="U29" s="2005"/>
      <c r="AD29" s="145">
        <v>5</v>
      </c>
      <c r="AE29" s="1918"/>
      <c r="AF29" s="5">
        <v>6</v>
      </c>
      <c r="AG29" s="5">
        <v>0.3</v>
      </c>
      <c r="AH29" s="5">
        <v>0.18</v>
      </c>
      <c r="AI29" s="5">
        <v>3.28</v>
      </c>
      <c r="AJ29" s="5">
        <f t="shared" si="6"/>
        <v>0.53136000000000005</v>
      </c>
      <c r="AK29" s="2005"/>
    </row>
    <row r="30" spans="1:39">
      <c r="A30" s="235" t="s">
        <v>156</v>
      </c>
      <c r="B30" s="1996"/>
      <c r="C30" s="6">
        <v>9.65</v>
      </c>
      <c r="D30" s="60" t="s">
        <v>48</v>
      </c>
      <c r="E30" s="50">
        <v>0.2</v>
      </c>
      <c r="F30" s="50">
        <v>0.48</v>
      </c>
      <c r="G30" s="109">
        <f t="shared" ref="G30:G35" si="7">C30*E30*F30</f>
        <v>0.9264</v>
      </c>
      <c r="H30" s="110">
        <v>1</v>
      </c>
      <c r="I30" s="109">
        <f t="shared" ref="I30:I35" si="8">G30*H30</f>
        <v>0.9264</v>
      </c>
      <c r="J30" s="1993"/>
      <c r="L30" s="235" t="s">
        <v>425</v>
      </c>
      <c r="M30" s="1918"/>
      <c r="N30" s="5">
        <v>6.46</v>
      </c>
      <c r="O30" s="226" t="s">
        <v>48</v>
      </c>
      <c r="P30" s="5">
        <v>0.2</v>
      </c>
      <c r="Q30" s="5">
        <v>0.48</v>
      </c>
      <c r="R30" s="5">
        <f t="shared" si="4"/>
        <v>0.62016000000000004</v>
      </c>
      <c r="S30" s="5">
        <v>1</v>
      </c>
      <c r="T30" s="5">
        <f t="shared" si="5"/>
        <v>0.62016000000000004</v>
      </c>
      <c r="U30" s="2005"/>
      <c r="AD30" s="145">
        <v>6</v>
      </c>
      <c r="AE30" s="1918"/>
      <c r="AF30" s="5">
        <v>3</v>
      </c>
      <c r="AG30" s="5">
        <v>0.6</v>
      </c>
      <c r="AH30" s="5">
        <v>0.36</v>
      </c>
      <c r="AI30" s="5">
        <v>2.38</v>
      </c>
      <c r="AJ30" s="5">
        <f t="shared" si="6"/>
        <v>0.77112000000000003</v>
      </c>
      <c r="AK30" s="2005"/>
    </row>
    <row r="31" spans="1:39">
      <c r="A31" s="235" t="s">
        <v>157</v>
      </c>
      <c r="B31" s="1996"/>
      <c r="C31" s="6">
        <v>4.0199999999999996</v>
      </c>
      <c r="D31" s="60" t="s">
        <v>48</v>
      </c>
      <c r="E31" s="50">
        <v>0.2</v>
      </c>
      <c r="F31" s="50">
        <v>0.48</v>
      </c>
      <c r="G31" s="109">
        <f t="shared" si="7"/>
        <v>0.38591999999999993</v>
      </c>
      <c r="H31" s="110">
        <v>1</v>
      </c>
      <c r="I31" s="109">
        <f t="shared" si="8"/>
        <v>0.38591999999999993</v>
      </c>
      <c r="J31" s="1993"/>
      <c r="L31" s="235" t="s">
        <v>451</v>
      </c>
      <c r="M31" s="1918"/>
      <c r="N31" s="5">
        <v>2.2999999999999998</v>
      </c>
      <c r="O31" s="226" t="s">
        <v>48</v>
      </c>
      <c r="P31" s="5">
        <v>0.15</v>
      </c>
      <c r="Q31" s="5">
        <v>0.48</v>
      </c>
      <c r="R31" s="5">
        <f t="shared" si="4"/>
        <v>0.16559999999999997</v>
      </c>
      <c r="S31" s="5">
        <v>3</v>
      </c>
      <c r="T31" s="5">
        <f t="shared" si="5"/>
        <v>0.49679999999999991</v>
      </c>
      <c r="U31" s="2005"/>
      <c r="AD31" s="145">
        <v>7</v>
      </c>
      <c r="AE31" s="1918"/>
      <c r="AF31" s="5">
        <v>3</v>
      </c>
      <c r="AG31" s="5">
        <v>0.6</v>
      </c>
      <c r="AH31" s="5">
        <v>0.36</v>
      </c>
      <c r="AI31" s="5">
        <v>2.09</v>
      </c>
      <c r="AJ31" s="5">
        <f t="shared" si="6"/>
        <v>0.67715999999999998</v>
      </c>
      <c r="AK31" s="2005"/>
    </row>
    <row r="32" spans="1:39">
      <c r="A32" s="235" t="s">
        <v>158</v>
      </c>
      <c r="B32" s="1996"/>
      <c r="C32" s="6">
        <v>9.74</v>
      </c>
      <c r="D32" s="60" t="s">
        <v>48</v>
      </c>
      <c r="E32" s="50">
        <v>0.3</v>
      </c>
      <c r="F32" s="50">
        <v>0.48</v>
      </c>
      <c r="G32" s="109">
        <f t="shared" si="7"/>
        <v>1.40256</v>
      </c>
      <c r="H32" s="110">
        <v>1</v>
      </c>
      <c r="I32" s="109">
        <f t="shared" si="8"/>
        <v>1.40256</v>
      </c>
      <c r="J32" s="1993"/>
      <c r="L32" s="235" t="s">
        <v>427</v>
      </c>
      <c r="M32" s="1918"/>
      <c r="N32" s="5">
        <f>5.34+9.79</f>
        <v>15.129999999999999</v>
      </c>
      <c r="O32" s="226" t="s">
        <v>48</v>
      </c>
      <c r="P32" s="5">
        <v>0.2</v>
      </c>
      <c r="Q32" s="5">
        <v>0.48</v>
      </c>
      <c r="R32" s="5">
        <f t="shared" si="4"/>
        <v>1.4524799999999998</v>
      </c>
      <c r="S32" s="5">
        <v>1</v>
      </c>
      <c r="T32" s="5">
        <f t="shared" si="5"/>
        <v>1.4524799999999998</v>
      </c>
      <c r="U32" s="2005"/>
      <c r="AD32" s="145">
        <v>8</v>
      </c>
      <c r="AE32" s="1918"/>
      <c r="AF32" s="5">
        <v>3</v>
      </c>
      <c r="AG32" s="5">
        <v>0.6</v>
      </c>
      <c r="AH32" s="5">
        <v>0.36</v>
      </c>
      <c r="AI32" s="5">
        <v>1.78</v>
      </c>
      <c r="AJ32" s="5">
        <f t="shared" si="6"/>
        <v>0.57672000000000001</v>
      </c>
      <c r="AK32" s="2005"/>
    </row>
    <row r="33" spans="1:39">
      <c r="A33" s="235" t="s">
        <v>159</v>
      </c>
      <c r="B33" s="1996"/>
      <c r="C33" s="6">
        <v>9.74</v>
      </c>
      <c r="D33" s="60" t="s">
        <v>48</v>
      </c>
      <c r="E33" s="50">
        <v>0.2</v>
      </c>
      <c r="F33" s="50">
        <v>0.48</v>
      </c>
      <c r="G33" s="109">
        <f t="shared" si="7"/>
        <v>0.93504000000000009</v>
      </c>
      <c r="H33" s="110">
        <v>1</v>
      </c>
      <c r="I33" s="109">
        <f t="shared" si="8"/>
        <v>0.93504000000000009</v>
      </c>
      <c r="J33" s="1993"/>
      <c r="L33" s="235" t="s">
        <v>428</v>
      </c>
      <c r="M33" s="1918"/>
      <c r="N33" s="5">
        <f>4.17+2.45</f>
        <v>6.62</v>
      </c>
      <c r="O33" s="226" t="s">
        <v>48</v>
      </c>
      <c r="P33" s="5">
        <v>0.2</v>
      </c>
      <c r="Q33" s="5">
        <v>0.48</v>
      </c>
      <c r="R33" s="5">
        <f t="shared" si="4"/>
        <v>0.63551999999999997</v>
      </c>
      <c r="S33" s="5">
        <v>1</v>
      </c>
      <c r="T33" s="5">
        <f t="shared" si="5"/>
        <v>0.63551999999999997</v>
      </c>
      <c r="U33" s="2005"/>
      <c r="AD33" s="145">
        <v>9</v>
      </c>
      <c r="AE33" s="1918"/>
      <c r="AF33" s="5">
        <v>3</v>
      </c>
      <c r="AG33" s="5">
        <v>0.6</v>
      </c>
      <c r="AH33" s="5">
        <v>0.36</v>
      </c>
      <c r="AI33" s="5">
        <v>1.48</v>
      </c>
      <c r="AJ33" s="5">
        <f t="shared" si="6"/>
        <v>0.47952000000000006</v>
      </c>
      <c r="AK33" s="2005"/>
    </row>
    <row r="34" spans="1:39">
      <c r="A34" s="235" t="s">
        <v>160</v>
      </c>
      <c r="B34" s="1996"/>
      <c r="C34" s="6">
        <v>5.19</v>
      </c>
      <c r="D34" s="60" t="s">
        <v>48</v>
      </c>
      <c r="E34" s="50">
        <v>0.2</v>
      </c>
      <c r="F34" s="50">
        <v>0.48</v>
      </c>
      <c r="G34" s="109">
        <f t="shared" si="7"/>
        <v>0.49824000000000002</v>
      </c>
      <c r="H34" s="110">
        <v>1</v>
      </c>
      <c r="I34" s="109">
        <f t="shared" si="8"/>
        <v>0.49824000000000002</v>
      </c>
      <c r="J34" s="1993"/>
      <c r="L34" s="235" t="s">
        <v>429</v>
      </c>
      <c r="M34" s="1918"/>
      <c r="N34" s="5">
        <f>5.44+9.79</f>
        <v>15.23</v>
      </c>
      <c r="O34" s="226" t="s">
        <v>48</v>
      </c>
      <c r="P34" s="5">
        <v>0.2</v>
      </c>
      <c r="Q34" s="5">
        <v>0.48</v>
      </c>
      <c r="R34" s="5">
        <f t="shared" si="4"/>
        <v>1.46208</v>
      </c>
      <c r="S34" s="5">
        <v>1</v>
      </c>
      <c r="T34" s="5">
        <f t="shared" si="5"/>
        <v>1.46208</v>
      </c>
      <c r="U34" s="2005"/>
      <c r="AD34" s="145">
        <v>10</v>
      </c>
      <c r="AE34" s="1918"/>
      <c r="AF34" s="5">
        <v>2</v>
      </c>
      <c r="AG34" s="5">
        <v>0.3</v>
      </c>
      <c r="AH34" s="5">
        <v>0.18</v>
      </c>
      <c r="AI34" s="5">
        <v>3.58</v>
      </c>
      <c r="AJ34" s="5">
        <f t="shared" si="6"/>
        <v>0.19331999999999999</v>
      </c>
      <c r="AK34" s="2005"/>
    </row>
    <row r="35" spans="1:39">
      <c r="A35" s="235" t="s">
        <v>161</v>
      </c>
      <c r="B35" s="1996"/>
      <c r="C35" s="6">
        <v>5.58</v>
      </c>
      <c r="D35" s="60" t="s">
        <v>48</v>
      </c>
      <c r="E35" s="50">
        <v>0.2</v>
      </c>
      <c r="F35" s="50">
        <v>0.48</v>
      </c>
      <c r="G35" s="109">
        <f t="shared" si="7"/>
        <v>0.53568000000000005</v>
      </c>
      <c r="H35" s="110">
        <v>1</v>
      </c>
      <c r="I35" s="109">
        <f t="shared" si="8"/>
        <v>0.53568000000000005</v>
      </c>
      <c r="J35" s="1993"/>
      <c r="L35" s="235" t="s">
        <v>430</v>
      </c>
      <c r="M35" s="1918"/>
      <c r="N35" s="5">
        <f>3.91+2.45</f>
        <v>6.36</v>
      </c>
      <c r="O35" s="226" t="s">
        <v>48</v>
      </c>
      <c r="P35" s="5">
        <v>0.2</v>
      </c>
      <c r="Q35" s="5">
        <v>0.48</v>
      </c>
      <c r="R35" s="5">
        <f t="shared" si="4"/>
        <v>0.6105600000000001</v>
      </c>
      <c r="S35" s="5">
        <v>1</v>
      </c>
      <c r="T35" s="5">
        <f t="shared" si="5"/>
        <v>0.6105600000000001</v>
      </c>
      <c r="U35" s="2005"/>
      <c r="AD35" s="145">
        <v>11</v>
      </c>
      <c r="AE35" s="1918"/>
      <c r="AF35" s="5">
        <v>1</v>
      </c>
      <c r="AG35" s="5">
        <v>0.6</v>
      </c>
      <c r="AH35" s="5">
        <v>0.36</v>
      </c>
      <c r="AI35" s="5">
        <v>1.18</v>
      </c>
      <c r="AJ35" s="5">
        <f t="shared" si="6"/>
        <v>0.12744</v>
      </c>
      <c r="AK35" s="2005"/>
    </row>
    <row r="36" spans="1:39">
      <c r="A36" s="235" t="s">
        <v>193</v>
      </c>
      <c r="B36" s="1996"/>
      <c r="C36" s="6">
        <v>3.84</v>
      </c>
      <c r="D36" s="60" t="s">
        <v>48</v>
      </c>
      <c r="E36" s="50">
        <v>0.2</v>
      </c>
      <c r="F36" s="50">
        <v>0.48</v>
      </c>
      <c r="G36" s="109">
        <f>C36*E36*F36</f>
        <v>0.36863999999999997</v>
      </c>
      <c r="H36" s="110">
        <v>1</v>
      </c>
      <c r="I36" s="109">
        <f>G36*H36</f>
        <v>0.36863999999999997</v>
      </c>
      <c r="J36" s="1993"/>
      <c r="L36" s="235" t="s">
        <v>431</v>
      </c>
      <c r="M36" s="1918"/>
      <c r="N36" s="5">
        <v>4.79</v>
      </c>
      <c r="O36" s="226" t="s">
        <v>48</v>
      </c>
      <c r="P36" s="5">
        <v>0.15</v>
      </c>
      <c r="Q36" s="5">
        <v>0.48</v>
      </c>
      <c r="R36" s="5">
        <f t="shared" si="4"/>
        <v>0.34488000000000002</v>
      </c>
      <c r="S36" s="5">
        <v>1</v>
      </c>
      <c r="T36" s="5">
        <f t="shared" si="5"/>
        <v>0.34488000000000002</v>
      </c>
      <c r="U36" s="2005"/>
      <c r="AD36" s="2001" t="s">
        <v>487</v>
      </c>
      <c r="AE36" s="2002"/>
      <c r="AF36" s="2002"/>
      <c r="AG36" s="2002"/>
      <c r="AH36" s="2002"/>
      <c r="AI36" s="2033"/>
      <c r="AJ36" s="2034"/>
      <c r="AK36" s="2035"/>
    </row>
    <row r="37" spans="1:39" ht="25.5">
      <c r="A37" s="235" t="s">
        <v>194</v>
      </c>
      <c r="B37" s="1996"/>
      <c r="C37" s="6">
        <f>9.8+9.76+5.1+5.57+9.99</f>
        <v>40.220000000000006</v>
      </c>
      <c r="D37" s="60" t="s">
        <v>48</v>
      </c>
      <c r="E37" s="50">
        <v>0.3</v>
      </c>
      <c r="F37" s="50">
        <v>0.48</v>
      </c>
      <c r="G37" s="109">
        <f>C37*E37*F37</f>
        <v>5.7916800000000004</v>
      </c>
      <c r="H37" s="110">
        <v>1</v>
      </c>
      <c r="I37" s="109">
        <f>G37*H37</f>
        <v>5.7916800000000004</v>
      </c>
      <c r="J37" s="1993"/>
      <c r="L37" s="235" t="s">
        <v>432</v>
      </c>
      <c r="M37" s="1918"/>
      <c r="N37" s="5">
        <f>3.02+5.44</f>
        <v>8.4600000000000009</v>
      </c>
      <c r="O37" s="226" t="s">
        <v>48</v>
      </c>
      <c r="P37" s="5">
        <v>0.2</v>
      </c>
      <c r="Q37" s="5">
        <v>0.48</v>
      </c>
      <c r="R37" s="5">
        <f t="shared" si="4"/>
        <v>0.8121600000000001</v>
      </c>
      <c r="S37" s="5">
        <v>1</v>
      </c>
      <c r="T37" s="5">
        <f t="shared" si="5"/>
        <v>0.8121600000000001</v>
      </c>
      <c r="U37" s="2005"/>
      <c r="AD37" s="258" t="s">
        <v>485</v>
      </c>
      <c r="AE37" s="7" t="s">
        <v>492</v>
      </c>
      <c r="AF37" s="7" t="s">
        <v>20</v>
      </c>
      <c r="AG37" s="7" t="s">
        <v>110</v>
      </c>
      <c r="AH37" s="7" t="s">
        <v>484</v>
      </c>
      <c r="AI37" s="7" t="s">
        <v>42</v>
      </c>
      <c r="AJ37" s="2036"/>
      <c r="AK37" s="2037"/>
    </row>
    <row r="38" spans="1:39">
      <c r="A38" s="235" t="s">
        <v>163</v>
      </c>
      <c r="B38" s="1996"/>
      <c r="C38" s="50">
        <v>5.88</v>
      </c>
      <c r="D38" s="50" t="s">
        <v>48</v>
      </c>
      <c r="E38" s="50">
        <v>0.2</v>
      </c>
      <c r="F38" s="50">
        <v>0.48</v>
      </c>
      <c r="G38" s="109">
        <f>C38*E38*F38</f>
        <v>0.56447999999999998</v>
      </c>
      <c r="H38" s="110">
        <v>1</v>
      </c>
      <c r="I38" s="109">
        <f>G38*H38</f>
        <v>0.56447999999999998</v>
      </c>
      <c r="J38" s="1993"/>
      <c r="L38" s="235" t="s">
        <v>433</v>
      </c>
      <c r="M38" s="1918"/>
      <c r="N38" s="5">
        <f>2.59+5.44</f>
        <v>8.0300000000000011</v>
      </c>
      <c r="O38" s="226" t="s">
        <v>48</v>
      </c>
      <c r="P38" s="5">
        <v>0.2</v>
      </c>
      <c r="Q38" s="5">
        <v>0.48</v>
      </c>
      <c r="R38" s="5">
        <f t="shared" si="4"/>
        <v>0.77088000000000012</v>
      </c>
      <c r="S38" s="5">
        <v>1</v>
      </c>
      <c r="T38" s="5">
        <f t="shared" si="5"/>
        <v>0.77088000000000012</v>
      </c>
      <c r="U38" s="2005"/>
      <c r="AD38" s="260">
        <v>0.7</v>
      </c>
      <c r="AE38" s="256">
        <v>24.5</v>
      </c>
      <c r="AF38" s="251">
        <v>4.76</v>
      </c>
      <c r="AG38" s="189">
        <v>18.3</v>
      </c>
      <c r="AH38" s="252">
        <f>+AD38*AF38*AG38</f>
        <v>60.9756</v>
      </c>
      <c r="AI38" s="255" t="s">
        <v>49</v>
      </c>
      <c r="AJ38" s="210"/>
      <c r="AK38" s="261"/>
    </row>
    <row r="39" spans="1:39" ht="12.75" customHeight="1" thickBot="1">
      <c r="A39" s="235" t="s">
        <v>182</v>
      </c>
      <c r="B39" s="1996"/>
      <c r="C39" s="50">
        <v>3.77</v>
      </c>
      <c r="D39" s="50" t="s">
        <v>48</v>
      </c>
      <c r="E39" s="50">
        <v>0.2</v>
      </c>
      <c r="F39" s="50">
        <v>0.48</v>
      </c>
      <c r="G39" s="109">
        <f>C39*E39*F39</f>
        <v>0.36191999999999996</v>
      </c>
      <c r="H39" s="110">
        <v>1</v>
      </c>
      <c r="I39" s="109">
        <f>G39*H39</f>
        <v>0.36191999999999996</v>
      </c>
      <c r="J39" s="1993"/>
      <c r="L39" s="235" t="s">
        <v>434</v>
      </c>
      <c r="M39" s="1918"/>
      <c r="N39" s="5">
        <f>2.67+2.35+2.56</f>
        <v>7.58</v>
      </c>
      <c r="O39" s="226" t="s">
        <v>48</v>
      </c>
      <c r="P39" s="5">
        <v>0.15</v>
      </c>
      <c r="Q39" s="5">
        <v>0.48</v>
      </c>
      <c r="R39" s="5">
        <f t="shared" si="4"/>
        <v>0.54576000000000002</v>
      </c>
      <c r="S39" s="5">
        <v>1</v>
      </c>
      <c r="T39" s="5">
        <f t="shared" si="5"/>
        <v>0.54576000000000002</v>
      </c>
      <c r="U39" s="2005"/>
      <c r="AD39" s="2031" t="s">
        <v>491</v>
      </c>
      <c r="AE39" s="2032"/>
      <c r="AF39" s="2032"/>
      <c r="AG39" s="2032"/>
      <c r="AH39" s="2032"/>
      <c r="AI39" s="2032"/>
      <c r="AJ39" s="262">
        <f>AH38+SUM(AJ25:AJ35)</f>
        <v>66.918300000000002</v>
      </c>
      <c r="AK39" s="263" t="s">
        <v>49</v>
      </c>
    </row>
    <row r="40" spans="1:39">
      <c r="A40" s="235" t="s">
        <v>181</v>
      </c>
      <c r="B40" s="1996"/>
      <c r="C40" s="6">
        <v>45.86</v>
      </c>
      <c r="D40" s="60" t="s">
        <v>48</v>
      </c>
      <c r="E40" s="50">
        <v>0.3</v>
      </c>
      <c r="F40" s="50">
        <v>0.48</v>
      </c>
      <c r="G40" s="109">
        <f t="shared" ref="G40:G65" si="9">C40*E40*F40</f>
        <v>6.603839999999999</v>
      </c>
      <c r="H40" s="110">
        <v>1</v>
      </c>
      <c r="I40" s="109">
        <f t="shared" ref="I40:I65" si="10">G40*H40</f>
        <v>6.603839999999999</v>
      </c>
      <c r="J40" s="1993"/>
      <c r="L40" s="235" t="s">
        <v>435</v>
      </c>
      <c r="M40" s="1918"/>
      <c r="N40" s="5">
        <v>6.42</v>
      </c>
      <c r="O40" s="226" t="s">
        <v>48</v>
      </c>
      <c r="P40" s="5">
        <v>0.2</v>
      </c>
      <c r="Q40" s="5">
        <v>0.48</v>
      </c>
      <c r="R40" s="5">
        <f t="shared" si="4"/>
        <v>0.61631999999999998</v>
      </c>
      <c r="S40" s="5">
        <v>1</v>
      </c>
      <c r="T40" s="5">
        <f t="shared" si="5"/>
        <v>0.61631999999999998</v>
      </c>
      <c r="U40" s="2005"/>
    </row>
    <row r="41" spans="1:39">
      <c r="A41" s="235" t="s">
        <v>123</v>
      </c>
      <c r="B41" s="1996"/>
      <c r="C41" s="6">
        <v>13.73</v>
      </c>
      <c r="D41" s="60" t="s">
        <v>48</v>
      </c>
      <c r="E41" s="50">
        <v>0.2</v>
      </c>
      <c r="F41" s="50">
        <v>0.48</v>
      </c>
      <c r="G41" s="109">
        <f t="shared" si="9"/>
        <v>1.3180800000000001</v>
      </c>
      <c r="H41" s="110">
        <v>1</v>
      </c>
      <c r="I41" s="109">
        <f t="shared" si="10"/>
        <v>1.3180800000000001</v>
      </c>
      <c r="J41" s="1993"/>
      <c r="L41" s="235" t="s">
        <v>436</v>
      </c>
      <c r="M41" s="1918"/>
      <c r="N41" s="5">
        <v>4.3099999999999996</v>
      </c>
      <c r="O41" s="226" t="s">
        <v>48</v>
      </c>
      <c r="P41" s="5">
        <v>0.15</v>
      </c>
      <c r="Q41" s="5">
        <v>0.48</v>
      </c>
      <c r="R41" s="5">
        <f t="shared" si="4"/>
        <v>0.31031999999999998</v>
      </c>
      <c r="S41" s="5">
        <v>1</v>
      </c>
      <c r="T41" s="5">
        <f t="shared" si="5"/>
        <v>0.31031999999999998</v>
      </c>
      <c r="U41" s="2005"/>
    </row>
    <row r="42" spans="1:39" ht="13.5" thickBot="1">
      <c r="A42" s="235" t="s">
        <v>183</v>
      </c>
      <c r="B42" s="1996"/>
      <c r="C42" s="6">
        <v>2.2000000000000002</v>
      </c>
      <c r="D42" s="60" t="s">
        <v>48</v>
      </c>
      <c r="E42" s="50">
        <v>0.15</v>
      </c>
      <c r="F42" s="50">
        <v>0.48</v>
      </c>
      <c r="G42" s="109">
        <f t="shared" si="9"/>
        <v>0.15840000000000001</v>
      </c>
      <c r="H42" s="110">
        <v>3</v>
      </c>
      <c r="I42" s="109">
        <f t="shared" si="10"/>
        <v>0.47520000000000007</v>
      </c>
      <c r="J42" s="1993"/>
      <c r="L42" s="235" t="s">
        <v>437</v>
      </c>
      <c r="M42" s="1918"/>
      <c r="N42" s="5">
        <f>0.88+2.52+2.73</f>
        <v>6.13</v>
      </c>
      <c r="O42" s="226" t="s">
        <v>48</v>
      </c>
      <c r="P42" s="5">
        <v>0.15</v>
      </c>
      <c r="Q42" s="5">
        <v>0.48</v>
      </c>
      <c r="R42" s="5">
        <f t="shared" si="4"/>
        <v>0.44135999999999997</v>
      </c>
      <c r="S42" s="5">
        <v>1</v>
      </c>
      <c r="T42" s="5">
        <f t="shared" si="5"/>
        <v>0.44135999999999997</v>
      </c>
      <c r="U42" s="2005"/>
    </row>
    <row r="43" spans="1:39">
      <c r="A43" s="235" t="s">
        <v>184</v>
      </c>
      <c r="B43" s="1996"/>
      <c r="C43" s="51">
        <v>40.86</v>
      </c>
      <c r="D43" s="60" t="s">
        <v>48</v>
      </c>
      <c r="E43" s="51">
        <v>0.2</v>
      </c>
      <c r="F43" s="50">
        <v>0.48</v>
      </c>
      <c r="G43" s="109">
        <f t="shared" si="9"/>
        <v>3.9225600000000003</v>
      </c>
      <c r="H43" s="110">
        <v>1</v>
      </c>
      <c r="I43" s="109">
        <f t="shared" si="10"/>
        <v>3.9225600000000003</v>
      </c>
      <c r="J43" s="1993"/>
      <c r="L43" s="235" t="s">
        <v>438</v>
      </c>
      <c r="M43" s="1918"/>
      <c r="N43" s="5">
        <v>6.22</v>
      </c>
      <c r="O43" s="226" t="s">
        <v>48</v>
      </c>
      <c r="P43" s="5">
        <v>0.2</v>
      </c>
      <c r="Q43" s="5">
        <v>0.48</v>
      </c>
      <c r="R43" s="5">
        <f t="shared" si="4"/>
        <v>0.59711999999999998</v>
      </c>
      <c r="S43" s="5">
        <v>1</v>
      </c>
      <c r="T43" s="5">
        <f t="shared" si="5"/>
        <v>0.59711999999999998</v>
      </c>
      <c r="U43" s="2005"/>
      <c r="AD43" s="2038" t="s">
        <v>514</v>
      </c>
      <c r="AE43" s="2039"/>
      <c r="AF43" s="2039"/>
      <c r="AG43" s="2039"/>
      <c r="AH43" s="2039"/>
      <c r="AI43" s="2039"/>
      <c r="AJ43" s="2039"/>
      <c r="AK43" s="2039"/>
      <c r="AL43" s="2039"/>
      <c r="AM43" s="2040"/>
    </row>
    <row r="44" spans="1:39">
      <c r="A44" s="235" t="s">
        <v>185</v>
      </c>
      <c r="B44" s="1996"/>
      <c r="C44" s="51">
        <v>3.83</v>
      </c>
      <c r="D44" s="60" t="s">
        <v>48</v>
      </c>
      <c r="E44" s="51">
        <v>0.15</v>
      </c>
      <c r="F44" s="50">
        <v>0.48</v>
      </c>
      <c r="G44" s="109">
        <f t="shared" si="9"/>
        <v>0.27576000000000001</v>
      </c>
      <c r="H44" s="110">
        <v>1</v>
      </c>
      <c r="I44" s="109">
        <f t="shared" si="10"/>
        <v>0.27576000000000001</v>
      </c>
      <c r="J44" s="1993"/>
      <c r="L44" s="235" t="s">
        <v>439</v>
      </c>
      <c r="M44" s="1918"/>
      <c r="N44" s="5">
        <f>6.25+7.57</f>
        <v>13.82</v>
      </c>
      <c r="O44" s="226" t="s">
        <v>48</v>
      </c>
      <c r="P44" s="5">
        <v>0.4</v>
      </c>
      <c r="Q44" s="5">
        <v>0.48</v>
      </c>
      <c r="R44" s="5">
        <f t="shared" si="4"/>
        <v>2.6534400000000002</v>
      </c>
      <c r="S44" s="5">
        <v>1</v>
      </c>
      <c r="T44" s="5">
        <f t="shared" si="5"/>
        <v>2.6534400000000002</v>
      </c>
      <c r="U44" s="2005"/>
      <c r="AD44" s="2049" t="s">
        <v>0</v>
      </c>
      <c r="AE44" s="2046" t="s">
        <v>40</v>
      </c>
      <c r="AF44" s="2046" t="s">
        <v>373</v>
      </c>
      <c r="AG44" s="2046" t="s">
        <v>374</v>
      </c>
      <c r="AH44" s="2047" t="s">
        <v>375</v>
      </c>
      <c r="AI44" s="2046" t="s">
        <v>376</v>
      </c>
      <c r="AJ44" s="2046" t="s">
        <v>377</v>
      </c>
      <c r="AK44" s="2046" t="s">
        <v>378</v>
      </c>
      <c r="AL44" s="2046" t="s">
        <v>47</v>
      </c>
      <c r="AM44" s="2048" t="s">
        <v>42</v>
      </c>
    </row>
    <row r="45" spans="1:39">
      <c r="A45" s="235" t="s">
        <v>125</v>
      </c>
      <c r="B45" s="1996"/>
      <c r="C45" s="6">
        <v>5.48</v>
      </c>
      <c r="D45" s="60" t="s">
        <v>48</v>
      </c>
      <c r="E45" s="50">
        <v>0.2</v>
      </c>
      <c r="F45" s="50">
        <v>0.48</v>
      </c>
      <c r="G45" s="109">
        <f t="shared" si="9"/>
        <v>0.52607999999999999</v>
      </c>
      <c r="H45" s="110">
        <v>1</v>
      </c>
      <c r="I45" s="109">
        <f t="shared" si="10"/>
        <v>0.52607999999999999</v>
      </c>
      <c r="J45" s="1993"/>
      <c r="L45" s="235" t="s">
        <v>440</v>
      </c>
      <c r="M45" s="1918"/>
      <c r="N45" s="5">
        <f>1.94+3.35</f>
        <v>5.29</v>
      </c>
      <c r="O45" s="226" t="s">
        <v>48</v>
      </c>
      <c r="P45" s="5">
        <v>0.15</v>
      </c>
      <c r="Q45" s="5">
        <v>0.48</v>
      </c>
      <c r="R45" s="5">
        <f t="shared" si="4"/>
        <v>0.38088</v>
      </c>
      <c r="S45" s="5">
        <v>1</v>
      </c>
      <c r="T45" s="5">
        <f t="shared" si="5"/>
        <v>0.38088</v>
      </c>
      <c r="U45" s="2005"/>
      <c r="AD45" s="2049"/>
      <c r="AE45" s="2046"/>
      <c r="AF45" s="2046"/>
      <c r="AG45" s="2046"/>
      <c r="AH45" s="2047"/>
      <c r="AI45" s="2046"/>
      <c r="AJ45" s="2046"/>
      <c r="AK45" s="2046"/>
      <c r="AL45" s="2046"/>
      <c r="AM45" s="2048"/>
    </row>
    <row r="46" spans="1:39" ht="12.75" customHeight="1">
      <c r="A46" s="235" t="s">
        <v>164</v>
      </c>
      <c r="B46" s="1996"/>
      <c r="C46" s="6">
        <v>2.1800000000000002</v>
      </c>
      <c r="D46" s="60" t="s">
        <v>48</v>
      </c>
      <c r="E46" s="50">
        <v>0.15</v>
      </c>
      <c r="F46" s="50">
        <v>0.48</v>
      </c>
      <c r="G46" s="109">
        <f t="shared" si="9"/>
        <v>0.15695999999999999</v>
      </c>
      <c r="H46" s="110">
        <v>1</v>
      </c>
      <c r="I46" s="109">
        <f t="shared" si="10"/>
        <v>0.15695999999999999</v>
      </c>
      <c r="J46" s="1993"/>
      <c r="L46" s="2020" t="s">
        <v>51</v>
      </c>
      <c r="M46" s="2021"/>
      <c r="N46" s="2021"/>
      <c r="O46" s="2021"/>
      <c r="P46" s="2021"/>
      <c r="Q46" s="2021"/>
      <c r="R46" s="2021"/>
      <c r="S46" s="2021"/>
      <c r="T46" s="118">
        <f>SUM(T20:T45)</f>
        <v>23.884560000000004</v>
      </c>
      <c r="U46" s="237" t="s">
        <v>49</v>
      </c>
      <c r="AD46" s="2001" t="s">
        <v>513</v>
      </c>
      <c r="AE46" s="2002"/>
      <c r="AF46" s="2002"/>
      <c r="AG46" s="2002"/>
      <c r="AH46" s="2002"/>
      <c r="AI46" s="2002"/>
      <c r="AJ46" s="2002"/>
      <c r="AK46" s="2002"/>
      <c r="AL46" s="2002"/>
      <c r="AM46" s="2003"/>
    </row>
    <row r="47" spans="1:39">
      <c r="A47" s="235" t="s">
        <v>165</v>
      </c>
      <c r="B47" s="1996"/>
      <c r="C47" s="6">
        <f>4.85+9.79+9.86+9.79+2.85</f>
        <v>37.14</v>
      </c>
      <c r="D47" s="60" t="s">
        <v>48</v>
      </c>
      <c r="E47" s="50">
        <v>0.2</v>
      </c>
      <c r="F47" s="50">
        <v>0.48</v>
      </c>
      <c r="G47" s="109">
        <f t="shared" si="9"/>
        <v>3.5654400000000002</v>
      </c>
      <c r="H47" s="110">
        <v>1</v>
      </c>
      <c r="I47" s="109">
        <f t="shared" si="10"/>
        <v>3.5654400000000002</v>
      </c>
      <c r="J47" s="1993"/>
      <c r="L47" s="2017"/>
      <c r="M47" s="2018"/>
      <c r="N47" s="2018"/>
      <c r="O47" s="2018"/>
      <c r="P47" s="2018"/>
      <c r="Q47" s="2018"/>
      <c r="R47" s="2018"/>
      <c r="S47" s="2018"/>
      <c r="T47" s="2018"/>
      <c r="U47" s="2019"/>
      <c r="AD47" s="361" t="s">
        <v>379</v>
      </c>
      <c r="AE47" s="362">
        <v>280</v>
      </c>
      <c r="AF47" s="362">
        <v>6.8</v>
      </c>
      <c r="AG47" s="362">
        <v>1.2</v>
      </c>
      <c r="AH47" s="715">
        <v>0</v>
      </c>
      <c r="AI47" s="371">
        <f>(PI()*(AG47^2)/4)*(AF47-0.2-(AH47-AG47))</f>
        <v>8.8215921712801393</v>
      </c>
      <c r="AJ47" s="253">
        <f>(PI()*(AH47^2)/4)*0.2</f>
        <v>0</v>
      </c>
      <c r="AK47" s="253">
        <v>0</v>
      </c>
      <c r="AL47" s="372">
        <f>+SUM(AI47:AK47)</f>
        <v>8.8215921712801393</v>
      </c>
      <c r="AM47" s="2041" t="s">
        <v>49</v>
      </c>
    </row>
    <row r="48" spans="1:39">
      <c r="A48" s="235" t="s">
        <v>166</v>
      </c>
      <c r="B48" s="1996"/>
      <c r="C48" s="6">
        <f>3.08+2.4</f>
        <v>5.48</v>
      </c>
      <c r="D48" s="60" t="s">
        <v>48</v>
      </c>
      <c r="E48" s="50">
        <v>0.2</v>
      </c>
      <c r="F48" s="50">
        <v>0.48</v>
      </c>
      <c r="G48" s="109">
        <f t="shared" si="9"/>
        <v>0.52607999999999999</v>
      </c>
      <c r="H48" s="110">
        <v>1</v>
      </c>
      <c r="I48" s="109">
        <f t="shared" si="10"/>
        <v>0.52607999999999999</v>
      </c>
      <c r="J48" s="1993"/>
      <c r="L48" s="2013" t="s">
        <v>26</v>
      </c>
      <c r="M48" s="2014"/>
      <c r="N48" s="2014"/>
      <c r="O48" s="2014"/>
      <c r="P48" s="2014"/>
      <c r="Q48" s="2014"/>
      <c r="R48" s="2014"/>
      <c r="S48" s="2014"/>
      <c r="T48" s="2014"/>
      <c r="U48" s="2015"/>
      <c r="AD48" s="354" t="s">
        <v>381</v>
      </c>
      <c r="AE48" s="5">
        <v>280</v>
      </c>
      <c r="AF48" s="5">
        <v>6.8</v>
      </c>
      <c r="AG48" s="5">
        <v>1.2</v>
      </c>
      <c r="AH48" s="5">
        <v>1.8</v>
      </c>
      <c r="AI48" s="227">
        <f>(PI()*(AG48^2)/4)*(AF48-0.2-(AH48-AG48))</f>
        <v>6.7858401317539538</v>
      </c>
      <c r="AJ48" s="227">
        <f>(PI()*(AH48^2)/4)*0.2</f>
        <v>0.50893800988154658</v>
      </c>
      <c r="AK48" s="227">
        <f>(PI()*(AH48-AG48)*(1/3)*((AG48/2)^2+(AH48/2)^2+((AG48/2)*(AH48/2))))</f>
        <v>1.0744246875277093</v>
      </c>
      <c r="AL48" s="370">
        <f t="shared" ref="AL48:AL58" si="11">+SUM(AI48:AK48)</f>
        <v>8.3692028291632106</v>
      </c>
      <c r="AM48" s="2041"/>
    </row>
    <row r="49" spans="1:39">
      <c r="A49" s="235" t="s">
        <v>186</v>
      </c>
      <c r="B49" s="1996"/>
      <c r="C49" s="6">
        <v>2.2000000000000002</v>
      </c>
      <c r="D49" s="60" t="s">
        <v>48</v>
      </c>
      <c r="E49" s="50">
        <v>0.15</v>
      </c>
      <c r="F49" s="50">
        <v>0.48</v>
      </c>
      <c r="G49" s="109">
        <f t="shared" si="9"/>
        <v>0.15840000000000001</v>
      </c>
      <c r="H49" s="110">
        <v>1</v>
      </c>
      <c r="I49" s="109">
        <f>G49*H49</f>
        <v>0.15840000000000001</v>
      </c>
      <c r="J49" s="1993"/>
      <c r="L49" s="238" t="s">
        <v>26</v>
      </c>
      <c r="M49" s="207">
        <v>245</v>
      </c>
      <c r="N49" s="6">
        <f>'9. Pisos y zócalos'!D15+'9. Pisos y zócalos'!D16+'9. Pisos y zócalos'!D18+'9. Pisos y zócalos'!D20</f>
        <v>915.07859999999994</v>
      </c>
      <c r="O49" s="60" t="s">
        <v>55</v>
      </c>
      <c r="P49" s="119">
        <v>0.12</v>
      </c>
      <c r="Q49" s="2016">
        <f>+N49*P49</f>
        <v>109.80943199999999</v>
      </c>
      <c r="R49" s="2016"/>
      <c r="S49" s="120">
        <v>1</v>
      </c>
      <c r="T49" s="6">
        <f>+Q49</f>
        <v>109.80943199999999</v>
      </c>
      <c r="U49" s="239" t="s">
        <v>49</v>
      </c>
      <c r="AD49" s="354" t="s">
        <v>382</v>
      </c>
      <c r="AE49" s="5">
        <v>280</v>
      </c>
      <c r="AF49" s="5">
        <v>12.28</v>
      </c>
      <c r="AG49" s="5">
        <v>1.2</v>
      </c>
      <c r="AH49" s="5">
        <v>1.8</v>
      </c>
      <c r="AI49" s="227">
        <f t="shared" ref="AI49:AI58" si="12">(PI()*(AG49^2)/4)*(AF49-0.2-(AH49-AG49))</f>
        <v>12.983574118755898</v>
      </c>
      <c r="AJ49" s="227">
        <f t="shared" ref="AJ49:AJ58" si="13">(PI()*(AH49^2)/4)*0.2</f>
        <v>0.50893800988154658</v>
      </c>
      <c r="AK49" s="227">
        <f t="shared" ref="AK49:AK58" si="14">(PI()*(AH49-AG49)*(1/3)*((AG49/2)^2+(AH49/2)^2+((AG49/2)*(AH49/2))))</f>
        <v>1.0744246875277093</v>
      </c>
      <c r="AL49" s="370">
        <f t="shared" si="11"/>
        <v>14.566936816165155</v>
      </c>
      <c r="AM49" s="2041"/>
    </row>
    <row r="50" spans="1:39">
      <c r="A50" s="235" t="s">
        <v>167</v>
      </c>
      <c r="B50" s="1996"/>
      <c r="C50" s="6">
        <v>2.1800000000000002</v>
      </c>
      <c r="D50" s="60" t="s">
        <v>48</v>
      </c>
      <c r="E50" s="50">
        <v>0.2</v>
      </c>
      <c r="F50" s="50">
        <v>0.48</v>
      </c>
      <c r="G50" s="109">
        <f t="shared" si="9"/>
        <v>0.20928000000000002</v>
      </c>
      <c r="H50" s="110">
        <v>1</v>
      </c>
      <c r="I50" s="109">
        <f t="shared" si="10"/>
        <v>0.20928000000000002</v>
      </c>
      <c r="J50" s="1993"/>
      <c r="L50" s="2020" t="s">
        <v>1443</v>
      </c>
      <c r="M50" s="2021"/>
      <c r="N50" s="2021"/>
      <c r="O50" s="2021"/>
      <c r="P50" s="2021"/>
      <c r="Q50" s="2021"/>
      <c r="R50" s="2021"/>
      <c r="S50" s="2021"/>
      <c r="T50" s="118">
        <f>T49</f>
        <v>109.80943199999999</v>
      </c>
      <c r="U50" s="237" t="s">
        <v>49</v>
      </c>
      <c r="AD50" s="354" t="s">
        <v>383</v>
      </c>
      <c r="AE50" s="5">
        <v>280</v>
      </c>
      <c r="AF50" s="5">
        <v>12.28</v>
      </c>
      <c r="AG50" s="5">
        <v>1.2</v>
      </c>
      <c r="AH50" s="5">
        <v>2.2000000000000002</v>
      </c>
      <c r="AI50" s="227">
        <f t="shared" si="12"/>
        <v>12.531184776638968</v>
      </c>
      <c r="AJ50" s="227">
        <f t="shared" si="13"/>
        <v>0.76026542216873016</v>
      </c>
      <c r="AK50" s="227">
        <f t="shared" si="14"/>
        <v>2.3352505391684137</v>
      </c>
      <c r="AL50" s="370">
        <f t="shared" si="11"/>
        <v>15.626700737976112</v>
      </c>
      <c r="AM50" s="2041"/>
    </row>
    <row r="51" spans="1:39">
      <c r="A51" s="235" t="s">
        <v>168</v>
      </c>
      <c r="B51" s="1996"/>
      <c r="C51" s="6">
        <v>5.57</v>
      </c>
      <c r="D51" s="60" t="s">
        <v>48</v>
      </c>
      <c r="E51" s="50">
        <v>0.2</v>
      </c>
      <c r="F51" s="50">
        <v>0.48</v>
      </c>
      <c r="G51" s="109">
        <f t="shared" si="9"/>
        <v>0.53472000000000008</v>
      </c>
      <c r="H51" s="110">
        <v>1</v>
      </c>
      <c r="I51" s="109">
        <f t="shared" si="10"/>
        <v>0.53472000000000008</v>
      </c>
      <c r="J51" s="1993"/>
      <c r="L51" s="1999"/>
      <c r="M51" s="1828"/>
      <c r="N51" s="1828"/>
      <c r="O51" s="1828"/>
      <c r="P51" s="1828"/>
      <c r="Q51" s="1828"/>
      <c r="R51" s="1828"/>
      <c r="S51" s="1828"/>
      <c r="T51" s="1828"/>
      <c r="U51" s="2000"/>
      <c r="AD51" s="354" t="s">
        <v>384</v>
      </c>
      <c r="AE51" s="5">
        <v>280</v>
      </c>
      <c r="AF51" s="5">
        <v>6.8</v>
      </c>
      <c r="AG51" s="5">
        <v>1.4</v>
      </c>
      <c r="AH51" s="5">
        <v>3.2</v>
      </c>
      <c r="AI51" s="227">
        <f t="shared" si="12"/>
        <v>7.3890259212431904</v>
      </c>
      <c r="AJ51" s="227">
        <f t="shared" si="13"/>
        <v>1.6084954386379744</v>
      </c>
      <c r="AK51" s="227">
        <f t="shared" si="14"/>
        <v>7.8602648192816629</v>
      </c>
      <c r="AL51" s="370">
        <f t="shared" si="11"/>
        <v>16.857786179162829</v>
      </c>
      <c r="AM51" s="2041"/>
    </row>
    <row r="52" spans="1:39" ht="13.5" thickBot="1">
      <c r="A52" s="235" t="s">
        <v>192</v>
      </c>
      <c r="B52" s="1996"/>
      <c r="C52" s="6">
        <f>10.1+9.79+9.86+9.74</f>
        <v>39.49</v>
      </c>
      <c r="D52" s="60" t="s">
        <v>48</v>
      </c>
      <c r="E52" s="50">
        <v>0.3</v>
      </c>
      <c r="F52" s="50">
        <v>0.48</v>
      </c>
      <c r="G52" s="109">
        <f t="shared" si="9"/>
        <v>5.6865599999999992</v>
      </c>
      <c r="H52" s="110">
        <v>1</v>
      </c>
      <c r="I52" s="109">
        <f t="shared" si="10"/>
        <v>5.6865599999999992</v>
      </c>
      <c r="J52" s="1993"/>
      <c r="L52" s="1999"/>
      <c r="M52" s="1828"/>
      <c r="N52" s="1828"/>
      <c r="O52" s="1828"/>
      <c r="P52" s="1828"/>
      <c r="Q52" s="1828"/>
      <c r="R52" s="1828"/>
      <c r="S52" s="1828"/>
      <c r="T52" s="1828"/>
      <c r="U52" s="2000"/>
      <c r="AD52" s="354" t="s">
        <v>385</v>
      </c>
      <c r="AE52" s="5">
        <v>280</v>
      </c>
      <c r="AF52" s="5">
        <v>6.8</v>
      </c>
      <c r="AG52" s="5">
        <v>1.4</v>
      </c>
      <c r="AH52" s="5">
        <v>3.4</v>
      </c>
      <c r="AI52" s="227">
        <f t="shared" si="12"/>
        <v>7.081149841191392</v>
      </c>
      <c r="AJ52" s="227">
        <f t="shared" si="13"/>
        <v>1.8158405537749003</v>
      </c>
      <c r="AK52" s="227">
        <f t="shared" si="14"/>
        <v>9.571385617936901</v>
      </c>
      <c r="AL52" s="370">
        <f t="shared" si="11"/>
        <v>18.468376012903192</v>
      </c>
      <c r="AM52" s="2041"/>
    </row>
    <row r="53" spans="1:39" ht="13.5" thickBot="1">
      <c r="A53" s="235" t="s">
        <v>191</v>
      </c>
      <c r="B53" s="1996"/>
      <c r="C53" s="6">
        <v>10.65</v>
      </c>
      <c r="D53" s="60" t="s">
        <v>48</v>
      </c>
      <c r="E53" s="50">
        <v>0.4</v>
      </c>
      <c r="F53" s="50">
        <v>0.48</v>
      </c>
      <c r="G53" s="109">
        <f t="shared" si="9"/>
        <v>2.0448000000000004</v>
      </c>
      <c r="H53" s="110">
        <v>1</v>
      </c>
      <c r="I53" s="109">
        <f t="shared" si="10"/>
        <v>2.0448000000000004</v>
      </c>
      <c r="J53" s="1993"/>
      <c r="L53" s="1997" t="s">
        <v>1255</v>
      </c>
      <c r="M53" s="1998"/>
      <c r="N53" s="1998"/>
      <c r="O53" s="1998"/>
      <c r="P53" s="1998"/>
      <c r="Q53" s="1998"/>
      <c r="R53" s="1998"/>
      <c r="S53" s="1998"/>
      <c r="T53" s="228">
        <f>T50+T46+T17</f>
        <v>161.94871199999997</v>
      </c>
      <c r="U53" s="229" t="s">
        <v>49</v>
      </c>
      <c r="AD53" s="354" t="s">
        <v>386</v>
      </c>
      <c r="AE53" s="5">
        <v>280</v>
      </c>
      <c r="AF53" s="5">
        <v>12.28</v>
      </c>
      <c r="AG53" s="5">
        <v>1.4</v>
      </c>
      <c r="AH53" s="5">
        <v>2.8</v>
      </c>
      <c r="AI53" s="227">
        <f t="shared" si="12"/>
        <v>16.440582674766102</v>
      </c>
      <c r="AJ53" s="227">
        <f t="shared" si="13"/>
        <v>1.2315043202071987</v>
      </c>
      <c r="AK53" s="227">
        <f t="shared" si="14"/>
        <v>5.0286426408460612</v>
      </c>
      <c r="AL53" s="370">
        <f t="shared" si="11"/>
        <v>22.700729635819361</v>
      </c>
      <c r="AM53" s="2041"/>
    </row>
    <row r="54" spans="1:39" ht="13.5" thickBot="1">
      <c r="A54" s="235" t="s">
        <v>131</v>
      </c>
      <c r="B54" s="1996"/>
      <c r="C54" s="6">
        <v>45.22</v>
      </c>
      <c r="D54" s="60" t="s">
        <v>48</v>
      </c>
      <c r="E54" s="50">
        <v>0.2</v>
      </c>
      <c r="F54" s="50">
        <v>0.48</v>
      </c>
      <c r="G54" s="109">
        <f t="shared" si="9"/>
        <v>4.3411200000000001</v>
      </c>
      <c r="H54" s="110">
        <v>1</v>
      </c>
      <c r="I54" s="109">
        <f t="shared" si="10"/>
        <v>4.3411200000000001</v>
      </c>
      <c r="J54" s="1993"/>
      <c r="L54" s="1997" t="s">
        <v>1256</v>
      </c>
      <c r="M54" s="1998"/>
      <c r="N54" s="1998"/>
      <c r="O54" s="1998"/>
      <c r="P54" s="1998"/>
      <c r="Q54" s="1998"/>
      <c r="R54" s="1998"/>
      <c r="S54" s="1998"/>
      <c r="T54" s="228">
        <f>T53*4</f>
        <v>647.79484799999989</v>
      </c>
      <c r="U54" s="229" t="s">
        <v>49</v>
      </c>
      <c r="AD54" s="354" t="s">
        <v>387</v>
      </c>
      <c r="AE54" s="5">
        <v>280</v>
      </c>
      <c r="AF54" s="5">
        <v>12.28</v>
      </c>
      <c r="AG54" s="5">
        <v>1.4</v>
      </c>
      <c r="AH54" s="5">
        <v>3.2</v>
      </c>
      <c r="AI54" s="227">
        <f t="shared" si="12"/>
        <v>15.824830514662501</v>
      </c>
      <c r="AJ54" s="227">
        <f t="shared" si="13"/>
        <v>1.6084954386379744</v>
      </c>
      <c r="AK54" s="227">
        <f t="shared" si="14"/>
        <v>7.8602648192816629</v>
      </c>
      <c r="AL54" s="370">
        <f t="shared" si="11"/>
        <v>25.293590772582139</v>
      </c>
      <c r="AM54" s="2041"/>
    </row>
    <row r="55" spans="1:39">
      <c r="A55" s="235" t="s">
        <v>170</v>
      </c>
      <c r="B55" s="1996"/>
      <c r="C55" s="6">
        <v>7.2</v>
      </c>
      <c r="D55" s="60" t="s">
        <v>48</v>
      </c>
      <c r="E55" s="50">
        <v>0.4</v>
      </c>
      <c r="F55" s="50">
        <v>0.48</v>
      </c>
      <c r="G55" s="109">
        <f t="shared" si="9"/>
        <v>1.3824000000000001</v>
      </c>
      <c r="H55" s="110">
        <v>1</v>
      </c>
      <c r="I55" s="109">
        <f t="shared" si="10"/>
        <v>1.3824000000000001</v>
      </c>
      <c r="J55" s="1993"/>
      <c r="AD55" s="354" t="s">
        <v>388</v>
      </c>
      <c r="AE55" s="5">
        <v>280</v>
      </c>
      <c r="AF55" s="5">
        <v>12.28</v>
      </c>
      <c r="AG55" s="5">
        <v>1.4</v>
      </c>
      <c r="AH55" s="5">
        <v>0</v>
      </c>
      <c r="AI55" s="227">
        <f t="shared" si="12"/>
        <v>20.7508477954913</v>
      </c>
      <c r="AJ55" s="5">
        <f t="shared" si="13"/>
        <v>0</v>
      </c>
      <c r="AK55" s="5">
        <v>0</v>
      </c>
      <c r="AL55" s="370">
        <f t="shared" si="11"/>
        <v>20.7508477954913</v>
      </c>
      <c r="AM55" s="2041"/>
    </row>
    <row r="56" spans="1:39">
      <c r="A56" s="235" t="s">
        <v>171</v>
      </c>
      <c r="B56" s="1996"/>
      <c r="C56" s="6">
        <f>2.92+7.85</f>
        <v>10.77</v>
      </c>
      <c r="D56" s="60" t="s">
        <v>48</v>
      </c>
      <c r="E56" s="50">
        <v>0.2</v>
      </c>
      <c r="F56" s="50">
        <v>0.48</v>
      </c>
      <c r="G56" s="109">
        <f t="shared" si="9"/>
        <v>1.03392</v>
      </c>
      <c r="H56" s="110">
        <v>1</v>
      </c>
      <c r="I56" s="109">
        <f t="shared" si="10"/>
        <v>1.03392</v>
      </c>
      <c r="J56" s="1993"/>
      <c r="AD56" s="354" t="s">
        <v>389</v>
      </c>
      <c r="AE56" s="5">
        <v>280</v>
      </c>
      <c r="AF56" s="5">
        <v>12.28</v>
      </c>
      <c r="AG56" s="5">
        <v>1.6</v>
      </c>
      <c r="AH56" s="5">
        <v>2.2000000000000002</v>
      </c>
      <c r="AI56" s="227">
        <f t="shared" si="12"/>
        <v>23.08190954445493</v>
      </c>
      <c r="AJ56" s="227">
        <f t="shared" si="13"/>
        <v>0.76026542216873016</v>
      </c>
      <c r="AK56" s="227">
        <f t="shared" si="14"/>
        <v>1.7153095888600274</v>
      </c>
      <c r="AL56" s="370">
        <f t="shared" si="11"/>
        <v>25.557484555483686</v>
      </c>
      <c r="AM56" s="2041"/>
    </row>
    <row r="57" spans="1:39">
      <c r="A57" s="235" t="s">
        <v>172</v>
      </c>
      <c r="B57" s="1996"/>
      <c r="C57" s="6">
        <f>1.94+5.97+2.75</f>
        <v>10.66</v>
      </c>
      <c r="D57" s="60" t="s">
        <v>48</v>
      </c>
      <c r="E57" s="50">
        <v>0.2</v>
      </c>
      <c r="F57" s="50">
        <v>0.48</v>
      </c>
      <c r="G57" s="109">
        <f t="shared" si="9"/>
        <v>1.02336</v>
      </c>
      <c r="H57" s="110">
        <v>1</v>
      </c>
      <c r="I57" s="109">
        <f t="shared" si="10"/>
        <v>1.02336</v>
      </c>
      <c r="J57" s="1993"/>
      <c r="AD57" s="354" t="s">
        <v>390</v>
      </c>
      <c r="AE57" s="5">
        <v>280</v>
      </c>
      <c r="AF57" s="5">
        <v>12.28</v>
      </c>
      <c r="AG57" s="5">
        <v>1.6</v>
      </c>
      <c r="AH57" s="5">
        <v>3.2</v>
      </c>
      <c r="AI57" s="227">
        <f t="shared" si="12"/>
        <v>21.071290246157464</v>
      </c>
      <c r="AJ57" s="227">
        <f t="shared" si="13"/>
        <v>1.6084954386379744</v>
      </c>
      <c r="AK57" s="227">
        <f t="shared" si="14"/>
        <v>7.5063120469772127</v>
      </c>
      <c r="AL57" s="370">
        <f t="shared" si="11"/>
        <v>30.186097731772648</v>
      </c>
      <c r="AM57" s="2041"/>
    </row>
    <row r="58" spans="1:39" ht="13.5" thickBot="1">
      <c r="A58" s="235" t="s">
        <v>173</v>
      </c>
      <c r="B58" s="1996"/>
      <c r="C58" s="6">
        <v>5.99</v>
      </c>
      <c r="D58" s="60" t="s">
        <v>48</v>
      </c>
      <c r="E58" s="50">
        <v>0.2</v>
      </c>
      <c r="F58" s="50">
        <v>0.48</v>
      </c>
      <c r="G58" s="109">
        <f t="shared" si="9"/>
        <v>0.57504000000000011</v>
      </c>
      <c r="H58" s="110">
        <v>1</v>
      </c>
      <c r="I58" s="109">
        <f t="shared" si="10"/>
        <v>0.57504000000000011</v>
      </c>
      <c r="J58" s="1993"/>
      <c r="V58" s="516"/>
      <c r="W58" s="516"/>
      <c r="X58" s="516"/>
      <c r="Y58" s="516"/>
      <c r="Z58" s="516"/>
      <c r="AA58" s="516"/>
      <c r="AB58" s="516"/>
      <c r="AD58" s="354" t="s">
        <v>391</v>
      </c>
      <c r="AE58" s="5">
        <v>280</v>
      </c>
      <c r="AF58" s="5">
        <v>12.28</v>
      </c>
      <c r="AG58" s="5">
        <v>1.4</v>
      </c>
      <c r="AH58" s="5">
        <v>1.8</v>
      </c>
      <c r="AI58" s="227">
        <f t="shared" si="12"/>
        <v>17.9799630750251</v>
      </c>
      <c r="AJ58" s="227">
        <f t="shared" si="13"/>
        <v>0.50893800988154658</v>
      </c>
      <c r="AK58" s="227">
        <f t="shared" si="14"/>
        <v>0.80843650952377377</v>
      </c>
      <c r="AL58" s="370">
        <f t="shared" si="11"/>
        <v>19.29733759443042</v>
      </c>
      <c r="AM58" s="2042"/>
    </row>
    <row r="59" spans="1:39" ht="12.75" customHeight="1" thickBot="1">
      <c r="A59" s="235" t="s">
        <v>174</v>
      </c>
      <c r="B59" s="1996"/>
      <c r="C59" s="6">
        <v>6.03</v>
      </c>
      <c r="D59" s="60" t="s">
        <v>48</v>
      </c>
      <c r="E59" s="50">
        <v>0.15</v>
      </c>
      <c r="F59" s="50">
        <v>0.48</v>
      </c>
      <c r="G59" s="109">
        <f t="shared" si="9"/>
        <v>0.43415999999999999</v>
      </c>
      <c r="H59" s="110">
        <v>1</v>
      </c>
      <c r="I59" s="109">
        <f t="shared" si="10"/>
        <v>0.43415999999999999</v>
      </c>
      <c r="J59" s="1993"/>
      <c r="V59" s="516"/>
      <c r="W59" s="516"/>
      <c r="X59" s="516"/>
      <c r="Y59" s="516"/>
      <c r="Z59" s="516"/>
      <c r="AA59" s="516"/>
      <c r="AB59" s="516"/>
      <c r="AD59" s="2043" t="s">
        <v>47</v>
      </c>
      <c r="AE59" s="2044"/>
      <c r="AF59" s="2044"/>
      <c r="AG59" s="2044"/>
      <c r="AH59" s="2044"/>
      <c r="AI59" s="2044"/>
      <c r="AJ59" s="2044"/>
      <c r="AK59" s="2045"/>
      <c r="AL59" s="353">
        <f>+SUM(AL47:AL58)</f>
        <v>226.49668283223019</v>
      </c>
      <c r="AM59" s="229" t="s">
        <v>49</v>
      </c>
    </row>
    <row r="60" spans="1:39" ht="15.75" thickBot="1">
      <c r="A60" s="235" t="s">
        <v>175</v>
      </c>
      <c r="B60" s="1996"/>
      <c r="C60" s="6">
        <v>5.55</v>
      </c>
      <c r="D60" s="60" t="s">
        <v>48</v>
      </c>
      <c r="E60" s="50">
        <v>0.3</v>
      </c>
      <c r="F60" s="50">
        <v>0.48</v>
      </c>
      <c r="G60" s="109">
        <f t="shared" si="9"/>
        <v>0.79919999999999991</v>
      </c>
      <c r="H60" s="110">
        <v>1</v>
      </c>
      <c r="I60" s="109">
        <f t="shared" si="10"/>
        <v>0.79919999999999991</v>
      </c>
      <c r="J60" s="1993"/>
      <c r="L60" s="2068" t="s">
        <v>492</v>
      </c>
      <c r="M60" s="2072" t="s">
        <v>573</v>
      </c>
      <c r="N60" s="2068" t="s">
        <v>3620</v>
      </c>
      <c r="O60" s="2070" t="s">
        <v>3621</v>
      </c>
      <c r="P60" s="2071"/>
      <c r="Q60" s="2052" t="s">
        <v>373</v>
      </c>
      <c r="R60" s="2052" t="s">
        <v>47</v>
      </c>
      <c r="S60" s="2059" t="s">
        <v>575</v>
      </c>
      <c r="V60" s="516"/>
      <c r="W60" s="516"/>
      <c r="X60" s="516"/>
      <c r="Y60" s="516"/>
      <c r="Z60" s="516"/>
      <c r="AA60" s="516"/>
      <c r="AB60" s="516"/>
    </row>
    <row r="61" spans="1:39" ht="15.75" thickBot="1">
      <c r="A61" s="235" t="s">
        <v>176</v>
      </c>
      <c r="B61" s="1996"/>
      <c r="C61" s="6">
        <f>2.86+8.3</f>
        <v>11.16</v>
      </c>
      <c r="D61" s="60" t="s">
        <v>48</v>
      </c>
      <c r="E61" s="50">
        <v>0.2</v>
      </c>
      <c r="F61" s="50">
        <v>0.48</v>
      </c>
      <c r="G61" s="109">
        <f t="shared" si="9"/>
        <v>1.0713600000000001</v>
      </c>
      <c r="H61" s="110">
        <v>1</v>
      </c>
      <c r="I61" s="109">
        <f t="shared" si="10"/>
        <v>1.0713600000000001</v>
      </c>
      <c r="J61" s="1993"/>
      <c r="L61" s="2069"/>
      <c r="M61" s="2073"/>
      <c r="N61" s="2069"/>
      <c r="O61" s="1427" t="s">
        <v>3622</v>
      </c>
      <c r="P61" s="1432" t="s">
        <v>3623</v>
      </c>
      <c r="Q61" s="2053"/>
      <c r="R61" s="2053"/>
      <c r="S61" s="2060"/>
      <c r="U61" s="5" t="s">
        <v>573</v>
      </c>
      <c r="V61" s="2075" t="s">
        <v>3658</v>
      </c>
      <c r="W61" s="2075"/>
      <c r="X61" s="2075"/>
      <c r="Y61" s="189" t="s">
        <v>524</v>
      </c>
      <c r="Z61" s="189" t="s">
        <v>3659</v>
      </c>
      <c r="AA61" s="516"/>
      <c r="AB61" s="516"/>
    </row>
    <row r="62" spans="1:39" ht="15.75" customHeight="1" thickBot="1">
      <c r="A62" s="235" t="s">
        <v>177</v>
      </c>
      <c r="B62" s="1996"/>
      <c r="C62" s="6">
        <v>1.95</v>
      </c>
      <c r="D62" s="60" t="s">
        <v>48</v>
      </c>
      <c r="E62" s="50">
        <v>0.2</v>
      </c>
      <c r="F62" s="50">
        <v>0.48</v>
      </c>
      <c r="G62" s="109">
        <f t="shared" si="9"/>
        <v>0.18720000000000001</v>
      </c>
      <c r="H62" s="110">
        <v>1</v>
      </c>
      <c r="I62" s="109">
        <f t="shared" si="10"/>
        <v>0.18720000000000001</v>
      </c>
      <c r="J62" s="1993"/>
      <c r="L62" s="2062">
        <v>35</v>
      </c>
      <c r="M62" s="2054">
        <v>1</v>
      </c>
      <c r="N62" s="1426">
        <v>9</v>
      </c>
      <c r="O62" s="1426">
        <v>0.6</v>
      </c>
      <c r="P62" s="1433">
        <v>1.5</v>
      </c>
      <c r="Q62" s="1426">
        <v>2.64</v>
      </c>
      <c r="R62" s="1426">
        <f>O62*P62*Q62</f>
        <v>2.3759999999999999</v>
      </c>
      <c r="S62" s="1428" t="s">
        <v>49</v>
      </c>
      <c r="U62" s="1918">
        <v>1</v>
      </c>
      <c r="V62" s="2074" t="s">
        <v>1637</v>
      </c>
      <c r="W62" s="2074"/>
      <c r="X62" s="2074"/>
      <c r="Y62" s="189">
        <f>Q62+Q63+Q67+Q68</f>
        <v>10.56</v>
      </c>
      <c r="Z62" s="2076" t="s">
        <v>345</v>
      </c>
      <c r="AA62" s="516"/>
      <c r="AB62" s="516"/>
    </row>
    <row r="63" spans="1:39" ht="15" customHeight="1">
      <c r="A63" s="235" t="s">
        <v>178</v>
      </c>
      <c r="B63" s="1996"/>
      <c r="C63" s="6">
        <f>4.59+1.79+1.8</f>
        <v>8.18</v>
      </c>
      <c r="D63" s="60" t="s">
        <v>48</v>
      </c>
      <c r="E63" s="50">
        <v>0.2</v>
      </c>
      <c r="F63" s="50">
        <v>0.48</v>
      </c>
      <c r="G63" s="109">
        <f t="shared" si="9"/>
        <v>0.78527999999999998</v>
      </c>
      <c r="H63" s="110">
        <v>1</v>
      </c>
      <c r="I63" s="109">
        <f t="shared" si="10"/>
        <v>0.78527999999999998</v>
      </c>
      <c r="J63" s="1993"/>
      <c r="L63" s="2062"/>
      <c r="M63" s="2054"/>
      <c r="N63" s="1424">
        <v>10</v>
      </c>
      <c r="O63" s="1424">
        <v>0.6</v>
      </c>
      <c r="P63" s="1434">
        <v>1.5</v>
      </c>
      <c r="Q63" s="1424">
        <v>2.64</v>
      </c>
      <c r="R63" s="1426">
        <f t="shared" ref="R63:R126" si="15">O63*P63*Q63</f>
        <v>2.3759999999999999</v>
      </c>
      <c r="S63" s="1429" t="s">
        <v>49</v>
      </c>
      <c r="U63" s="1918"/>
      <c r="V63" s="2074" t="s">
        <v>1638</v>
      </c>
      <c r="W63" s="2074"/>
      <c r="X63" s="2074"/>
      <c r="Y63" s="189">
        <f>Q64</f>
        <v>2.64</v>
      </c>
      <c r="Z63" s="2077"/>
      <c r="AA63" s="516"/>
      <c r="AB63" s="516"/>
      <c r="AD63" s="2038" t="s">
        <v>521</v>
      </c>
      <c r="AE63" s="2039"/>
      <c r="AF63" s="2039"/>
      <c r="AG63" s="2039"/>
      <c r="AH63" s="2039"/>
      <c r="AI63" s="2039"/>
      <c r="AJ63" s="2039"/>
      <c r="AK63" s="2039"/>
      <c r="AL63" s="2040"/>
    </row>
    <row r="64" spans="1:39" ht="15" customHeight="1">
      <c r="A64" s="235" t="s">
        <v>179</v>
      </c>
      <c r="B64" s="1996"/>
      <c r="C64" s="6">
        <v>6.39</v>
      </c>
      <c r="D64" s="60" t="s">
        <v>48</v>
      </c>
      <c r="E64" s="50">
        <v>0.15</v>
      </c>
      <c r="F64" s="50">
        <v>0.48</v>
      </c>
      <c r="G64" s="109">
        <f t="shared" si="9"/>
        <v>0.46007999999999993</v>
      </c>
      <c r="H64" s="110">
        <v>1</v>
      </c>
      <c r="I64" s="109">
        <f t="shared" si="10"/>
        <v>0.46007999999999993</v>
      </c>
      <c r="J64" s="1993"/>
      <c r="L64" s="2062"/>
      <c r="M64" s="2054"/>
      <c r="N64" s="1424">
        <v>11</v>
      </c>
      <c r="O64" s="1424">
        <v>0.4</v>
      </c>
      <c r="P64" s="1434">
        <v>2</v>
      </c>
      <c r="Q64" s="1424">
        <v>2.64</v>
      </c>
      <c r="R64" s="1426">
        <f t="shared" si="15"/>
        <v>2.1120000000000001</v>
      </c>
      <c r="S64" s="1428" t="s">
        <v>49</v>
      </c>
      <c r="U64" s="1918"/>
      <c r="V64" s="2074" t="s">
        <v>1640</v>
      </c>
      <c r="W64" s="2074"/>
      <c r="X64" s="2074"/>
      <c r="Y64" s="189">
        <f>Q66</f>
        <v>2.64</v>
      </c>
      <c r="Z64" s="2077"/>
      <c r="AA64" s="516"/>
      <c r="AB64" s="516"/>
      <c r="AD64" s="2049" t="s">
        <v>0</v>
      </c>
      <c r="AE64" s="2046" t="s">
        <v>40</v>
      </c>
      <c r="AF64" s="2046" t="s">
        <v>515</v>
      </c>
      <c r="AG64" s="2046" t="s">
        <v>516</v>
      </c>
      <c r="AH64" s="2046" t="s">
        <v>517</v>
      </c>
      <c r="AI64" s="2046" t="s">
        <v>518</v>
      </c>
      <c r="AJ64" s="2046" t="s">
        <v>519</v>
      </c>
      <c r="AK64" s="2046" t="s">
        <v>520</v>
      </c>
      <c r="AL64" s="2048" t="s">
        <v>42</v>
      </c>
    </row>
    <row r="65" spans="1:38" ht="15" customHeight="1">
      <c r="A65" s="235" t="s">
        <v>180</v>
      </c>
      <c r="B65" s="1996"/>
      <c r="C65" s="6">
        <v>6.05</v>
      </c>
      <c r="D65" s="60" t="s">
        <v>48</v>
      </c>
      <c r="E65" s="50">
        <v>0.2</v>
      </c>
      <c r="F65" s="50">
        <v>0.48</v>
      </c>
      <c r="G65" s="109">
        <f t="shared" si="9"/>
        <v>0.58079999999999998</v>
      </c>
      <c r="H65" s="110">
        <v>1</v>
      </c>
      <c r="I65" s="109">
        <f t="shared" si="10"/>
        <v>0.58079999999999998</v>
      </c>
      <c r="J65" s="1993"/>
      <c r="L65" s="2062"/>
      <c r="M65" s="2054"/>
      <c r="N65" s="1424">
        <v>12</v>
      </c>
      <c r="O65" s="1424">
        <v>0.4</v>
      </c>
      <c r="P65" s="1434">
        <v>0.4</v>
      </c>
      <c r="Q65" s="1424">
        <v>2.64</v>
      </c>
      <c r="R65" s="1426">
        <f t="shared" si="15"/>
        <v>0.42240000000000011</v>
      </c>
      <c r="S65" s="1429" t="s">
        <v>49</v>
      </c>
      <c r="U65" s="1918"/>
      <c r="V65" s="2074" t="s">
        <v>1639</v>
      </c>
      <c r="W65" s="2074"/>
      <c r="X65" s="2074"/>
      <c r="Y65" s="5">
        <f>Q65</f>
        <v>2.64</v>
      </c>
      <c r="Z65" s="2077"/>
      <c r="AA65" s="516"/>
      <c r="AB65" s="516"/>
      <c r="AD65" s="2049"/>
      <c r="AE65" s="2046"/>
      <c r="AF65" s="2046"/>
      <c r="AG65" s="2046"/>
      <c r="AH65" s="2046"/>
      <c r="AI65" s="2046"/>
      <c r="AJ65" s="2046"/>
      <c r="AK65" s="2046"/>
      <c r="AL65" s="2048"/>
    </row>
    <row r="66" spans="1:38" ht="15" customHeight="1">
      <c r="A66" s="2020" t="s">
        <v>51</v>
      </c>
      <c r="B66" s="2021"/>
      <c r="C66" s="2021"/>
      <c r="D66" s="2021"/>
      <c r="E66" s="2021"/>
      <c r="F66" s="2021"/>
      <c r="G66" s="2021"/>
      <c r="H66" s="2021"/>
      <c r="I66" s="118">
        <f>SUM(I29:I65)</f>
        <v>52.961519999999993</v>
      </c>
      <c r="J66" s="237" t="s">
        <v>49</v>
      </c>
      <c r="L66" s="2062"/>
      <c r="M66" s="2054"/>
      <c r="N66" s="1424">
        <v>13</v>
      </c>
      <c r="O66" s="1424">
        <v>0.25</v>
      </c>
      <c r="P66" s="1434">
        <v>0.25</v>
      </c>
      <c r="Q66" s="1424">
        <v>2.64</v>
      </c>
      <c r="R66" s="1426">
        <f>O66*P66*Q66</f>
        <v>0.16500000000000001</v>
      </c>
      <c r="S66" s="1428" t="s">
        <v>49</v>
      </c>
      <c r="U66" s="1918">
        <v>2</v>
      </c>
      <c r="V66" s="2074" t="s">
        <v>1635</v>
      </c>
      <c r="W66" s="2074"/>
      <c r="X66" s="2074"/>
      <c r="Y66" s="189">
        <f>Q69+Q70+Q73+Q74</f>
        <v>10.56</v>
      </c>
      <c r="Z66" s="2077"/>
      <c r="AA66" s="516"/>
      <c r="AB66" s="516"/>
      <c r="AD66" s="2001" t="s">
        <v>522</v>
      </c>
      <c r="AE66" s="2002"/>
      <c r="AF66" s="2002"/>
      <c r="AG66" s="2002"/>
      <c r="AH66" s="2002"/>
      <c r="AI66" s="2002"/>
      <c r="AJ66" s="2002"/>
      <c r="AK66" s="2002"/>
      <c r="AL66" s="2003"/>
    </row>
    <row r="67" spans="1:38" ht="15" customHeight="1">
      <c r="A67" s="245" t="s">
        <v>0</v>
      </c>
      <c r="B67" s="25" t="s">
        <v>40</v>
      </c>
      <c r="C67" s="25" t="s">
        <v>52</v>
      </c>
      <c r="D67" s="25" t="s">
        <v>42</v>
      </c>
      <c r="E67" s="208" t="s">
        <v>53</v>
      </c>
      <c r="F67" s="208" t="s">
        <v>54</v>
      </c>
      <c r="G67" s="25" t="s">
        <v>45</v>
      </c>
      <c r="H67" s="25" t="s">
        <v>46</v>
      </c>
      <c r="I67" s="25" t="s">
        <v>47</v>
      </c>
      <c r="J67" s="246" t="s">
        <v>42</v>
      </c>
      <c r="L67" s="2062"/>
      <c r="M67" s="2054"/>
      <c r="N67" s="1424">
        <v>17</v>
      </c>
      <c r="O67" s="1424">
        <v>0.6</v>
      </c>
      <c r="P67" s="1434">
        <v>1.5</v>
      </c>
      <c r="Q67" s="1424">
        <v>2.64</v>
      </c>
      <c r="R67" s="1426">
        <f t="shared" si="15"/>
        <v>2.3759999999999999</v>
      </c>
      <c r="S67" s="1429" t="s">
        <v>49</v>
      </c>
      <c r="U67" s="1918"/>
      <c r="V67" s="2074" t="s">
        <v>1638</v>
      </c>
      <c r="W67" s="2074"/>
      <c r="X67" s="2074"/>
      <c r="Y67" s="189">
        <f>Q71</f>
        <v>2.64</v>
      </c>
      <c r="Z67" s="2077"/>
      <c r="AA67" s="516"/>
      <c r="AB67" s="516"/>
      <c r="AD67" s="354" t="s">
        <v>379</v>
      </c>
      <c r="AE67" s="221">
        <v>175</v>
      </c>
      <c r="AF67" s="373">
        <f>AF47-0.2-(AH47-AG47)</f>
        <v>7.8</v>
      </c>
      <c r="AG67" s="373">
        <f>AH67+0.2</f>
        <v>1.4</v>
      </c>
      <c r="AH67" s="221">
        <v>1.2</v>
      </c>
      <c r="AI67" s="374">
        <f>PI()*((AG67/2)^2)</f>
        <v>1.5393804002589984</v>
      </c>
      <c r="AJ67" s="374">
        <f>PI()*((AH67/2)^2)</f>
        <v>1.1309733552923256</v>
      </c>
      <c r="AK67" s="374">
        <f>(AI67-AJ67)*AF67</f>
        <v>3.1855749507400479</v>
      </c>
      <c r="AL67" s="2048" t="s">
        <v>49</v>
      </c>
    </row>
    <row r="68" spans="1:38" ht="15" customHeight="1">
      <c r="A68" s="238" t="s">
        <v>26</v>
      </c>
      <c r="B68" s="207">
        <v>245</v>
      </c>
      <c r="C68" s="6">
        <f>'9. Pisos y zócalos'!D34+'9. Pisos y zócalos'!D35+'9. Pisos y zócalos'!D37</f>
        <v>885.01089999999988</v>
      </c>
      <c r="D68" s="60" t="s">
        <v>55</v>
      </c>
      <c r="E68" s="119">
        <v>0.12</v>
      </c>
      <c r="F68" s="60"/>
      <c r="G68" s="6">
        <v>119.90539200000001</v>
      </c>
      <c r="H68" s="120">
        <v>1</v>
      </c>
      <c r="I68" s="6">
        <v>119.90539200000001</v>
      </c>
      <c r="J68" s="239" t="s">
        <v>49</v>
      </c>
      <c r="L68" s="2062"/>
      <c r="M68" s="2055"/>
      <c r="N68" s="1425" t="s">
        <v>3624</v>
      </c>
      <c r="O68" s="1424">
        <v>0.6</v>
      </c>
      <c r="P68" s="1434">
        <v>1.5</v>
      </c>
      <c r="Q68" s="1424">
        <v>2.64</v>
      </c>
      <c r="R68" s="1426">
        <f t="shared" si="15"/>
        <v>2.3759999999999999</v>
      </c>
      <c r="S68" s="1428" t="s">
        <v>49</v>
      </c>
      <c r="U68" s="1918"/>
      <c r="V68" s="2074" t="s">
        <v>1639</v>
      </c>
      <c r="W68" s="2074"/>
      <c r="X68" s="2074"/>
      <c r="Y68" s="189">
        <f>Q72</f>
        <v>2.64</v>
      </c>
      <c r="Z68" s="2077"/>
      <c r="AA68" s="516"/>
      <c r="AB68" s="516"/>
      <c r="AD68" s="354" t="s">
        <v>381</v>
      </c>
      <c r="AE68" s="221">
        <v>175</v>
      </c>
      <c r="AF68" s="373">
        <f t="shared" ref="AF68:AF78" si="16">AF48-0.2-(AH48-AG48)</f>
        <v>6</v>
      </c>
      <c r="AG68" s="373">
        <f t="shared" ref="AG68:AG78" si="17">AH68+0.2</f>
        <v>1.4</v>
      </c>
      <c r="AH68" s="5">
        <v>1.2</v>
      </c>
      <c r="AI68" s="374">
        <f t="shared" ref="AI68:AJ78" si="18">PI()*((AG68/2)^2)</f>
        <v>1.5393804002589984</v>
      </c>
      <c r="AJ68" s="374">
        <f t="shared" si="18"/>
        <v>1.1309733552923256</v>
      </c>
      <c r="AK68" s="374">
        <f t="shared" ref="AK68:AK78" si="19">(AI68-AJ68)*AF68</f>
        <v>2.4504422698000368</v>
      </c>
      <c r="AL68" s="2048"/>
    </row>
    <row r="69" spans="1:38" ht="12.75" customHeight="1">
      <c r="A69" s="2020" t="s">
        <v>1443</v>
      </c>
      <c r="B69" s="2021"/>
      <c r="C69" s="2021"/>
      <c r="D69" s="2021"/>
      <c r="E69" s="2021"/>
      <c r="F69" s="2021"/>
      <c r="G69" s="2021"/>
      <c r="H69" s="2021"/>
      <c r="I69" s="118">
        <f>+I68</f>
        <v>119.90539200000001</v>
      </c>
      <c r="J69" s="237" t="s">
        <v>49</v>
      </c>
      <c r="L69" s="2062"/>
      <c r="M69" s="2056">
        <v>2</v>
      </c>
      <c r="N69" s="1424">
        <v>9</v>
      </c>
      <c r="O69" s="1424">
        <v>0.6</v>
      </c>
      <c r="P69" s="1434">
        <v>1.2</v>
      </c>
      <c r="Q69" s="1424">
        <v>2.64</v>
      </c>
      <c r="R69" s="1426">
        <f t="shared" si="15"/>
        <v>1.9008</v>
      </c>
      <c r="S69" s="1429" t="s">
        <v>49</v>
      </c>
      <c r="U69" s="1918">
        <v>3</v>
      </c>
      <c r="V69" s="2074" t="s">
        <v>1635</v>
      </c>
      <c r="W69" s="2074"/>
      <c r="X69" s="2074"/>
      <c r="Y69" s="189">
        <f>Q80+Q81+Q82+Q83+Q84+Q86+Q87+Q88+Q89</f>
        <v>36.72</v>
      </c>
      <c r="Z69" s="2077"/>
      <c r="AA69" s="516"/>
      <c r="AB69" s="516"/>
      <c r="AD69" s="354" t="s">
        <v>382</v>
      </c>
      <c r="AE69" s="221">
        <v>175</v>
      </c>
      <c r="AF69" s="373">
        <f t="shared" si="16"/>
        <v>11.48</v>
      </c>
      <c r="AG69" s="373">
        <f t="shared" si="17"/>
        <v>1.4</v>
      </c>
      <c r="AH69" s="5">
        <v>1.2</v>
      </c>
      <c r="AI69" s="374">
        <f t="shared" si="18"/>
        <v>1.5393804002589984</v>
      </c>
      <c r="AJ69" s="374">
        <f t="shared" si="18"/>
        <v>1.1309733552923256</v>
      </c>
      <c r="AK69" s="374">
        <f t="shared" si="19"/>
        <v>4.6885128762174038</v>
      </c>
      <c r="AL69" s="2048"/>
    </row>
    <row r="70" spans="1:38" ht="15" customHeight="1">
      <c r="A70" s="1999"/>
      <c r="B70" s="1828"/>
      <c r="C70" s="1828"/>
      <c r="D70" s="1828"/>
      <c r="E70" s="1828"/>
      <c r="F70" s="1828"/>
      <c r="G70" s="1828"/>
      <c r="H70" s="1828"/>
      <c r="I70" s="1828"/>
      <c r="J70" s="2000"/>
      <c r="L70" s="2062"/>
      <c r="M70" s="2054"/>
      <c r="N70" s="1424">
        <v>10</v>
      </c>
      <c r="O70" s="1424">
        <v>0.6</v>
      </c>
      <c r="P70" s="1434">
        <v>1.2</v>
      </c>
      <c r="Q70" s="1424">
        <v>2.64</v>
      </c>
      <c r="R70" s="1426">
        <f t="shared" si="15"/>
        <v>1.9008</v>
      </c>
      <c r="S70" s="1428" t="s">
        <v>49</v>
      </c>
      <c r="U70" s="1918"/>
      <c r="V70" s="2074" t="s">
        <v>1633</v>
      </c>
      <c r="W70" s="2074"/>
      <c r="X70" s="2074"/>
      <c r="Y70" s="189">
        <f>Q75+Q76+Q77+Q78+Q79+Q85</f>
        <v>15.840000000000002</v>
      </c>
      <c r="Z70" s="2077"/>
      <c r="AA70" s="516"/>
      <c r="AB70" s="516"/>
      <c r="AD70" s="354" t="s">
        <v>383</v>
      </c>
      <c r="AE70" s="221">
        <v>175</v>
      </c>
      <c r="AF70" s="373">
        <f t="shared" si="16"/>
        <v>11.08</v>
      </c>
      <c r="AG70" s="373">
        <f t="shared" si="17"/>
        <v>1.4</v>
      </c>
      <c r="AH70" s="5">
        <v>1.2</v>
      </c>
      <c r="AI70" s="374">
        <f t="shared" si="18"/>
        <v>1.5393804002589984</v>
      </c>
      <c r="AJ70" s="374">
        <f t="shared" si="18"/>
        <v>1.1309733552923256</v>
      </c>
      <c r="AK70" s="374">
        <f t="shared" si="19"/>
        <v>4.5251500582307349</v>
      </c>
      <c r="AL70" s="2048"/>
    </row>
    <row r="71" spans="1:38" ht="15.75" customHeight="1" thickBot="1">
      <c r="A71" s="2022"/>
      <c r="B71" s="2023"/>
      <c r="C71" s="2023"/>
      <c r="D71" s="2023"/>
      <c r="E71" s="2023"/>
      <c r="F71" s="2023"/>
      <c r="G71" s="2023"/>
      <c r="H71" s="2023"/>
      <c r="I71" s="2023"/>
      <c r="J71" s="2024"/>
      <c r="L71" s="2062"/>
      <c r="M71" s="2054"/>
      <c r="N71" s="1424">
        <v>11</v>
      </c>
      <c r="O71" s="1424">
        <v>0.4</v>
      </c>
      <c r="P71" s="1434">
        <v>2</v>
      </c>
      <c r="Q71" s="1424">
        <v>2.64</v>
      </c>
      <c r="R71" s="1426">
        <f t="shared" si="15"/>
        <v>2.1120000000000001</v>
      </c>
      <c r="S71" s="1429" t="s">
        <v>49</v>
      </c>
      <c r="U71" s="1918">
        <v>4</v>
      </c>
      <c r="V71" s="2074" t="s">
        <v>1635</v>
      </c>
      <c r="W71" s="2074"/>
      <c r="X71" s="2074"/>
      <c r="Y71" s="189">
        <f>Q95+Q96+Q97+Q100</f>
        <v>10.56</v>
      </c>
      <c r="Z71" s="2077"/>
      <c r="AA71" s="516"/>
      <c r="AB71" s="516"/>
      <c r="AD71" s="354" t="s">
        <v>384</v>
      </c>
      <c r="AE71" s="221">
        <v>175</v>
      </c>
      <c r="AF71" s="373">
        <f t="shared" si="16"/>
        <v>4.7999999999999989</v>
      </c>
      <c r="AG71" s="373">
        <f t="shared" si="17"/>
        <v>1.5999999999999999</v>
      </c>
      <c r="AH71" s="5">
        <v>1.4</v>
      </c>
      <c r="AI71" s="374">
        <f t="shared" si="18"/>
        <v>2.0106192982974673</v>
      </c>
      <c r="AJ71" s="374">
        <f t="shared" si="18"/>
        <v>1.5393804002589984</v>
      </c>
      <c r="AK71" s="374">
        <f t="shared" si="19"/>
        <v>2.2619467105846507</v>
      </c>
      <c r="AL71" s="2048"/>
    </row>
    <row r="72" spans="1:38" ht="15.75" customHeight="1" thickBot="1">
      <c r="A72" s="1997" t="s">
        <v>47</v>
      </c>
      <c r="B72" s="1998"/>
      <c r="C72" s="1998"/>
      <c r="D72" s="1998"/>
      <c r="E72" s="1998"/>
      <c r="F72" s="1998"/>
      <c r="G72" s="1998"/>
      <c r="H72" s="1998"/>
      <c r="I72" s="228">
        <f>I68+I66+I26</f>
        <v>262.44019200000002</v>
      </c>
      <c r="J72" s="229" t="s">
        <v>49</v>
      </c>
      <c r="L72" s="2062"/>
      <c r="M72" s="2054"/>
      <c r="N72" s="1424">
        <v>12</v>
      </c>
      <c r="O72" s="1424">
        <v>0.4</v>
      </c>
      <c r="P72" s="1434">
        <v>0.4</v>
      </c>
      <c r="Q72" s="1424">
        <v>2.64</v>
      </c>
      <c r="R72" s="1426">
        <f t="shared" si="15"/>
        <v>0.42240000000000011</v>
      </c>
      <c r="S72" s="1428" t="s">
        <v>49</v>
      </c>
      <c r="U72" s="1918"/>
      <c r="V72" s="2074" t="s">
        <v>1633</v>
      </c>
      <c r="W72" s="2074"/>
      <c r="X72" s="2074"/>
      <c r="Y72" s="189">
        <f>Q90+Q91+Q92+Q93+Q94+Q98+Q99</f>
        <v>18.48</v>
      </c>
      <c r="Z72" s="2077"/>
      <c r="AA72" s="516"/>
      <c r="AB72" s="516"/>
      <c r="AD72" s="354" t="s">
        <v>385</v>
      </c>
      <c r="AE72" s="221">
        <v>175</v>
      </c>
      <c r="AF72" s="373">
        <f t="shared" si="16"/>
        <v>4.5999999999999996</v>
      </c>
      <c r="AG72" s="373">
        <f t="shared" si="17"/>
        <v>1.5999999999999999</v>
      </c>
      <c r="AH72" s="5">
        <v>1.4</v>
      </c>
      <c r="AI72" s="374">
        <f t="shared" si="18"/>
        <v>2.0106192982974673</v>
      </c>
      <c r="AJ72" s="374">
        <f t="shared" si="18"/>
        <v>1.5393804002589984</v>
      </c>
      <c r="AK72" s="374">
        <f t="shared" si="19"/>
        <v>2.167698930976957</v>
      </c>
      <c r="AL72" s="2048"/>
    </row>
    <row r="73" spans="1:38" ht="15.75" customHeight="1" thickBot="1">
      <c r="A73" s="1997" t="s">
        <v>1257</v>
      </c>
      <c r="B73" s="1998"/>
      <c r="C73" s="1998"/>
      <c r="D73" s="1998"/>
      <c r="E73" s="1998"/>
      <c r="F73" s="1998"/>
      <c r="G73" s="1998"/>
      <c r="H73" s="1998"/>
      <c r="I73" s="228">
        <f>I72*5</f>
        <v>1312.2009600000001</v>
      </c>
      <c r="J73" s="229" t="s">
        <v>49</v>
      </c>
      <c r="L73" s="2062"/>
      <c r="M73" s="2054"/>
      <c r="N73" s="1424">
        <v>17</v>
      </c>
      <c r="O73" s="1424">
        <v>0.6</v>
      </c>
      <c r="P73" s="1434">
        <v>1.2</v>
      </c>
      <c r="Q73" s="1424">
        <v>2.64</v>
      </c>
      <c r="R73" s="1426">
        <f t="shared" si="15"/>
        <v>1.9008</v>
      </c>
      <c r="S73" s="1429" t="s">
        <v>49</v>
      </c>
      <c r="U73" s="1918">
        <v>5</v>
      </c>
      <c r="V73" s="2074" t="s">
        <v>1635</v>
      </c>
      <c r="W73" s="2074"/>
      <c r="X73" s="2074"/>
      <c r="Y73" s="189">
        <f>Q108+Q109+Q111+Q113+Q114</f>
        <v>15</v>
      </c>
      <c r="Z73" s="2077"/>
      <c r="AA73" s="516"/>
      <c r="AB73" s="516"/>
      <c r="AD73" s="354" t="s">
        <v>386</v>
      </c>
      <c r="AE73" s="221">
        <v>175</v>
      </c>
      <c r="AF73" s="373">
        <f t="shared" si="16"/>
        <v>10.68</v>
      </c>
      <c r="AG73" s="373">
        <f t="shared" si="17"/>
        <v>1.5999999999999999</v>
      </c>
      <c r="AH73" s="5">
        <v>1.4</v>
      </c>
      <c r="AI73" s="374">
        <f t="shared" si="18"/>
        <v>2.0106192982974673</v>
      </c>
      <c r="AJ73" s="374">
        <f t="shared" si="18"/>
        <v>1.5393804002589984</v>
      </c>
      <c r="AK73" s="374">
        <f t="shared" si="19"/>
        <v>5.0328314310508482</v>
      </c>
      <c r="AL73" s="2048"/>
    </row>
    <row r="74" spans="1:38" ht="15.75" customHeight="1" thickBot="1">
      <c r="L74" s="2062"/>
      <c r="M74" s="2055"/>
      <c r="N74" s="1425" t="s">
        <v>3624</v>
      </c>
      <c r="O74" s="1424">
        <v>0.6</v>
      </c>
      <c r="P74" s="1434">
        <v>1.2</v>
      </c>
      <c r="Q74" s="1424">
        <v>2.64</v>
      </c>
      <c r="R74" s="1426">
        <f t="shared" si="15"/>
        <v>1.9008</v>
      </c>
      <c r="S74" s="1428" t="s">
        <v>49</v>
      </c>
      <c r="U74" s="1918"/>
      <c r="V74" s="2074" t="s">
        <v>1633</v>
      </c>
      <c r="W74" s="2074"/>
      <c r="X74" s="2074"/>
      <c r="Y74" s="189">
        <f>Q101+Q102+Q103+Q104+Q105+Q106+Q107+Q110+Q112</f>
        <v>27</v>
      </c>
      <c r="Z74" s="2077"/>
      <c r="AA74" s="516"/>
      <c r="AB74" s="516"/>
      <c r="AD74" s="354" t="s">
        <v>387</v>
      </c>
      <c r="AE74" s="221">
        <v>175</v>
      </c>
      <c r="AF74" s="373">
        <f t="shared" si="16"/>
        <v>10.28</v>
      </c>
      <c r="AG74" s="373">
        <f t="shared" si="17"/>
        <v>1.5999999999999999</v>
      </c>
      <c r="AH74" s="5">
        <v>1.4</v>
      </c>
      <c r="AI74" s="374">
        <f t="shared" si="18"/>
        <v>2.0106192982974673</v>
      </c>
      <c r="AJ74" s="374">
        <f t="shared" si="18"/>
        <v>1.5393804002589984</v>
      </c>
      <c r="AK74" s="374">
        <f t="shared" si="19"/>
        <v>4.8443358718354608</v>
      </c>
      <c r="AL74" s="2048"/>
    </row>
    <row r="75" spans="1:38" ht="15.75" customHeight="1" thickBot="1">
      <c r="A75" s="2010" t="s">
        <v>494</v>
      </c>
      <c r="B75" s="2011"/>
      <c r="C75" s="2011"/>
      <c r="D75" s="2011"/>
      <c r="E75" s="2011"/>
      <c r="F75" s="2011"/>
      <c r="G75" s="2011"/>
      <c r="H75" s="2011"/>
      <c r="I75" s="2011"/>
      <c r="J75" s="2012"/>
      <c r="L75" s="2062"/>
      <c r="M75" s="2056">
        <v>3</v>
      </c>
      <c r="N75" s="1424">
        <v>1</v>
      </c>
      <c r="O75" s="1424">
        <v>0.6</v>
      </c>
      <c r="P75" s="1434">
        <v>0.8</v>
      </c>
      <c r="Q75" s="1424">
        <v>2.64</v>
      </c>
      <c r="R75" s="1426">
        <f t="shared" si="15"/>
        <v>1.2672000000000001</v>
      </c>
      <c r="S75" s="1429" t="s">
        <v>49</v>
      </c>
      <c r="U75" s="1918">
        <v>6</v>
      </c>
      <c r="V75" s="2074" t="s">
        <v>1635</v>
      </c>
      <c r="W75" s="2074"/>
      <c r="X75" s="2074"/>
      <c r="Y75" s="189">
        <f>Q122+Q123+Q125+Q127+Q128</f>
        <v>15</v>
      </c>
      <c r="Z75" s="2077"/>
      <c r="AA75" s="516"/>
      <c r="AB75" s="516"/>
      <c r="AD75" s="354" t="s">
        <v>388</v>
      </c>
      <c r="AE75" s="221">
        <v>175</v>
      </c>
      <c r="AF75" s="373">
        <f t="shared" si="16"/>
        <v>13.48</v>
      </c>
      <c r="AG75" s="373">
        <f t="shared" si="17"/>
        <v>1.5999999999999999</v>
      </c>
      <c r="AH75" s="5">
        <v>1.4</v>
      </c>
      <c r="AI75" s="374">
        <f t="shared" si="18"/>
        <v>2.0106192982974673</v>
      </c>
      <c r="AJ75" s="374">
        <f t="shared" si="18"/>
        <v>1.5393804002589984</v>
      </c>
      <c r="AK75" s="374">
        <f t="shared" si="19"/>
        <v>6.3523003455585618</v>
      </c>
      <c r="AL75" s="2048"/>
    </row>
    <row r="76" spans="1:38" ht="15" customHeight="1">
      <c r="A76" s="248" t="s">
        <v>0</v>
      </c>
      <c r="B76" s="249" t="s">
        <v>40</v>
      </c>
      <c r="C76" s="249" t="s">
        <v>41</v>
      </c>
      <c r="D76" s="249" t="s">
        <v>42</v>
      </c>
      <c r="E76" s="209" t="s">
        <v>43</v>
      </c>
      <c r="F76" s="249" t="s">
        <v>44</v>
      </c>
      <c r="G76" s="249" t="s">
        <v>45</v>
      </c>
      <c r="H76" s="249" t="s">
        <v>46</v>
      </c>
      <c r="I76" s="249" t="s">
        <v>47</v>
      </c>
      <c r="J76" s="250" t="s">
        <v>42</v>
      </c>
      <c r="L76" s="2062"/>
      <c r="M76" s="2054"/>
      <c r="N76" s="1424">
        <v>2</v>
      </c>
      <c r="O76" s="1424">
        <v>0.6</v>
      </c>
      <c r="P76" s="1434">
        <v>0.8</v>
      </c>
      <c r="Q76" s="1424">
        <v>2.64</v>
      </c>
      <c r="R76" s="1426">
        <f t="shared" si="15"/>
        <v>1.2672000000000001</v>
      </c>
      <c r="S76" s="1428" t="s">
        <v>49</v>
      </c>
      <c r="U76" s="1918"/>
      <c r="V76" s="2074" t="s">
        <v>1633</v>
      </c>
      <c r="W76" s="2074"/>
      <c r="X76" s="2074"/>
      <c r="Y76" s="189">
        <f>Q115+Q116+Q117+Q118+Q119+Q120+Q121+Q124+Q126</f>
        <v>27</v>
      </c>
      <c r="Z76" s="2077"/>
      <c r="AA76" s="516"/>
      <c r="AB76" s="516"/>
      <c r="AD76" s="354" t="s">
        <v>389</v>
      </c>
      <c r="AE76" s="221">
        <v>175</v>
      </c>
      <c r="AF76" s="373">
        <f t="shared" si="16"/>
        <v>11.48</v>
      </c>
      <c r="AG76" s="373">
        <f t="shared" si="17"/>
        <v>1.8</v>
      </c>
      <c r="AH76" s="5">
        <v>1.6</v>
      </c>
      <c r="AI76" s="374">
        <f t="shared" si="18"/>
        <v>2.5446900494077327</v>
      </c>
      <c r="AJ76" s="374">
        <f t="shared" si="18"/>
        <v>2.0106192982974678</v>
      </c>
      <c r="AK76" s="374">
        <f t="shared" si="19"/>
        <v>6.1311322227458414</v>
      </c>
      <c r="AL76" s="2048"/>
    </row>
    <row r="77" spans="1:38" ht="15" customHeight="1">
      <c r="A77" s="2001" t="s">
        <v>452</v>
      </c>
      <c r="B77" s="2002"/>
      <c r="C77" s="2002"/>
      <c r="D77" s="2002"/>
      <c r="E77" s="2002"/>
      <c r="F77" s="2002"/>
      <c r="G77" s="2002"/>
      <c r="H77" s="2002"/>
      <c r="I77" s="2002"/>
      <c r="J77" s="2003"/>
      <c r="L77" s="2062"/>
      <c r="M77" s="2054"/>
      <c r="N77" s="1424">
        <v>3</v>
      </c>
      <c r="O77" s="1424">
        <v>0.6</v>
      </c>
      <c r="P77" s="1434">
        <v>0.8</v>
      </c>
      <c r="Q77" s="1424">
        <v>2.64</v>
      </c>
      <c r="R77" s="1426">
        <f t="shared" si="15"/>
        <v>1.2672000000000001</v>
      </c>
      <c r="S77" s="1429" t="s">
        <v>49</v>
      </c>
      <c r="U77" s="1918">
        <v>7</v>
      </c>
      <c r="V77" s="2074" t="s">
        <v>1634</v>
      </c>
      <c r="W77" s="2074"/>
      <c r="X77" s="2074"/>
      <c r="Y77" s="189">
        <f>Q129+Q130+Q131+Q132+Q133+Q134+Q135+Q138+Q140</f>
        <v>27</v>
      </c>
      <c r="Z77" s="2077"/>
      <c r="AA77" s="516"/>
      <c r="AB77" s="516"/>
      <c r="AD77" s="354" t="s">
        <v>390</v>
      </c>
      <c r="AE77" s="221">
        <v>175</v>
      </c>
      <c r="AF77" s="373">
        <f t="shared" si="16"/>
        <v>10.48</v>
      </c>
      <c r="AG77" s="373">
        <f t="shared" si="17"/>
        <v>1.8</v>
      </c>
      <c r="AH77" s="5">
        <v>1.6</v>
      </c>
      <c r="AI77" s="374">
        <f t="shared" si="18"/>
        <v>2.5446900494077327</v>
      </c>
      <c r="AJ77" s="374">
        <f t="shared" si="18"/>
        <v>2.0106192982974678</v>
      </c>
      <c r="AK77" s="374">
        <f t="shared" si="19"/>
        <v>5.5970614716355769</v>
      </c>
      <c r="AL77" s="2048"/>
    </row>
    <row r="78" spans="1:38" ht="15.75" customHeight="1" thickBot="1">
      <c r="A78" s="235" t="s">
        <v>453</v>
      </c>
      <c r="B78" s="1918">
        <v>240</v>
      </c>
      <c r="C78" s="5">
        <v>30.4</v>
      </c>
      <c r="D78" s="226" t="s">
        <v>48</v>
      </c>
      <c r="E78" s="5">
        <v>0.5</v>
      </c>
      <c r="F78" s="5">
        <v>0.6</v>
      </c>
      <c r="G78" s="5">
        <f t="shared" ref="G78:G101" si="20">+C78*E78*F78</f>
        <v>9.1199999999999992</v>
      </c>
      <c r="H78" s="5">
        <v>1</v>
      </c>
      <c r="I78" s="5">
        <f t="shared" ref="I78:I101" si="21">+H78*G78</f>
        <v>9.1199999999999992</v>
      </c>
      <c r="J78" s="2005" t="s">
        <v>49</v>
      </c>
      <c r="L78" s="2062"/>
      <c r="M78" s="2054"/>
      <c r="N78" s="1424">
        <v>4</v>
      </c>
      <c r="O78" s="1424">
        <v>0.6</v>
      </c>
      <c r="P78" s="1434">
        <v>0.8</v>
      </c>
      <c r="Q78" s="1424">
        <v>2.64</v>
      </c>
      <c r="R78" s="1426">
        <f t="shared" si="15"/>
        <v>1.2672000000000001</v>
      </c>
      <c r="S78" s="1428" t="s">
        <v>49</v>
      </c>
      <c r="U78" s="1918"/>
      <c r="V78" s="2074" t="s">
        <v>1636</v>
      </c>
      <c r="W78" s="2074"/>
      <c r="X78" s="2074"/>
      <c r="Y78" s="189">
        <f>Q139</f>
        <v>3</v>
      </c>
      <c r="Z78" s="2077"/>
      <c r="AA78" s="516"/>
      <c r="AB78" s="516"/>
      <c r="AD78" s="354" t="s">
        <v>391</v>
      </c>
      <c r="AE78" s="221">
        <v>175</v>
      </c>
      <c r="AF78" s="373">
        <f t="shared" si="16"/>
        <v>11.68</v>
      </c>
      <c r="AG78" s="373">
        <f t="shared" si="17"/>
        <v>1.5999999999999999</v>
      </c>
      <c r="AH78" s="5">
        <v>1.4</v>
      </c>
      <c r="AI78" s="374">
        <f t="shared" si="18"/>
        <v>2.0106192982974673</v>
      </c>
      <c r="AJ78" s="374">
        <f t="shared" si="18"/>
        <v>1.5393804002589984</v>
      </c>
      <c r="AK78" s="374">
        <f t="shared" si="19"/>
        <v>5.5040703290893171</v>
      </c>
      <c r="AL78" s="2048"/>
    </row>
    <row r="79" spans="1:38" ht="15.75" customHeight="1" thickBot="1">
      <c r="A79" s="235" t="s">
        <v>454</v>
      </c>
      <c r="B79" s="1918"/>
      <c r="C79" s="5">
        <v>29.57</v>
      </c>
      <c r="D79" s="226" t="s">
        <v>48</v>
      </c>
      <c r="E79" s="5">
        <v>0.5</v>
      </c>
      <c r="F79" s="5">
        <v>0.6</v>
      </c>
      <c r="G79" s="5">
        <f t="shared" si="20"/>
        <v>8.8710000000000004</v>
      </c>
      <c r="H79" s="5">
        <v>1</v>
      </c>
      <c r="I79" s="5">
        <f t="shared" si="21"/>
        <v>8.8710000000000004</v>
      </c>
      <c r="J79" s="2005"/>
      <c r="L79" s="2062"/>
      <c r="M79" s="2054"/>
      <c r="N79" s="1424">
        <v>5</v>
      </c>
      <c r="O79" s="1424">
        <v>0.6</v>
      </c>
      <c r="P79" s="1434">
        <v>0.8</v>
      </c>
      <c r="Q79" s="1424">
        <v>2.64</v>
      </c>
      <c r="R79" s="1426">
        <f t="shared" si="15"/>
        <v>1.2672000000000001</v>
      </c>
      <c r="S79" s="1429" t="s">
        <v>49</v>
      </c>
      <c r="U79" s="1918"/>
      <c r="V79" s="2074" t="s">
        <v>3645</v>
      </c>
      <c r="W79" s="2074"/>
      <c r="X79" s="2074"/>
      <c r="Y79" s="189">
        <f>Q142+Q141+Q137+Q136</f>
        <v>12</v>
      </c>
      <c r="Z79" s="2077"/>
      <c r="AA79" s="516"/>
      <c r="AB79" s="516"/>
      <c r="AD79" s="2043" t="s">
        <v>47</v>
      </c>
      <c r="AE79" s="2044"/>
      <c r="AF79" s="2044"/>
      <c r="AG79" s="2044"/>
      <c r="AH79" s="2044"/>
      <c r="AI79" s="2044"/>
      <c r="AJ79" s="2044"/>
      <c r="AK79" s="228">
        <f>SUM(AK67:AK78)</f>
        <v>52.741057468465435</v>
      </c>
      <c r="AL79" s="229" t="s">
        <v>49</v>
      </c>
    </row>
    <row r="80" spans="1:38" ht="15" customHeight="1">
      <c r="A80" s="235" t="s">
        <v>455</v>
      </c>
      <c r="B80" s="1918"/>
      <c r="C80" s="5">
        <v>24.47</v>
      </c>
      <c r="D80" s="226" t="s">
        <v>48</v>
      </c>
      <c r="E80" s="5">
        <v>0.5</v>
      </c>
      <c r="F80" s="5">
        <v>0.6</v>
      </c>
      <c r="G80" s="5">
        <f t="shared" si="20"/>
        <v>7.3409999999999993</v>
      </c>
      <c r="H80" s="5">
        <v>1</v>
      </c>
      <c r="I80" s="5">
        <f t="shared" si="21"/>
        <v>7.3409999999999993</v>
      </c>
      <c r="J80" s="2005"/>
      <c r="L80" s="2062"/>
      <c r="M80" s="2054"/>
      <c r="N80" s="1424">
        <v>6</v>
      </c>
      <c r="O80" s="1424">
        <v>0.6</v>
      </c>
      <c r="P80" s="1434">
        <v>1.2</v>
      </c>
      <c r="Q80" s="1424">
        <v>2.64</v>
      </c>
      <c r="R80" s="1426">
        <f t="shared" si="15"/>
        <v>1.9008</v>
      </c>
      <c r="S80" s="1428" t="s">
        <v>49</v>
      </c>
      <c r="U80" s="1918">
        <v>8</v>
      </c>
      <c r="V80" s="2074" t="s">
        <v>1634</v>
      </c>
      <c r="W80" s="2074"/>
      <c r="X80" s="2074"/>
      <c r="Y80" s="189">
        <f>Q143+Q144+Q145+Q146+Q147+Q148+Q149+Q152+Q154</f>
        <v>27</v>
      </c>
      <c r="Z80" s="2077"/>
      <c r="AA80" s="516"/>
      <c r="AB80" s="516"/>
    </row>
    <row r="81" spans="1:39" ht="15" customHeight="1">
      <c r="A81" s="235" t="s">
        <v>456</v>
      </c>
      <c r="B81" s="1918"/>
      <c r="C81" s="5">
        <v>17.43</v>
      </c>
      <c r="D81" s="226" t="s">
        <v>48</v>
      </c>
      <c r="E81" s="5">
        <v>0.5</v>
      </c>
      <c r="F81" s="5">
        <v>0.6</v>
      </c>
      <c r="G81" s="5">
        <f t="shared" si="20"/>
        <v>5.2290000000000001</v>
      </c>
      <c r="H81" s="5">
        <v>1</v>
      </c>
      <c r="I81" s="5">
        <f t="shared" si="21"/>
        <v>5.2290000000000001</v>
      </c>
      <c r="J81" s="2005"/>
      <c r="L81" s="2062"/>
      <c r="M81" s="2054"/>
      <c r="N81" s="1424">
        <v>7</v>
      </c>
      <c r="O81" s="1424">
        <v>0.6</v>
      </c>
      <c r="P81" s="1434">
        <v>1.2</v>
      </c>
      <c r="Q81" s="1424">
        <v>2.64</v>
      </c>
      <c r="R81" s="1426">
        <f t="shared" si="15"/>
        <v>1.9008</v>
      </c>
      <c r="S81" s="1429" t="s">
        <v>49</v>
      </c>
      <c r="U81" s="1918"/>
      <c r="V81" s="2074" t="s">
        <v>1636</v>
      </c>
      <c r="W81" s="2074"/>
      <c r="X81" s="2074"/>
      <c r="Y81" s="189">
        <f>Q150+Q151+Q153+Q155+Q156</f>
        <v>15</v>
      </c>
      <c r="Z81" s="2077"/>
      <c r="AA81" s="516"/>
      <c r="AB81" s="516"/>
    </row>
    <row r="82" spans="1:39" ht="15" customHeight="1">
      <c r="A82" s="235" t="s">
        <v>457</v>
      </c>
      <c r="B82" s="1918"/>
      <c r="C82" s="5">
        <v>31.51</v>
      </c>
      <c r="D82" s="226" t="s">
        <v>48</v>
      </c>
      <c r="E82" s="5">
        <v>0.5</v>
      </c>
      <c r="F82" s="5">
        <v>0.6</v>
      </c>
      <c r="G82" s="5">
        <f t="shared" si="20"/>
        <v>9.4529999999999994</v>
      </c>
      <c r="H82" s="5">
        <v>1</v>
      </c>
      <c r="I82" s="5">
        <f t="shared" si="21"/>
        <v>9.4529999999999994</v>
      </c>
      <c r="J82" s="2005"/>
      <c r="L82" s="2062"/>
      <c r="M82" s="2054"/>
      <c r="N82" s="1424">
        <v>8</v>
      </c>
      <c r="O82" s="1424">
        <v>0.6</v>
      </c>
      <c r="P82" s="1434">
        <v>1.2</v>
      </c>
      <c r="Q82" s="1424">
        <v>2.64</v>
      </c>
      <c r="R82" s="1426">
        <f t="shared" si="15"/>
        <v>1.9008</v>
      </c>
      <c r="S82" s="1428" t="s">
        <v>49</v>
      </c>
      <c r="U82" s="1918">
        <v>9</v>
      </c>
      <c r="V82" s="2074" t="s">
        <v>1634</v>
      </c>
      <c r="W82" s="2074"/>
      <c r="X82" s="2074"/>
      <c r="Y82" s="189">
        <f>Q157+Q158+Q159+Q160+Q161+Q162+Q163</f>
        <v>23.880000000000003</v>
      </c>
      <c r="Z82" s="2077"/>
      <c r="AA82" s="516"/>
      <c r="AB82" s="516"/>
    </row>
    <row r="83" spans="1:39" ht="12.75" customHeight="1">
      <c r="A83" s="235" t="s">
        <v>458</v>
      </c>
      <c r="B83" s="1918"/>
      <c r="C83" s="5">
        <v>29.83</v>
      </c>
      <c r="D83" s="226" t="s">
        <v>48</v>
      </c>
      <c r="E83" s="5">
        <v>0.5</v>
      </c>
      <c r="F83" s="5">
        <v>0.6</v>
      </c>
      <c r="G83" s="5">
        <f t="shared" si="20"/>
        <v>8.9489999999999998</v>
      </c>
      <c r="H83" s="5">
        <v>1</v>
      </c>
      <c r="I83" s="5">
        <f t="shared" si="21"/>
        <v>8.9489999999999998</v>
      </c>
      <c r="J83" s="2005"/>
      <c r="L83" s="2062"/>
      <c r="M83" s="2054"/>
      <c r="N83" s="1424">
        <v>9</v>
      </c>
      <c r="O83" s="1424">
        <v>0.6</v>
      </c>
      <c r="P83" s="1434">
        <v>1.2</v>
      </c>
      <c r="Q83" s="1424">
        <v>5.88</v>
      </c>
      <c r="R83" s="1426">
        <f t="shared" si="15"/>
        <v>4.2336</v>
      </c>
      <c r="S83" s="1429" t="s">
        <v>49</v>
      </c>
      <c r="U83" s="1918"/>
      <c r="V83" s="2074" t="s">
        <v>1636</v>
      </c>
      <c r="W83" s="2074"/>
      <c r="X83" s="2074"/>
      <c r="Y83" s="189">
        <f>Q164+Q165+Q166</f>
        <v>11.59</v>
      </c>
      <c r="Z83" s="2078"/>
      <c r="AA83" s="516"/>
      <c r="AB83" s="516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spans="1:39" ht="15">
      <c r="A84" s="235" t="s">
        <v>459</v>
      </c>
      <c r="B84" s="1918"/>
      <c r="C84" s="5">
        <v>17.48</v>
      </c>
      <c r="D84" s="226" t="s">
        <v>48</v>
      </c>
      <c r="E84" s="5">
        <v>0.5</v>
      </c>
      <c r="F84" s="5">
        <v>0.6</v>
      </c>
      <c r="G84" s="5">
        <f t="shared" si="20"/>
        <v>5.2439999999999998</v>
      </c>
      <c r="H84" s="5">
        <v>1</v>
      </c>
      <c r="I84" s="5">
        <f t="shared" si="21"/>
        <v>5.2439999999999998</v>
      </c>
      <c r="J84" s="2005"/>
      <c r="L84" s="2062"/>
      <c r="M84" s="2054"/>
      <c r="N84" s="1424">
        <v>10</v>
      </c>
      <c r="O84" s="1424">
        <v>0.6</v>
      </c>
      <c r="P84" s="1434">
        <v>1.2</v>
      </c>
      <c r="Q84" s="1424">
        <v>5.88</v>
      </c>
      <c r="R84" s="1426">
        <f t="shared" si="15"/>
        <v>4.2336</v>
      </c>
      <c r="S84" s="1428" t="s">
        <v>49</v>
      </c>
      <c r="Z84" s="516"/>
      <c r="AA84" s="516"/>
      <c r="AB84" s="516"/>
      <c r="AC84" s="223"/>
      <c r="AD84" s="2050"/>
      <c r="AE84" s="2051"/>
      <c r="AF84" s="2051"/>
      <c r="AG84" s="2051"/>
      <c r="AH84" s="2051"/>
      <c r="AI84" s="2051"/>
      <c r="AJ84" s="2051"/>
      <c r="AK84" s="223"/>
      <c r="AL84" s="223"/>
      <c r="AM84" s="223"/>
    </row>
    <row r="85" spans="1:39" ht="12.75" customHeight="1">
      <c r="A85" s="235" t="s">
        <v>460</v>
      </c>
      <c r="B85" s="1918"/>
      <c r="C85" s="5">
        <v>8.0399999999999991</v>
      </c>
      <c r="D85" s="226" t="s">
        <v>48</v>
      </c>
      <c r="E85" s="5">
        <v>0.5</v>
      </c>
      <c r="F85" s="5">
        <v>0.6</v>
      </c>
      <c r="G85" s="5">
        <f t="shared" si="20"/>
        <v>2.4119999999999995</v>
      </c>
      <c r="H85" s="5">
        <v>1</v>
      </c>
      <c r="I85" s="5">
        <f t="shared" si="21"/>
        <v>2.4119999999999995</v>
      </c>
      <c r="J85" s="2005"/>
      <c r="L85" s="2062"/>
      <c r="M85" s="2054"/>
      <c r="N85" s="1424">
        <v>14</v>
      </c>
      <c r="O85" s="1424">
        <v>0.6</v>
      </c>
      <c r="P85" s="1434">
        <v>0.8</v>
      </c>
      <c r="Q85" s="1424">
        <v>2.64</v>
      </c>
      <c r="R85" s="1426">
        <f t="shared" si="15"/>
        <v>1.2672000000000001</v>
      </c>
      <c r="S85" s="1429" t="s">
        <v>49</v>
      </c>
      <c r="Z85" s="516"/>
      <c r="AA85" s="516"/>
      <c r="AB85" s="516"/>
      <c r="AC85" s="223"/>
      <c r="AD85" s="996"/>
      <c r="AE85" s="996"/>
      <c r="AF85" s="996"/>
      <c r="AG85" s="996"/>
      <c r="AH85" s="996"/>
      <c r="AI85" s="996"/>
      <c r="AJ85" s="996"/>
      <c r="AK85" s="223"/>
      <c r="AL85" s="223"/>
      <c r="AM85" s="223"/>
    </row>
    <row r="86" spans="1:39" ht="15" customHeight="1">
      <c r="A86" s="235" t="s">
        <v>461</v>
      </c>
      <c r="B86" s="1918"/>
      <c r="C86" s="5">
        <v>5.38</v>
      </c>
      <c r="D86" s="226" t="s">
        <v>48</v>
      </c>
      <c r="E86" s="5">
        <v>0.5</v>
      </c>
      <c r="F86" s="5">
        <v>0.6</v>
      </c>
      <c r="G86" s="5">
        <f t="shared" si="20"/>
        <v>1.6139999999999999</v>
      </c>
      <c r="H86" s="5">
        <v>1</v>
      </c>
      <c r="I86" s="5">
        <f t="shared" si="21"/>
        <v>1.6139999999999999</v>
      </c>
      <c r="J86" s="2005"/>
      <c r="L86" s="2062"/>
      <c r="M86" s="2054"/>
      <c r="N86" s="1424">
        <v>15</v>
      </c>
      <c r="O86" s="1424">
        <v>0.6</v>
      </c>
      <c r="P86" s="1434">
        <v>1.2</v>
      </c>
      <c r="Q86" s="1424">
        <v>2.64</v>
      </c>
      <c r="R86" s="1426">
        <f t="shared" si="15"/>
        <v>1.9008</v>
      </c>
      <c r="S86" s="1428" t="s">
        <v>49</v>
      </c>
      <c r="Z86" s="516"/>
      <c r="AA86" s="516"/>
      <c r="AB86" s="516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spans="1:39" ht="15" customHeight="1">
      <c r="A87" s="235" t="s">
        <v>462</v>
      </c>
      <c r="B87" s="1918"/>
      <c r="C87" s="5">
        <v>16.600000000000001</v>
      </c>
      <c r="D87" s="226" t="s">
        <v>48</v>
      </c>
      <c r="E87" s="5">
        <v>0.5</v>
      </c>
      <c r="F87" s="5">
        <v>0.6</v>
      </c>
      <c r="G87" s="5">
        <f t="shared" si="20"/>
        <v>4.9800000000000004</v>
      </c>
      <c r="H87" s="5">
        <v>1</v>
      </c>
      <c r="I87" s="5">
        <f t="shared" si="21"/>
        <v>4.9800000000000004</v>
      </c>
      <c r="J87" s="2005"/>
      <c r="L87" s="2062"/>
      <c r="M87" s="2054"/>
      <c r="N87" s="1424">
        <v>16</v>
      </c>
      <c r="O87" s="1424">
        <v>0.6</v>
      </c>
      <c r="P87" s="1434">
        <v>1.2</v>
      </c>
      <c r="Q87" s="1424">
        <v>2.64</v>
      </c>
      <c r="R87" s="1426">
        <f t="shared" si="15"/>
        <v>1.9008</v>
      </c>
      <c r="S87" s="1429" t="s">
        <v>49</v>
      </c>
      <c r="Z87" s="516"/>
      <c r="AA87" s="516"/>
      <c r="AB87" s="516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spans="1:39" ht="15" customHeight="1">
      <c r="A88" s="235" t="s">
        <v>463</v>
      </c>
      <c r="B88" s="1918"/>
      <c r="C88" s="5">
        <v>9.8699999999999992</v>
      </c>
      <c r="D88" s="226" t="s">
        <v>48</v>
      </c>
      <c r="E88" s="5">
        <v>0.5</v>
      </c>
      <c r="F88" s="5">
        <v>0.6</v>
      </c>
      <c r="G88" s="5">
        <f t="shared" si="20"/>
        <v>2.9609999999999999</v>
      </c>
      <c r="H88" s="5">
        <v>1</v>
      </c>
      <c r="I88" s="5">
        <f t="shared" si="21"/>
        <v>2.9609999999999999</v>
      </c>
      <c r="J88" s="2005"/>
      <c r="L88" s="2062"/>
      <c r="M88" s="2054"/>
      <c r="N88" s="1424">
        <v>17</v>
      </c>
      <c r="O88" s="1424">
        <v>0.6</v>
      </c>
      <c r="P88" s="1434">
        <v>1.2</v>
      </c>
      <c r="Q88" s="1424">
        <v>5.88</v>
      </c>
      <c r="R88" s="1426">
        <f t="shared" si="15"/>
        <v>4.2336</v>
      </c>
      <c r="S88" s="1428" t="s">
        <v>49</v>
      </c>
      <c r="Z88" s="516"/>
      <c r="AA88" s="516"/>
      <c r="AB88" s="516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spans="1:39" ht="12.75" customHeight="1">
      <c r="A89" s="235" t="s">
        <v>464</v>
      </c>
      <c r="B89" s="1918"/>
      <c r="C89" s="5">
        <v>11.67</v>
      </c>
      <c r="D89" s="226" t="s">
        <v>48</v>
      </c>
      <c r="E89" s="5">
        <v>0.5</v>
      </c>
      <c r="F89" s="5">
        <v>0.6</v>
      </c>
      <c r="G89" s="5">
        <f t="shared" si="20"/>
        <v>3.5009999999999999</v>
      </c>
      <c r="H89" s="5">
        <v>1</v>
      </c>
      <c r="I89" s="5">
        <f t="shared" si="21"/>
        <v>3.5009999999999999</v>
      </c>
      <c r="J89" s="2005"/>
      <c r="L89" s="2062"/>
      <c r="M89" s="2055"/>
      <c r="N89" s="1425" t="s">
        <v>3624</v>
      </c>
      <c r="O89" s="1424">
        <v>0.6</v>
      </c>
      <c r="P89" s="1434">
        <v>1.2</v>
      </c>
      <c r="Q89" s="1424">
        <v>5.88</v>
      </c>
      <c r="R89" s="1426">
        <f t="shared" si="15"/>
        <v>4.2336</v>
      </c>
      <c r="S89" s="1429" t="s">
        <v>49</v>
      </c>
      <c r="Z89" s="516"/>
      <c r="AA89" s="516"/>
      <c r="AB89" s="516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spans="1:39" ht="15" customHeight="1">
      <c r="A90" s="235" t="s">
        <v>465</v>
      </c>
      <c r="B90" s="1918"/>
      <c r="C90" s="5">
        <v>25.91</v>
      </c>
      <c r="D90" s="226" t="s">
        <v>48</v>
      </c>
      <c r="E90" s="5">
        <v>0.5</v>
      </c>
      <c r="F90" s="5">
        <v>0.6</v>
      </c>
      <c r="G90" s="5">
        <f t="shared" si="20"/>
        <v>7.7729999999999997</v>
      </c>
      <c r="H90" s="5">
        <v>1</v>
      </c>
      <c r="I90" s="5">
        <f t="shared" si="21"/>
        <v>7.7729999999999997</v>
      </c>
      <c r="J90" s="2005"/>
      <c r="L90" s="2062"/>
      <c r="M90" s="2056">
        <v>4</v>
      </c>
      <c r="N90" s="1424">
        <v>1</v>
      </c>
      <c r="O90" s="1424">
        <v>0.6</v>
      </c>
      <c r="P90" s="1434">
        <v>0.8</v>
      </c>
      <c r="Q90" s="1424">
        <v>2.64</v>
      </c>
      <c r="R90" s="1426">
        <f t="shared" si="15"/>
        <v>1.2672000000000001</v>
      </c>
      <c r="S90" s="1428" t="s">
        <v>49</v>
      </c>
      <c r="Z90" s="516"/>
      <c r="AA90" s="516"/>
      <c r="AB90" s="516"/>
    </row>
    <row r="91" spans="1:39" ht="13.5" customHeight="1">
      <c r="A91" s="235" t="s">
        <v>466</v>
      </c>
      <c r="B91" s="1918"/>
      <c r="C91" s="5">
        <v>11.62</v>
      </c>
      <c r="D91" s="226" t="s">
        <v>48</v>
      </c>
      <c r="E91" s="5">
        <v>0.5</v>
      </c>
      <c r="F91" s="5">
        <v>0.6</v>
      </c>
      <c r="G91" s="5">
        <f t="shared" si="20"/>
        <v>3.4859999999999998</v>
      </c>
      <c r="H91" s="5">
        <v>1</v>
      </c>
      <c r="I91" s="5">
        <f t="shared" si="21"/>
        <v>3.4859999999999998</v>
      </c>
      <c r="J91" s="2005"/>
      <c r="L91" s="2062"/>
      <c r="M91" s="2054"/>
      <c r="N91" s="1424">
        <v>2</v>
      </c>
      <c r="O91" s="1424">
        <v>0.6</v>
      </c>
      <c r="P91" s="1434">
        <v>0.8</v>
      </c>
      <c r="Q91" s="1424">
        <v>2.64</v>
      </c>
      <c r="R91" s="1426">
        <f t="shared" si="15"/>
        <v>1.2672000000000001</v>
      </c>
      <c r="S91" s="1429" t="s">
        <v>49</v>
      </c>
      <c r="Z91" s="516"/>
      <c r="AA91" s="516"/>
      <c r="AB91" s="516"/>
    </row>
    <row r="92" spans="1:39" ht="15" customHeight="1">
      <c r="A92" s="235" t="s">
        <v>467</v>
      </c>
      <c r="B92" s="1918"/>
      <c r="C92" s="5">
        <v>10.98</v>
      </c>
      <c r="D92" s="226" t="s">
        <v>48</v>
      </c>
      <c r="E92" s="5">
        <v>0.5</v>
      </c>
      <c r="F92" s="5">
        <v>0.6</v>
      </c>
      <c r="G92" s="5">
        <f t="shared" si="20"/>
        <v>3.294</v>
      </c>
      <c r="H92" s="5">
        <v>1</v>
      </c>
      <c r="I92" s="5">
        <f t="shared" si="21"/>
        <v>3.294</v>
      </c>
      <c r="J92" s="2005"/>
      <c r="L92" s="2062"/>
      <c r="M92" s="2054"/>
      <c r="N92" s="1424">
        <v>3</v>
      </c>
      <c r="O92" s="1424">
        <v>0.6</v>
      </c>
      <c r="P92" s="1434">
        <v>0.8</v>
      </c>
      <c r="Q92" s="1424">
        <v>2.64</v>
      </c>
      <c r="R92" s="1426">
        <f t="shared" si="15"/>
        <v>1.2672000000000001</v>
      </c>
      <c r="S92" s="1428" t="s">
        <v>49</v>
      </c>
      <c r="Z92" s="516"/>
      <c r="AA92" s="516"/>
      <c r="AB92" s="516"/>
    </row>
    <row r="93" spans="1:39" ht="15" customHeight="1">
      <c r="A93" s="235" t="s">
        <v>468</v>
      </c>
      <c r="B93" s="1918"/>
      <c r="C93" s="5">
        <v>15.06</v>
      </c>
      <c r="D93" s="226" t="s">
        <v>48</v>
      </c>
      <c r="E93" s="5">
        <v>0.5</v>
      </c>
      <c r="F93" s="5">
        <v>0.6</v>
      </c>
      <c r="G93" s="5">
        <f t="shared" si="20"/>
        <v>4.5179999999999998</v>
      </c>
      <c r="H93" s="5">
        <v>1</v>
      </c>
      <c r="I93" s="5">
        <f t="shared" si="21"/>
        <v>4.5179999999999998</v>
      </c>
      <c r="J93" s="2005"/>
      <c r="L93" s="2062"/>
      <c r="M93" s="2054"/>
      <c r="N93" s="1424">
        <v>4</v>
      </c>
      <c r="O93" s="1424">
        <v>0.6</v>
      </c>
      <c r="P93" s="1434">
        <v>0.8</v>
      </c>
      <c r="Q93" s="1424">
        <v>2.64</v>
      </c>
      <c r="R93" s="1426">
        <f t="shared" si="15"/>
        <v>1.2672000000000001</v>
      </c>
      <c r="S93" s="1429" t="s">
        <v>49</v>
      </c>
      <c r="Z93" s="516"/>
      <c r="AA93" s="516"/>
      <c r="AB93" s="516"/>
    </row>
    <row r="94" spans="1:39" ht="15" customHeight="1">
      <c r="A94" s="235" t="s">
        <v>469</v>
      </c>
      <c r="B94" s="1918"/>
      <c r="C94" s="5">
        <v>11.72</v>
      </c>
      <c r="D94" s="226" t="s">
        <v>48</v>
      </c>
      <c r="E94" s="5">
        <v>0.5</v>
      </c>
      <c r="F94" s="5">
        <v>0.6</v>
      </c>
      <c r="G94" s="5">
        <f t="shared" si="20"/>
        <v>3.516</v>
      </c>
      <c r="H94" s="5">
        <v>1</v>
      </c>
      <c r="I94" s="5">
        <f t="shared" si="21"/>
        <v>3.516</v>
      </c>
      <c r="J94" s="2005"/>
      <c r="L94" s="2062"/>
      <c r="M94" s="2054"/>
      <c r="N94" s="1424">
        <v>5</v>
      </c>
      <c r="O94" s="1424">
        <v>0.6</v>
      </c>
      <c r="P94" s="1434">
        <v>0.8</v>
      </c>
      <c r="Q94" s="1424">
        <v>2.64</v>
      </c>
      <c r="R94" s="1426">
        <f t="shared" si="15"/>
        <v>1.2672000000000001</v>
      </c>
      <c r="S94" s="1428" t="s">
        <v>49</v>
      </c>
      <c r="Z94" s="516"/>
      <c r="AA94" s="516"/>
      <c r="AB94" s="516"/>
    </row>
    <row r="95" spans="1:39" ht="15">
      <c r="A95" s="235" t="s">
        <v>470</v>
      </c>
      <c r="B95" s="1918"/>
      <c r="C95" s="5">
        <v>30.78</v>
      </c>
      <c r="D95" s="226" t="s">
        <v>48</v>
      </c>
      <c r="E95" s="5">
        <v>0.5</v>
      </c>
      <c r="F95" s="5">
        <v>0.6</v>
      </c>
      <c r="G95" s="5">
        <f t="shared" si="20"/>
        <v>9.234</v>
      </c>
      <c r="H95" s="5">
        <v>1</v>
      </c>
      <c r="I95" s="5">
        <f t="shared" si="21"/>
        <v>9.234</v>
      </c>
      <c r="J95" s="2005"/>
      <c r="L95" s="2062"/>
      <c r="M95" s="2054"/>
      <c r="N95" s="1424">
        <v>6</v>
      </c>
      <c r="O95" s="1424">
        <v>0.6</v>
      </c>
      <c r="P95" s="1434">
        <v>1.2</v>
      </c>
      <c r="Q95" s="1424">
        <v>2.64</v>
      </c>
      <c r="R95" s="1426">
        <f t="shared" si="15"/>
        <v>1.9008</v>
      </c>
      <c r="S95" s="1429" t="s">
        <v>49</v>
      </c>
      <c r="Z95" s="516"/>
      <c r="AA95" s="516"/>
      <c r="AB95" s="516"/>
    </row>
    <row r="96" spans="1:39" ht="15">
      <c r="A96" s="235" t="s">
        <v>471</v>
      </c>
      <c r="B96" s="1918"/>
      <c r="C96" s="5">
        <v>14.85</v>
      </c>
      <c r="D96" s="226" t="s">
        <v>48</v>
      </c>
      <c r="E96" s="5">
        <v>0.5</v>
      </c>
      <c r="F96" s="5">
        <v>0.6</v>
      </c>
      <c r="G96" s="5">
        <f t="shared" si="20"/>
        <v>4.4550000000000001</v>
      </c>
      <c r="H96" s="5">
        <v>1</v>
      </c>
      <c r="I96" s="5">
        <f t="shared" si="21"/>
        <v>4.4550000000000001</v>
      </c>
      <c r="J96" s="2005"/>
      <c r="L96" s="2062"/>
      <c r="M96" s="2054"/>
      <c r="N96" s="1424">
        <v>7</v>
      </c>
      <c r="O96" s="1424">
        <v>0.6</v>
      </c>
      <c r="P96" s="1434">
        <v>1.2</v>
      </c>
      <c r="Q96" s="1424">
        <v>2.64</v>
      </c>
      <c r="R96" s="1426">
        <f t="shared" si="15"/>
        <v>1.9008</v>
      </c>
      <c r="S96" s="1428" t="s">
        <v>49</v>
      </c>
      <c r="Z96" s="516"/>
      <c r="AA96" s="516"/>
      <c r="AB96" s="516"/>
    </row>
    <row r="97" spans="1:28" ht="15">
      <c r="A97" s="235" t="s">
        <v>472</v>
      </c>
      <c r="B97" s="1918"/>
      <c r="C97" s="5">
        <v>11.75</v>
      </c>
      <c r="D97" s="226" t="s">
        <v>48</v>
      </c>
      <c r="E97" s="5">
        <v>0.5</v>
      </c>
      <c r="F97" s="5">
        <v>0.6</v>
      </c>
      <c r="G97" s="5">
        <f t="shared" si="20"/>
        <v>3.5249999999999999</v>
      </c>
      <c r="H97" s="5">
        <v>1</v>
      </c>
      <c r="I97" s="5">
        <f t="shared" si="21"/>
        <v>3.5249999999999999</v>
      </c>
      <c r="J97" s="2005"/>
      <c r="L97" s="2062"/>
      <c r="M97" s="2054"/>
      <c r="N97" s="1424">
        <v>8</v>
      </c>
      <c r="O97" s="1424">
        <v>0.6</v>
      </c>
      <c r="P97" s="1434">
        <v>1.2</v>
      </c>
      <c r="Q97" s="1424">
        <v>2.64</v>
      </c>
      <c r="R97" s="1426">
        <f t="shared" si="15"/>
        <v>1.9008</v>
      </c>
      <c r="S97" s="1429" t="s">
        <v>49</v>
      </c>
      <c r="Z97" s="516"/>
      <c r="AA97" s="516"/>
      <c r="AB97" s="516"/>
    </row>
    <row r="98" spans="1:28" ht="15">
      <c r="A98" s="235" t="s">
        <v>473</v>
      </c>
      <c r="B98" s="1918"/>
      <c r="C98" s="5">
        <v>24.41</v>
      </c>
      <c r="D98" s="226" t="s">
        <v>48</v>
      </c>
      <c r="E98" s="5">
        <v>0.5</v>
      </c>
      <c r="F98" s="5">
        <v>0.6</v>
      </c>
      <c r="G98" s="5">
        <f t="shared" si="20"/>
        <v>7.3229999999999995</v>
      </c>
      <c r="H98" s="5">
        <v>1</v>
      </c>
      <c r="I98" s="5">
        <f t="shared" si="21"/>
        <v>7.3229999999999995</v>
      </c>
      <c r="J98" s="2005"/>
      <c r="L98" s="2062"/>
      <c r="M98" s="2054"/>
      <c r="N98" s="1424">
        <v>14</v>
      </c>
      <c r="O98" s="1424">
        <v>0.6</v>
      </c>
      <c r="P98" s="1434">
        <v>0.8</v>
      </c>
      <c r="Q98" s="1424">
        <v>2.64</v>
      </c>
      <c r="R98" s="1426">
        <f t="shared" si="15"/>
        <v>1.2672000000000001</v>
      </c>
      <c r="S98" s="1428" t="s">
        <v>49</v>
      </c>
      <c r="Z98" s="516"/>
      <c r="AA98" s="516"/>
      <c r="AB98" s="516"/>
    </row>
    <row r="99" spans="1:28" ht="15">
      <c r="A99" s="235" t="s">
        <v>474</v>
      </c>
      <c r="B99" s="1918"/>
      <c r="C99" s="5">
        <v>2.58</v>
      </c>
      <c r="D99" s="226" t="s">
        <v>48</v>
      </c>
      <c r="E99" s="5">
        <v>0.5</v>
      </c>
      <c r="F99" s="5">
        <v>0.6</v>
      </c>
      <c r="G99" s="5">
        <f t="shared" si="20"/>
        <v>0.77400000000000002</v>
      </c>
      <c r="H99" s="5">
        <v>1</v>
      </c>
      <c r="I99" s="5">
        <f t="shared" si="21"/>
        <v>0.77400000000000002</v>
      </c>
      <c r="J99" s="2005"/>
      <c r="L99" s="2062"/>
      <c r="M99" s="2054"/>
      <c r="N99" s="1424">
        <v>15</v>
      </c>
      <c r="O99" s="1424">
        <v>0.6</v>
      </c>
      <c r="P99" s="1434">
        <v>0.8</v>
      </c>
      <c r="Q99" s="1424">
        <v>2.64</v>
      </c>
      <c r="R99" s="1426">
        <f t="shared" si="15"/>
        <v>1.2672000000000001</v>
      </c>
      <c r="S99" s="1429" t="s">
        <v>49</v>
      </c>
      <c r="Z99" s="223"/>
      <c r="AA99" s="516"/>
      <c r="AB99" s="516"/>
    </row>
    <row r="100" spans="1:28" ht="15">
      <c r="A100" s="235" t="s">
        <v>475</v>
      </c>
      <c r="B100" s="1918"/>
      <c r="C100" s="5">
        <v>13.8</v>
      </c>
      <c r="D100" s="226" t="s">
        <v>48</v>
      </c>
      <c r="E100" s="5">
        <v>0.5</v>
      </c>
      <c r="F100" s="5">
        <v>0.6</v>
      </c>
      <c r="G100" s="5">
        <f t="shared" si="20"/>
        <v>4.1399999999999997</v>
      </c>
      <c r="H100" s="5">
        <v>1</v>
      </c>
      <c r="I100" s="5">
        <f t="shared" si="21"/>
        <v>4.1399999999999997</v>
      </c>
      <c r="J100" s="2005"/>
      <c r="L100" s="2062"/>
      <c r="M100" s="2055"/>
      <c r="N100" s="1424">
        <v>16</v>
      </c>
      <c r="O100" s="1424">
        <v>0.6</v>
      </c>
      <c r="P100" s="1434">
        <v>1.2</v>
      </c>
      <c r="Q100" s="1424">
        <v>2.64</v>
      </c>
      <c r="R100" s="1426">
        <f t="shared" si="15"/>
        <v>1.9008</v>
      </c>
      <c r="S100" s="1428" t="s">
        <v>49</v>
      </c>
      <c r="Z100" s="516"/>
      <c r="AA100" s="516"/>
      <c r="AB100" s="516"/>
    </row>
    <row r="101" spans="1:28" ht="15.75" thickBot="1">
      <c r="A101" s="247" t="s">
        <v>476</v>
      </c>
      <c r="B101" s="2004"/>
      <c r="C101" s="230">
        <v>21.4</v>
      </c>
      <c r="D101" s="231" t="s">
        <v>48</v>
      </c>
      <c r="E101" s="230">
        <v>0.5</v>
      </c>
      <c r="F101" s="230">
        <v>0.6</v>
      </c>
      <c r="G101" s="230">
        <f t="shared" si="20"/>
        <v>6.419999999999999</v>
      </c>
      <c r="H101" s="230">
        <v>1</v>
      </c>
      <c r="I101" s="230">
        <f t="shared" si="21"/>
        <v>6.419999999999999</v>
      </c>
      <c r="J101" s="2006"/>
      <c r="L101" s="2062"/>
      <c r="M101" s="2056">
        <v>5</v>
      </c>
      <c r="N101" s="1424">
        <v>1</v>
      </c>
      <c r="O101" s="1424">
        <v>0.6</v>
      </c>
      <c r="P101" s="1434">
        <v>0.8</v>
      </c>
      <c r="Q101" s="1424">
        <v>3</v>
      </c>
      <c r="R101" s="1426">
        <f t="shared" si="15"/>
        <v>1.44</v>
      </c>
      <c r="S101" s="1429" t="s">
        <v>49</v>
      </c>
      <c r="Z101" s="516"/>
    </row>
    <row r="102" spans="1:28" ht="13.5" customHeight="1" thickBot="1">
      <c r="A102" s="1997" t="s">
        <v>47</v>
      </c>
      <c r="B102" s="1998"/>
      <c r="C102" s="1998"/>
      <c r="D102" s="1998"/>
      <c r="E102" s="1998"/>
      <c r="F102" s="1998"/>
      <c r="G102" s="1998"/>
      <c r="H102" s="1998"/>
      <c r="I102" s="228">
        <f>SUM(I78:I101)</f>
        <v>128.13299999999998</v>
      </c>
      <c r="J102" s="229" t="s">
        <v>49</v>
      </c>
      <c r="L102" s="2062"/>
      <c r="M102" s="2054"/>
      <c r="N102" s="1424">
        <v>2</v>
      </c>
      <c r="O102" s="1424">
        <v>0.6</v>
      </c>
      <c r="P102" s="1434">
        <v>0.8</v>
      </c>
      <c r="Q102" s="1424">
        <v>3</v>
      </c>
      <c r="R102" s="1426">
        <f t="shared" si="15"/>
        <v>1.44</v>
      </c>
      <c r="S102" s="1428" t="s">
        <v>49</v>
      </c>
      <c r="Z102" s="516"/>
    </row>
    <row r="103" spans="1:28" ht="13.5" customHeight="1">
      <c r="L103" s="2062"/>
      <c r="M103" s="2054"/>
      <c r="N103" s="1424">
        <v>3</v>
      </c>
      <c r="O103" s="1424">
        <v>0.6</v>
      </c>
      <c r="P103" s="1434">
        <v>0.8</v>
      </c>
      <c r="Q103" s="1424">
        <v>3</v>
      </c>
      <c r="R103" s="1426">
        <f t="shared" si="15"/>
        <v>1.44</v>
      </c>
      <c r="S103" s="1429" t="s">
        <v>49</v>
      </c>
      <c r="Y103" s="516"/>
      <c r="Z103" s="516"/>
    </row>
    <row r="104" spans="1:28" ht="13.5" customHeight="1">
      <c r="L104" s="2062"/>
      <c r="M104" s="2054"/>
      <c r="N104" s="1424">
        <v>4</v>
      </c>
      <c r="O104" s="1424">
        <v>0.6</v>
      </c>
      <c r="P104" s="1434">
        <v>0.8</v>
      </c>
      <c r="Q104" s="1424">
        <v>3</v>
      </c>
      <c r="R104" s="1426">
        <f t="shared" si="15"/>
        <v>1.44</v>
      </c>
      <c r="S104" s="1428" t="s">
        <v>49</v>
      </c>
      <c r="Y104" s="516"/>
      <c r="Z104" s="516"/>
    </row>
    <row r="105" spans="1:28" ht="13.5" customHeight="1">
      <c r="B105" s="588"/>
      <c r="L105" s="2062"/>
      <c r="M105" s="2054"/>
      <c r="N105" s="1424">
        <v>6</v>
      </c>
      <c r="O105" s="1424">
        <v>0.6</v>
      </c>
      <c r="P105" s="1434">
        <v>0.8</v>
      </c>
      <c r="Q105" s="1424">
        <v>3</v>
      </c>
      <c r="R105" s="1426">
        <f t="shared" si="15"/>
        <v>1.44</v>
      </c>
      <c r="S105" s="1429" t="s">
        <v>49</v>
      </c>
      <c r="Y105" s="516"/>
      <c r="Z105" s="516"/>
    </row>
    <row r="106" spans="1:28" ht="13.5" customHeight="1">
      <c r="L106" s="2062"/>
      <c r="M106" s="2054"/>
      <c r="N106" s="1424">
        <v>7</v>
      </c>
      <c r="O106" s="1424">
        <v>0.6</v>
      </c>
      <c r="P106" s="1434">
        <v>0.8</v>
      </c>
      <c r="Q106" s="1424">
        <v>3</v>
      </c>
      <c r="R106" s="1426">
        <f t="shared" si="15"/>
        <v>1.44</v>
      </c>
      <c r="S106" s="1428" t="s">
        <v>49</v>
      </c>
      <c r="Y106" s="516"/>
      <c r="Z106" s="516"/>
    </row>
    <row r="107" spans="1:28" ht="13.5" customHeight="1">
      <c r="L107" s="2062"/>
      <c r="M107" s="2054"/>
      <c r="N107" s="1424">
        <v>8</v>
      </c>
      <c r="O107" s="1424">
        <v>0.6</v>
      </c>
      <c r="P107" s="1434">
        <v>0.8</v>
      </c>
      <c r="Q107" s="1424">
        <v>3</v>
      </c>
      <c r="R107" s="1426">
        <f t="shared" si="15"/>
        <v>1.44</v>
      </c>
      <c r="S107" s="1429" t="s">
        <v>49</v>
      </c>
    </row>
    <row r="108" spans="1:28" ht="13.5" customHeight="1">
      <c r="L108" s="2062"/>
      <c r="M108" s="2054"/>
      <c r="N108" s="1424">
        <v>9</v>
      </c>
      <c r="O108" s="1424">
        <v>0.6</v>
      </c>
      <c r="P108" s="1434">
        <v>1.2</v>
      </c>
      <c r="Q108" s="1424">
        <v>3</v>
      </c>
      <c r="R108" s="1426">
        <f t="shared" si="15"/>
        <v>2.16</v>
      </c>
      <c r="S108" s="1428" t="s">
        <v>49</v>
      </c>
    </row>
    <row r="109" spans="1:28" ht="13.5" customHeight="1">
      <c r="L109" s="2062"/>
      <c r="M109" s="2054"/>
      <c r="N109" s="1424">
        <v>10</v>
      </c>
      <c r="O109" s="1424">
        <v>0.6</v>
      </c>
      <c r="P109" s="1434">
        <v>1.2</v>
      </c>
      <c r="Q109" s="1424">
        <v>3</v>
      </c>
      <c r="R109" s="1426">
        <f t="shared" si="15"/>
        <v>2.16</v>
      </c>
      <c r="S109" s="1429" t="s">
        <v>49</v>
      </c>
    </row>
    <row r="110" spans="1:28" ht="13.5" customHeight="1">
      <c r="L110" s="2062"/>
      <c r="M110" s="2054"/>
      <c r="N110" s="1424">
        <v>14</v>
      </c>
      <c r="O110" s="1424">
        <v>0.6</v>
      </c>
      <c r="P110" s="1434">
        <v>0.8</v>
      </c>
      <c r="Q110" s="1424">
        <v>3</v>
      </c>
      <c r="R110" s="1426">
        <f t="shared" si="15"/>
        <v>1.44</v>
      </c>
      <c r="S110" s="1428" t="s">
        <v>49</v>
      </c>
    </row>
    <row r="111" spans="1:28" ht="12.75" customHeight="1">
      <c r="L111" s="2062"/>
      <c r="M111" s="2054"/>
      <c r="N111" s="1424">
        <v>15</v>
      </c>
      <c r="O111" s="1424">
        <v>0.6</v>
      </c>
      <c r="P111" s="1434">
        <v>1.2</v>
      </c>
      <c r="Q111" s="1424">
        <v>3</v>
      </c>
      <c r="R111" s="1426">
        <f t="shared" si="15"/>
        <v>2.16</v>
      </c>
      <c r="S111" s="1429" t="s">
        <v>49</v>
      </c>
    </row>
    <row r="112" spans="1:28" ht="15">
      <c r="L112" s="2062"/>
      <c r="M112" s="2054"/>
      <c r="N112" s="1424">
        <v>16</v>
      </c>
      <c r="O112" s="1424">
        <v>0.6</v>
      </c>
      <c r="P112" s="1434">
        <v>0.8</v>
      </c>
      <c r="Q112" s="1424">
        <v>3</v>
      </c>
      <c r="R112" s="1426">
        <f t="shared" si="15"/>
        <v>1.44</v>
      </c>
      <c r="S112" s="1428" t="s">
        <v>49</v>
      </c>
    </row>
    <row r="113" spans="12:19" ht="15">
      <c r="L113" s="2062"/>
      <c r="M113" s="2054"/>
      <c r="N113" s="1424">
        <v>17</v>
      </c>
      <c r="O113" s="1424">
        <v>0.6</v>
      </c>
      <c r="P113" s="1434">
        <v>1.2</v>
      </c>
      <c r="Q113" s="1424">
        <v>3</v>
      </c>
      <c r="R113" s="1426">
        <f t="shared" si="15"/>
        <v>2.16</v>
      </c>
      <c r="S113" s="1429" t="s">
        <v>49</v>
      </c>
    </row>
    <row r="114" spans="12:19" ht="15">
      <c r="L114" s="2062"/>
      <c r="M114" s="2055"/>
      <c r="N114" s="1425" t="s">
        <v>3624</v>
      </c>
      <c r="O114" s="1424">
        <v>0.6</v>
      </c>
      <c r="P114" s="1434">
        <v>1.2</v>
      </c>
      <c r="Q114" s="1424">
        <v>3</v>
      </c>
      <c r="R114" s="1426">
        <f t="shared" si="15"/>
        <v>2.16</v>
      </c>
      <c r="S114" s="1428" t="s">
        <v>49</v>
      </c>
    </row>
    <row r="115" spans="12:19" ht="15">
      <c r="L115" s="2062"/>
      <c r="M115" s="2056">
        <v>6</v>
      </c>
      <c r="N115" s="1424">
        <v>1</v>
      </c>
      <c r="O115" s="1424">
        <v>0.6</v>
      </c>
      <c r="P115" s="1434">
        <v>0.8</v>
      </c>
      <c r="Q115" s="1424">
        <v>3</v>
      </c>
      <c r="R115" s="1426">
        <f t="shared" si="15"/>
        <v>1.44</v>
      </c>
      <c r="S115" s="1429" t="s">
        <v>49</v>
      </c>
    </row>
    <row r="116" spans="12:19" ht="15">
      <c r="L116" s="2062"/>
      <c r="M116" s="2054"/>
      <c r="N116" s="1424">
        <v>2</v>
      </c>
      <c r="O116" s="1424">
        <v>0.6</v>
      </c>
      <c r="P116" s="1434">
        <v>0.8</v>
      </c>
      <c r="Q116" s="1424">
        <v>3</v>
      </c>
      <c r="R116" s="1426">
        <f t="shared" si="15"/>
        <v>1.44</v>
      </c>
      <c r="S116" s="1428" t="s">
        <v>49</v>
      </c>
    </row>
    <row r="117" spans="12:19" ht="15">
      <c r="L117" s="2062"/>
      <c r="M117" s="2054"/>
      <c r="N117" s="1424">
        <v>3</v>
      </c>
      <c r="O117" s="1424">
        <v>0.6</v>
      </c>
      <c r="P117" s="1434">
        <v>0.8</v>
      </c>
      <c r="Q117" s="1424">
        <v>3</v>
      </c>
      <c r="R117" s="1426">
        <f t="shared" si="15"/>
        <v>1.44</v>
      </c>
      <c r="S117" s="1429" t="s">
        <v>49</v>
      </c>
    </row>
    <row r="118" spans="12:19" ht="15">
      <c r="L118" s="2062"/>
      <c r="M118" s="2054"/>
      <c r="N118" s="1424">
        <v>4</v>
      </c>
      <c r="O118" s="1424">
        <v>0.6</v>
      </c>
      <c r="P118" s="1434">
        <v>0.8</v>
      </c>
      <c r="Q118" s="1424">
        <v>3</v>
      </c>
      <c r="R118" s="1426">
        <f t="shared" si="15"/>
        <v>1.44</v>
      </c>
      <c r="S118" s="1428" t="s">
        <v>49</v>
      </c>
    </row>
    <row r="119" spans="12:19" ht="15">
      <c r="L119" s="2062"/>
      <c r="M119" s="2054"/>
      <c r="N119" s="1424">
        <v>6</v>
      </c>
      <c r="O119" s="1424">
        <v>0.6</v>
      </c>
      <c r="P119" s="1434">
        <v>0.8</v>
      </c>
      <c r="Q119" s="1424">
        <v>3</v>
      </c>
      <c r="R119" s="1426">
        <f t="shared" si="15"/>
        <v>1.44</v>
      </c>
      <c r="S119" s="1429" t="s">
        <v>49</v>
      </c>
    </row>
    <row r="120" spans="12:19" ht="15">
      <c r="L120" s="2062"/>
      <c r="M120" s="2054"/>
      <c r="N120" s="1424">
        <v>7</v>
      </c>
      <c r="O120" s="1424">
        <v>0.6</v>
      </c>
      <c r="P120" s="1434">
        <v>0.8</v>
      </c>
      <c r="Q120" s="1424">
        <v>3</v>
      </c>
      <c r="R120" s="1426">
        <f t="shared" si="15"/>
        <v>1.44</v>
      </c>
      <c r="S120" s="1428" t="s">
        <v>49</v>
      </c>
    </row>
    <row r="121" spans="12:19" ht="15">
      <c r="L121" s="2062"/>
      <c r="M121" s="2054"/>
      <c r="N121" s="1424">
        <v>8</v>
      </c>
      <c r="O121" s="1424">
        <v>0.6</v>
      </c>
      <c r="P121" s="1434">
        <v>0.8</v>
      </c>
      <c r="Q121" s="1424">
        <v>3</v>
      </c>
      <c r="R121" s="1426">
        <f t="shared" si="15"/>
        <v>1.44</v>
      </c>
      <c r="S121" s="1429" t="s">
        <v>49</v>
      </c>
    </row>
    <row r="122" spans="12:19" ht="15">
      <c r="L122" s="2062"/>
      <c r="M122" s="2054"/>
      <c r="N122" s="1424">
        <v>9</v>
      </c>
      <c r="O122" s="1424">
        <v>0.6</v>
      </c>
      <c r="P122" s="1434">
        <v>1.2</v>
      </c>
      <c r="Q122" s="1424">
        <v>3</v>
      </c>
      <c r="R122" s="1426">
        <f t="shared" si="15"/>
        <v>2.16</v>
      </c>
      <c r="S122" s="1428" t="s">
        <v>49</v>
      </c>
    </row>
    <row r="123" spans="12:19" ht="15">
      <c r="L123" s="2062"/>
      <c r="M123" s="2054"/>
      <c r="N123" s="1424">
        <v>10</v>
      </c>
      <c r="O123" s="1424">
        <v>0.6</v>
      </c>
      <c r="P123" s="1434">
        <v>1.2</v>
      </c>
      <c r="Q123" s="1424">
        <v>3</v>
      </c>
      <c r="R123" s="1426">
        <f t="shared" si="15"/>
        <v>2.16</v>
      </c>
      <c r="S123" s="1429" t="s">
        <v>49</v>
      </c>
    </row>
    <row r="124" spans="12:19" ht="15">
      <c r="L124" s="2062"/>
      <c r="M124" s="2054"/>
      <c r="N124" s="1424">
        <v>14</v>
      </c>
      <c r="O124" s="1424">
        <v>0.6</v>
      </c>
      <c r="P124" s="1434">
        <v>0.8</v>
      </c>
      <c r="Q124" s="1424">
        <v>3</v>
      </c>
      <c r="R124" s="1426">
        <f t="shared" si="15"/>
        <v>1.44</v>
      </c>
      <c r="S124" s="1428" t="s">
        <v>49</v>
      </c>
    </row>
    <row r="125" spans="12:19" ht="15">
      <c r="L125" s="2062"/>
      <c r="M125" s="2054"/>
      <c r="N125" s="1424">
        <v>15</v>
      </c>
      <c r="O125" s="1424">
        <v>0.6</v>
      </c>
      <c r="P125" s="1434">
        <v>1.2</v>
      </c>
      <c r="Q125" s="1424">
        <v>3</v>
      </c>
      <c r="R125" s="1426">
        <f t="shared" si="15"/>
        <v>2.16</v>
      </c>
      <c r="S125" s="1429" t="s">
        <v>49</v>
      </c>
    </row>
    <row r="126" spans="12:19" ht="15">
      <c r="L126" s="2062"/>
      <c r="M126" s="2054"/>
      <c r="N126" s="1424">
        <v>16</v>
      </c>
      <c r="O126" s="1424">
        <v>0.6</v>
      </c>
      <c r="P126" s="1434">
        <v>0.8</v>
      </c>
      <c r="Q126" s="1424">
        <v>3</v>
      </c>
      <c r="R126" s="1426">
        <f t="shared" si="15"/>
        <v>1.44</v>
      </c>
      <c r="S126" s="1428" t="s">
        <v>49</v>
      </c>
    </row>
    <row r="127" spans="12:19" ht="15">
      <c r="L127" s="2062"/>
      <c r="M127" s="2054"/>
      <c r="N127" s="1424">
        <v>17</v>
      </c>
      <c r="O127" s="1424">
        <v>0.6</v>
      </c>
      <c r="P127" s="1434">
        <v>1.2</v>
      </c>
      <c r="Q127" s="1424">
        <v>3</v>
      </c>
      <c r="R127" s="1426">
        <f t="shared" ref="R127:R166" si="22">O127*P127*Q127</f>
        <v>2.16</v>
      </c>
      <c r="S127" s="1429" t="s">
        <v>49</v>
      </c>
    </row>
    <row r="128" spans="12:19" ht="15">
      <c r="L128" s="2064"/>
      <c r="M128" s="2055"/>
      <c r="N128" s="1425" t="s">
        <v>3624</v>
      </c>
      <c r="O128" s="1424">
        <v>0.6</v>
      </c>
      <c r="P128" s="1434">
        <v>1.2</v>
      </c>
      <c r="Q128" s="1424">
        <v>3</v>
      </c>
      <c r="R128" s="1426">
        <f t="shared" si="22"/>
        <v>2.16</v>
      </c>
      <c r="S128" s="1428" t="s">
        <v>49</v>
      </c>
    </row>
    <row r="129" spans="12:30" ht="15">
      <c r="L129" s="2061">
        <v>28</v>
      </c>
      <c r="M129" s="2056">
        <v>7</v>
      </c>
      <c r="N129" s="1424">
        <v>1</v>
      </c>
      <c r="O129" s="1424">
        <v>0.6</v>
      </c>
      <c r="P129" s="1434">
        <v>0.8</v>
      </c>
      <c r="Q129" s="1424">
        <v>3</v>
      </c>
      <c r="R129" s="1426">
        <f t="shared" si="22"/>
        <v>1.44</v>
      </c>
      <c r="S129" s="1429" t="s">
        <v>49</v>
      </c>
    </row>
    <row r="130" spans="12:30" ht="15">
      <c r="L130" s="2062"/>
      <c r="M130" s="2054"/>
      <c r="N130" s="1424">
        <v>2</v>
      </c>
      <c r="O130" s="1424">
        <v>0.6</v>
      </c>
      <c r="P130" s="1434">
        <v>0.8</v>
      </c>
      <c r="Q130" s="1424">
        <v>3</v>
      </c>
      <c r="R130" s="1426">
        <f t="shared" si="22"/>
        <v>1.44</v>
      </c>
      <c r="S130" s="1428" t="s">
        <v>49</v>
      </c>
    </row>
    <row r="131" spans="12:30" ht="15">
      <c r="L131" s="2062"/>
      <c r="M131" s="2054"/>
      <c r="N131" s="1424">
        <v>3</v>
      </c>
      <c r="O131" s="1424">
        <v>0.6</v>
      </c>
      <c r="P131" s="1434">
        <v>0.8</v>
      </c>
      <c r="Q131" s="1424">
        <v>3</v>
      </c>
      <c r="R131" s="1426">
        <f t="shared" si="22"/>
        <v>1.44</v>
      </c>
      <c r="S131" s="1429" t="s">
        <v>49</v>
      </c>
    </row>
    <row r="132" spans="12:30" ht="15">
      <c r="L132" s="2062"/>
      <c r="M132" s="2054"/>
      <c r="N132" s="1424">
        <v>4</v>
      </c>
      <c r="O132" s="1424">
        <v>0.6</v>
      </c>
      <c r="P132" s="1434">
        <v>0.8</v>
      </c>
      <c r="Q132" s="1424">
        <v>3</v>
      </c>
      <c r="R132" s="1426">
        <f t="shared" si="22"/>
        <v>1.44</v>
      </c>
      <c r="S132" s="1428" t="s">
        <v>49</v>
      </c>
    </row>
    <row r="133" spans="12:30" ht="15">
      <c r="L133" s="2062"/>
      <c r="M133" s="2054"/>
      <c r="N133" s="1424">
        <v>6</v>
      </c>
      <c r="O133" s="1424">
        <v>0.6</v>
      </c>
      <c r="P133" s="1434">
        <v>0.8</v>
      </c>
      <c r="Q133" s="1424">
        <v>3</v>
      </c>
      <c r="R133" s="1426">
        <f t="shared" si="22"/>
        <v>1.44</v>
      </c>
      <c r="S133" s="1429" t="s">
        <v>49</v>
      </c>
    </row>
    <row r="134" spans="12:30" ht="15">
      <c r="L134" s="2062"/>
      <c r="M134" s="2054"/>
      <c r="N134" s="1424">
        <v>7</v>
      </c>
      <c r="O134" s="1424">
        <v>0.6</v>
      </c>
      <c r="P134" s="1434">
        <v>0.8</v>
      </c>
      <c r="Q134" s="1424">
        <v>3</v>
      </c>
      <c r="R134" s="1426">
        <f t="shared" si="22"/>
        <v>1.44</v>
      </c>
      <c r="S134" s="1428" t="s">
        <v>49</v>
      </c>
    </row>
    <row r="135" spans="12:30" ht="15">
      <c r="L135" s="2062"/>
      <c r="M135" s="2054"/>
      <c r="N135" s="1424">
        <v>8</v>
      </c>
      <c r="O135" s="1424">
        <v>0.6</v>
      </c>
      <c r="P135" s="1434">
        <v>0.8</v>
      </c>
      <c r="Q135" s="1424">
        <v>3</v>
      </c>
      <c r="R135" s="1426">
        <f t="shared" si="22"/>
        <v>1.44</v>
      </c>
      <c r="S135" s="1429" t="s">
        <v>49</v>
      </c>
    </row>
    <row r="136" spans="12:30" ht="15">
      <c r="L136" s="2062"/>
      <c r="M136" s="2054"/>
      <c r="N136" s="1424">
        <v>9</v>
      </c>
      <c r="O136" s="1424">
        <v>0.6</v>
      </c>
      <c r="P136" s="1434">
        <v>1.5</v>
      </c>
      <c r="Q136" s="1424">
        <v>3</v>
      </c>
      <c r="R136" s="1426">
        <f t="shared" si="22"/>
        <v>2.6999999999999997</v>
      </c>
      <c r="S136" s="1428" t="s">
        <v>49</v>
      </c>
    </row>
    <row r="137" spans="12:30" ht="15">
      <c r="L137" s="2062"/>
      <c r="M137" s="2054"/>
      <c r="N137" s="1424">
        <v>10</v>
      </c>
      <c r="O137" s="1424">
        <v>0.6</v>
      </c>
      <c r="P137" s="1434">
        <v>1.5</v>
      </c>
      <c r="Q137" s="1424">
        <v>3</v>
      </c>
      <c r="R137" s="1426">
        <f t="shared" si="22"/>
        <v>2.6999999999999997</v>
      </c>
      <c r="S137" s="1429" t="s">
        <v>49</v>
      </c>
    </row>
    <row r="138" spans="12:30" ht="15">
      <c r="L138" s="2062"/>
      <c r="M138" s="2054"/>
      <c r="N138" s="1424">
        <v>14</v>
      </c>
      <c r="O138" s="1424">
        <v>0.6</v>
      </c>
      <c r="P138" s="1434">
        <v>0.8</v>
      </c>
      <c r="Q138" s="1424">
        <v>3</v>
      </c>
      <c r="R138" s="1426">
        <f t="shared" si="22"/>
        <v>1.44</v>
      </c>
      <c r="S138" s="1428" t="s">
        <v>49</v>
      </c>
    </row>
    <row r="139" spans="12:30" ht="15">
      <c r="L139" s="2062"/>
      <c r="M139" s="2054"/>
      <c r="N139" s="1424">
        <v>15</v>
      </c>
      <c r="O139" s="1424">
        <v>0.6</v>
      </c>
      <c r="P139" s="1434">
        <v>1.2</v>
      </c>
      <c r="Q139" s="1424">
        <v>3</v>
      </c>
      <c r="R139" s="1426">
        <f t="shared" si="22"/>
        <v>2.16</v>
      </c>
      <c r="S139" s="1429" t="s">
        <v>49</v>
      </c>
    </row>
    <row r="140" spans="12:30" ht="15">
      <c r="L140" s="2062"/>
      <c r="M140" s="2054"/>
      <c r="N140" s="1424">
        <v>16</v>
      </c>
      <c r="O140" s="1424">
        <v>0.6</v>
      </c>
      <c r="P140" s="1434">
        <v>0.8</v>
      </c>
      <c r="Q140" s="1424">
        <v>3</v>
      </c>
      <c r="R140" s="1426">
        <f t="shared" si="22"/>
        <v>1.44</v>
      </c>
      <c r="S140" s="1428" t="s">
        <v>49</v>
      </c>
      <c r="AD140" s="588"/>
    </row>
    <row r="141" spans="12:30" ht="15">
      <c r="L141" s="2062"/>
      <c r="M141" s="2054"/>
      <c r="N141" s="1424">
        <v>17</v>
      </c>
      <c r="O141" s="1424">
        <v>0.6</v>
      </c>
      <c r="P141" s="1434">
        <v>1.5</v>
      </c>
      <c r="Q141" s="1424">
        <v>3</v>
      </c>
      <c r="R141" s="1426">
        <f t="shared" si="22"/>
        <v>2.6999999999999997</v>
      </c>
      <c r="S141" s="1429" t="s">
        <v>49</v>
      </c>
    </row>
    <row r="142" spans="12:30" ht="15">
      <c r="L142" s="2062"/>
      <c r="M142" s="2055"/>
      <c r="N142" s="1425" t="s">
        <v>3624</v>
      </c>
      <c r="O142" s="1424">
        <v>0.6</v>
      </c>
      <c r="P142" s="1434">
        <v>1.5</v>
      </c>
      <c r="Q142" s="1424">
        <v>3</v>
      </c>
      <c r="R142" s="1426">
        <f t="shared" si="22"/>
        <v>2.6999999999999997</v>
      </c>
      <c r="S142" s="1428" t="s">
        <v>49</v>
      </c>
    </row>
    <row r="143" spans="12:30" ht="15">
      <c r="L143" s="2062"/>
      <c r="M143" s="2056">
        <v>8</v>
      </c>
      <c r="N143" s="1424">
        <v>1</v>
      </c>
      <c r="O143" s="1424">
        <v>0.6</v>
      </c>
      <c r="P143" s="1434">
        <v>0.8</v>
      </c>
      <c r="Q143" s="1424">
        <v>3</v>
      </c>
      <c r="R143" s="1426">
        <f t="shared" si="22"/>
        <v>1.44</v>
      </c>
      <c r="S143" s="1429" t="s">
        <v>49</v>
      </c>
    </row>
    <row r="144" spans="12:30" ht="15">
      <c r="L144" s="2062"/>
      <c r="M144" s="2054"/>
      <c r="N144" s="1424">
        <v>2</v>
      </c>
      <c r="O144" s="1424">
        <v>0.6</v>
      </c>
      <c r="P144" s="1434">
        <v>0.8</v>
      </c>
      <c r="Q144" s="1424">
        <v>3</v>
      </c>
      <c r="R144" s="1426">
        <f t="shared" si="22"/>
        <v>1.44</v>
      </c>
      <c r="S144" s="1428" t="s">
        <v>49</v>
      </c>
    </row>
    <row r="145" spans="12:19" ht="15">
      <c r="L145" s="2062"/>
      <c r="M145" s="2054"/>
      <c r="N145" s="1424">
        <v>3</v>
      </c>
      <c r="O145" s="1424">
        <v>0.6</v>
      </c>
      <c r="P145" s="1434">
        <v>0.8</v>
      </c>
      <c r="Q145" s="1424">
        <v>3</v>
      </c>
      <c r="R145" s="1426">
        <f t="shared" si="22"/>
        <v>1.44</v>
      </c>
      <c r="S145" s="1429" t="s">
        <v>49</v>
      </c>
    </row>
    <row r="146" spans="12:19" ht="15">
      <c r="L146" s="2062"/>
      <c r="M146" s="2054"/>
      <c r="N146" s="1424">
        <v>4</v>
      </c>
      <c r="O146" s="1424">
        <v>0.6</v>
      </c>
      <c r="P146" s="1434">
        <v>0.8</v>
      </c>
      <c r="Q146" s="1424">
        <v>3</v>
      </c>
      <c r="R146" s="1426">
        <f t="shared" si="22"/>
        <v>1.44</v>
      </c>
      <c r="S146" s="1428" t="s">
        <v>49</v>
      </c>
    </row>
    <row r="147" spans="12:19" ht="15">
      <c r="L147" s="2062"/>
      <c r="M147" s="2054"/>
      <c r="N147" s="1424">
        <v>6</v>
      </c>
      <c r="O147" s="1424">
        <v>0.6</v>
      </c>
      <c r="P147" s="1434">
        <v>0.8</v>
      </c>
      <c r="Q147" s="1424">
        <v>3</v>
      </c>
      <c r="R147" s="1426">
        <f t="shared" si="22"/>
        <v>1.44</v>
      </c>
      <c r="S147" s="1429" t="s">
        <v>49</v>
      </c>
    </row>
    <row r="148" spans="12:19" ht="15">
      <c r="L148" s="2062"/>
      <c r="M148" s="2054"/>
      <c r="N148" s="1424">
        <v>7</v>
      </c>
      <c r="O148" s="1424">
        <v>0.6</v>
      </c>
      <c r="P148" s="1434">
        <v>0.8</v>
      </c>
      <c r="Q148" s="1424">
        <v>3</v>
      </c>
      <c r="R148" s="1426">
        <f t="shared" si="22"/>
        <v>1.44</v>
      </c>
      <c r="S148" s="1428" t="s">
        <v>49</v>
      </c>
    </row>
    <row r="149" spans="12:19" ht="15">
      <c r="L149" s="2062"/>
      <c r="M149" s="2054"/>
      <c r="N149" s="1424">
        <v>8</v>
      </c>
      <c r="O149" s="1424">
        <v>0.6</v>
      </c>
      <c r="P149" s="1434">
        <v>0.8</v>
      </c>
      <c r="Q149" s="1424">
        <v>3</v>
      </c>
      <c r="R149" s="1426">
        <f t="shared" si="22"/>
        <v>1.44</v>
      </c>
      <c r="S149" s="1429" t="s">
        <v>49</v>
      </c>
    </row>
    <row r="150" spans="12:19" ht="15">
      <c r="L150" s="2062"/>
      <c r="M150" s="2054"/>
      <c r="N150" s="1424">
        <v>9</v>
      </c>
      <c r="O150" s="1424">
        <v>0.6</v>
      </c>
      <c r="P150" s="1434">
        <v>1.2</v>
      </c>
      <c r="Q150" s="1424">
        <v>3</v>
      </c>
      <c r="R150" s="1426">
        <f t="shared" si="22"/>
        <v>2.16</v>
      </c>
      <c r="S150" s="1428" t="s">
        <v>49</v>
      </c>
    </row>
    <row r="151" spans="12:19" ht="15">
      <c r="L151" s="2062"/>
      <c r="M151" s="2054"/>
      <c r="N151" s="1424">
        <v>10</v>
      </c>
      <c r="O151" s="1424">
        <v>0.6</v>
      </c>
      <c r="P151" s="1434">
        <v>1.2</v>
      </c>
      <c r="Q151" s="1424">
        <v>3</v>
      </c>
      <c r="R151" s="1426">
        <f t="shared" si="22"/>
        <v>2.16</v>
      </c>
      <c r="S151" s="1429" t="s">
        <v>49</v>
      </c>
    </row>
    <row r="152" spans="12:19" ht="15">
      <c r="L152" s="2062"/>
      <c r="M152" s="2054"/>
      <c r="N152" s="1424">
        <v>14</v>
      </c>
      <c r="O152" s="1424">
        <v>0.6</v>
      </c>
      <c r="P152" s="1434">
        <v>0.8</v>
      </c>
      <c r="Q152" s="1424">
        <v>3</v>
      </c>
      <c r="R152" s="1426">
        <f t="shared" si="22"/>
        <v>1.44</v>
      </c>
      <c r="S152" s="1428" t="s">
        <v>49</v>
      </c>
    </row>
    <row r="153" spans="12:19" ht="15">
      <c r="L153" s="2062"/>
      <c r="M153" s="2054"/>
      <c r="N153" s="1424">
        <v>15</v>
      </c>
      <c r="O153" s="1424">
        <v>0.6</v>
      </c>
      <c r="P153" s="1434">
        <v>1.2</v>
      </c>
      <c r="Q153" s="1424">
        <v>3</v>
      </c>
      <c r="R153" s="1426">
        <f t="shared" si="22"/>
        <v>2.16</v>
      </c>
      <c r="S153" s="1429" t="s">
        <v>49</v>
      </c>
    </row>
    <row r="154" spans="12:19" ht="15">
      <c r="L154" s="2062"/>
      <c r="M154" s="2054"/>
      <c r="N154" s="1424">
        <v>16</v>
      </c>
      <c r="O154" s="1424">
        <v>0.6</v>
      </c>
      <c r="P154" s="1434">
        <v>0.8</v>
      </c>
      <c r="Q154" s="1424">
        <v>3</v>
      </c>
      <c r="R154" s="1426">
        <f t="shared" si="22"/>
        <v>1.44</v>
      </c>
      <c r="S154" s="1428" t="s">
        <v>49</v>
      </c>
    </row>
    <row r="155" spans="12:19" ht="15">
      <c r="L155" s="2062"/>
      <c r="M155" s="2054"/>
      <c r="N155" s="1424">
        <v>17</v>
      </c>
      <c r="O155" s="1424">
        <v>0.6</v>
      </c>
      <c r="P155" s="1434">
        <v>1.2</v>
      </c>
      <c r="Q155" s="1424">
        <v>3</v>
      </c>
      <c r="R155" s="1426">
        <f t="shared" si="22"/>
        <v>2.16</v>
      </c>
      <c r="S155" s="1429" t="s">
        <v>49</v>
      </c>
    </row>
    <row r="156" spans="12:19" ht="15">
      <c r="L156" s="2062"/>
      <c r="M156" s="2055"/>
      <c r="N156" s="1425" t="s">
        <v>3624</v>
      </c>
      <c r="O156" s="1424">
        <v>0.6</v>
      </c>
      <c r="P156" s="1434">
        <v>1.2</v>
      </c>
      <c r="Q156" s="1424">
        <v>3</v>
      </c>
      <c r="R156" s="1426">
        <f t="shared" si="22"/>
        <v>2.16</v>
      </c>
      <c r="S156" s="1428" t="s">
        <v>49</v>
      </c>
    </row>
    <row r="157" spans="12:19" ht="15">
      <c r="L157" s="2062"/>
      <c r="M157" s="2056">
        <v>9</v>
      </c>
      <c r="N157" s="1424">
        <v>1</v>
      </c>
      <c r="O157" s="1424">
        <v>0.6</v>
      </c>
      <c r="P157" s="1434">
        <v>0.8</v>
      </c>
      <c r="Q157" s="1424">
        <v>4.4400000000000004</v>
      </c>
      <c r="R157" s="1426">
        <f t="shared" si="22"/>
        <v>2.1312000000000002</v>
      </c>
      <c r="S157" s="1429" t="s">
        <v>49</v>
      </c>
    </row>
    <row r="158" spans="12:19" ht="15">
      <c r="L158" s="2062"/>
      <c r="M158" s="2054"/>
      <c r="N158" s="1424">
        <v>2</v>
      </c>
      <c r="O158" s="1424">
        <v>0.6</v>
      </c>
      <c r="P158" s="1434">
        <v>0.8</v>
      </c>
      <c r="Q158" s="1424">
        <v>3</v>
      </c>
      <c r="R158" s="1426">
        <f t="shared" si="22"/>
        <v>1.44</v>
      </c>
      <c r="S158" s="1428" t="s">
        <v>49</v>
      </c>
    </row>
    <row r="159" spans="12:19" ht="15">
      <c r="L159" s="2062"/>
      <c r="M159" s="2054"/>
      <c r="N159" s="1424">
        <v>3</v>
      </c>
      <c r="O159" s="1424">
        <v>0.6</v>
      </c>
      <c r="P159" s="1434">
        <v>0.8</v>
      </c>
      <c r="Q159" s="1424">
        <v>4.4400000000000004</v>
      </c>
      <c r="R159" s="1426">
        <f t="shared" si="22"/>
        <v>2.1312000000000002</v>
      </c>
      <c r="S159" s="1429" t="s">
        <v>49</v>
      </c>
    </row>
    <row r="160" spans="12:19" ht="15">
      <c r="L160" s="2062"/>
      <c r="M160" s="2054"/>
      <c r="N160" s="1424">
        <v>4</v>
      </c>
      <c r="O160" s="1424">
        <v>0.6</v>
      </c>
      <c r="P160" s="1434">
        <v>0.8</v>
      </c>
      <c r="Q160" s="1424">
        <v>3</v>
      </c>
      <c r="R160" s="1426">
        <f t="shared" si="22"/>
        <v>1.44</v>
      </c>
      <c r="S160" s="1428" t="s">
        <v>49</v>
      </c>
    </row>
    <row r="161" spans="12:19" ht="15">
      <c r="L161" s="2062"/>
      <c r="M161" s="2054"/>
      <c r="N161" s="1424">
        <v>6</v>
      </c>
      <c r="O161" s="1424">
        <v>0.6</v>
      </c>
      <c r="P161" s="1434">
        <v>0.8</v>
      </c>
      <c r="Q161" s="1424">
        <v>3</v>
      </c>
      <c r="R161" s="1426">
        <f t="shared" si="22"/>
        <v>1.44</v>
      </c>
      <c r="S161" s="1429" t="s">
        <v>49</v>
      </c>
    </row>
    <row r="162" spans="12:19" ht="15">
      <c r="L162" s="2062"/>
      <c r="M162" s="2054"/>
      <c r="N162" s="1424">
        <v>7</v>
      </c>
      <c r="O162" s="1424">
        <v>0.6</v>
      </c>
      <c r="P162" s="1434">
        <v>0.8</v>
      </c>
      <c r="Q162" s="1424">
        <v>3</v>
      </c>
      <c r="R162" s="1426">
        <f t="shared" si="22"/>
        <v>1.44</v>
      </c>
      <c r="S162" s="1428" t="s">
        <v>49</v>
      </c>
    </row>
    <row r="163" spans="12:19" ht="15">
      <c r="L163" s="2062"/>
      <c r="M163" s="2054"/>
      <c r="N163" s="1424">
        <v>8</v>
      </c>
      <c r="O163" s="1424">
        <v>0.6</v>
      </c>
      <c r="P163" s="1434">
        <v>0.8</v>
      </c>
      <c r="Q163" s="1424">
        <v>3</v>
      </c>
      <c r="R163" s="1426">
        <f t="shared" si="22"/>
        <v>1.44</v>
      </c>
      <c r="S163" s="1429" t="s">
        <v>49</v>
      </c>
    </row>
    <row r="164" spans="12:19" ht="15">
      <c r="L164" s="2062"/>
      <c r="M164" s="2054"/>
      <c r="N164" s="1424">
        <v>9</v>
      </c>
      <c r="O164" s="1424">
        <v>0.6</v>
      </c>
      <c r="P164" s="1434">
        <v>1.2</v>
      </c>
      <c r="Q164" s="1424">
        <v>3</v>
      </c>
      <c r="R164" s="1426">
        <f t="shared" si="22"/>
        <v>2.16</v>
      </c>
      <c r="S164" s="1428" t="s">
        <v>49</v>
      </c>
    </row>
    <row r="165" spans="12:19" ht="15">
      <c r="L165" s="2062"/>
      <c r="M165" s="2054"/>
      <c r="N165" s="1424">
        <v>10</v>
      </c>
      <c r="O165" s="1424">
        <v>0.6</v>
      </c>
      <c r="P165" s="1434">
        <v>1.2</v>
      </c>
      <c r="Q165" s="1424">
        <v>3</v>
      </c>
      <c r="R165" s="1426">
        <f t="shared" si="22"/>
        <v>2.16</v>
      </c>
      <c r="S165" s="1429" t="s">
        <v>49</v>
      </c>
    </row>
    <row r="166" spans="12:19" ht="15.75" thickBot="1">
      <c r="L166" s="2063"/>
      <c r="M166" s="2067"/>
      <c r="N166" s="1430" t="s">
        <v>3625</v>
      </c>
      <c r="O166" s="1431">
        <v>0.6</v>
      </c>
      <c r="P166" s="1435">
        <v>1.2</v>
      </c>
      <c r="Q166" s="1431">
        <v>5.59</v>
      </c>
      <c r="R166" s="1426">
        <f t="shared" si="22"/>
        <v>4.0247999999999999</v>
      </c>
      <c r="S166" s="1436" t="s">
        <v>49</v>
      </c>
    </row>
    <row r="167" spans="12:19" ht="15">
      <c r="L167" s="2065" t="s">
        <v>3626</v>
      </c>
      <c r="M167" s="2066"/>
      <c r="N167" s="2066"/>
      <c r="O167" s="2066"/>
      <c r="P167" s="2066"/>
      <c r="Q167" s="2066"/>
      <c r="R167" s="1439">
        <f>SUM(R129:R166)</f>
        <v>69.487199999999959</v>
      </c>
      <c r="S167" s="1437" t="s">
        <v>49</v>
      </c>
    </row>
    <row r="168" spans="12:19" ht="15.75" thickBot="1">
      <c r="L168" s="2057" t="s">
        <v>3627</v>
      </c>
      <c r="M168" s="2058"/>
      <c r="N168" s="2058"/>
      <c r="O168" s="2058"/>
      <c r="P168" s="2058"/>
      <c r="Q168" s="2058"/>
      <c r="R168" s="1440">
        <f>SUM(R62:R128)</f>
        <v>120.37619999999995</v>
      </c>
      <c r="S168" s="1438" t="s">
        <v>49</v>
      </c>
    </row>
    <row r="170" spans="12:19">
      <c r="L170" s="1828" t="s">
        <v>3620</v>
      </c>
      <c r="M170" s="1828"/>
      <c r="N170" s="1828"/>
      <c r="O170" s="1828"/>
      <c r="P170" s="5" t="s">
        <v>1292</v>
      </c>
      <c r="Q170" s="5" t="s">
        <v>3638</v>
      </c>
    </row>
    <row r="171" spans="12:19">
      <c r="L171" s="1558" t="s">
        <v>3632</v>
      </c>
      <c r="M171" s="1558"/>
      <c r="N171" s="1558"/>
      <c r="O171" s="1558"/>
      <c r="P171" s="5">
        <f>Q62+Q63+Q67+Q68</f>
        <v>10.56</v>
      </c>
      <c r="Q171" s="5">
        <f>R62+R63+R67+R68</f>
        <v>9.5039999999999996</v>
      </c>
    </row>
    <row r="172" spans="12:19">
      <c r="L172" s="1558" t="s">
        <v>3633</v>
      </c>
      <c r="M172" s="1558"/>
      <c r="N172" s="1558"/>
      <c r="O172" s="1558"/>
      <c r="P172" s="5">
        <f>Q64+Q71</f>
        <v>5.28</v>
      </c>
      <c r="Q172" s="5">
        <f>R64+R71</f>
        <v>4.2240000000000002</v>
      </c>
    </row>
    <row r="173" spans="12:19">
      <c r="L173" s="1558" t="s">
        <v>3628</v>
      </c>
      <c r="M173" s="1558"/>
      <c r="N173" s="1558"/>
      <c r="O173" s="1558"/>
      <c r="P173" s="5">
        <f>Q66</f>
        <v>2.64</v>
      </c>
      <c r="Q173" s="5">
        <f>R66</f>
        <v>0.16500000000000001</v>
      </c>
    </row>
    <row r="174" spans="12:19">
      <c r="L174" s="1558" t="s">
        <v>3629</v>
      </c>
      <c r="M174" s="1558"/>
      <c r="N174" s="1558"/>
      <c r="O174" s="1558"/>
      <c r="P174" s="5">
        <f>Q69+Q70+Q73+Q74+Q80+Q81+Q82+Q83+Q84+Q86+Q87+Q88+Q89+Q95+Q96+Q100+Q108+Q109+Q111+Q113+Q114+Q122+Q123+Q125+Q127+Q128+Q97</f>
        <v>87.84</v>
      </c>
      <c r="Q174" s="5">
        <f>R69+R70+R73+R74+R80+R81+R82+R83+R84+R86+R87+R88+R89+R95+R96+R100+R108+R109+R111+R113+R114+R122+R123+R125+R127+R128+R97</f>
        <v>63.244799999999962</v>
      </c>
    </row>
    <row r="175" spans="12:19">
      <c r="L175" s="1558" t="s">
        <v>3630</v>
      </c>
      <c r="M175" s="1558"/>
      <c r="N175" s="1558"/>
      <c r="O175" s="1558"/>
      <c r="P175" s="5">
        <f>Q75+Q76+Q77+Q78+Q79+Q85+Q90+Q91+Q92+Q93+Q94+Q98+Q99+Q101+Q102+Q103+Q104+Q105+Q106+Q107+Q110+Q112+Q115+Q116+Q117+Q118+Q119+Q120+Q121+Q124+Q126</f>
        <v>88.32</v>
      </c>
      <c r="Q175" s="5">
        <f>R75+R76+R77+R78+R79+R85+R90+R91+R92+R93+R94+R98+R99+R101+R102+R103+R104+R105+R106+R107+R110+R112+R115+R116+R117+R118+R119+R120+R121+R124+R126</f>
        <v>42.393599999999999</v>
      </c>
    </row>
    <row r="176" spans="12:19">
      <c r="L176" s="1558" t="s">
        <v>3631</v>
      </c>
      <c r="M176" s="1558"/>
      <c r="N176" s="1558"/>
      <c r="O176" s="1558"/>
      <c r="P176" s="227">
        <f>Q65+Q72</f>
        <v>5.28</v>
      </c>
      <c r="Q176" s="227">
        <f>R65+R72</f>
        <v>0.84480000000000022</v>
      </c>
    </row>
    <row r="177" spans="12:17">
      <c r="L177" s="1558" t="s">
        <v>3634</v>
      </c>
      <c r="M177" s="1558"/>
      <c r="N177" s="1558"/>
      <c r="O177" s="1558"/>
      <c r="P177" s="5">
        <f>Q136+Q137+Q141+Q142</f>
        <v>12</v>
      </c>
      <c r="Q177" s="5">
        <f>R136+R137+R141+R142</f>
        <v>10.799999999999999</v>
      </c>
    </row>
    <row r="178" spans="12:17">
      <c r="L178" s="1558" t="s">
        <v>3635</v>
      </c>
      <c r="M178" s="1558"/>
      <c r="N178" s="1558"/>
      <c r="O178" s="1558"/>
      <c r="P178" s="5">
        <f>Q129+Q130+Q131+Q132+Q133+Q134+Q135+Q138+Q140+Q143+Q144+Q145+Q146+Q147+Q148+Q149+Q152+Q154+Q157+Q159+Q158+Q160+Q161+Q162+Q163</f>
        <v>77.88</v>
      </c>
      <c r="Q178" s="5">
        <f>R129+R130+R131+R132+R133+R134+R135+R138+R140+R143+R144+R145+R146+R147+R148+R149+R152+R154+R157+R159+R158+R160+R161+R162+R163</f>
        <v>37.382399999999997</v>
      </c>
    </row>
    <row r="179" spans="12:17">
      <c r="L179" s="1558" t="s">
        <v>3636</v>
      </c>
      <c r="M179" s="1558"/>
      <c r="N179" s="1558"/>
      <c r="O179" s="1558"/>
      <c r="P179" s="5">
        <f>Q139+Q150+Q151+Q153+Q155+Q156+Q164+Q165+Q166</f>
        <v>29.59</v>
      </c>
      <c r="Q179" s="5">
        <f>R139+R150+R151+R153+R155+R156+R164+R165+R166</f>
        <v>21.3048</v>
      </c>
    </row>
  </sheetData>
  <mergeCells count="143">
    <mergeCell ref="Z62:Z83"/>
    <mergeCell ref="V81:X81"/>
    <mergeCell ref="V82:X82"/>
    <mergeCell ref="V83:X83"/>
    <mergeCell ref="U66:U68"/>
    <mergeCell ref="U69:U70"/>
    <mergeCell ref="U71:U72"/>
    <mergeCell ref="U73:U74"/>
    <mergeCell ref="U75:U76"/>
    <mergeCell ref="U77:U79"/>
    <mergeCell ref="U80:U81"/>
    <mergeCell ref="U82:U83"/>
    <mergeCell ref="V76:X76"/>
    <mergeCell ref="V77:X77"/>
    <mergeCell ref="V78:X78"/>
    <mergeCell ref="V79:X79"/>
    <mergeCell ref="V80:X80"/>
    <mergeCell ref="V71:X71"/>
    <mergeCell ref="V72:X72"/>
    <mergeCell ref="V73:X73"/>
    <mergeCell ref="V74:X74"/>
    <mergeCell ref="V75:X75"/>
    <mergeCell ref="V66:X66"/>
    <mergeCell ref="V67:X67"/>
    <mergeCell ref="V68:X68"/>
    <mergeCell ref="V69:X69"/>
    <mergeCell ref="V70:X70"/>
    <mergeCell ref="V61:X61"/>
    <mergeCell ref="V62:X62"/>
    <mergeCell ref="V63:X63"/>
    <mergeCell ref="V64:X64"/>
    <mergeCell ref="V65:X65"/>
    <mergeCell ref="L178:O178"/>
    <mergeCell ref="L179:O179"/>
    <mergeCell ref="M75:M89"/>
    <mergeCell ref="M90:M100"/>
    <mergeCell ref="O60:P60"/>
    <mergeCell ref="L171:O171"/>
    <mergeCell ref="L172:O172"/>
    <mergeCell ref="L173:O173"/>
    <mergeCell ref="L170:O170"/>
    <mergeCell ref="L174:O174"/>
    <mergeCell ref="L175:O175"/>
    <mergeCell ref="L176:O176"/>
    <mergeCell ref="L177:O177"/>
    <mergeCell ref="M60:M61"/>
    <mergeCell ref="N60:N61"/>
    <mergeCell ref="L168:Q168"/>
    <mergeCell ref="R60:R61"/>
    <mergeCell ref="S60:S61"/>
    <mergeCell ref="M101:M114"/>
    <mergeCell ref="M115:M128"/>
    <mergeCell ref="M129:M142"/>
    <mergeCell ref="L129:L166"/>
    <mergeCell ref="L62:L128"/>
    <mergeCell ref="L167:Q167"/>
    <mergeCell ref="M143:M156"/>
    <mergeCell ref="M157:M166"/>
    <mergeCell ref="L60:L61"/>
    <mergeCell ref="AD84:AJ84"/>
    <mergeCell ref="AL67:AL78"/>
    <mergeCell ref="AD79:AJ79"/>
    <mergeCell ref="AD63:AL63"/>
    <mergeCell ref="AD66:AL66"/>
    <mergeCell ref="AD64:AD65"/>
    <mergeCell ref="AE64:AE65"/>
    <mergeCell ref="AF64:AF65"/>
    <mergeCell ref="AG64:AG65"/>
    <mergeCell ref="AH64:AH65"/>
    <mergeCell ref="AI64:AI65"/>
    <mergeCell ref="AJ64:AJ65"/>
    <mergeCell ref="AK64:AK65"/>
    <mergeCell ref="AL64:AL65"/>
    <mergeCell ref="AD43:AM43"/>
    <mergeCell ref="AD46:AM46"/>
    <mergeCell ref="AM47:AM58"/>
    <mergeCell ref="AD59:AK59"/>
    <mergeCell ref="AG44:AG45"/>
    <mergeCell ref="AH44:AH45"/>
    <mergeCell ref="AI44:AI45"/>
    <mergeCell ref="AJ44:AJ45"/>
    <mergeCell ref="AK44:AK45"/>
    <mergeCell ref="AL44:AL45"/>
    <mergeCell ref="AM44:AM45"/>
    <mergeCell ref="AF44:AF45"/>
    <mergeCell ref="AE44:AE45"/>
    <mergeCell ref="AD44:AD45"/>
    <mergeCell ref="AD5:AK5"/>
    <mergeCell ref="AD4:AK4"/>
    <mergeCell ref="AD3:AK3"/>
    <mergeCell ref="AD39:AI39"/>
    <mergeCell ref="AD36:AI36"/>
    <mergeCell ref="AJ36:AK37"/>
    <mergeCell ref="AE7:AE17"/>
    <mergeCell ref="AE25:AE35"/>
    <mergeCell ref="AD22:AK22"/>
    <mergeCell ref="AD23:AK23"/>
    <mergeCell ref="AD21:AI21"/>
    <mergeCell ref="AJ18:AK19"/>
    <mergeCell ref="AD18:AI18"/>
    <mergeCell ref="AK25:AK35"/>
    <mergeCell ref="AK7:AK17"/>
    <mergeCell ref="A3:J3"/>
    <mergeCell ref="A75:J75"/>
    <mergeCell ref="A72:H72"/>
    <mergeCell ref="A70:J70"/>
    <mergeCell ref="L48:U48"/>
    <mergeCell ref="Q49:R49"/>
    <mergeCell ref="L53:S53"/>
    <mergeCell ref="L17:S17"/>
    <mergeCell ref="L18:U18"/>
    <mergeCell ref="L46:S46"/>
    <mergeCell ref="L47:U47"/>
    <mergeCell ref="L50:S50"/>
    <mergeCell ref="L51:U51"/>
    <mergeCell ref="L5:U5"/>
    <mergeCell ref="A71:J71"/>
    <mergeCell ref="U6:U16"/>
    <mergeCell ref="L19:U19"/>
    <mergeCell ref="M20:M45"/>
    <mergeCell ref="U20:U45"/>
    <mergeCell ref="L3:U3"/>
    <mergeCell ref="A5:J5"/>
    <mergeCell ref="A28:J28"/>
    <mergeCell ref="A66:H66"/>
    <mergeCell ref="A69:H69"/>
    <mergeCell ref="A26:H26"/>
    <mergeCell ref="B6:B25"/>
    <mergeCell ref="J6:J25"/>
    <mergeCell ref="B29:B65"/>
    <mergeCell ref="J29:J65"/>
    <mergeCell ref="M6:M16"/>
    <mergeCell ref="A102:H102"/>
    <mergeCell ref="L52:U52"/>
    <mergeCell ref="A77:J77"/>
    <mergeCell ref="L54:S54"/>
    <mergeCell ref="A73:H73"/>
    <mergeCell ref="B78:B101"/>
    <mergeCell ref="J78:J101"/>
    <mergeCell ref="Q60:Q61"/>
    <mergeCell ref="M62:M68"/>
    <mergeCell ref="M69:M74"/>
    <mergeCell ref="U62:U65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90" zoomScaleNormal="90" workbookViewId="0">
      <selection activeCell="C35" sqref="C35"/>
    </sheetView>
  </sheetViews>
  <sheetFormatPr baseColWidth="10" defaultRowHeight="12.75"/>
  <cols>
    <col min="2" max="2" width="13.85546875" customWidth="1"/>
    <col min="5" max="5" width="14.7109375" customWidth="1"/>
  </cols>
  <sheetData>
    <row r="1" spans="1:21">
      <c r="A1" s="195" t="s">
        <v>14</v>
      </c>
      <c r="B1" s="2080" t="s">
        <v>275</v>
      </c>
      <c r="C1" s="2080"/>
      <c r="D1" s="196"/>
      <c r="E1" s="197"/>
      <c r="F1" s="197"/>
      <c r="G1" s="197"/>
      <c r="H1" s="197"/>
      <c r="I1" s="198" t="s">
        <v>17</v>
      </c>
      <c r="J1" s="199" t="s">
        <v>1473</v>
      </c>
      <c r="K1" s="199"/>
      <c r="L1" s="200"/>
    </row>
    <row r="2" spans="1:21">
      <c r="A2" s="23" t="s">
        <v>15</v>
      </c>
      <c r="B2" s="2079" t="s">
        <v>277</v>
      </c>
      <c r="C2" s="2079"/>
      <c r="D2" s="2079"/>
      <c r="E2" s="2079"/>
      <c r="F2" s="22"/>
      <c r="G2" s="22"/>
      <c r="H2" s="22"/>
      <c r="I2" s="19" t="s">
        <v>16</v>
      </c>
      <c r="J2" s="18">
        <v>2</v>
      </c>
      <c r="K2" s="18"/>
      <c r="L2" s="24"/>
    </row>
    <row r="3" spans="1:21" ht="13.5" thickBot="1">
      <c r="A3" s="2102"/>
      <c r="B3" s="2103"/>
      <c r="C3" s="201"/>
      <c r="D3" s="201"/>
      <c r="E3" s="201"/>
      <c r="F3" s="201"/>
      <c r="G3" s="201"/>
      <c r="H3" s="201"/>
      <c r="I3" s="201"/>
      <c r="J3" s="2104"/>
      <c r="K3" s="2104"/>
      <c r="L3" s="2105"/>
    </row>
    <row r="4" spans="1:21" ht="13.5" thickBot="1"/>
    <row r="5" spans="1:21" ht="13.5" thickBot="1">
      <c r="A5" s="2088" t="s">
        <v>525</v>
      </c>
      <c r="B5" s="2089"/>
      <c r="C5" s="2089"/>
      <c r="D5" s="2090"/>
      <c r="F5" s="2088" t="s">
        <v>528</v>
      </c>
      <c r="G5" s="2089"/>
      <c r="H5" s="2089"/>
      <c r="I5" s="2090"/>
    </row>
    <row r="6" spans="1:21" ht="13.5" thickBot="1">
      <c r="A6" s="2098" t="s">
        <v>402</v>
      </c>
      <c r="B6" s="2099"/>
      <c r="C6" s="378" t="s">
        <v>524</v>
      </c>
      <c r="D6" s="375" t="s">
        <v>42</v>
      </c>
      <c r="F6" s="2091" t="s">
        <v>529</v>
      </c>
      <c r="G6" s="2092"/>
      <c r="H6" s="379" t="s">
        <v>46</v>
      </c>
      <c r="I6" s="380" t="s">
        <v>42</v>
      </c>
    </row>
    <row r="7" spans="1:21" ht="13.5" thickBot="1">
      <c r="A7" s="2081" t="s">
        <v>533</v>
      </c>
      <c r="B7" s="2082"/>
      <c r="C7" s="359">
        <f>5886.49-H9</f>
        <v>5498.6206000000002</v>
      </c>
      <c r="D7" s="360" t="s">
        <v>49</v>
      </c>
      <c r="F7" s="2093" t="s">
        <v>530</v>
      </c>
      <c r="G7" s="2094"/>
      <c r="H7" s="165">
        <v>1292.8979999999999</v>
      </c>
      <c r="I7" s="381" t="s">
        <v>55</v>
      </c>
    </row>
    <row r="8" spans="1:21" ht="13.5" thickBot="1">
      <c r="A8" s="2083" t="s">
        <v>534</v>
      </c>
      <c r="B8" s="2084"/>
      <c r="C8" s="359">
        <v>800.58</v>
      </c>
      <c r="D8" s="360" t="s">
        <v>49</v>
      </c>
      <c r="F8" s="2095" t="s">
        <v>531</v>
      </c>
      <c r="G8" s="1929"/>
      <c r="H8" s="5">
        <v>0.3</v>
      </c>
      <c r="I8" s="278" t="s">
        <v>345</v>
      </c>
    </row>
    <row r="9" spans="1:21" ht="13.5" thickBot="1">
      <c r="A9" s="8"/>
      <c r="B9" s="8"/>
      <c r="C9">
        <f>SUM(C7:C8)</f>
        <v>6299.2006000000001</v>
      </c>
      <c r="D9" s="30" t="s">
        <v>49</v>
      </c>
      <c r="F9" s="2096" t="s">
        <v>532</v>
      </c>
      <c r="G9" s="2097"/>
      <c r="H9" s="359">
        <f>H7*H8</f>
        <v>387.86939999999998</v>
      </c>
      <c r="I9" s="360" t="s">
        <v>49</v>
      </c>
    </row>
    <row r="10" spans="1:21" ht="13.5" thickBot="1"/>
    <row r="11" spans="1:21" ht="13.5" thickBot="1">
      <c r="A11" s="2088" t="s">
        <v>511</v>
      </c>
      <c r="B11" s="2089"/>
      <c r="C11" s="2089"/>
      <c r="D11" s="2089"/>
      <c r="E11" s="2089"/>
      <c r="F11" s="2089"/>
      <c r="G11" s="2089"/>
      <c r="H11" s="2089"/>
      <c r="I11" s="2090"/>
    </row>
    <row r="12" spans="1:21" ht="39" thickBot="1">
      <c r="A12" s="365" t="s">
        <v>0</v>
      </c>
      <c r="B12" s="366" t="s">
        <v>373</v>
      </c>
      <c r="C12" s="366" t="s">
        <v>374</v>
      </c>
      <c r="D12" s="367" t="s">
        <v>375</v>
      </c>
      <c r="E12" s="366" t="s">
        <v>376</v>
      </c>
      <c r="F12" s="366" t="s">
        <v>377</v>
      </c>
      <c r="G12" s="366" t="s">
        <v>378</v>
      </c>
      <c r="H12" s="366" t="s">
        <v>47</v>
      </c>
      <c r="I12" s="368" t="s">
        <v>42</v>
      </c>
    </row>
    <row r="13" spans="1:21" ht="13.5" thickBot="1">
      <c r="A13" s="361" t="s">
        <v>379</v>
      </c>
      <c r="B13" s="362">
        <v>6.8</v>
      </c>
      <c r="C13" s="362">
        <v>1.4</v>
      </c>
      <c r="D13" s="363" t="s">
        <v>380</v>
      </c>
      <c r="E13" s="364">
        <f>(PI()*(C13^2)/4)*(B13-0.2-(D13-C13))</f>
        <v>12.315043202071987</v>
      </c>
      <c r="F13" s="253">
        <f>(PI()*(D13^2)/4)*0.2</f>
        <v>0</v>
      </c>
      <c r="G13" s="253">
        <v>0</v>
      </c>
      <c r="H13" s="356">
        <f>+SUM(E13:G13)</f>
        <v>12.315043202071987</v>
      </c>
      <c r="I13" s="250" t="s">
        <v>49</v>
      </c>
      <c r="M13" s="2085" t="s">
        <v>365</v>
      </c>
      <c r="N13" s="2086"/>
      <c r="O13" s="2086"/>
      <c r="P13" s="2087"/>
      <c r="R13" s="2085" t="s">
        <v>366</v>
      </c>
      <c r="S13" s="2086"/>
      <c r="T13" s="2086"/>
      <c r="U13" s="2087"/>
    </row>
    <row r="14" spans="1:21">
      <c r="A14" s="354" t="s">
        <v>381</v>
      </c>
      <c r="B14" s="5">
        <v>6.8</v>
      </c>
      <c r="C14" s="221">
        <v>1.4</v>
      </c>
      <c r="D14" s="5">
        <v>1.8</v>
      </c>
      <c r="E14" s="5">
        <f>(PI()*(C14^2)/4)*(B14-0.2-(D14-C14))</f>
        <v>9.5441584816057894</v>
      </c>
      <c r="F14" s="5">
        <f>(PI()*(D14^2)/4)*0.2</f>
        <v>0.50893800988154658</v>
      </c>
      <c r="G14" s="5">
        <f>(PI()*(D14-C14)*(1/3)*((C14/2)^2+(D14/2)^2+((C14/2)*(D14/2))))</f>
        <v>0.80843650952377377</v>
      </c>
      <c r="H14" s="220">
        <f t="shared" ref="H14:H24" si="0">+SUM(E14:G14)</f>
        <v>10.861533001011111</v>
      </c>
      <c r="I14" s="234" t="s">
        <v>49</v>
      </c>
      <c r="M14" s="211"/>
      <c r="N14" s="212"/>
      <c r="O14" s="212"/>
      <c r="P14" s="213"/>
      <c r="R14" s="211"/>
      <c r="S14" s="212"/>
      <c r="T14" s="212"/>
      <c r="U14" s="213"/>
    </row>
    <row r="15" spans="1:21">
      <c r="A15" s="354" t="s">
        <v>382</v>
      </c>
      <c r="B15" s="5">
        <v>12.28</v>
      </c>
      <c r="C15" s="221">
        <v>1.4</v>
      </c>
      <c r="D15" s="5">
        <v>1.8</v>
      </c>
      <c r="E15" s="5">
        <f t="shared" ref="E15:E24" si="1">(PI()*(C15^2)/4)*(B15-0.2-(D15-C15))</f>
        <v>17.9799630750251</v>
      </c>
      <c r="F15" s="5">
        <f t="shared" ref="F15:F24" si="2">(PI()*(D15^2)/4)*0.2</f>
        <v>0.50893800988154658</v>
      </c>
      <c r="G15" s="5">
        <f t="shared" ref="G15:G24" si="3">(PI()*(D15-C15)*(1/3)*((C15/2)^2+(D15/2)^2+((C15/2)*(D15/2))))</f>
        <v>0.80843650952377377</v>
      </c>
      <c r="H15" s="220">
        <f t="shared" si="0"/>
        <v>19.29733759443042</v>
      </c>
      <c r="I15" s="234" t="s">
        <v>49</v>
      </c>
      <c r="M15" s="214"/>
      <c r="N15" s="215"/>
      <c r="O15" s="215"/>
      <c r="P15" s="216"/>
      <c r="R15" s="214"/>
      <c r="S15" s="215"/>
      <c r="T15" s="215"/>
      <c r="U15" s="216"/>
    </row>
    <row r="16" spans="1:21">
      <c r="A16" s="354" t="s">
        <v>383</v>
      </c>
      <c r="B16" s="5">
        <v>12.28</v>
      </c>
      <c r="C16" s="221">
        <v>1.4</v>
      </c>
      <c r="D16" s="5">
        <v>2.2000000000000002</v>
      </c>
      <c r="E16" s="5">
        <f t="shared" si="1"/>
        <v>17.3642109149215</v>
      </c>
      <c r="F16" s="5">
        <f t="shared" si="2"/>
        <v>0.76026542216873016</v>
      </c>
      <c r="G16" s="5">
        <f t="shared" si="3"/>
        <v>2.069262361164478</v>
      </c>
      <c r="H16" s="220">
        <f t="shared" si="0"/>
        <v>20.193738698254705</v>
      </c>
      <c r="I16" s="234" t="s">
        <v>49</v>
      </c>
      <c r="M16" s="214"/>
      <c r="N16" s="215"/>
      <c r="O16" s="215"/>
      <c r="P16" s="216"/>
      <c r="R16" s="214"/>
      <c r="S16" s="215"/>
      <c r="T16" s="215"/>
      <c r="U16" s="216"/>
    </row>
    <row r="17" spans="1:21">
      <c r="A17" s="354" t="s">
        <v>384</v>
      </c>
      <c r="B17" s="5">
        <v>6.8</v>
      </c>
      <c r="C17" s="5">
        <v>1.6</v>
      </c>
      <c r="D17" s="5">
        <v>3.2</v>
      </c>
      <c r="E17" s="5">
        <f t="shared" si="1"/>
        <v>10.053096491487338</v>
      </c>
      <c r="F17" s="5">
        <f t="shared" si="2"/>
        <v>1.6084954386379744</v>
      </c>
      <c r="G17" s="5">
        <f t="shared" si="3"/>
        <v>7.5063120469772127</v>
      </c>
      <c r="H17" s="220">
        <f t="shared" si="0"/>
        <v>19.167903977102526</v>
      </c>
      <c r="I17" s="234" t="s">
        <v>49</v>
      </c>
      <c r="M17" s="214"/>
      <c r="N17" s="215"/>
      <c r="O17" s="215"/>
      <c r="P17" s="216"/>
      <c r="R17" s="214"/>
      <c r="S17" s="215"/>
      <c r="T17" s="215"/>
      <c r="U17" s="216"/>
    </row>
    <row r="18" spans="1:21">
      <c r="A18" s="354" t="s">
        <v>385</v>
      </c>
      <c r="B18" s="5">
        <v>6.8</v>
      </c>
      <c r="C18" s="5">
        <v>1.6</v>
      </c>
      <c r="D18" s="5">
        <v>3.4</v>
      </c>
      <c r="E18" s="5">
        <f t="shared" si="1"/>
        <v>9.6509726318278446</v>
      </c>
      <c r="F18" s="5">
        <f t="shared" si="2"/>
        <v>1.8158405537749003</v>
      </c>
      <c r="G18" s="5">
        <f t="shared" si="3"/>
        <v>9.2174328456324499</v>
      </c>
      <c r="H18" s="220">
        <f t="shared" si="0"/>
        <v>20.684246031235197</v>
      </c>
      <c r="I18" s="234" t="s">
        <v>49</v>
      </c>
      <c r="M18" s="214"/>
      <c r="N18" s="215"/>
      <c r="O18" s="215"/>
      <c r="P18" s="216"/>
      <c r="R18" s="214"/>
      <c r="S18" s="215"/>
      <c r="T18" s="215"/>
      <c r="U18" s="216"/>
    </row>
    <row r="19" spans="1:21">
      <c r="A19" s="354" t="s">
        <v>386</v>
      </c>
      <c r="B19" s="5">
        <v>12.28</v>
      </c>
      <c r="C19" s="5">
        <v>1.6</v>
      </c>
      <c r="D19" s="5">
        <v>2.8</v>
      </c>
      <c r="E19" s="5">
        <f t="shared" si="1"/>
        <v>21.87553796547645</v>
      </c>
      <c r="F19" s="5">
        <f t="shared" si="2"/>
        <v>1.2315043202071987</v>
      </c>
      <c r="G19" s="5">
        <f t="shared" si="3"/>
        <v>4.6746898685416101</v>
      </c>
      <c r="H19" s="220">
        <f t="shared" si="0"/>
        <v>27.781732154225256</v>
      </c>
      <c r="I19" s="234" t="s">
        <v>49</v>
      </c>
      <c r="M19" s="214"/>
      <c r="N19" s="215"/>
      <c r="O19" s="215"/>
      <c r="P19" s="216"/>
      <c r="R19" s="214"/>
      <c r="S19" s="215"/>
      <c r="T19" s="215"/>
      <c r="U19" s="216"/>
    </row>
    <row r="20" spans="1:21">
      <c r="A20" s="354" t="s">
        <v>387</v>
      </c>
      <c r="B20" s="5">
        <v>12.28</v>
      </c>
      <c r="C20" s="5">
        <v>1.6</v>
      </c>
      <c r="D20" s="5">
        <v>3.2</v>
      </c>
      <c r="E20" s="5">
        <f t="shared" si="1"/>
        <v>21.071290246157464</v>
      </c>
      <c r="F20" s="5">
        <f t="shared" si="2"/>
        <v>1.6084954386379744</v>
      </c>
      <c r="G20" s="5">
        <f t="shared" si="3"/>
        <v>7.5063120469772127</v>
      </c>
      <c r="H20" s="220">
        <f t="shared" si="0"/>
        <v>30.186097731772648</v>
      </c>
      <c r="I20" s="234" t="s">
        <v>49</v>
      </c>
      <c r="M20" s="214"/>
      <c r="N20" s="215"/>
      <c r="O20" s="215"/>
      <c r="P20" s="216"/>
      <c r="R20" s="214"/>
      <c r="S20" s="215"/>
      <c r="T20" s="215"/>
      <c r="U20" s="216"/>
    </row>
    <row r="21" spans="1:21">
      <c r="A21" s="354" t="s">
        <v>388</v>
      </c>
      <c r="B21" s="5">
        <v>12.28</v>
      </c>
      <c r="C21" s="5">
        <v>1.6</v>
      </c>
      <c r="D21" s="5">
        <v>0</v>
      </c>
      <c r="E21" s="5">
        <f t="shared" si="1"/>
        <v>27.505272000709358</v>
      </c>
      <c r="F21" s="5">
        <f t="shared" si="2"/>
        <v>0</v>
      </c>
      <c r="G21" s="5">
        <v>0</v>
      </c>
      <c r="H21" s="220">
        <f t="shared" si="0"/>
        <v>27.505272000709358</v>
      </c>
      <c r="I21" s="234" t="s">
        <v>49</v>
      </c>
      <c r="M21" s="214"/>
      <c r="N21" s="215"/>
      <c r="O21" s="215"/>
      <c r="P21" s="216"/>
      <c r="R21" s="214"/>
      <c r="S21" s="215"/>
      <c r="T21" s="215"/>
      <c r="U21" s="216"/>
    </row>
    <row r="22" spans="1:21" ht="13.5" thickBot="1">
      <c r="A22" s="354" t="s">
        <v>389</v>
      </c>
      <c r="B22" s="5">
        <v>12.28</v>
      </c>
      <c r="C22" s="5">
        <v>1.8</v>
      </c>
      <c r="D22" s="5">
        <v>2.2000000000000002</v>
      </c>
      <c r="E22" s="5">
        <f t="shared" si="1"/>
        <v>29.721979777082318</v>
      </c>
      <c r="F22" s="5">
        <f t="shared" si="2"/>
        <v>0.76026542216873016</v>
      </c>
      <c r="G22" s="5">
        <f t="shared" si="3"/>
        <v>1.2608258516407043</v>
      </c>
      <c r="H22" s="220">
        <f t="shared" si="0"/>
        <v>31.74307105089175</v>
      </c>
      <c r="I22" s="234" t="s">
        <v>49</v>
      </c>
      <c r="M22" s="217"/>
      <c r="N22" s="218"/>
      <c r="O22" s="218"/>
      <c r="P22" s="219"/>
      <c r="R22" s="217"/>
      <c r="S22" s="218"/>
      <c r="T22" s="218"/>
      <c r="U22" s="219"/>
    </row>
    <row r="23" spans="1:21" ht="13.5" thickBot="1">
      <c r="A23" s="354" t="s">
        <v>390</v>
      </c>
      <c r="B23" s="5">
        <v>12.28</v>
      </c>
      <c r="C23" s="5">
        <v>1.8</v>
      </c>
      <c r="D23" s="5">
        <v>3.2</v>
      </c>
      <c r="E23" s="5">
        <f t="shared" si="1"/>
        <v>27.177289727674584</v>
      </c>
      <c r="F23" s="5">
        <f t="shared" si="2"/>
        <v>1.6084954386379744</v>
      </c>
      <c r="G23" s="5">
        <f t="shared" si="3"/>
        <v>7.0518283097578891</v>
      </c>
      <c r="H23" s="220">
        <f t="shared" si="0"/>
        <v>35.837613476070445</v>
      </c>
      <c r="I23" s="234" t="s">
        <v>49</v>
      </c>
    </row>
    <row r="24" spans="1:21" ht="13.5" thickBot="1">
      <c r="A24" s="357" t="s">
        <v>391</v>
      </c>
      <c r="B24" s="167">
        <v>12.28</v>
      </c>
      <c r="C24" s="167">
        <v>1.6</v>
      </c>
      <c r="D24" s="167">
        <v>1.8</v>
      </c>
      <c r="E24" s="167">
        <f t="shared" si="1"/>
        <v>23.886157263773917</v>
      </c>
      <c r="F24" s="167">
        <f t="shared" si="2"/>
        <v>0.50893800988154658</v>
      </c>
      <c r="G24" s="167">
        <f t="shared" si="3"/>
        <v>0.45448373721932339</v>
      </c>
      <c r="H24" s="355">
        <f t="shared" si="0"/>
        <v>24.849579010874788</v>
      </c>
      <c r="I24" s="358" t="s">
        <v>49</v>
      </c>
      <c r="M24" s="2085" t="s">
        <v>367</v>
      </c>
      <c r="N24" s="2086"/>
      <c r="O24" s="2086"/>
      <c r="P24" s="2087"/>
      <c r="R24" s="2085" t="s">
        <v>368</v>
      </c>
      <c r="S24" s="2086"/>
      <c r="T24" s="2086"/>
      <c r="U24" s="2087"/>
    </row>
    <row r="25" spans="1:21" ht="13.5" thickBot="1">
      <c r="A25" s="222"/>
      <c r="B25" s="8"/>
      <c r="G25" s="369" t="s">
        <v>47</v>
      </c>
      <c r="H25" s="359">
        <f>+SUM(H13:H24)</f>
        <v>280.42316792865017</v>
      </c>
      <c r="I25" s="360" t="s">
        <v>49</v>
      </c>
      <c r="M25" s="211"/>
      <c r="N25" s="212"/>
      <c r="O25" s="212"/>
      <c r="P25" s="213"/>
      <c r="R25" s="211"/>
      <c r="S25" s="212"/>
      <c r="T25" s="212"/>
      <c r="U25" s="213"/>
    </row>
    <row r="26" spans="1:21" ht="13.5" thickBot="1">
      <c r="A26" s="222"/>
      <c r="B26" s="8"/>
      <c r="H26" s="222"/>
      <c r="M26" s="214"/>
      <c r="N26" s="215"/>
      <c r="O26" s="215"/>
      <c r="P26" s="216"/>
      <c r="R26" s="214"/>
      <c r="S26" s="215"/>
      <c r="T26" s="215"/>
      <c r="U26" s="216"/>
    </row>
    <row r="27" spans="1:21" ht="13.5" thickBot="1">
      <c r="A27" s="2088" t="s">
        <v>512</v>
      </c>
      <c r="B27" s="2089"/>
      <c r="C27" s="2089"/>
      <c r="D27" s="2090"/>
      <c r="F27" s="2088" t="s">
        <v>2667</v>
      </c>
      <c r="G27" s="2089"/>
      <c r="H27" s="2089"/>
      <c r="I27" s="2090"/>
      <c r="M27" s="214"/>
      <c r="N27" s="215"/>
      <c r="O27" s="215"/>
      <c r="P27" s="216"/>
      <c r="R27" s="214"/>
      <c r="S27" s="215"/>
      <c r="T27" s="215"/>
      <c r="U27" s="216"/>
    </row>
    <row r="28" spans="1:21" ht="13.5" thickBot="1">
      <c r="A28" s="2098" t="s">
        <v>523</v>
      </c>
      <c r="B28" s="2099"/>
      <c r="C28" s="365" t="s">
        <v>46</v>
      </c>
      <c r="D28" s="375" t="s">
        <v>42</v>
      </c>
      <c r="F28" s="2098" t="s">
        <v>523</v>
      </c>
      <c r="G28" s="2099"/>
      <c r="H28" s="1089" t="s">
        <v>46</v>
      </c>
      <c r="I28" s="375" t="s">
        <v>42</v>
      </c>
      <c r="M28" s="214"/>
      <c r="N28" s="215"/>
      <c r="O28" s="215"/>
      <c r="P28" s="216"/>
      <c r="R28" s="214"/>
      <c r="S28" s="215"/>
      <c r="T28" s="215"/>
      <c r="U28" s="216"/>
    </row>
    <row r="29" spans="1:21" ht="13.5" thickBot="1">
      <c r="A29" s="2100" t="s">
        <v>477</v>
      </c>
      <c r="B29" s="2101"/>
      <c r="C29" s="376">
        <f>'3.Concreto'!I102</f>
        <v>128.13299999999998</v>
      </c>
      <c r="D29" s="377" t="s">
        <v>49</v>
      </c>
      <c r="F29" s="2100" t="s">
        <v>2668</v>
      </c>
      <c r="G29" s="2101"/>
      <c r="H29" s="376">
        <f>8.3*1.2</f>
        <v>9.9600000000000009</v>
      </c>
      <c r="I29" s="377" t="s">
        <v>49</v>
      </c>
      <c r="M29" s="214"/>
      <c r="N29" s="215"/>
      <c r="O29" s="215"/>
      <c r="P29" s="216"/>
      <c r="R29" s="214"/>
      <c r="S29" s="215"/>
      <c r="T29" s="215"/>
      <c r="U29" s="216"/>
    </row>
    <row r="30" spans="1:21" ht="13.5" thickBot="1">
      <c r="A30" s="222"/>
      <c r="B30" s="369" t="s">
        <v>47</v>
      </c>
      <c r="C30" s="359">
        <f>SUM(C29)</f>
        <v>128.13299999999998</v>
      </c>
      <c r="D30" s="360" t="s">
        <v>49</v>
      </c>
      <c r="F30" s="2100" t="s">
        <v>2669</v>
      </c>
      <c r="G30" s="2101"/>
      <c r="H30" s="376">
        <f>8.16*1.2</f>
        <v>9.7919999999999998</v>
      </c>
      <c r="I30" s="377" t="s">
        <v>49</v>
      </c>
      <c r="M30" s="214"/>
      <c r="N30" s="215"/>
      <c r="O30" s="215"/>
      <c r="P30" s="216"/>
      <c r="R30" s="214"/>
      <c r="S30" s="215"/>
      <c r="T30" s="215"/>
      <c r="U30" s="216"/>
    </row>
    <row r="31" spans="1:21" ht="13.5" thickBot="1">
      <c r="G31" s="369" t="s">
        <v>47</v>
      </c>
      <c r="H31" s="1103">
        <f>SUM(H29:H30)</f>
        <v>19.752000000000002</v>
      </c>
      <c r="I31" s="360" t="s">
        <v>49</v>
      </c>
      <c r="M31" s="214"/>
      <c r="N31" s="215"/>
      <c r="O31" s="215"/>
      <c r="P31" s="216"/>
      <c r="R31" s="214"/>
      <c r="S31" s="215"/>
      <c r="T31" s="215"/>
      <c r="U31" s="216"/>
    </row>
    <row r="32" spans="1:21" ht="13.5" thickBot="1">
      <c r="M32" s="214"/>
      <c r="N32" s="215"/>
      <c r="O32" s="215"/>
      <c r="P32" s="216"/>
      <c r="R32" s="214"/>
      <c r="S32" s="215"/>
      <c r="T32" s="215"/>
      <c r="U32" s="216"/>
    </row>
    <row r="33" spans="1:21" ht="13.5" thickBot="1">
      <c r="A33" s="2088" t="s">
        <v>526</v>
      </c>
      <c r="B33" s="2089"/>
      <c r="C33" s="2089"/>
      <c r="D33" s="2090"/>
      <c r="M33" s="217"/>
      <c r="N33" s="218"/>
      <c r="O33" s="218"/>
      <c r="P33" s="219"/>
      <c r="R33" s="217"/>
      <c r="S33" s="218"/>
      <c r="T33" s="218"/>
      <c r="U33" s="219"/>
    </row>
    <row r="34" spans="1:21" ht="13.5" thickBot="1">
      <c r="A34" s="2091" t="s">
        <v>527</v>
      </c>
      <c r="B34" s="2092"/>
      <c r="C34" s="379" t="s">
        <v>46</v>
      </c>
      <c r="D34" s="380" t="s">
        <v>42</v>
      </c>
    </row>
    <row r="35" spans="1:21" ht="13.5" thickBot="1">
      <c r="A35" s="2081" t="s">
        <v>540</v>
      </c>
      <c r="B35" s="2082"/>
      <c r="C35" s="1103">
        <f>H25+C7+H31+C30</f>
        <v>5926.9287679286508</v>
      </c>
      <c r="D35" s="360" t="s">
        <v>49</v>
      </c>
      <c r="M35" s="2085" t="s">
        <v>369</v>
      </c>
      <c r="N35" s="2086"/>
      <c r="O35" s="2086"/>
      <c r="P35" s="2087"/>
      <c r="R35" s="2085" t="s">
        <v>370</v>
      </c>
      <c r="S35" s="2086"/>
      <c r="T35" s="2086"/>
      <c r="U35" s="2087"/>
    </row>
    <row r="36" spans="1:21" ht="13.5" thickBot="1">
      <c r="A36" s="2083" t="s">
        <v>541</v>
      </c>
      <c r="B36" s="2084"/>
      <c r="C36" s="359">
        <f>C8</f>
        <v>800.58</v>
      </c>
      <c r="D36" s="360" t="s">
        <v>49</v>
      </c>
      <c r="M36" s="211"/>
      <c r="N36" s="212"/>
      <c r="O36" s="212"/>
      <c r="P36" s="213"/>
      <c r="R36" s="211"/>
      <c r="S36" s="212"/>
      <c r="T36" s="212"/>
      <c r="U36" s="213"/>
    </row>
    <row r="37" spans="1:21">
      <c r="C37">
        <f>SUM(C35:C36)</f>
        <v>6727.5087679286507</v>
      </c>
      <c r="M37" s="214"/>
      <c r="N37" s="215"/>
      <c r="O37" s="215"/>
      <c r="P37" s="216"/>
      <c r="R37" s="214"/>
      <c r="S37" s="215"/>
      <c r="T37" s="215"/>
      <c r="U37" s="216"/>
    </row>
    <row r="38" spans="1:21" ht="13.5" thickBot="1">
      <c r="M38" s="214"/>
      <c r="N38" s="215"/>
      <c r="O38" s="215"/>
      <c r="P38" s="216"/>
      <c r="R38" s="214"/>
      <c r="S38" s="215"/>
      <c r="T38" s="215"/>
      <c r="U38" s="216"/>
    </row>
    <row r="39" spans="1:21" ht="13.5" thickBot="1">
      <c r="A39" s="2109" t="s">
        <v>535</v>
      </c>
      <c r="B39" s="2110"/>
      <c r="C39" s="2110"/>
      <c r="D39" s="2111"/>
      <c r="M39" s="214"/>
      <c r="N39" s="215"/>
      <c r="O39" s="215"/>
      <c r="P39" s="216"/>
      <c r="R39" s="214"/>
      <c r="S39" s="215"/>
      <c r="T39" s="215"/>
      <c r="U39" s="216"/>
    </row>
    <row r="40" spans="1:21" ht="13.5" thickBot="1">
      <c r="A40" s="2112" t="s">
        <v>539</v>
      </c>
      <c r="B40" s="2113"/>
      <c r="C40" s="378" t="s">
        <v>46</v>
      </c>
      <c r="D40" s="375" t="s">
        <v>42</v>
      </c>
      <c r="M40" s="214"/>
      <c r="N40" s="215"/>
      <c r="O40" s="215"/>
      <c r="P40" s="216"/>
      <c r="R40" s="214"/>
      <c r="S40" s="215"/>
      <c r="T40" s="215"/>
      <c r="U40" s="216"/>
    </row>
    <row r="41" spans="1:21">
      <c r="A41" s="2114" t="s">
        <v>536</v>
      </c>
      <c r="B41" s="2115"/>
      <c r="C41" s="253">
        <f>C35-C36+H9</f>
        <v>5514.2181679286505</v>
      </c>
      <c r="D41" s="382" t="s">
        <v>49</v>
      </c>
      <c r="M41" s="214"/>
      <c r="N41" s="215"/>
      <c r="O41" s="215"/>
      <c r="P41" s="216"/>
      <c r="R41" s="214"/>
      <c r="S41" s="215"/>
      <c r="T41" s="215"/>
      <c r="U41" s="216"/>
    </row>
    <row r="42" spans="1:21" ht="13.5" thickBot="1">
      <c r="A42" s="2106" t="s">
        <v>537</v>
      </c>
      <c r="B42" s="2107"/>
      <c r="C42" s="230">
        <v>1.3</v>
      </c>
      <c r="D42" s="149" t="s">
        <v>336</v>
      </c>
      <c r="M42" s="214"/>
      <c r="N42" s="215"/>
      <c r="O42" s="215"/>
      <c r="P42" s="216"/>
      <c r="R42" s="214"/>
      <c r="S42" s="215"/>
      <c r="T42" s="215"/>
      <c r="U42" s="216"/>
    </row>
    <row r="43" spans="1:21" ht="13.5" thickBot="1">
      <c r="A43" s="2096" t="s">
        <v>538</v>
      </c>
      <c r="B43" s="2108"/>
      <c r="C43" s="383">
        <f>C42*C41</f>
        <v>7168.4836183072457</v>
      </c>
      <c r="D43" s="170" t="s">
        <v>49</v>
      </c>
      <c r="M43" s="214"/>
      <c r="N43" s="215"/>
      <c r="O43" s="215"/>
      <c r="P43" s="216"/>
      <c r="R43" s="214"/>
      <c r="S43" s="215"/>
      <c r="T43" s="215"/>
      <c r="U43" s="216"/>
    </row>
    <row r="44" spans="1:21" ht="13.5" thickBot="1">
      <c r="M44" s="217"/>
      <c r="N44" s="218"/>
      <c r="O44" s="218"/>
      <c r="P44" s="219"/>
      <c r="R44" s="217"/>
      <c r="S44" s="218"/>
      <c r="T44" s="218"/>
      <c r="U44" s="219"/>
    </row>
    <row r="45" spans="1:21" ht="13.5" thickBot="1"/>
    <row r="46" spans="1:21" ht="13.5" thickBot="1">
      <c r="M46" s="2085" t="s">
        <v>371</v>
      </c>
      <c r="N46" s="2086"/>
      <c r="O46" s="2086"/>
      <c r="P46" s="2087"/>
      <c r="R46" s="2085" t="s">
        <v>372</v>
      </c>
      <c r="S46" s="2086"/>
      <c r="T46" s="2086"/>
      <c r="U46" s="2087"/>
    </row>
    <row r="47" spans="1:21">
      <c r="M47" s="211"/>
      <c r="N47" s="212"/>
      <c r="O47" s="212"/>
      <c r="P47" s="213"/>
      <c r="R47" s="211"/>
      <c r="S47" s="212"/>
      <c r="T47" s="212"/>
      <c r="U47" s="213"/>
    </row>
    <row r="48" spans="1:21">
      <c r="M48" s="214"/>
      <c r="N48" s="215"/>
      <c r="O48" s="215"/>
      <c r="P48" s="216"/>
      <c r="R48" s="214"/>
      <c r="S48" s="215"/>
      <c r="T48" s="215"/>
      <c r="U48" s="216"/>
    </row>
    <row r="49" spans="13:21">
      <c r="M49" s="214"/>
      <c r="N49" s="215"/>
      <c r="O49" s="215"/>
      <c r="P49" s="216"/>
      <c r="R49" s="214"/>
      <c r="S49" s="215"/>
      <c r="T49" s="215"/>
      <c r="U49" s="216"/>
    </row>
    <row r="50" spans="13:21">
      <c r="M50" s="214"/>
      <c r="N50" s="215"/>
      <c r="O50" s="215"/>
      <c r="P50" s="216"/>
      <c r="R50" s="214"/>
      <c r="S50" s="215"/>
      <c r="T50" s="215"/>
      <c r="U50" s="216"/>
    </row>
    <row r="51" spans="13:21">
      <c r="M51" s="214"/>
      <c r="N51" s="215"/>
      <c r="O51" s="215"/>
      <c r="P51" s="216"/>
      <c r="R51" s="214"/>
      <c r="S51" s="215"/>
      <c r="T51" s="215"/>
      <c r="U51" s="216"/>
    </row>
    <row r="52" spans="13:21">
      <c r="M52" s="214"/>
      <c r="N52" s="215"/>
      <c r="O52" s="215"/>
      <c r="P52" s="216"/>
      <c r="R52" s="214"/>
      <c r="S52" s="215"/>
      <c r="T52" s="215"/>
      <c r="U52" s="216"/>
    </row>
    <row r="53" spans="13:21">
      <c r="M53" s="214"/>
      <c r="N53" s="215"/>
      <c r="O53" s="215"/>
      <c r="P53" s="216"/>
      <c r="R53" s="214"/>
      <c r="S53" s="215"/>
      <c r="T53" s="215"/>
      <c r="U53" s="216"/>
    </row>
    <row r="54" spans="13:21">
      <c r="M54" s="214"/>
      <c r="N54" s="215"/>
      <c r="O54" s="215"/>
      <c r="P54" s="216"/>
      <c r="R54" s="214"/>
      <c r="S54" s="215"/>
      <c r="T54" s="215"/>
      <c r="U54" s="216"/>
    </row>
    <row r="55" spans="13:21" ht="13.5" thickBot="1">
      <c r="M55" s="217"/>
      <c r="N55" s="218"/>
      <c r="O55" s="218"/>
      <c r="P55" s="219"/>
      <c r="R55" s="217"/>
      <c r="S55" s="218"/>
      <c r="T55" s="218"/>
      <c r="U55" s="219"/>
    </row>
  </sheetData>
  <mergeCells count="38">
    <mergeCell ref="A8:B8"/>
    <mergeCell ref="A42:B42"/>
    <mergeCell ref="A43:B43"/>
    <mergeCell ref="A39:D39"/>
    <mergeCell ref="A40:B40"/>
    <mergeCell ref="A41:B41"/>
    <mergeCell ref="F30:G30"/>
    <mergeCell ref="R35:U35"/>
    <mergeCell ref="M46:P46"/>
    <mergeCell ref="R46:U46"/>
    <mergeCell ref="A3:B3"/>
    <mergeCell ref="J3:L3"/>
    <mergeCell ref="M13:P13"/>
    <mergeCell ref="M24:P24"/>
    <mergeCell ref="R13:U13"/>
    <mergeCell ref="R24:U24"/>
    <mergeCell ref="A11:I11"/>
    <mergeCell ref="A27:D27"/>
    <mergeCell ref="A28:B28"/>
    <mergeCell ref="A29:B29"/>
    <mergeCell ref="A6:B6"/>
    <mergeCell ref="A7:B7"/>
    <mergeCell ref="B2:E2"/>
    <mergeCell ref="B1:C1"/>
    <mergeCell ref="A35:B35"/>
    <mergeCell ref="A36:B36"/>
    <mergeCell ref="M35:P35"/>
    <mergeCell ref="A5:D5"/>
    <mergeCell ref="A33:D33"/>
    <mergeCell ref="A34:B34"/>
    <mergeCell ref="F5:I5"/>
    <mergeCell ref="F6:G6"/>
    <mergeCell ref="F7:G7"/>
    <mergeCell ref="F8:G8"/>
    <mergeCell ref="F9:G9"/>
    <mergeCell ref="F27:I27"/>
    <mergeCell ref="F28:G28"/>
    <mergeCell ref="F29:G29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815"/>
  <sheetViews>
    <sheetView topLeftCell="A1896" zoomScale="60" zoomScaleNormal="60" workbookViewId="0">
      <selection activeCell="H2125" sqref="H2125:O2125"/>
    </sheetView>
  </sheetViews>
  <sheetFormatPr baseColWidth="10" defaultColWidth="11.42578125" defaultRowHeight="13.5" outlineLevelRow="2"/>
  <cols>
    <col min="1" max="1" width="16.5703125" style="1" bestFit="1" customWidth="1"/>
    <col min="2" max="2" width="21.5703125" style="1" customWidth="1"/>
    <col min="3" max="3" width="16.140625" style="1" bestFit="1" customWidth="1"/>
    <col min="4" max="4" width="19.5703125" style="1" customWidth="1"/>
    <col min="5" max="5" width="23.42578125" style="1" customWidth="1"/>
    <col min="6" max="6" width="15.140625" style="47" customWidth="1"/>
    <col min="7" max="7" width="16.42578125" style="1" customWidth="1"/>
    <col min="8" max="8" width="14.42578125" style="1" bestFit="1" customWidth="1"/>
    <col min="9" max="9" width="14.85546875" style="1" bestFit="1" customWidth="1"/>
    <col min="10" max="10" width="14" style="1" bestFit="1" customWidth="1"/>
    <col min="11" max="11" width="14.42578125" style="1" bestFit="1" customWidth="1"/>
    <col min="12" max="12" width="14.85546875" style="1" bestFit="1" customWidth="1"/>
    <col min="13" max="13" width="13.7109375" style="1" bestFit="1" customWidth="1"/>
    <col min="14" max="14" width="13.28515625" style="1" customWidth="1"/>
    <col min="15" max="15" width="14.42578125" style="1" bestFit="1" customWidth="1"/>
    <col min="16" max="16" width="20.7109375" style="1" customWidth="1"/>
    <col min="17" max="17" width="17.28515625" style="1" customWidth="1"/>
    <col min="18" max="18" width="17.85546875" style="1" customWidth="1"/>
    <col min="19" max="19" width="18.140625" style="1" customWidth="1"/>
    <col min="20" max="20" width="21.5703125" style="1" customWidth="1"/>
    <col min="21" max="23" width="17.28515625" style="1" customWidth="1"/>
    <col min="24" max="31" width="14.28515625" style="1" customWidth="1"/>
    <col min="32" max="16384" width="11.42578125" style="1"/>
  </cols>
  <sheetData>
    <row r="1" spans="1:50" ht="20.100000000000001" customHeight="1">
      <c r="A1" s="318" t="s">
        <v>14</v>
      </c>
      <c r="B1" s="319" t="s">
        <v>275</v>
      </c>
      <c r="C1" s="319"/>
      <c r="D1" s="320"/>
      <c r="E1" s="320"/>
      <c r="F1" s="321"/>
      <c r="G1" s="320"/>
      <c r="H1" s="322"/>
      <c r="I1" s="322"/>
      <c r="J1" s="322"/>
      <c r="K1" s="322"/>
      <c r="L1" s="322"/>
      <c r="M1" s="323" t="s">
        <v>17</v>
      </c>
      <c r="N1" s="322" t="s">
        <v>1473</v>
      </c>
      <c r="O1" s="324"/>
    </row>
    <row r="2" spans="1:50" ht="20.100000000000001" customHeight="1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4</v>
      </c>
      <c r="O2" s="331"/>
    </row>
    <row r="3" spans="1:50" ht="20.100000000000001" customHeight="1">
      <c r="A3" s="347"/>
      <c r="B3" s="347"/>
      <c r="C3" s="347"/>
      <c r="D3" s="348"/>
      <c r="E3" s="348"/>
      <c r="F3" s="349"/>
      <c r="G3" s="348"/>
      <c r="H3" s="348"/>
      <c r="I3" s="348"/>
      <c r="J3" s="348"/>
      <c r="K3" s="348"/>
      <c r="L3" s="348"/>
      <c r="M3" s="347"/>
      <c r="N3" s="348"/>
      <c r="O3" s="348"/>
    </row>
    <row r="4" spans="1:50" ht="20.100000000000001" customHeight="1" thickBot="1">
      <c r="A4" s="347"/>
      <c r="B4" s="347"/>
      <c r="C4" s="347"/>
      <c r="D4" s="348"/>
      <c r="E4" s="348"/>
      <c r="F4" s="349"/>
      <c r="G4" s="348"/>
      <c r="H4" s="348"/>
      <c r="I4" s="348"/>
      <c r="J4" s="348"/>
      <c r="K4" s="348"/>
      <c r="L4" s="348"/>
      <c r="M4" s="347"/>
      <c r="N4" s="348"/>
      <c r="O4" s="348"/>
    </row>
    <row r="5" spans="1:50" ht="20.100000000000001" customHeight="1" thickBot="1">
      <c r="A5" s="2123" t="s">
        <v>1253</v>
      </c>
      <c r="B5" s="2124"/>
      <c r="C5" s="2124"/>
      <c r="D5" s="2124"/>
      <c r="E5" s="2124"/>
      <c r="F5" s="2124"/>
      <c r="G5" s="2124"/>
      <c r="H5" s="2124"/>
      <c r="I5" s="2124"/>
      <c r="J5" s="2124"/>
      <c r="K5" s="2124"/>
      <c r="L5" s="2124"/>
      <c r="M5" s="2124"/>
      <c r="N5" s="2124"/>
      <c r="O5" s="2125"/>
    </row>
    <row r="6" spans="1:50" s="2" customFormat="1" ht="20.100000000000001" hidden="1" customHeight="1" outlineLevel="1">
      <c r="A6" s="2231" t="s">
        <v>0</v>
      </c>
      <c r="B6" s="2229" t="s">
        <v>5</v>
      </c>
      <c r="C6" s="2229" t="s">
        <v>110</v>
      </c>
      <c r="D6" s="2229" t="s">
        <v>2</v>
      </c>
      <c r="E6" s="2229" t="s">
        <v>1</v>
      </c>
      <c r="F6" s="2229" t="s">
        <v>3</v>
      </c>
      <c r="G6" s="2229" t="s">
        <v>4</v>
      </c>
      <c r="H6" s="2233" t="s">
        <v>6</v>
      </c>
      <c r="I6" s="2233"/>
      <c r="J6" s="2233"/>
      <c r="K6" s="2233"/>
      <c r="L6" s="2233"/>
      <c r="M6" s="2233"/>
      <c r="N6" s="2233"/>
      <c r="O6" s="2234"/>
    </row>
    <row r="7" spans="1:50" s="2" customFormat="1" ht="20.100000000000001" hidden="1" customHeight="1" outlineLevel="1" thickBot="1">
      <c r="A7" s="2232"/>
      <c r="B7" s="2230"/>
      <c r="C7" s="2230"/>
      <c r="D7" s="2230"/>
      <c r="E7" s="2230"/>
      <c r="F7" s="2230"/>
      <c r="G7" s="2230"/>
      <c r="H7" s="335" t="s">
        <v>7</v>
      </c>
      <c r="I7" s="335" t="s">
        <v>8</v>
      </c>
      <c r="J7" s="335" t="s">
        <v>9</v>
      </c>
      <c r="K7" s="335" t="s">
        <v>10</v>
      </c>
      <c r="L7" s="335" t="s">
        <v>11</v>
      </c>
      <c r="M7" s="335" t="s">
        <v>12</v>
      </c>
      <c r="N7" s="335" t="s">
        <v>13</v>
      </c>
      <c r="O7" s="336" t="s">
        <v>18</v>
      </c>
      <c r="P7" s="70"/>
    </row>
    <row r="8" spans="1:50" s="67" customFormat="1" ht="20.100000000000001" hidden="1" customHeight="1" outlineLevel="1" thickBot="1">
      <c r="A8" s="2195" t="s">
        <v>232</v>
      </c>
      <c r="B8" s="2196"/>
      <c r="C8" s="2196"/>
      <c r="D8" s="2196"/>
      <c r="E8" s="2196"/>
      <c r="F8" s="2196"/>
      <c r="G8" s="2196"/>
      <c r="H8" s="2196"/>
      <c r="I8" s="2196"/>
      <c r="J8" s="2196"/>
      <c r="K8" s="2196"/>
      <c r="L8" s="2196"/>
      <c r="M8" s="2196"/>
      <c r="N8" s="2196"/>
      <c r="O8" s="2197"/>
      <c r="P8" s="7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s="2" customFormat="1" ht="20.100000000000001" hidden="1" customHeight="1" outlineLevel="2">
      <c r="A9" s="342" t="s">
        <v>195</v>
      </c>
      <c r="B9" s="574"/>
      <c r="C9" s="343">
        <v>3.5</v>
      </c>
      <c r="D9" s="288">
        <v>1</v>
      </c>
      <c r="E9" s="288">
        <v>4</v>
      </c>
      <c r="F9" s="288">
        <f t="shared" ref="F9:F41" si="0">D9*E9</f>
        <v>4</v>
      </c>
      <c r="G9" s="343">
        <v>3.5</v>
      </c>
      <c r="H9" s="344"/>
      <c r="I9" s="288"/>
      <c r="J9" s="288"/>
      <c r="K9" s="288"/>
      <c r="L9" s="288"/>
      <c r="M9" s="288"/>
      <c r="N9" s="288"/>
      <c r="O9" s="308">
        <f>6.21*G9*F9</f>
        <v>86.94</v>
      </c>
      <c r="P9" s="70"/>
    </row>
    <row r="10" spans="1:50" s="2" customFormat="1" ht="20.100000000000001" hidden="1" customHeight="1" outlineLevel="2">
      <c r="A10" s="291"/>
      <c r="B10" s="51"/>
      <c r="C10" s="52">
        <v>7</v>
      </c>
      <c r="D10" s="51">
        <v>1</v>
      </c>
      <c r="E10" s="51">
        <v>1</v>
      </c>
      <c r="F10" s="51">
        <f t="shared" si="0"/>
        <v>1</v>
      </c>
      <c r="G10" s="52">
        <v>7</v>
      </c>
      <c r="H10" s="124"/>
      <c r="I10" s="51"/>
      <c r="J10" s="51"/>
      <c r="K10" s="51"/>
      <c r="L10" s="51"/>
      <c r="M10" s="51"/>
      <c r="N10" s="51"/>
      <c r="O10" s="290">
        <f>6.21*G10*F10</f>
        <v>43.47</v>
      </c>
      <c r="P10" s="71"/>
    </row>
    <row r="11" spans="1:50" s="2" customFormat="1" ht="20.100000000000001" hidden="1" customHeight="1" outlineLevel="2">
      <c r="A11" s="291"/>
      <c r="B11" s="51"/>
      <c r="C11" s="52">
        <v>7</v>
      </c>
      <c r="D11" s="51">
        <v>1</v>
      </c>
      <c r="E11" s="51">
        <v>2</v>
      </c>
      <c r="F11" s="51">
        <f t="shared" si="0"/>
        <v>2</v>
      </c>
      <c r="G11" s="52">
        <v>7</v>
      </c>
      <c r="H11" s="124"/>
      <c r="I11" s="51"/>
      <c r="J11" s="51"/>
      <c r="K11" s="51"/>
      <c r="L11" s="51"/>
      <c r="M11" s="51"/>
      <c r="N11" s="51">
        <f>4*G11*F11</f>
        <v>56</v>
      </c>
      <c r="O11" s="290"/>
    </row>
    <row r="12" spans="1:50" s="2" customFormat="1" ht="20.100000000000001" hidden="1" customHeight="1" outlineLevel="2">
      <c r="A12" s="291"/>
      <c r="B12" s="51"/>
      <c r="C12" s="52">
        <v>2.9</v>
      </c>
      <c r="D12" s="51">
        <v>1</v>
      </c>
      <c r="E12" s="51">
        <v>3</v>
      </c>
      <c r="F12" s="51">
        <f t="shared" si="0"/>
        <v>3</v>
      </c>
      <c r="G12" s="52">
        <v>2.9</v>
      </c>
      <c r="H12" s="124"/>
      <c r="I12" s="51"/>
      <c r="J12" s="51">
        <f>G12*F12</f>
        <v>8.6999999999999993</v>
      </c>
      <c r="K12" s="51"/>
      <c r="L12" s="51"/>
      <c r="M12" s="51"/>
      <c r="N12" s="51"/>
      <c r="O12" s="290"/>
    </row>
    <row r="13" spans="1:50" s="2" customFormat="1" ht="20.100000000000001" hidden="1" customHeight="1" outlineLevel="2">
      <c r="A13" s="291"/>
      <c r="B13" s="51"/>
      <c r="C13" s="52">
        <v>4.5</v>
      </c>
      <c r="D13" s="51">
        <v>1</v>
      </c>
      <c r="E13" s="51">
        <v>2</v>
      </c>
      <c r="F13" s="51">
        <f t="shared" si="0"/>
        <v>2</v>
      </c>
      <c r="G13" s="52">
        <v>4.5</v>
      </c>
      <c r="H13" s="124"/>
      <c r="I13" s="51"/>
      <c r="J13" s="51"/>
      <c r="K13" s="51"/>
      <c r="L13" s="51"/>
      <c r="M13" s="51"/>
      <c r="N13" s="51"/>
      <c r="O13" s="290">
        <f>6.21*G13*F13</f>
        <v>55.89</v>
      </c>
    </row>
    <row r="14" spans="1:50" s="2" customFormat="1" ht="20.100000000000001" hidden="1" customHeight="1" outlineLevel="2">
      <c r="A14" s="291"/>
      <c r="B14" s="51"/>
      <c r="C14" s="52">
        <v>9.6</v>
      </c>
      <c r="D14" s="51">
        <v>1</v>
      </c>
      <c r="E14" s="51">
        <v>2</v>
      </c>
      <c r="F14" s="51">
        <f t="shared" si="0"/>
        <v>2</v>
      </c>
      <c r="G14" s="52">
        <v>9.6</v>
      </c>
      <c r="H14" s="124"/>
      <c r="I14" s="51"/>
      <c r="J14" s="51"/>
      <c r="K14" s="51"/>
      <c r="L14" s="51"/>
      <c r="M14" s="51"/>
      <c r="N14" s="51"/>
      <c r="O14" s="290">
        <f>6.21*G14*F14</f>
        <v>119.232</v>
      </c>
    </row>
    <row r="15" spans="1:50" s="2" customFormat="1" ht="20.100000000000001" hidden="1" customHeight="1" outlineLevel="2">
      <c r="A15" s="291"/>
      <c r="B15" s="51"/>
      <c r="C15" s="52">
        <v>6</v>
      </c>
      <c r="D15" s="51">
        <v>1</v>
      </c>
      <c r="E15" s="51">
        <v>2</v>
      </c>
      <c r="F15" s="51">
        <f t="shared" si="0"/>
        <v>2</v>
      </c>
      <c r="G15" s="52">
        <v>6</v>
      </c>
      <c r="H15" s="124"/>
      <c r="I15" s="51"/>
      <c r="J15" s="51"/>
      <c r="K15" s="51"/>
      <c r="L15" s="51">
        <f>2.24*G15*F15</f>
        <v>26.880000000000003</v>
      </c>
      <c r="M15" s="51"/>
      <c r="N15" s="51"/>
      <c r="O15" s="290"/>
      <c r="P15" s="71"/>
    </row>
    <row r="16" spans="1:50" s="2" customFormat="1" ht="20.100000000000001" hidden="1" customHeight="1" outlineLevel="2">
      <c r="A16" s="291"/>
      <c r="B16" s="51"/>
      <c r="C16" s="52">
        <v>6</v>
      </c>
      <c r="D16" s="51">
        <v>1</v>
      </c>
      <c r="E16" s="51">
        <v>1</v>
      </c>
      <c r="F16" s="51">
        <f t="shared" si="0"/>
        <v>1</v>
      </c>
      <c r="G16" s="52">
        <v>6</v>
      </c>
      <c r="H16" s="124"/>
      <c r="I16" s="51"/>
      <c r="J16" s="51"/>
      <c r="K16" s="51">
        <f>1.55*G16*F16*D16</f>
        <v>9.3000000000000007</v>
      </c>
      <c r="L16" s="51"/>
      <c r="M16" s="51"/>
      <c r="N16" s="51"/>
      <c r="O16" s="290"/>
      <c r="P16" s="71"/>
    </row>
    <row r="17" spans="1:50" s="2" customFormat="1" ht="20.100000000000001" hidden="1" customHeight="1" outlineLevel="2">
      <c r="A17" s="291"/>
      <c r="B17" s="51"/>
      <c r="C17" s="52">
        <v>4.5</v>
      </c>
      <c r="D17" s="51">
        <v>1</v>
      </c>
      <c r="E17" s="51">
        <v>1</v>
      </c>
      <c r="F17" s="51">
        <f t="shared" si="0"/>
        <v>1</v>
      </c>
      <c r="G17" s="52">
        <v>4.5</v>
      </c>
      <c r="H17" s="124"/>
      <c r="I17" s="51"/>
      <c r="J17" s="51"/>
      <c r="K17" s="51"/>
      <c r="L17" s="51"/>
      <c r="M17" s="51">
        <f>3*F17*G17*D17</f>
        <v>13.5</v>
      </c>
      <c r="N17" s="51"/>
      <c r="O17" s="290"/>
      <c r="P17" s="71"/>
    </row>
    <row r="18" spans="1:50" s="2" customFormat="1" ht="20.100000000000001" hidden="1" customHeight="1" outlineLevel="2">
      <c r="A18" s="291"/>
      <c r="B18" s="51"/>
      <c r="C18" s="52">
        <v>4.5</v>
      </c>
      <c r="D18" s="51">
        <v>1</v>
      </c>
      <c r="E18" s="51">
        <v>2</v>
      </c>
      <c r="F18" s="51">
        <f t="shared" si="0"/>
        <v>2</v>
      </c>
      <c r="G18" s="52">
        <v>4.5</v>
      </c>
      <c r="H18" s="124"/>
      <c r="I18" s="51"/>
      <c r="J18" s="51"/>
      <c r="K18" s="51"/>
      <c r="L18" s="51">
        <f>2.24*G18*F18</f>
        <v>20.160000000000004</v>
      </c>
      <c r="M18" s="51"/>
      <c r="N18" s="51"/>
      <c r="O18" s="290"/>
      <c r="P18" s="71"/>
    </row>
    <row r="19" spans="1:50" s="2" customFormat="1" ht="20.100000000000001" hidden="1" customHeight="1" outlineLevel="2">
      <c r="A19" s="291"/>
      <c r="B19" s="51"/>
      <c r="C19" s="52">
        <v>12</v>
      </c>
      <c r="D19" s="51">
        <v>1</v>
      </c>
      <c r="E19" s="51">
        <v>2</v>
      </c>
      <c r="F19" s="51">
        <f t="shared" si="0"/>
        <v>2</v>
      </c>
      <c r="G19" s="52">
        <v>12</v>
      </c>
      <c r="H19" s="124"/>
      <c r="I19" s="51"/>
      <c r="J19" s="51"/>
      <c r="K19" s="51"/>
      <c r="L19" s="51"/>
      <c r="M19" s="51"/>
      <c r="N19" s="51"/>
      <c r="O19" s="290">
        <f>6.21*G19*F19</f>
        <v>149.04</v>
      </c>
      <c r="P19" s="71"/>
    </row>
    <row r="20" spans="1:50" s="2" customFormat="1" ht="19.5" hidden="1" customHeight="1" outlineLevel="2">
      <c r="A20" s="291"/>
      <c r="B20" s="51"/>
      <c r="C20" s="52">
        <v>12</v>
      </c>
      <c r="D20" s="51">
        <v>1</v>
      </c>
      <c r="E20" s="51">
        <v>1</v>
      </c>
      <c r="F20" s="51">
        <f t="shared" si="0"/>
        <v>1</v>
      </c>
      <c r="G20" s="52">
        <v>12</v>
      </c>
      <c r="H20" s="124"/>
      <c r="I20" s="51"/>
      <c r="J20" s="51"/>
      <c r="K20" s="51"/>
      <c r="L20" s="51"/>
      <c r="M20" s="51"/>
      <c r="N20" s="51">
        <f>4*G20*F20</f>
        <v>48</v>
      </c>
      <c r="O20" s="290"/>
      <c r="P20" s="7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s="48" customFormat="1" ht="19.5" hidden="1" customHeight="1" outlineLevel="2">
      <c r="A21" s="291"/>
      <c r="B21" s="51"/>
      <c r="C21" s="52">
        <v>5.0999999999999996</v>
      </c>
      <c r="D21" s="51">
        <v>1</v>
      </c>
      <c r="E21" s="51">
        <v>5</v>
      </c>
      <c r="F21" s="51">
        <f t="shared" si="0"/>
        <v>5</v>
      </c>
      <c r="G21" s="52">
        <v>5.0999999999999996</v>
      </c>
      <c r="I21" s="51"/>
      <c r="J21" s="51"/>
      <c r="K21" s="51"/>
      <c r="L21" s="51"/>
      <c r="M21" s="51"/>
      <c r="N21" s="51"/>
      <c r="O21" s="290">
        <f>6.21*G21*F21</f>
        <v>158.35499999999999</v>
      </c>
      <c r="P21" s="70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20.100000000000001" hidden="1" customHeight="1" outlineLevel="2">
      <c r="A22" s="291"/>
      <c r="B22" s="51"/>
      <c r="C22" s="52">
        <v>5.0999999999999996</v>
      </c>
      <c r="D22" s="51">
        <v>1</v>
      </c>
      <c r="E22" s="51">
        <v>1</v>
      </c>
      <c r="F22" s="51">
        <f t="shared" si="0"/>
        <v>1</v>
      </c>
      <c r="G22" s="52">
        <v>5.0999999999999996</v>
      </c>
      <c r="H22" s="32"/>
      <c r="I22" s="51"/>
      <c r="J22" s="51"/>
      <c r="K22" s="51"/>
      <c r="L22" s="51"/>
      <c r="M22" s="51"/>
      <c r="N22" s="51">
        <f>4*G22*F22</f>
        <v>20.399999999999999</v>
      </c>
      <c r="O22" s="290"/>
      <c r="P22" s="3"/>
    </row>
    <row r="23" spans="1:50" ht="20.100000000000001" hidden="1" customHeight="1" outlineLevel="2">
      <c r="A23" s="291"/>
      <c r="B23" s="51"/>
      <c r="C23" s="51">
        <v>8</v>
      </c>
      <c r="D23" s="51">
        <v>1</v>
      </c>
      <c r="E23" s="51">
        <v>2</v>
      </c>
      <c r="F23" s="51">
        <f t="shared" si="0"/>
        <v>2</v>
      </c>
      <c r="G23" s="51">
        <v>8</v>
      </c>
      <c r="H23" s="32"/>
      <c r="I23" s="51"/>
      <c r="J23" s="51"/>
      <c r="K23" s="51"/>
      <c r="L23" s="51"/>
      <c r="M23" s="51"/>
      <c r="N23" s="51"/>
      <c r="O23" s="290">
        <f>6.21*G23*F23</f>
        <v>99.36</v>
      </c>
      <c r="P23" s="3"/>
    </row>
    <row r="24" spans="1:50" ht="20.100000000000001" hidden="1" customHeight="1" outlineLevel="2">
      <c r="A24" s="291"/>
      <c r="B24" s="51"/>
      <c r="C24" s="51">
        <v>8</v>
      </c>
      <c r="D24" s="51">
        <v>1</v>
      </c>
      <c r="E24" s="51">
        <v>1</v>
      </c>
      <c r="F24" s="51">
        <f t="shared" si="0"/>
        <v>1</v>
      </c>
      <c r="G24" s="51">
        <v>8</v>
      </c>
      <c r="H24" s="32"/>
      <c r="I24" s="51"/>
      <c r="J24" s="51"/>
      <c r="K24" s="51"/>
      <c r="L24" s="51"/>
      <c r="M24" s="51"/>
      <c r="N24" s="51">
        <f>4*G24*F24</f>
        <v>32</v>
      </c>
      <c r="O24" s="290"/>
      <c r="P24" s="3"/>
    </row>
    <row r="25" spans="1:50" ht="20.100000000000001" hidden="1" customHeight="1" outlineLevel="2">
      <c r="A25" s="291"/>
      <c r="B25" s="51"/>
      <c r="C25" s="51">
        <v>8</v>
      </c>
      <c r="D25" s="51">
        <v>1</v>
      </c>
      <c r="E25" s="51">
        <v>2</v>
      </c>
      <c r="F25" s="51">
        <f t="shared" si="0"/>
        <v>2</v>
      </c>
      <c r="G25" s="51">
        <v>8</v>
      </c>
      <c r="H25" s="32"/>
      <c r="I25" s="51"/>
      <c r="J25" s="51"/>
      <c r="K25" s="51"/>
      <c r="L25" s="51"/>
      <c r="M25" s="51"/>
      <c r="N25" s="51"/>
      <c r="O25" s="290">
        <f>6.21*G25*F25</f>
        <v>99.36</v>
      </c>
      <c r="P25" s="73"/>
    </row>
    <row r="26" spans="1:50" ht="20.100000000000001" hidden="1" customHeight="1" outlineLevel="2">
      <c r="A26" s="291"/>
      <c r="B26" s="51"/>
      <c r="C26" s="51">
        <v>8</v>
      </c>
      <c r="D26" s="51">
        <v>1</v>
      </c>
      <c r="E26" s="51">
        <v>1</v>
      </c>
      <c r="F26" s="51">
        <f t="shared" si="0"/>
        <v>1</v>
      </c>
      <c r="G26" s="51">
        <v>8</v>
      </c>
      <c r="H26" s="32"/>
      <c r="I26" s="51"/>
      <c r="J26" s="51"/>
      <c r="K26" s="51"/>
      <c r="L26" s="51"/>
      <c r="M26" s="51"/>
      <c r="N26" s="51">
        <f>4*G26*F26</f>
        <v>32</v>
      </c>
      <c r="O26" s="290"/>
      <c r="P26" s="73"/>
    </row>
    <row r="27" spans="1:50" ht="20.100000000000001" hidden="1" customHeight="1" outlineLevel="2">
      <c r="A27" s="291"/>
      <c r="B27" s="51"/>
      <c r="C27" s="51">
        <v>3.5</v>
      </c>
      <c r="D27" s="51">
        <v>1</v>
      </c>
      <c r="E27" s="51">
        <v>3</v>
      </c>
      <c r="F27" s="51">
        <f t="shared" si="0"/>
        <v>3</v>
      </c>
      <c r="G27" s="51">
        <v>3.5</v>
      </c>
      <c r="H27" s="32"/>
      <c r="I27" s="51"/>
      <c r="J27" s="51"/>
      <c r="K27" s="51"/>
      <c r="L27" s="51"/>
      <c r="M27" s="51"/>
      <c r="N27" s="51"/>
      <c r="O27" s="290">
        <f>6.21*G27*F27</f>
        <v>65.204999999999998</v>
      </c>
      <c r="P27" s="73"/>
    </row>
    <row r="28" spans="1:50" ht="20.100000000000001" hidden="1" customHeight="1" outlineLevel="2">
      <c r="A28" s="291"/>
      <c r="B28" s="51"/>
      <c r="C28" s="51">
        <v>3.5</v>
      </c>
      <c r="D28" s="51">
        <v>1</v>
      </c>
      <c r="E28" s="51">
        <v>3</v>
      </c>
      <c r="F28" s="51">
        <f t="shared" si="0"/>
        <v>3</v>
      </c>
      <c r="G28" s="51">
        <v>3.5</v>
      </c>
      <c r="H28" s="32"/>
      <c r="I28" s="51"/>
      <c r="J28" s="51"/>
      <c r="K28" s="51"/>
      <c r="L28" s="51"/>
      <c r="M28" s="51"/>
      <c r="N28" s="51"/>
      <c r="O28" s="290">
        <f>6.21*G28*F28</f>
        <v>65.204999999999998</v>
      </c>
      <c r="P28" s="73"/>
    </row>
    <row r="29" spans="1:50" ht="20.100000000000001" hidden="1" customHeight="1" outlineLevel="2">
      <c r="A29" s="291"/>
      <c r="B29" s="51"/>
      <c r="C29" s="51">
        <v>4</v>
      </c>
      <c r="D29" s="51">
        <v>1</v>
      </c>
      <c r="E29" s="51">
        <v>2</v>
      </c>
      <c r="F29" s="51">
        <f t="shared" si="0"/>
        <v>2</v>
      </c>
      <c r="G29" s="51">
        <v>4</v>
      </c>
      <c r="H29" s="32"/>
      <c r="I29" s="51"/>
      <c r="J29" s="51"/>
      <c r="K29" s="51"/>
      <c r="L29" s="51"/>
      <c r="M29" s="51"/>
      <c r="N29" s="51"/>
      <c r="O29" s="290">
        <f>6.21*G29*F29</f>
        <v>49.68</v>
      </c>
      <c r="P29" s="73"/>
    </row>
    <row r="30" spans="1:50" ht="20.100000000000001" hidden="1" customHeight="1" outlineLevel="2">
      <c r="A30" s="291"/>
      <c r="B30" s="51"/>
      <c r="C30" s="51">
        <v>4</v>
      </c>
      <c r="D30" s="51">
        <v>1</v>
      </c>
      <c r="E30" s="51">
        <v>1</v>
      </c>
      <c r="F30" s="51">
        <f t="shared" si="0"/>
        <v>1</v>
      </c>
      <c r="G30" s="51">
        <v>4</v>
      </c>
      <c r="H30" s="32"/>
      <c r="I30" s="51"/>
      <c r="J30" s="51"/>
      <c r="K30" s="51"/>
      <c r="L30" s="51"/>
      <c r="M30" s="51"/>
      <c r="N30" s="51">
        <f>4*G30*F30</f>
        <v>16</v>
      </c>
      <c r="O30" s="290"/>
      <c r="P30" s="73"/>
    </row>
    <row r="31" spans="1:50" ht="20.100000000000001" hidden="1" customHeight="1" outlineLevel="2">
      <c r="A31" s="291"/>
      <c r="B31" s="51"/>
      <c r="C31" s="51">
        <v>5.0999999999999996</v>
      </c>
      <c r="D31" s="51">
        <v>1</v>
      </c>
      <c r="E31" s="51">
        <v>2</v>
      </c>
      <c r="F31" s="51">
        <f t="shared" si="0"/>
        <v>2</v>
      </c>
      <c r="G31" s="51">
        <v>5.0999999999999996</v>
      </c>
      <c r="H31" s="32"/>
      <c r="I31" s="51"/>
      <c r="J31" s="51"/>
      <c r="K31" s="51"/>
      <c r="L31" s="51"/>
      <c r="M31" s="51"/>
      <c r="N31" s="51"/>
      <c r="O31" s="290">
        <f>6.21*G31*F31</f>
        <v>63.341999999999999</v>
      </c>
      <c r="P31" s="73"/>
    </row>
    <row r="32" spans="1:50" ht="20.100000000000001" hidden="1" customHeight="1" outlineLevel="2">
      <c r="A32" s="291"/>
      <c r="B32" s="51"/>
      <c r="C32" s="51">
        <v>5.0999999999999996</v>
      </c>
      <c r="D32" s="51">
        <v>1</v>
      </c>
      <c r="E32" s="51">
        <v>1</v>
      </c>
      <c r="F32" s="51">
        <f t="shared" si="0"/>
        <v>1</v>
      </c>
      <c r="G32" s="51">
        <v>5.0999999999999996</v>
      </c>
      <c r="H32" s="32"/>
      <c r="I32" s="51"/>
      <c r="J32" s="51"/>
      <c r="K32" s="51"/>
      <c r="L32" s="51"/>
      <c r="M32" s="51"/>
      <c r="N32" s="51">
        <f>4*G32*F32</f>
        <v>20.399999999999999</v>
      </c>
      <c r="O32" s="290"/>
      <c r="P32" s="73"/>
    </row>
    <row r="33" spans="1:16" ht="20.100000000000001" hidden="1" customHeight="1" outlineLevel="2">
      <c r="A33" s="291"/>
      <c r="B33" s="51"/>
      <c r="C33" s="51">
        <v>6.8</v>
      </c>
      <c r="D33" s="51">
        <v>1</v>
      </c>
      <c r="E33" s="51">
        <v>2</v>
      </c>
      <c r="F33" s="51">
        <f t="shared" si="0"/>
        <v>2</v>
      </c>
      <c r="G33" s="51">
        <v>6.8</v>
      </c>
      <c r="H33" s="32"/>
      <c r="I33" s="51"/>
      <c r="J33" s="51"/>
      <c r="K33" s="51"/>
      <c r="L33" s="51"/>
      <c r="M33" s="51"/>
      <c r="N33" s="51"/>
      <c r="O33" s="290">
        <f>6.21*G33*F33</f>
        <v>84.456000000000003</v>
      </c>
      <c r="P33" s="73"/>
    </row>
    <row r="34" spans="1:16" ht="20.100000000000001" hidden="1" customHeight="1" outlineLevel="2">
      <c r="A34" s="291"/>
      <c r="B34" s="51"/>
      <c r="C34" s="51">
        <v>6.8</v>
      </c>
      <c r="D34" s="51">
        <v>1</v>
      </c>
      <c r="E34" s="51">
        <v>1</v>
      </c>
      <c r="F34" s="51">
        <f t="shared" si="0"/>
        <v>1</v>
      </c>
      <c r="G34" s="51">
        <v>6.8</v>
      </c>
      <c r="H34" s="32"/>
      <c r="I34" s="51"/>
      <c r="J34" s="51"/>
      <c r="K34" s="51"/>
      <c r="L34" s="51"/>
      <c r="M34" s="51"/>
      <c r="N34" s="51">
        <f>4*G34*F34</f>
        <v>27.2</v>
      </c>
      <c r="O34" s="290"/>
      <c r="P34" s="73"/>
    </row>
    <row r="35" spans="1:16" ht="20.100000000000001" hidden="1" customHeight="1" outlineLevel="2">
      <c r="A35" s="291"/>
      <c r="B35" s="51"/>
      <c r="C35" s="51">
        <v>5.3</v>
      </c>
      <c r="D35" s="51">
        <v>1</v>
      </c>
      <c r="E35" s="51">
        <v>3</v>
      </c>
      <c r="F35" s="51">
        <f t="shared" si="0"/>
        <v>3</v>
      </c>
      <c r="G35" s="51">
        <v>5.3</v>
      </c>
      <c r="H35" s="32"/>
      <c r="I35" s="51"/>
      <c r="J35" s="51"/>
      <c r="K35" s="51"/>
      <c r="L35" s="51"/>
      <c r="M35" s="51"/>
      <c r="N35" s="51"/>
      <c r="O35" s="290">
        <f>6.21*G35*F35</f>
        <v>98.73899999999999</v>
      </c>
      <c r="P35" s="73"/>
    </row>
    <row r="36" spans="1:16" ht="20.100000000000001" hidden="1" customHeight="1" outlineLevel="2">
      <c r="A36" s="291"/>
      <c r="B36" s="51"/>
      <c r="C36" s="51">
        <v>3.5</v>
      </c>
      <c r="D36" s="51">
        <v>1</v>
      </c>
      <c r="E36" s="51">
        <v>2</v>
      </c>
      <c r="F36" s="51">
        <f t="shared" si="0"/>
        <v>2</v>
      </c>
      <c r="G36" s="51">
        <v>3.5</v>
      </c>
      <c r="H36" s="32"/>
      <c r="I36" s="51"/>
      <c r="J36" s="51"/>
      <c r="K36" s="51"/>
      <c r="L36" s="51"/>
      <c r="M36" s="51"/>
      <c r="N36" s="51"/>
      <c r="O36" s="290">
        <f>6.21*G36*F36</f>
        <v>43.47</v>
      </c>
      <c r="P36" s="73"/>
    </row>
    <row r="37" spans="1:16" ht="20.100000000000001" hidden="1" customHeight="1" outlineLevel="2">
      <c r="A37" s="291"/>
      <c r="B37" s="51"/>
      <c r="C37" s="51">
        <v>3.5</v>
      </c>
      <c r="D37" s="51">
        <v>1</v>
      </c>
      <c r="E37" s="51">
        <v>1</v>
      </c>
      <c r="F37" s="51">
        <f t="shared" si="0"/>
        <v>1</v>
      </c>
      <c r="G37" s="51">
        <v>3.5</v>
      </c>
      <c r="H37" s="32"/>
      <c r="I37" s="51"/>
      <c r="J37" s="51"/>
      <c r="K37" s="51"/>
      <c r="L37" s="51"/>
      <c r="M37" s="51"/>
      <c r="N37" s="51">
        <f>4*G37*F37</f>
        <v>14</v>
      </c>
      <c r="O37" s="290"/>
      <c r="P37" s="73"/>
    </row>
    <row r="38" spans="1:16" ht="20.100000000000001" hidden="1" customHeight="1" outlineLevel="2">
      <c r="A38" s="291"/>
      <c r="B38" s="51"/>
      <c r="C38" s="51">
        <v>2.5</v>
      </c>
      <c r="D38" s="51">
        <v>1</v>
      </c>
      <c r="E38" s="51">
        <v>3</v>
      </c>
      <c r="F38" s="51">
        <f t="shared" si="0"/>
        <v>3</v>
      </c>
      <c r="G38" s="51">
        <v>2.5</v>
      </c>
      <c r="H38" s="32"/>
      <c r="I38" s="51"/>
      <c r="J38" s="51"/>
      <c r="K38" s="51">
        <f>1.55*G38*F38*D38</f>
        <v>11.625</v>
      </c>
      <c r="L38" s="51"/>
      <c r="M38" s="51"/>
      <c r="N38" s="51"/>
      <c r="O38" s="290"/>
      <c r="P38" s="73"/>
    </row>
    <row r="39" spans="1:16" ht="47.25" hidden="1" customHeight="1" outlineLevel="2">
      <c r="A39" s="291"/>
      <c r="B39" s="51"/>
      <c r="C39" s="51">
        <f>(0.55*2)+(0.45*2)+(0.05*2)</f>
        <v>2.1</v>
      </c>
      <c r="D39" s="51">
        <v>1</v>
      </c>
      <c r="E39" s="51">
        <v>10</v>
      </c>
      <c r="F39" s="51">
        <f t="shared" si="0"/>
        <v>10</v>
      </c>
      <c r="G39" s="51">
        <f>C39</f>
        <v>2.1</v>
      </c>
      <c r="H39" s="32"/>
      <c r="I39" s="51"/>
      <c r="J39" s="51">
        <f>0.56*F39*G39</f>
        <v>11.760000000000002</v>
      </c>
      <c r="K39" s="51"/>
      <c r="L39" s="51"/>
      <c r="M39" s="51"/>
      <c r="N39" s="51"/>
      <c r="O39" s="290"/>
      <c r="P39" s="73"/>
    </row>
    <row r="40" spans="1:16" ht="45" hidden="1" customHeight="1" outlineLevel="2">
      <c r="A40" s="291"/>
      <c r="B40" s="51"/>
      <c r="C40" s="51">
        <f>(0.55*2)+(0.35*2)+(0.05*2)</f>
        <v>1.9000000000000001</v>
      </c>
      <c r="D40" s="51">
        <v>1</v>
      </c>
      <c r="E40" s="51">
        <v>123</v>
      </c>
      <c r="F40" s="51">
        <f t="shared" si="0"/>
        <v>123</v>
      </c>
      <c r="G40" s="51">
        <v>2.1</v>
      </c>
      <c r="H40" s="32"/>
      <c r="I40" s="51"/>
      <c r="J40" s="51"/>
      <c r="K40" s="51">
        <f>F40*G40</f>
        <v>258.3</v>
      </c>
      <c r="L40" s="51"/>
      <c r="M40" s="51"/>
      <c r="N40" s="51"/>
      <c r="O40" s="290"/>
      <c r="P40" s="73"/>
    </row>
    <row r="41" spans="1:16" ht="45" hidden="1" customHeight="1" outlineLevel="2">
      <c r="A41" s="291"/>
      <c r="B41" s="52"/>
      <c r="C41" s="51">
        <f>0.55+0.05*2</f>
        <v>0.65</v>
      </c>
      <c r="D41" s="51">
        <v>1</v>
      </c>
      <c r="E41" s="51">
        <v>1</v>
      </c>
      <c r="F41" s="51">
        <f t="shared" si="0"/>
        <v>1</v>
      </c>
      <c r="G41" s="51">
        <v>2.1</v>
      </c>
      <c r="H41" s="32"/>
      <c r="I41" s="51"/>
      <c r="J41" s="51"/>
      <c r="K41" s="51"/>
      <c r="L41" s="51"/>
      <c r="M41" s="51"/>
      <c r="N41" s="51"/>
      <c r="O41" s="290"/>
      <c r="P41" s="73"/>
    </row>
    <row r="42" spans="1:16" ht="42" hidden="1" customHeight="1" outlineLevel="2">
      <c r="A42" s="291"/>
      <c r="B42" s="51"/>
      <c r="C42" s="51">
        <f>(0.55*2)+(0.35*2)+(0.05*2)</f>
        <v>1.9000000000000001</v>
      </c>
      <c r="D42" s="51">
        <v>1</v>
      </c>
      <c r="E42" s="51">
        <v>9</v>
      </c>
      <c r="F42" s="51">
        <f>D42*E42</f>
        <v>9</v>
      </c>
      <c r="G42" s="51">
        <v>1.9</v>
      </c>
      <c r="H42" s="32"/>
      <c r="I42" s="51"/>
      <c r="J42" s="51"/>
      <c r="K42" s="51"/>
      <c r="L42" s="51">
        <f>1.55*F42*G42</f>
        <v>26.505000000000003</v>
      </c>
      <c r="M42" s="51"/>
      <c r="N42" s="51"/>
      <c r="O42" s="290"/>
      <c r="P42" s="73"/>
    </row>
    <row r="43" spans="1:16" ht="20.100000000000001" hidden="1" customHeight="1" outlineLevel="2">
      <c r="A43" s="2129" t="s">
        <v>196</v>
      </c>
      <c r="B43" s="2130"/>
      <c r="C43" s="2130"/>
      <c r="D43" s="2130"/>
      <c r="E43" s="2130"/>
      <c r="F43" s="2130"/>
      <c r="G43" s="2130"/>
      <c r="H43" s="561">
        <f>SUM(H9:H42)</f>
        <v>0</v>
      </c>
      <c r="I43" s="561">
        <f t="shared" ref="I43:O43" si="1">SUM(I9:I42)</f>
        <v>0</v>
      </c>
      <c r="J43" s="561">
        <f t="shared" si="1"/>
        <v>20.46</v>
      </c>
      <c r="K43" s="561">
        <f t="shared" si="1"/>
        <v>279.22500000000002</v>
      </c>
      <c r="L43" s="561">
        <f t="shared" si="1"/>
        <v>73.545000000000016</v>
      </c>
      <c r="M43" s="561">
        <f t="shared" si="1"/>
        <v>13.5</v>
      </c>
      <c r="N43" s="561">
        <f t="shared" si="1"/>
        <v>266</v>
      </c>
      <c r="O43" s="562">
        <f t="shared" si="1"/>
        <v>1281.7440000000001</v>
      </c>
      <c r="P43" s="73"/>
    </row>
    <row r="44" spans="1:16" ht="20.100000000000001" hidden="1" customHeight="1" outlineLevel="2">
      <c r="A44" s="2186" t="s">
        <v>198</v>
      </c>
      <c r="B44" s="2187"/>
      <c r="C44" s="2187"/>
      <c r="D44" s="2187"/>
      <c r="E44" s="2187"/>
      <c r="F44" s="2187"/>
      <c r="G44" s="2187"/>
      <c r="H44" s="2190">
        <f>SUM(H43:O43)</f>
        <v>1934.4740000000002</v>
      </c>
      <c r="I44" s="2190"/>
      <c r="J44" s="2190"/>
      <c r="K44" s="2190"/>
      <c r="L44" s="2190"/>
      <c r="M44" s="2190"/>
      <c r="N44" s="2190"/>
      <c r="O44" s="2191"/>
      <c r="P44" s="73"/>
    </row>
    <row r="45" spans="1:16" ht="20.100000000000001" hidden="1" customHeight="1" outlineLevel="2">
      <c r="A45" s="2226"/>
      <c r="B45" s="2227"/>
      <c r="C45" s="2227"/>
      <c r="D45" s="2227"/>
      <c r="E45" s="2227"/>
      <c r="F45" s="2227"/>
      <c r="G45" s="2227"/>
      <c r="H45" s="2227"/>
      <c r="I45" s="2227"/>
      <c r="J45" s="2227"/>
      <c r="K45" s="2227"/>
      <c r="L45" s="2227"/>
      <c r="M45" s="2227"/>
      <c r="N45" s="2227"/>
      <c r="O45" s="2228"/>
      <c r="P45" s="73"/>
    </row>
    <row r="46" spans="1:16" ht="20.100000000000001" hidden="1" customHeight="1" outlineLevel="2">
      <c r="A46" s="289" t="s">
        <v>141</v>
      </c>
      <c r="B46" s="51"/>
      <c r="C46" s="51">
        <v>3.5</v>
      </c>
      <c r="D46" s="51">
        <v>1</v>
      </c>
      <c r="E46" s="51">
        <v>4</v>
      </c>
      <c r="F46" s="51">
        <f>D46*E46</f>
        <v>4</v>
      </c>
      <c r="G46" s="51">
        <v>3.5</v>
      </c>
      <c r="H46" s="51"/>
      <c r="I46" s="32"/>
      <c r="J46" s="51"/>
      <c r="K46" s="51"/>
      <c r="L46" s="51"/>
      <c r="M46" s="51"/>
      <c r="N46" s="51"/>
      <c r="O46" s="290">
        <f>6.21*G46*F46</f>
        <v>86.94</v>
      </c>
      <c r="P46" s="31"/>
    </row>
    <row r="47" spans="1:16" ht="20.100000000000001" hidden="1" customHeight="1" outlineLevel="2">
      <c r="A47" s="291"/>
      <c r="B47" s="51"/>
      <c r="C47" s="51">
        <v>6</v>
      </c>
      <c r="D47" s="51">
        <v>1</v>
      </c>
      <c r="E47" s="51">
        <v>2</v>
      </c>
      <c r="F47" s="51">
        <f>D47*E47</f>
        <v>2</v>
      </c>
      <c r="G47" s="51">
        <v>6</v>
      </c>
      <c r="H47" s="51"/>
      <c r="I47" s="32"/>
      <c r="J47" s="51"/>
      <c r="K47" s="51"/>
      <c r="L47" s="51"/>
      <c r="M47" s="51"/>
      <c r="N47" s="51"/>
      <c r="O47" s="290">
        <f>6.21*G47*F47</f>
        <v>74.52</v>
      </c>
      <c r="P47" s="31"/>
    </row>
    <row r="48" spans="1:16" ht="20.100000000000001" hidden="1" customHeight="1" outlineLevel="2">
      <c r="A48" s="291"/>
      <c r="B48" s="51"/>
      <c r="C48" s="51">
        <v>6</v>
      </c>
      <c r="D48" s="51">
        <v>1</v>
      </c>
      <c r="E48" s="51">
        <v>2</v>
      </c>
      <c r="F48" s="51">
        <f>D48*E48</f>
        <v>2</v>
      </c>
      <c r="G48" s="51">
        <v>6</v>
      </c>
      <c r="H48" s="51"/>
      <c r="I48" s="32"/>
      <c r="J48" s="51"/>
      <c r="K48" s="51"/>
      <c r="L48" s="51"/>
      <c r="M48" s="51"/>
      <c r="N48" s="51">
        <f>4*G48*F48</f>
        <v>48</v>
      </c>
      <c r="O48" s="290"/>
      <c r="P48" s="31"/>
    </row>
    <row r="49" spans="1:16" ht="20.100000000000001" hidden="1" customHeight="1" outlineLevel="2">
      <c r="A49" s="291"/>
      <c r="B49" s="51"/>
      <c r="C49" s="51">
        <v>1.3</v>
      </c>
      <c r="D49" s="51">
        <v>1</v>
      </c>
      <c r="E49" s="51">
        <v>4</v>
      </c>
      <c r="F49" s="51">
        <f t="shared" ref="F49:F57" si="2">D49*E49</f>
        <v>4</v>
      </c>
      <c r="G49" s="51">
        <v>1.3</v>
      </c>
      <c r="H49" s="51"/>
      <c r="I49" s="32"/>
      <c r="J49" s="51">
        <f>G49*F49</f>
        <v>5.2</v>
      </c>
      <c r="K49" s="51"/>
      <c r="L49" s="51"/>
      <c r="M49" s="51"/>
      <c r="N49" s="51"/>
      <c r="O49" s="290"/>
      <c r="P49" s="31"/>
    </row>
    <row r="50" spans="1:16" ht="20.100000000000001" hidden="1" customHeight="1" outlineLevel="2">
      <c r="A50" s="291"/>
      <c r="B50" s="51"/>
      <c r="C50" s="51">
        <v>4.5</v>
      </c>
      <c r="D50" s="51">
        <v>1</v>
      </c>
      <c r="E50" s="51">
        <v>2</v>
      </c>
      <c r="F50" s="51">
        <f t="shared" si="2"/>
        <v>2</v>
      </c>
      <c r="G50" s="51">
        <v>4.5</v>
      </c>
      <c r="H50" s="51"/>
      <c r="I50" s="32"/>
      <c r="J50" s="51"/>
      <c r="K50" s="51"/>
      <c r="L50" s="51"/>
      <c r="M50" s="51"/>
      <c r="N50" s="51"/>
      <c r="O50" s="290">
        <f>6.21*G50*F50</f>
        <v>55.89</v>
      </c>
      <c r="P50" s="31"/>
    </row>
    <row r="51" spans="1:16" ht="20.100000000000001" hidden="1" customHeight="1" outlineLevel="2">
      <c r="A51" s="291"/>
      <c r="B51" s="51"/>
      <c r="C51" s="51">
        <v>9.6</v>
      </c>
      <c r="D51" s="51">
        <v>1</v>
      </c>
      <c r="E51" s="51">
        <v>2</v>
      </c>
      <c r="F51" s="51">
        <f t="shared" si="2"/>
        <v>2</v>
      </c>
      <c r="G51" s="51">
        <v>9.6</v>
      </c>
      <c r="H51" s="51"/>
      <c r="I51" s="32"/>
      <c r="J51" s="51"/>
      <c r="K51" s="51"/>
      <c r="L51" s="51"/>
      <c r="M51" s="51"/>
      <c r="N51" s="51"/>
      <c r="O51" s="290">
        <f>6.21*G51*F51</f>
        <v>119.232</v>
      </c>
      <c r="P51" s="31"/>
    </row>
    <row r="52" spans="1:16" ht="20.100000000000001" hidden="1" customHeight="1" outlineLevel="2">
      <c r="A52" s="291"/>
      <c r="B52" s="51"/>
      <c r="C52" s="51">
        <v>7</v>
      </c>
      <c r="D52" s="51">
        <v>1</v>
      </c>
      <c r="E52" s="51">
        <v>2</v>
      </c>
      <c r="F52" s="51">
        <f t="shared" si="2"/>
        <v>2</v>
      </c>
      <c r="G52" s="51">
        <v>7</v>
      </c>
      <c r="H52" s="51"/>
      <c r="I52" s="32"/>
      <c r="J52" s="51"/>
      <c r="K52" s="51"/>
      <c r="L52" s="51"/>
      <c r="M52" s="51"/>
      <c r="N52" s="51"/>
      <c r="O52" s="290">
        <f>6.21*G52*F52</f>
        <v>86.94</v>
      </c>
      <c r="P52" s="31"/>
    </row>
    <row r="53" spans="1:16" ht="20.100000000000001" hidden="1" customHeight="1" outlineLevel="2">
      <c r="A53" s="291"/>
      <c r="B53" s="51"/>
      <c r="C53" s="51">
        <v>7</v>
      </c>
      <c r="D53" s="51">
        <v>1</v>
      </c>
      <c r="E53" s="51">
        <v>1</v>
      </c>
      <c r="F53" s="51">
        <f t="shared" si="2"/>
        <v>1</v>
      </c>
      <c r="G53" s="51">
        <v>7</v>
      </c>
      <c r="H53" s="51"/>
      <c r="I53" s="32"/>
      <c r="J53" s="51"/>
      <c r="K53" s="51"/>
      <c r="L53" s="51"/>
      <c r="M53" s="51"/>
      <c r="N53" s="51">
        <f>4*G53*F53</f>
        <v>28</v>
      </c>
      <c r="O53" s="290"/>
      <c r="P53" s="31"/>
    </row>
    <row r="54" spans="1:16" ht="20.100000000000001" hidden="1" customHeight="1" outlineLevel="2">
      <c r="A54" s="291"/>
      <c r="B54" s="51"/>
      <c r="C54" s="51">
        <v>3.5</v>
      </c>
      <c r="D54" s="51">
        <v>1</v>
      </c>
      <c r="E54" s="51">
        <v>1</v>
      </c>
      <c r="F54" s="51">
        <f t="shared" si="2"/>
        <v>1</v>
      </c>
      <c r="G54" s="51">
        <v>3.5</v>
      </c>
      <c r="H54" s="51"/>
      <c r="I54" s="32"/>
      <c r="J54" s="51"/>
      <c r="K54" s="51"/>
      <c r="L54" s="51"/>
      <c r="M54" s="51">
        <f>3*F54*G54*D54</f>
        <v>10.5</v>
      </c>
      <c r="N54" s="51"/>
      <c r="O54" s="290"/>
      <c r="P54" s="31"/>
    </row>
    <row r="55" spans="1:16" ht="20.100000000000001" hidden="1" customHeight="1" outlineLevel="2">
      <c r="A55" s="291"/>
      <c r="B55" s="51"/>
      <c r="C55" s="51">
        <v>3.5</v>
      </c>
      <c r="D55" s="51">
        <v>1</v>
      </c>
      <c r="E55" s="51">
        <v>3</v>
      </c>
      <c r="F55" s="51">
        <f t="shared" si="2"/>
        <v>3</v>
      </c>
      <c r="G55" s="51">
        <v>3.5</v>
      </c>
      <c r="H55" s="51"/>
      <c r="I55" s="32"/>
      <c r="J55" s="51"/>
      <c r="K55" s="51"/>
      <c r="L55" s="51">
        <f>2.24*G55*F55</f>
        <v>23.520000000000003</v>
      </c>
      <c r="M55" s="51"/>
      <c r="N55" s="51"/>
      <c r="O55" s="290"/>
      <c r="P55" s="31"/>
    </row>
    <row r="56" spans="1:16" ht="20.100000000000001" hidden="1" customHeight="1" outlineLevel="2">
      <c r="A56" s="291"/>
      <c r="B56" s="51"/>
      <c r="C56" s="51">
        <v>12</v>
      </c>
      <c r="D56" s="51">
        <v>1</v>
      </c>
      <c r="E56" s="51">
        <v>2</v>
      </c>
      <c r="F56" s="51">
        <f t="shared" si="2"/>
        <v>2</v>
      </c>
      <c r="G56" s="51">
        <v>12</v>
      </c>
      <c r="H56" s="51"/>
      <c r="I56" s="32"/>
      <c r="J56" s="51"/>
      <c r="K56" s="51"/>
      <c r="L56" s="51"/>
      <c r="M56" s="51"/>
      <c r="N56" s="51"/>
      <c r="O56" s="290">
        <f>6.21*G56*F56</f>
        <v>149.04</v>
      </c>
      <c r="P56" s="31"/>
    </row>
    <row r="57" spans="1:16" ht="20.100000000000001" hidden="1" customHeight="1" outlineLevel="2">
      <c r="A57" s="291"/>
      <c r="B57" s="51"/>
      <c r="C57" s="51">
        <v>12</v>
      </c>
      <c r="D57" s="51">
        <v>1</v>
      </c>
      <c r="E57" s="51">
        <v>1</v>
      </c>
      <c r="F57" s="51">
        <f t="shared" si="2"/>
        <v>1</v>
      </c>
      <c r="G57" s="51">
        <v>12</v>
      </c>
      <c r="H57" s="51"/>
      <c r="I57" s="32"/>
      <c r="J57" s="51"/>
      <c r="K57" s="51"/>
      <c r="L57" s="51"/>
      <c r="M57" s="51"/>
      <c r="N57" s="51">
        <f>4*G57*F57</f>
        <v>48</v>
      </c>
      <c r="O57" s="290"/>
      <c r="P57" s="31"/>
    </row>
    <row r="58" spans="1:16" ht="20.100000000000001" hidden="1" customHeight="1" outlineLevel="2">
      <c r="A58" s="291"/>
      <c r="B58" s="51"/>
      <c r="C58" s="51">
        <v>9</v>
      </c>
      <c r="D58" s="51">
        <v>1</v>
      </c>
      <c r="E58" s="51">
        <v>3</v>
      </c>
      <c r="F58" s="51">
        <f t="shared" ref="F58:F72" si="3">D58*E58</f>
        <v>3</v>
      </c>
      <c r="G58" s="51">
        <v>9</v>
      </c>
      <c r="H58" s="51"/>
      <c r="I58" s="32"/>
      <c r="J58" s="51"/>
      <c r="K58" s="51"/>
      <c r="L58" s="51"/>
      <c r="M58" s="51"/>
      <c r="N58" s="51"/>
      <c r="O58" s="290">
        <f>6.21*G58*F58</f>
        <v>167.67000000000002</v>
      </c>
      <c r="P58" s="31"/>
    </row>
    <row r="59" spans="1:16" ht="20.100000000000001" hidden="1" customHeight="1" outlineLevel="2">
      <c r="A59" s="291"/>
      <c r="B59" s="51"/>
      <c r="C59" s="51">
        <v>9</v>
      </c>
      <c r="D59" s="51">
        <v>1</v>
      </c>
      <c r="E59" s="51">
        <v>1</v>
      </c>
      <c r="F59" s="51">
        <f t="shared" si="3"/>
        <v>1</v>
      </c>
      <c r="G59" s="51">
        <v>9</v>
      </c>
      <c r="H59" s="51"/>
      <c r="I59" s="32"/>
      <c r="J59" s="51"/>
      <c r="K59" s="51"/>
      <c r="L59" s="51"/>
      <c r="M59" s="51"/>
      <c r="N59" s="51">
        <f>4*G59*F59</f>
        <v>36</v>
      </c>
      <c r="O59" s="290"/>
      <c r="P59" s="31"/>
    </row>
    <row r="60" spans="1:16" ht="20.100000000000001" hidden="1" customHeight="1" outlineLevel="2">
      <c r="A60" s="291"/>
      <c r="B60" s="51"/>
      <c r="C60" s="51">
        <v>5</v>
      </c>
      <c r="D60" s="51">
        <v>1</v>
      </c>
      <c r="E60" s="51">
        <v>5</v>
      </c>
      <c r="F60" s="51">
        <f t="shared" si="3"/>
        <v>5</v>
      </c>
      <c r="G60" s="51">
        <v>5</v>
      </c>
      <c r="H60" s="51"/>
      <c r="I60" s="32"/>
      <c r="J60" s="51"/>
      <c r="K60" s="51"/>
      <c r="L60" s="51"/>
      <c r="M60" s="51"/>
      <c r="N60" s="51"/>
      <c r="O60" s="290">
        <f>6.21*G60*F60</f>
        <v>155.25</v>
      </c>
      <c r="P60" s="31"/>
    </row>
    <row r="61" spans="1:16" ht="20.100000000000001" hidden="1" customHeight="1" outlineLevel="2">
      <c r="A61" s="291"/>
      <c r="B61" s="51"/>
      <c r="C61" s="51">
        <v>4.2</v>
      </c>
      <c r="D61" s="51">
        <v>1</v>
      </c>
      <c r="E61" s="51">
        <v>5</v>
      </c>
      <c r="F61" s="51">
        <f t="shared" si="3"/>
        <v>5</v>
      </c>
      <c r="G61" s="51">
        <v>4.2</v>
      </c>
      <c r="H61" s="51"/>
      <c r="I61" s="32"/>
      <c r="J61" s="51"/>
      <c r="K61" s="51"/>
      <c r="L61" s="51"/>
      <c r="M61" s="51"/>
      <c r="N61" s="51">
        <f>4*G61*F61</f>
        <v>84</v>
      </c>
      <c r="O61" s="290"/>
      <c r="P61" s="31"/>
    </row>
    <row r="62" spans="1:16" ht="20.100000000000001" hidden="1" customHeight="1" outlineLevel="2">
      <c r="A62" s="291"/>
      <c r="B62" s="51"/>
      <c r="C62" s="51">
        <v>4.2</v>
      </c>
      <c r="D62" s="51">
        <v>1</v>
      </c>
      <c r="E62" s="51">
        <v>2</v>
      </c>
      <c r="F62" s="51">
        <f t="shared" si="3"/>
        <v>2</v>
      </c>
      <c r="G62" s="51">
        <v>4.2</v>
      </c>
      <c r="H62" s="51"/>
      <c r="I62" s="32"/>
      <c r="J62" s="51"/>
      <c r="K62" s="51"/>
      <c r="L62" s="51"/>
      <c r="M62" s="51">
        <f>3*F62*G62*D62</f>
        <v>25.200000000000003</v>
      </c>
      <c r="N62" s="51"/>
      <c r="O62" s="290"/>
      <c r="P62" s="31"/>
    </row>
    <row r="63" spans="1:16" ht="20.100000000000001" hidden="1" customHeight="1" outlineLevel="2">
      <c r="A63" s="291"/>
      <c r="B63" s="51"/>
      <c r="C63" s="51">
        <v>5</v>
      </c>
      <c r="D63" s="51">
        <v>1</v>
      </c>
      <c r="E63" s="51">
        <v>7</v>
      </c>
      <c r="F63" s="51">
        <f t="shared" si="3"/>
        <v>7</v>
      </c>
      <c r="G63" s="51">
        <v>5</v>
      </c>
      <c r="H63" s="51"/>
      <c r="I63" s="32"/>
      <c r="J63" s="51"/>
      <c r="K63" s="51"/>
      <c r="L63" s="51"/>
      <c r="M63" s="51"/>
      <c r="N63" s="51">
        <f>4*G63*F63</f>
        <v>140</v>
      </c>
      <c r="O63" s="290"/>
      <c r="P63" s="31"/>
    </row>
    <row r="64" spans="1:16" ht="20.100000000000001" hidden="1" customHeight="1" outlineLevel="2">
      <c r="A64" s="291"/>
      <c r="B64" s="51"/>
      <c r="C64" s="51">
        <v>7.8</v>
      </c>
      <c r="D64" s="51">
        <v>1</v>
      </c>
      <c r="E64" s="51">
        <v>3</v>
      </c>
      <c r="F64" s="51">
        <f t="shared" si="3"/>
        <v>3</v>
      </c>
      <c r="G64" s="51">
        <v>7.8</v>
      </c>
      <c r="H64" s="51"/>
      <c r="I64" s="32"/>
      <c r="J64" s="51"/>
      <c r="K64" s="51"/>
      <c r="L64" s="51"/>
      <c r="M64" s="51"/>
      <c r="N64" s="51"/>
      <c r="O64" s="290">
        <f>6.21*G64*F64</f>
        <v>145.31399999999999</v>
      </c>
      <c r="P64" s="31"/>
    </row>
    <row r="65" spans="1:16" ht="20.100000000000001" hidden="1" customHeight="1" outlineLevel="2">
      <c r="A65" s="291"/>
      <c r="B65" s="51"/>
      <c r="C65" s="51">
        <v>7.8</v>
      </c>
      <c r="D65" s="51">
        <v>1</v>
      </c>
      <c r="E65" s="51">
        <v>1</v>
      </c>
      <c r="F65" s="51">
        <f t="shared" si="3"/>
        <v>1</v>
      </c>
      <c r="G65" s="51">
        <v>7.8</v>
      </c>
      <c r="H65" s="51"/>
      <c r="I65" s="32"/>
      <c r="J65" s="51"/>
      <c r="K65" s="51"/>
      <c r="L65" s="51"/>
      <c r="M65" s="51"/>
      <c r="N65" s="51">
        <f>4*G65*F65</f>
        <v>31.2</v>
      </c>
      <c r="O65" s="290"/>
      <c r="P65" s="73"/>
    </row>
    <row r="66" spans="1:16" ht="20.100000000000001" hidden="1" customHeight="1" outlineLevel="2">
      <c r="A66" s="291"/>
      <c r="B66" s="51"/>
      <c r="C66" s="51">
        <v>5.0999999999999996</v>
      </c>
      <c r="D66" s="51">
        <v>1</v>
      </c>
      <c r="E66" s="51">
        <v>2</v>
      </c>
      <c r="F66" s="51">
        <f t="shared" si="3"/>
        <v>2</v>
      </c>
      <c r="G66" s="51">
        <v>5.0999999999999996</v>
      </c>
      <c r="H66" s="51"/>
      <c r="I66" s="32"/>
      <c r="J66" s="51"/>
      <c r="K66" s="51"/>
      <c r="L66" s="51"/>
      <c r="M66" s="51"/>
      <c r="N66" s="51"/>
      <c r="O66" s="290">
        <f>6.21*G66*F66</f>
        <v>63.341999999999999</v>
      </c>
      <c r="P66" s="73"/>
    </row>
    <row r="67" spans="1:16" ht="20.100000000000001" hidden="1" customHeight="1" outlineLevel="2">
      <c r="A67" s="291"/>
      <c r="B67" s="51"/>
      <c r="C67" s="51">
        <v>5.0999999999999996</v>
      </c>
      <c r="D67" s="51">
        <v>1</v>
      </c>
      <c r="E67" s="51">
        <v>1</v>
      </c>
      <c r="F67" s="51">
        <f t="shared" si="3"/>
        <v>1</v>
      </c>
      <c r="G67" s="51">
        <v>5.0999999999999996</v>
      </c>
      <c r="H67" s="51"/>
      <c r="I67" s="32"/>
      <c r="J67" s="51"/>
      <c r="K67" s="51"/>
      <c r="L67" s="51"/>
      <c r="M67" s="51"/>
      <c r="N67" s="51">
        <f>4*G67*F67</f>
        <v>20.399999999999999</v>
      </c>
      <c r="O67" s="290"/>
      <c r="P67" s="77"/>
    </row>
    <row r="68" spans="1:16" ht="20.100000000000001" hidden="1" customHeight="1" outlineLevel="2">
      <c r="A68" s="291"/>
      <c r="B68" s="51"/>
      <c r="C68" s="51">
        <v>4.5</v>
      </c>
      <c r="D68" s="51">
        <v>1</v>
      </c>
      <c r="E68" s="51">
        <v>10</v>
      </c>
      <c r="F68" s="51">
        <f t="shared" si="3"/>
        <v>10</v>
      </c>
      <c r="G68" s="51">
        <v>4.5</v>
      </c>
      <c r="H68" s="51"/>
      <c r="I68" s="32"/>
      <c r="J68" s="51"/>
      <c r="K68" s="51"/>
      <c r="L68" s="51"/>
      <c r="M68" s="51"/>
      <c r="N68" s="51">
        <f>4*G68*F68</f>
        <v>180</v>
      </c>
      <c r="O68" s="290"/>
      <c r="P68" s="31"/>
    </row>
    <row r="69" spans="1:16" ht="20.100000000000001" hidden="1" customHeight="1" outlineLevel="2">
      <c r="A69" s="291"/>
      <c r="B69" s="51"/>
      <c r="C69" s="51">
        <v>8</v>
      </c>
      <c r="D69" s="51">
        <v>1</v>
      </c>
      <c r="E69" s="51">
        <v>2</v>
      </c>
      <c r="F69" s="51">
        <f t="shared" si="3"/>
        <v>2</v>
      </c>
      <c r="G69" s="51">
        <v>8</v>
      </c>
      <c r="H69" s="51"/>
      <c r="I69" s="32"/>
      <c r="J69" s="51"/>
      <c r="K69" s="51"/>
      <c r="L69" s="51"/>
      <c r="M69" s="51"/>
      <c r="N69" s="51"/>
      <c r="O69" s="290">
        <f>6.21*G69*F69</f>
        <v>99.36</v>
      </c>
      <c r="P69" s="31"/>
    </row>
    <row r="70" spans="1:16" ht="20.100000000000001" hidden="1" customHeight="1" outlineLevel="2">
      <c r="A70" s="291"/>
      <c r="B70" s="51"/>
      <c r="C70" s="51">
        <v>8</v>
      </c>
      <c r="D70" s="51">
        <v>1</v>
      </c>
      <c r="E70" s="51">
        <v>1</v>
      </c>
      <c r="F70" s="51">
        <f t="shared" si="3"/>
        <v>1</v>
      </c>
      <c r="G70" s="51">
        <v>8</v>
      </c>
      <c r="H70" s="51"/>
      <c r="I70" s="32"/>
      <c r="J70" s="51"/>
      <c r="K70" s="51"/>
      <c r="L70" s="51"/>
      <c r="M70" s="51"/>
      <c r="N70" s="51">
        <f>4*G70*F70</f>
        <v>32</v>
      </c>
      <c r="O70" s="290"/>
      <c r="P70" s="31"/>
    </row>
    <row r="71" spans="1:16" ht="20.100000000000001" hidden="1" customHeight="1" outlineLevel="2">
      <c r="A71" s="291"/>
      <c r="B71" s="51"/>
      <c r="C71" s="51">
        <v>4</v>
      </c>
      <c r="D71" s="51">
        <v>1</v>
      </c>
      <c r="E71" s="51">
        <v>1</v>
      </c>
      <c r="F71" s="51">
        <f>D71*E71</f>
        <v>1</v>
      </c>
      <c r="G71" s="51">
        <v>4</v>
      </c>
      <c r="H71" s="51"/>
      <c r="I71" s="32"/>
      <c r="J71" s="51"/>
      <c r="K71" s="51"/>
      <c r="L71" s="51"/>
      <c r="M71" s="51"/>
      <c r="N71" s="51"/>
      <c r="O71" s="290">
        <f>6.21*G71*F71</f>
        <v>24.84</v>
      </c>
      <c r="P71" s="31"/>
    </row>
    <row r="72" spans="1:16" ht="20.100000000000001" hidden="1" customHeight="1" outlineLevel="2">
      <c r="A72" s="291"/>
      <c r="B72" s="51"/>
      <c r="C72" s="51">
        <v>4</v>
      </c>
      <c r="D72" s="51">
        <v>1</v>
      </c>
      <c r="E72" s="51">
        <v>6</v>
      </c>
      <c r="F72" s="51">
        <f t="shared" si="3"/>
        <v>6</v>
      </c>
      <c r="G72" s="51">
        <v>4</v>
      </c>
      <c r="H72" s="51"/>
      <c r="I72" s="32"/>
      <c r="J72" s="51"/>
      <c r="K72" s="51"/>
      <c r="L72" s="51"/>
      <c r="M72" s="51"/>
      <c r="N72" s="51">
        <f>4*G72*F72</f>
        <v>96</v>
      </c>
      <c r="O72" s="290"/>
      <c r="P72" s="31"/>
    </row>
    <row r="73" spans="1:16" ht="20.100000000000001" hidden="1" customHeight="1" outlineLevel="2">
      <c r="A73" s="291"/>
      <c r="B73" s="51"/>
      <c r="C73" s="51">
        <v>3.5</v>
      </c>
      <c r="D73" s="51">
        <v>1</v>
      </c>
      <c r="E73" s="51">
        <v>3</v>
      </c>
      <c r="F73" s="51">
        <f t="shared" ref="F73:F79" si="4">D73*E73</f>
        <v>3</v>
      </c>
      <c r="G73" s="51">
        <v>3.5</v>
      </c>
      <c r="H73" s="51"/>
      <c r="I73" s="32"/>
      <c r="J73" s="51"/>
      <c r="K73" s="51"/>
      <c r="L73" s="51"/>
      <c r="M73" s="51"/>
      <c r="N73" s="51">
        <f>4*G73*F73</f>
        <v>42</v>
      </c>
      <c r="O73" s="290"/>
      <c r="P73" s="31"/>
    </row>
    <row r="74" spans="1:16" ht="41.25" hidden="1" customHeight="1" outlineLevel="2">
      <c r="A74" s="291"/>
      <c r="B74" s="51"/>
      <c r="C74" s="51">
        <f>(0.55*2)+(0.55*2)+(0.05*2)</f>
        <v>2.3000000000000003</v>
      </c>
      <c r="D74" s="51">
        <v>1</v>
      </c>
      <c r="E74" s="51">
        <v>4</v>
      </c>
      <c r="F74" s="51">
        <f t="shared" si="4"/>
        <v>4</v>
      </c>
      <c r="G74" s="51">
        <f t="shared" ref="G74:G79" si="5">C74</f>
        <v>2.3000000000000003</v>
      </c>
      <c r="H74" s="51"/>
      <c r="I74" s="32"/>
      <c r="J74" s="51">
        <f>0.56*F74*G74</f>
        <v>5.152000000000001</v>
      </c>
      <c r="K74" s="51"/>
      <c r="L74" s="51"/>
      <c r="M74" s="51"/>
      <c r="N74" s="51"/>
      <c r="O74" s="290"/>
      <c r="P74" s="31"/>
    </row>
    <row r="75" spans="1:16" ht="41.25" hidden="1" customHeight="1" outlineLevel="2">
      <c r="A75" s="291"/>
      <c r="B75" s="52"/>
      <c r="C75" s="57">
        <f>0.65+0.05*2</f>
        <v>0.75</v>
      </c>
      <c r="D75" s="51">
        <v>1</v>
      </c>
      <c r="E75" s="51">
        <v>1</v>
      </c>
      <c r="F75" s="51">
        <f t="shared" si="4"/>
        <v>1</v>
      </c>
      <c r="G75" s="51">
        <f t="shared" si="5"/>
        <v>0.75</v>
      </c>
      <c r="H75" s="51"/>
      <c r="I75" s="32"/>
      <c r="J75" s="51"/>
      <c r="K75" s="51"/>
      <c r="L75" s="51"/>
      <c r="M75" s="51"/>
      <c r="N75" s="51"/>
      <c r="O75" s="290"/>
      <c r="P75" s="31"/>
    </row>
    <row r="76" spans="1:16" ht="41.25" hidden="1" customHeight="1" outlineLevel="2">
      <c r="A76" s="291"/>
      <c r="B76" s="51"/>
      <c r="C76" s="57">
        <f>(0.55*2)+(0.55*2)+(0.05*2)</f>
        <v>2.3000000000000003</v>
      </c>
      <c r="D76" s="51">
        <v>1</v>
      </c>
      <c r="E76" s="51">
        <v>83</v>
      </c>
      <c r="F76" s="51">
        <f t="shared" si="4"/>
        <v>83</v>
      </c>
      <c r="G76" s="51">
        <f t="shared" si="5"/>
        <v>2.3000000000000003</v>
      </c>
      <c r="H76" s="51"/>
      <c r="I76" s="32"/>
      <c r="J76" s="51"/>
      <c r="K76" s="51">
        <f>F76*G76</f>
        <v>190.90000000000003</v>
      </c>
      <c r="L76" s="51"/>
      <c r="M76" s="51"/>
      <c r="N76" s="51"/>
      <c r="O76" s="290"/>
      <c r="P76" s="31"/>
    </row>
    <row r="77" spans="1:16" ht="41.25" hidden="1" customHeight="1" outlineLevel="2">
      <c r="A77" s="291"/>
      <c r="B77" s="52"/>
      <c r="C77" s="57">
        <f>0.65+0.05*2</f>
        <v>0.75</v>
      </c>
      <c r="D77" s="51">
        <v>1</v>
      </c>
      <c r="E77" s="51">
        <v>1</v>
      </c>
      <c r="F77" s="51">
        <f t="shared" si="4"/>
        <v>1</v>
      </c>
      <c r="G77" s="51">
        <f t="shared" si="5"/>
        <v>0.75</v>
      </c>
      <c r="H77" s="51"/>
      <c r="I77" s="32"/>
      <c r="J77" s="51"/>
      <c r="K77" s="51"/>
      <c r="L77" s="51"/>
      <c r="M77" s="51"/>
      <c r="N77" s="51"/>
      <c r="O77" s="290"/>
      <c r="P77" s="31"/>
    </row>
    <row r="78" spans="1:16" ht="41.25" hidden="1" customHeight="1" outlineLevel="2">
      <c r="A78" s="291"/>
      <c r="B78" s="51"/>
      <c r="C78" s="57">
        <f>(0.55*2)+(0.55*2)+(0.05*2)</f>
        <v>2.3000000000000003</v>
      </c>
      <c r="D78" s="51">
        <v>1</v>
      </c>
      <c r="E78" s="51">
        <v>50</v>
      </c>
      <c r="F78" s="51">
        <f t="shared" si="4"/>
        <v>50</v>
      </c>
      <c r="G78" s="51">
        <f t="shared" si="5"/>
        <v>2.3000000000000003</v>
      </c>
      <c r="H78" s="51"/>
      <c r="I78" s="32"/>
      <c r="J78" s="51"/>
      <c r="K78" s="51"/>
      <c r="L78" s="51">
        <f>1.55*F78*G78</f>
        <v>178.25000000000003</v>
      </c>
      <c r="M78" s="51"/>
      <c r="N78" s="51"/>
      <c r="O78" s="290"/>
      <c r="P78" s="31"/>
    </row>
    <row r="79" spans="1:16" ht="41.25" hidden="1" customHeight="1" outlineLevel="2">
      <c r="A79" s="291"/>
      <c r="B79" s="52"/>
      <c r="C79" s="51">
        <f>0.65+0.05*2</f>
        <v>0.75</v>
      </c>
      <c r="D79" s="51">
        <v>1</v>
      </c>
      <c r="E79" s="51">
        <v>1</v>
      </c>
      <c r="F79" s="51">
        <f t="shared" si="4"/>
        <v>1</v>
      </c>
      <c r="G79" s="51">
        <f t="shared" si="5"/>
        <v>0.75</v>
      </c>
      <c r="H79" s="51"/>
      <c r="I79" s="32"/>
      <c r="J79" s="51"/>
      <c r="K79" s="51"/>
      <c r="L79" s="51"/>
      <c r="M79" s="51"/>
      <c r="N79" s="51"/>
      <c r="O79" s="290"/>
      <c r="P79" s="31"/>
    </row>
    <row r="80" spans="1:16" ht="20.100000000000001" hidden="1" customHeight="1" outlineLevel="2">
      <c r="A80" s="2192" t="s">
        <v>196</v>
      </c>
      <c r="B80" s="2193"/>
      <c r="C80" s="2193"/>
      <c r="D80" s="2193"/>
      <c r="E80" s="2193"/>
      <c r="F80" s="2193"/>
      <c r="G80" s="2194"/>
      <c r="H80" s="561">
        <f>SUM(H46:H79)</f>
        <v>0</v>
      </c>
      <c r="I80" s="561">
        <f t="shared" ref="I80:O80" si="6">SUM(I46:I79)</f>
        <v>0</v>
      </c>
      <c r="J80" s="561">
        <f t="shared" si="6"/>
        <v>10.352</v>
      </c>
      <c r="K80" s="561">
        <f t="shared" si="6"/>
        <v>190.90000000000003</v>
      </c>
      <c r="L80" s="561">
        <f t="shared" si="6"/>
        <v>201.77000000000004</v>
      </c>
      <c r="M80" s="561">
        <f t="shared" si="6"/>
        <v>35.700000000000003</v>
      </c>
      <c r="N80" s="561">
        <f t="shared" si="6"/>
        <v>785.59999999999991</v>
      </c>
      <c r="O80" s="562">
        <f t="shared" si="6"/>
        <v>1228.338</v>
      </c>
      <c r="P80" s="31"/>
    </row>
    <row r="81" spans="1:50" ht="20.100000000000001" hidden="1" customHeight="1" outlineLevel="2">
      <c r="A81" s="2217" t="s">
        <v>199</v>
      </c>
      <c r="B81" s="2218"/>
      <c r="C81" s="2218"/>
      <c r="D81" s="2218"/>
      <c r="E81" s="2218"/>
      <c r="F81" s="2218"/>
      <c r="G81" s="2219"/>
      <c r="H81" s="2220">
        <f>SUM(H80:O80)</f>
        <v>2452.66</v>
      </c>
      <c r="I81" s="2221"/>
      <c r="J81" s="2221"/>
      <c r="K81" s="2221"/>
      <c r="L81" s="2221"/>
      <c r="M81" s="2221"/>
      <c r="N81" s="2221"/>
      <c r="O81" s="2222"/>
      <c r="P81" s="31"/>
    </row>
    <row r="82" spans="1:50" s="75" customFormat="1" ht="20.100000000000001" hidden="1" customHeight="1" outlineLevel="2">
      <c r="A82" s="2226"/>
      <c r="B82" s="2227"/>
      <c r="C82" s="2227"/>
      <c r="D82" s="2227"/>
      <c r="E82" s="2227"/>
      <c r="F82" s="2227"/>
      <c r="G82" s="2227"/>
      <c r="H82" s="2227"/>
      <c r="I82" s="2227"/>
      <c r="J82" s="2227"/>
      <c r="K82" s="2227"/>
      <c r="L82" s="2227"/>
      <c r="M82" s="2227"/>
      <c r="N82" s="2227"/>
      <c r="O82" s="2228"/>
      <c r="P82" s="74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0.100000000000001" hidden="1" customHeight="1" outlineLevel="2">
      <c r="A83" s="289" t="s">
        <v>142</v>
      </c>
      <c r="B83" s="51"/>
      <c r="C83" s="51">
        <v>3</v>
      </c>
      <c r="D83" s="51">
        <v>1</v>
      </c>
      <c r="E83" s="51">
        <f t="shared" ref="E83:E112" si="7">D83*F83</f>
        <v>3</v>
      </c>
      <c r="F83" s="51">
        <v>3</v>
      </c>
      <c r="G83" s="51">
        <v>3</v>
      </c>
      <c r="H83" s="51"/>
      <c r="I83" s="51"/>
      <c r="J83" s="51"/>
      <c r="K83" s="51"/>
      <c r="L83" s="51"/>
      <c r="M83" s="51"/>
      <c r="N83" s="51"/>
      <c r="O83" s="290">
        <f>6.21*G83*E83</f>
        <v>55.89</v>
      </c>
      <c r="P83" s="62"/>
    </row>
    <row r="84" spans="1:50" ht="20.100000000000001" hidden="1" customHeight="1" outlineLevel="2">
      <c r="A84" s="291"/>
      <c r="B84" s="51"/>
      <c r="C84" s="51">
        <v>7</v>
      </c>
      <c r="D84" s="51">
        <v>1</v>
      </c>
      <c r="E84" s="51">
        <f t="shared" si="7"/>
        <v>3</v>
      </c>
      <c r="F84" s="51">
        <v>3</v>
      </c>
      <c r="G84" s="51">
        <v>7</v>
      </c>
      <c r="H84" s="51"/>
      <c r="I84" s="51"/>
      <c r="J84" s="51"/>
      <c r="K84" s="51"/>
      <c r="L84" s="51"/>
      <c r="M84" s="51"/>
      <c r="N84" s="51"/>
      <c r="O84" s="290">
        <f>6.21*G84*E84</f>
        <v>130.41</v>
      </c>
      <c r="P84" s="62"/>
    </row>
    <row r="85" spans="1:50" ht="20.100000000000001" hidden="1" customHeight="1" outlineLevel="2">
      <c r="A85" s="291"/>
      <c r="B85" s="51"/>
      <c r="C85" s="51">
        <v>2.9</v>
      </c>
      <c r="D85" s="51">
        <v>1</v>
      </c>
      <c r="E85" s="51">
        <f t="shared" si="7"/>
        <v>3</v>
      </c>
      <c r="F85" s="51">
        <v>3</v>
      </c>
      <c r="G85" s="51">
        <v>2.9</v>
      </c>
      <c r="H85" s="51"/>
      <c r="I85" s="51"/>
      <c r="J85" s="51">
        <f>G85*E85</f>
        <v>8.6999999999999993</v>
      </c>
      <c r="K85" s="51"/>
      <c r="L85" s="51"/>
      <c r="M85" s="51"/>
      <c r="N85" s="51"/>
      <c r="O85" s="290"/>
      <c r="P85" s="62"/>
    </row>
    <row r="86" spans="1:50" ht="20.100000000000001" hidden="1" customHeight="1" outlineLevel="2">
      <c r="A86" s="291"/>
      <c r="B86" s="51"/>
      <c r="C86" s="51">
        <v>4</v>
      </c>
      <c r="D86" s="51">
        <v>1</v>
      </c>
      <c r="E86" s="51">
        <f t="shared" si="7"/>
        <v>1</v>
      </c>
      <c r="F86" s="51">
        <v>1</v>
      </c>
      <c r="G86" s="51">
        <v>4</v>
      </c>
      <c r="H86" s="51"/>
      <c r="I86" s="51"/>
      <c r="J86" s="51"/>
      <c r="K86" s="51"/>
      <c r="L86" s="51"/>
      <c r="M86" s="51"/>
      <c r="N86" s="51"/>
      <c r="O86" s="290">
        <f>6.21*G86*E86</f>
        <v>24.84</v>
      </c>
      <c r="P86" s="62"/>
    </row>
    <row r="87" spans="1:50" ht="20.100000000000001" hidden="1" customHeight="1" outlineLevel="2">
      <c r="A87" s="291"/>
      <c r="B87" s="51"/>
      <c r="C87" s="51">
        <v>4</v>
      </c>
      <c r="D87" s="51">
        <v>1</v>
      </c>
      <c r="E87" s="51">
        <f t="shared" si="7"/>
        <v>1</v>
      </c>
      <c r="F87" s="51">
        <v>1</v>
      </c>
      <c r="G87" s="51">
        <v>4</v>
      </c>
      <c r="H87" s="51"/>
      <c r="I87" s="51"/>
      <c r="J87" s="51"/>
      <c r="K87" s="51"/>
      <c r="L87" s="51"/>
      <c r="M87" s="51"/>
      <c r="N87" s="51">
        <f>4*G87*E87</f>
        <v>16</v>
      </c>
      <c r="O87" s="290"/>
      <c r="P87" s="62"/>
    </row>
    <row r="88" spans="1:50" ht="20.100000000000001" hidden="1" customHeight="1" outlineLevel="2">
      <c r="A88" s="292"/>
      <c r="B88" s="51"/>
      <c r="C88" s="51">
        <v>7.6</v>
      </c>
      <c r="D88" s="51">
        <v>1</v>
      </c>
      <c r="E88" s="51">
        <f t="shared" si="7"/>
        <v>1</v>
      </c>
      <c r="F88" s="51">
        <v>1</v>
      </c>
      <c r="G88" s="51">
        <v>7.6</v>
      </c>
      <c r="H88" s="51"/>
      <c r="I88" s="51"/>
      <c r="J88" s="51"/>
      <c r="K88" s="51"/>
      <c r="L88" s="51"/>
      <c r="M88" s="51"/>
      <c r="N88" s="51"/>
      <c r="O88" s="290">
        <f>6.21*G88*E88</f>
        <v>47.195999999999998</v>
      </c>
      <c r="P88" s="62"/>
    </row>
    <row r="89" spans="1:50" ht="20.100000000000001" hidden="1" customHeight="1" outlineLevel="2">
      <c r="A89" s="291"/>
      <c r="B89" s="51"/>
      <c r="C89" s="51">
        <v>7.6</v>
      </c>
      <c r="D89" s="51">
        <v>1</v>
      </c>
      <c r="E89" s="51">
        <f t="shared" si="7"/>
        <v>1</v>
      </c>
      <c r="F89" s="51">
        <v>1</v>
      </c>
      <c r="G89" s="51">
        <v>7.6</v>
      </c>
      <c r="H89" s="51"/>
      <c r="I89" s="51"/>
      <c r="J89" s="51"/>
      <c r="K89" s="51"/>
      <c r="L89" s="51"/>
      <c r="M89" s="51"/>
      <c r="N89" s="51">
        <f>4*G89*E89</f>
        <v>30.4</v>
      </c>
      <c r="O89" s="290"/>
      <c r="P89" s="62"/>
    </row>
    <row r="90" spans="1:50" ht="20.100000000000001" hidden="1" customHeight="1" outlineLevel="2">
      <c r="A90" s="291"/>
      <c r="B90" s="51"/>
      <c r="C90" s="51">
        <v>6.5</v>
      </c>
      <c r="D90" s="51">
        <v>1</v>
      </c>
      <c r="E90" s="51">
        <f t="shared" si="7"/>
        <v>2</v>
      </c>
      <c r="F90" s="51">
        <v>2</v>
      </c>
      <c r="G90" s="51">
        <v>6.5</v>
      </c>
      <c r="H90" s="51"/>
      <c r="I90" s="51"/>
      <c r="J90" s="51"/>
      <c r="K90" s="51"/>
      <c r="L90" s="51"/>
      <c r="M90" s="51"/>
      <c r="N90" s="51"/>
      <c r="O90" s="290">
        <f>6.21*G90*E90</f>
        <v>80.73</v>
      </c>
      <c r="P90" s="62"/>
    </row>
    <row r="91" spans="1:50" ht="20.100000000000001" hidden="1" customHeight="1" outlineLevel="2">
      <c r="A91" s="291"/>
      <c r="B91" s="51"/>
      <c r="C91" s="51">
        <v>10</v>
      </c>
      <c r="D91" s="51">
        <v>1</v>
      </c>
      <c r="E91" s="51">
        <f t="shared" si="7"/>
        <v>1</v>
      </c>
      <c r="F91" s="51">
        <v>1</v>
      </c>
      <c r="G91" s="51">
        <v>10</v>
      </c>
      <c r="H91" s="51"/>
      <c r="I91" s="51"/>
      <c r="J91" s="51"/>
      <c r="K91" s="51"/>
      <c r="L91" s="51"/>
      <c r="M91" s="51"/>
      <c r="N91" s="51"/>
      <c r="O91" s="290">
        <f>6.21*G91*E91</f>
        <v>62.1</v>
      </c>
      <c r="P91" s="62"/>
    </row>
    <row r="92" spans="1:50" ht="20.100000000000001" hidden="1" customHeight="1" outlineLevel="2">
      <c r="A92" s="291"/>
      <c r="B92" s="51"/>
      <c r="C92" s="51">
        <v>10</v>
      </c>
      <c r="D92" s="51">
        <v>1</v>
      </c>
      <c r="E92" s="51">
        <f t="shared" si="7"/>
        <v>1</v>
      </c>
      <c r="F92" s="51">
        <v>1</v>
      </c>
      <c r="G92" s="51">
        <v>10</v>
      </c>
      <c r="H92" s="51"/>
      <c r="I92" s="51"/>
      <c r="J92" s="51"/>
      <c r="K92" s="51"/>
      <c r="L92" s="51"/>
      <c r="M92" s="51"/>
      <c r="N92" s="51">
        <f>4*G92*E92</f>
        <v>40</v>
      </c>
      <c r="O92" s="290"/>
      <c r="P92" s="62"/>
    </row>
    <row r="93" spans="1:50" ht="20.100000000000001" hidden="1" customHeight="1" outlineLevel="2">
      <c r="A93" s="291"/>
      <c r="B93" s="51"/>
      <c r="C93" s="51">
        <v>3</v>
      </c>
      <c r="D93" s="51">
        <v>1</v>
      </c>
      <c r="E93" s="51">
        <f t="shared" si="7"/>
        <v>1</v>
      </c>
      <c r="F93" s="51">
        <v>1</v>
      </c>
      <c r="G93" s="51">
        <v>3</v>
      </c>
      <c r="H93" s="51"/>
      <c r="I93" s="51"/>
      <c r="J93" s="51"/>
      <c r="K93" s="51"/>
      <c r="L93" s="51"/>
      <c r="M93" s="51">
        <f>3*E93*G93*D93</f>
        <v>9</v>
      </c>
      <c r="N93" s="51"/>
      <c r="O93" s="290"/>
      <c r="P93" s="62"/>
    </row>
    <row r="94" spans="1:50" ht="20.100000000000001" hidden="1" customHeight="1" outlineLevel="2">
      <c r="A94" s="291"/>
      <c r="B94" s="51"/>
      <c r="C94" s="51">
        <v>3</v>
      </c>
      <c r="D94" s="51">
        <v>1</v>
      </c>
      <c r="E94" s="51">
        <f t="shared" si="7"/>
        <v>2</v>
      </c>
      <c r="F94" s="51">
        <v>2</v>
      </c>
      <c r="G94" s="51">
        <v>3</v>
      </c>
      <c r="H94" s="51"/>
      <c r="I94" s="51"/>
      <c r="J94" s="51"/>
      <c r="K94" s="51"/>
      <c r="L94" s="51">
        <f>2.24*G94*E94</f>
        <v>13.440000000000001</v>
      </c>
      <c r="M94" s="51"/>
      <c r="N94" s="51"/>
      <c r="O94" s="290"/>
      <c r="P94" s="62"/>
    </row>
    <row r="95" spans="1:50" ht="20.100000000000001" hidden="1" customHeight="1" outlineLevel="2">
      <c r="A95" s="291"/>
      <c r="B95" s="51"/>
      <c r="C95" s="51">
        <v>7</v>
      </c>
      <c r="D95" s="51">
        <v>1</v>
      </c>
      <c r="E95" s="51">
        <f t="shared" si="7"/>
        <v>2</v>
      </c>
      <c r="F95" s="51">
        <v>2</v>
      </c>
      <c r="G95" s="51">
        <v>7</v>
      </c>
      <c r="H95" s="51"/>
      <c r="I95" s="51"/>
      <c r="J95" s="51"/>
      <c r="K95" s="51"/>
      <c r="L95" s="51"/>
      <c r="M95" s="51"/>
      <c r="N95" s="51"/>
      <c r="O95" s="290">
        <f>6.21*G95*E95</f>
        <v>86.94</v>
      </c>
      <c r="P95" s="62"/>
    </row>
    <row r="96" spans="1:50" ht="33" hidden="1" customHeight="1" outlineLevel="2">
      <c r="A96" s="291"/>
      <c r="B96" s="51"/>
      <c r="C96" s="51">
        <v>7</v>
      </c>
      <c r="D96" s="51">
        <v>1</v>
      </c>
      <c r="E96" s="51">
        <f t="shared" si="7"/>
        <v>1</v>
      </c>
      <c r="F96" s="51">
        <v>1</v>
      </c>
      <c r="G96" s="51">
        <v>7</v>
      </c>
      <c r="H96" s="51"/>
      <c r="I96" s="51"/>
      <c r="J96" s="51"/>
      <c r="K96" s="51"/>
      <c r="L96" s="51"/>
      <c r="M96" s="51"/>
      <c r="N96" s="51">
        <f>4*G96*E96</f>
        <v>28</v>
      </c>
      <c r="O96" s="290"/>
      <c r="P96" s="62"/>
    </row>
    <row r="97" spans="1:16" ht="33" hidden="1" customHeight="1" outlineLevel="2">
      <c r="A97" s="291"/>
      <c r="B97" s="51"/>
      <c r="C97" s="51">
        <v>4.5</v>
      </c>
      <c r="D97" s="51">
        <v>1</v>
      </c>
      <c r="E97" s="51">
        <f t="shared" si="7"/>
        <v>3</v>
      </c>
      <c r="F97" s="51">
        <v>3</v>
      </c>
      <c r="G97" s="51">
        <v>4.5</v>
      </c>
      <c r="H97" s="51"/>
      <c r="I97" s="51"/>
      <c r="J97" s="51"/>
      <c r="K97" s="51"/>
      <c r="L97" s="51"/>
      <c r="M97" s="51"/>
      <c r="N97" s="51"/>
      <c r="O97" s="290">
        <f>6.21*G97*E97</f>
        <v>83.835000000000008</v>
      </c>
      <c r="P97" s="62"/>
    </row>
    <row r="98" spans="1:16" ht="20.100000000000001" hidden="1" customHeight="1" outlineLevel="2">
      <c r="A98" s="291"/>
      <c r="B98" s="51"/>
      <c r="C98" s="51">
        <v>4.5</v>
      </c>
      <c r="D98" s="51">
        <v>1</v>
      </c>
      <c r="E98" s="51">
        <f t="shared" si="7"/>
        <v>1</v>
      </c>
      <c r="F98" s="51">
        <v>1</v>
      </c>
      <c r="G98" s="51">
        <v>4.5</v>
      </c>
      <c r="H98" s="51"/>
      <c r="I98" s="51"/>
      <c r="J98" s="51"/>
      <c r="K98" s="51"/>
      <c r="L98" s="51"/>
      <c r="M98" s="51"/>
      <c r="N98" s="51">
        <f>4*G98*E98</f>
        <v>18</v>
      </c>
      <c r="O98" s="290"/>
      <c r="P98" s="62"/>
    </row>
    <row r="99" spans="1:16" ht="20.100000000000001" hidden="1" customHeight="1" outlineLevel="2">
      <c r="A99" s="291"/>
      <c r="B99" s="51"/>
      <c r="C99" s="51">
        <v>2.5</v>
      </c>
      <c r="D99" s="51">
        <v>1</v>
      </c>
      <c r="E99" s="51">
        <f t="shared" si="7"/>
        <v>3</v>
      </c>
      <c r="F99" s="51">
        <v>3</v>
      </c>
      <c r="G99" s="51">
        <v>2.5</v>
      </c>
      <c r="H99" s="51"/>
      <c r="I99" s="51"/>
      <c r="J99" s="51"/>
      <c r="K99" s="51"/>
      <c r="L99" s="51">
        <f>2.24*G99*E99</f>
        <v>16.8</v>
      </c>
      <c r="M99" s="51"/>
      <c r="N99" s="51"/>
      <c r="O99" s="290"/>
      <c r="P99" s="62"/>
    </row>
    <row r="100" spans="1:16" ht="20.100000000000001" hidden="1" customHeight="1" outlineLevel="2">
      <c r="A100" s="291"/>
      <c r="B100" s="51"/>
      <c r="C100" s="51">
        <v>4</v>
      </c>
      <c r="D100" s="51">
        <v>1</v>
      </c>
      <c r="E100" s="51">
        <f t="shared" si="7"/>
        <v>6</v>
      </c>
      <c r="F100" s="51">
        <v>6</v>
      </c>
      <c r="G100" s="51">
        <v>4</v>
      </c>
      <c r="H100" s="51"/>
      <c r="I100" s="51"/>
      <c r="J100" s="51"/>
      <c r="K100" s="51"/>
      <c r="L100" s="51"/>
      <c r="M100" s="51"/>
      <c r="N100" s="51">
        <f>4*G100*E100</f>
        <v>96</v>
      </c>
      <c r="O100" s="290"/>
      <c r="P100" s="62"/>
    </row>
    <row r="101" spans="1:16" ht="20.100000000000001" hidden="1" customHeight="1" outlineLevel="2">
      <c r="A101" s="291"/>
      <c r="B101" s="51"/>
      <c r="C101" s="51">
        <v>4</v>
      </c>
      <c r="D101" s="51">
        <v>1</v>
      </c>
      <c r="E101" s="51">
        <f t="shared" si="7"/>
        <v>1</v>
      </c>
      <c r="F101" s="51">
        <v>1</v>
      </c>
      <c r="G101" s="51">
        <v>4</v>
      </c>
      <c r="H101" s="51"/>
      <c r="I101" s="51"/>
      <c r="J101" s="51"/>
      <c r="K101" s="51"/>
      <c r="L101" s="51"/>
      <c r="M101" s="51">
        <f>3*E101*G101*D101</f>
        <v>12</v>
      </c>
      <c r="N101" s="51"/>
      <c r="O101" s="290"/>
      <c r="P101" s="62"/>
    </row>
    <row r="102" spans="1:16" ht="20.100000000000001" hidden="1" customHeight="1" outlineLevel="2">
      <c r="A102" s="291"/>
      <c r="B102" s="51"/>
      <c r="C102" s="51">
        <v>7.2</v>
      </c>
      <c r="D102" s="51">
        <v>1</v>
      </c>
      <c r="E102" s="51">
        <f t="shared" si="7"/>
        <v>3</v>
      </c>
      <c r="F102" s="51">
        <v>3</v>
      </c>
      <c r="G102" s="51">
        <v>7.2</v>
      </c>
      <c r="H102" s="51"/>
      <c r="I102" s="51"/>
      <c r="J102" s="51"/>
      <c r="K102" s="51"/>
      <c r="L102" s="51"/>
      <c r="M102" s="51"/>
      <c r="N102" s="51"/>
      <c r="O102" s="290">
        <f>6.21*G102*E102</f>
        <v>134.13600000000002</v>
      </c>
      <c r="P102" s="62"/>
    </row>
    <row r="103" spans="1:16" ht="20.100000000000001" hidden="1" customHeight="1" outlineLevel="2">
      <c r="A103" s="291"/>
      <c r="B103" s="51"/>
      <c r="C103" s="51">
        <v>6.6</v>
      </c>
      <c r="D103" s="51">
        <v>1</v>
      </c>
      <c r="E103" s="51">
        <f t="shared" si="7"/>
        <v>1</v>
      </c>
      <c r="F103" s="51">
        <v>1</v>
      </c>
      <c r="G103" s="51">
        <v>6.6</v>
      </c>
      <c r="H103" s="51"/>
      <c r="I103" s="51"/>
      <c r="J103" s="51"/>
      <c r="K103" s="51"/>
      <c r="L103" s="51"/>
      <c r="M103" s="51"/>
      <c r="N103" s="51"/>
      <c r="O103" s="290">
        <f>6.21*G103*E103</f>
        <v>40.985999999999997</v>
      </c>
      <c r="P103" s="62"/>
    </row>
    <row r="104" spans="1:16" ht="20.100000000000001" hidden="1" customHeight="1" outlineLevel="2">
      <c r="A104" s="291"/>
      <c r="B104" s="51"/>
      <c r="C104" s="51">
        <v>6.6</v>
      </c>
      <c r="D104" s="51">
        <v>1</v>
      </c>
      <c r="E104" s="51">
        <f t="shared" si="7"/>
        <v>1</v>
      </c>
      <c r="F104" s="51">
        <v>1</v>
      </c>
      <c r="G104" s="51">
        <v>6.6</v>
      </c>
      <c r="H104" s="51"/>
      <c r="I104" s="51"/>
      <c r="J104" s="51"/>
      <c r="K104" s="51"/>
      <c r="L104" s="51"/>
      <c r="M104" s="51"/>
      <c r="N104" s="51">
        <f>4*G104*E104</f>
        <v>26.4</v>
      </c>
      <c r="O104" s="290"/>
      <c r="P104" s="62"/>
    </row>
    <row r="105" spans="1:16" ht="20.100000000000001" hidden="1" customHeight="1" outlineLevel="2">
      <c r="A105" s="291"/>
      <c r="B105" s="51"/>
      <c r="C105" s="51">
        <v>9</v>
      </c>
      <c r="D105" s="51">
        <v>1</v>
      </c>
      <c r="E105" s="51">
        <f t="shared" si="7"/>
        <v>1</v>
      </c>
      <c r="F105" s="51">
        <v>1</v>
      </c>
      <c r="G105" s="51">
        <v>9</v>
      </c>
      <c r="H105" s="51"/>
      <c r="I105" s="51"/>
      <c r="J105" s="51"/>
      <c r="K105" s="51"/>
      <c r="L105" s="51"/>
      <c r="M105" s="51"/>
      <c r="N105" s="51"/>
      <c r="O105" s="290">
        <f>6.21*G105*E105</f>
        <v>55.89</v>
      </c>
      <c r="P105" s="62"/>
    </row>
    <row r="106" spans="1:16" ht="20.100000000000001" hidden="1" customHeight="1" outlineLevel="2">
      <c r="A106" s="291"/>
      <c r="B106" s="51"/>
      <c r="C106" s="51">
        <v>9</v>
      </c>
      <c r="D106" s="51">
        <v>1</v>
      </c>
      <c r="E106" s="51">
        <f t="shared" si="7"/>
        <v>1</v>
      </c>
      <c r="F106" s="51">
        <v>1</v>
      </c>
      <c r="G106" s="51">
        <v>9</v>
      </c>
      <c r="H106" s="51"/>
      <c r="I106" s="51"/>
      <c r="J106" s="51"/>
      <c r="K106" s="51"/>
      <c r="L106" s="51"/>
      <c r="M106" s="51"/>
      <c r="N106" s="51">
        <f>4*G106*E106</f>
        <v>36</v>
      </c>
      <c r="O106" s="290"/>
      <c r="P106" s="62"/>
    </row>
    <row r="107" spans="1:16" ht="20.100000000000001" hidden="1" customHeight="1" outlineLevel="2">
      <c r="A107" s="291"/>
      <c r="B107" s="51"/>
      <c r="C107" s="51">
        <v>4</v>
      </c>
      <c r="D107" s="51">
        <v>1</v>
      </c>
      <c r="E107" s="51">
        <f t="shared" si="7"/>
        <v>1</v>
      </c>
      <c r="F107" s="51">
        <v>1</v>
      </c>
      <c r="G107" s="51">
        <v>4</v>
      </c>
      <c r="H107" s="51"/>
      <c r="I107" s="51"/>
      <c r="J107" s="51"/>
      <c r="K107" s="51"/>
      <c r="L107" s="51"/>
      <c r="M107" s="51"/>
      <c r="N107" s="51"/>
      <c r="O107" s="290">
        <f>6.21*G107*E107</f>
        <v>24.84</v>
      </c>
      <c r="P107" s="62"/>
    </row>
    <row r="108" spans="1:16" ht="27.75" hidden="1" customHeight="1" outlineLevel="2">
      <c r="A108" s="291"/>
      <c r="B108" s="51"/>
      <c r="C108" s="51">
        <v>4</v>
      </c>
      <c r="D108" s="51">
        <v>1</v>
      </c>
      <c r="E108" s="51">
        <f t="shared" si="7"/>
        <v>1</v>
      </c>
      <c r="F108" s="51">
        <v>1</v>
      </c>
      <c r="G108" s="51">
        <v>4</v>
      </c>
      <c r="H108" s="51"/>
      <c r="I108" s="51"/>
      <c r="J108" s="51"/>
      <c r="K108" s="51"/>
      <c r="L108" s="51"/>
      <c r="M108" s="51"/>
      <c r="N108" s="51">
        <f>4*G108*E108</f>
        <v>16</v>
      </c>
      <c r="O108" s="290"/>
      <c r="P108" s="62"/>
    </row>
    <row r="109" spans="1:16" ht="20.100000000000001" hidden="1" customHeight="1" outlineLevel="2">
      <c r="A109" s="291"/>
      <c r="B109" s="51"/>
      <c r="C109" s="51">
        <v>7</v>
      </c>
      <c r="D109" s="51">
        <v>1</v>
      </c>
      <c r="E109" s="51">
        <f t="shared" si="7"/>
        <v>3</v>
      </c>
      <c r="F109" s="51">
        <v>3</v>
      </c>
      <c r="G109" s="51">
        <v>7</v>
      </c>
      <c r="H109" s="51"/>
      <c r="I109" s="51"/>
      <c r="J109" s="51"/>
      <c r="K109" s="51"/>
      <c r="L109" s="51"/>
      <c r="M109" s="51">
        <f>3*E109*G109*D109</f>
        <v>63</v>
      </c>
      <c r="N109" s="51"/>
      <c r="O109" s="290"/>
      <c r="P109" s="62"/>
    </row>
    <row r="110" spans="1:16" ht="20.100000000000001" hidden="1" customHeight="1" outlineLevel="2">
      <c r="A110" s="291"/>
      <c r="B110" s="51"/>
      <c r="C110" s="51">
        <v>3.8</v>
      </c>
      <c r="D110" s="51">
        <v>1</v>
      </c>
      <c r="E110" s="51">
        <f t="shared" si="7"/>
        <v>1</v>
      </c>
      <c r="F110" s="51">
        <v>1</v>
      </c>
      <c r="G110" s="51">
        <v>3.8</v>
      </c>
      <c r="H110" s="51"/>
      <c r="I110" s="51"/>
      <c r="J110" s="51"/>
      <c r="K110" s="51"/>
      <c r="L110" s="51"/>
      <c r="M110" s="51"/>
      <c r="N110" s="51">
        <f>4*G110*E110</f>
        <v>15.2</v>
      </c>
      <c r="O110" s="290"/>
      <c r="P110" s="62"/>
    </row>
    <row r="111" spans="1:16" ht="43.5" hidden="1" customHeight="1" outlineLevel="2">
      <c r="A111" s="291"/>
      <c r="B111" s="51"/>
      <c r="C111" s="51">
        <f>(0.35*2)+(0.55*2)+(0.05*2)</f>
        <v>1.9000000000000001</v>
      </c>
      <c r="D111" s="51">
        <v>1</v>
      </c>
      <c r="E111" s="51">
        <f t="shared" si="7"/>
        <v>10</v>
      </c>
      <c r="F111" s="51">
        <v>10</v>
      </c>
      <c r="G111" s="51">
        <f>C111</f>
        <v>1.9000000000000001</v>
      </c>
      <c r="H111" s="51"/>
      <c r="I111" s="51">
        <f>0.56*F111*G111</f>
        <v>10.640000000000002</v>
      </c>
      <c r="J111" s="51"/>
      <c r="K111" s="51"/>
      <c r="L111" s="51"/>
      <c r="M111" s="51"/>
      <c r="N111" s="51"/>
      <c r="O111" s="290"/>
      <c r="P111" s="62"/>
    </row>
    <row r="112" spans="1:16" ht="44.25" hidden="1" customHeight="1" outlineLevel="2">
      <c r="A112" s="293"/>
      <c r="B112" s="57"/>
      <c r="C112" s="51">
        <f>(0.35*2)+(0.55*2)+(0.05*2)</f>
        <v>1.9000000000000001</v>
      </c>
      <c r="D112" s="51">
        <v>1</v>
      </c>
      <c r="E112" s="51">
        <f t="shared" si="7"/>
        <v>131</v>
      </c>
      <c r="F112" s="51">
        <v>131</v>
      </c>
      <c r="G112" s="51">
        <f>C112</f>
        <v>1.9000000000000001</v>
      </c>
      <c r="H112" s="51"/>
      <c r="I112" s="51"/>
      <c r="J112" s="51"/>
      <c r="K112" s="51">
        <f>1.55*F112*G112</f>
        <v>385.79500000000007</v>
      </c>
      <c r="L112" s="51"/>
      <c r="M112" s="51"/>
      <c r="N112" s="51"/>
      <c r="O112" s="290"/>
      <c r="P112" s="62"/>
    </row>
    <row r="113" spans="1:50" ht="44.25" hidden="1" customHeight="1" outlineLevel="2">
      <c r="A113" s="293"/>
      <c r="B113" s="57"/>
      <c r="C113" s="51">
        <f>(0.35*2)+(0.55*2)+(0.05*2)</f>
        <v>1.9000000000000001</v>
      </c>
      <c r="D113" s="51">
        <v>1</v>
      </c>
      <c r="E113" s="51">
        <v>1</v>
      </c>
      <c r="F113" s="51">
        <v>1</v>
      </c>
      <c r="G113" s="51">
        <f>C113</f>
        <v>1.9000000000000001</v>
      </c>
      <c r="H113" s="51"/>
      <c r="I113" s="51"/>
      <c r="J113" s="51">
        <f>F113*G113</f>
        <v>1.9000000000000001</v>
      </c>
      <c r="K113" s="51"/>
      <c r="L113" s="51"/>
      <c r="M113" s="51"/>
      <c r="N113" s="51"/>
      <c r="O113" s="290"/>
      <c r="P113" s="62"/>
    </row>
    <row r="114" spans="1:50" ht="20.100000000000001" hidden="1" customHeight="1" outlineLevel="2">
      <c r="A114" s="2192" t="s">
        <v>196</v>
      </c>
      <c r="B114" s="2193"/>
      <c r="C114" s="2193"/>
      <c r="D114" s="2193"/>
      <c r="E114" s="2193"/>
      <c r="F114" s="2193"/>
      <c r="G114" s="2194"/>
      <c r="H114" s="561">
        <f>SUM(H83:H113)</f>
        <v>0</v>
      </c>
      <c r="I114" s="561">
        <f t="shared" ref="I114:O114" si="8">SUM(I83:I113)</f>
        <v>10.640000000000002</v>
      </c>
      <c r="J114" s="561">
        <f t="shared" si="8"/>
        <v>10.6</v>
      </c>
      <c r="K114" s="561">
        <f t="shared" si="8"/>
        <v>385.79500000000007</v>
      </c>
      <c r="L114" s="561">
        <f t="shared" si="8"/>
        <v>30.240000000000002</v>
      </c>
      <c r="M114" s="561">
        <f t="shared" si="8"/>
        <v>84</v>
      </c>
      <c r="N114" s="561">
        <f t="shared" si="8"/>
        <v>322</v>
      </c>
      <c r="O114" s="562">
        <f t="shared" si="8"/>
        <v>827.79300000000001</v>
      </c>
    </row>
    <row r="115" spans="1:50" ht="20.100000000000001" hidden="1" customHeight="1" outlineLevel="2">
      <c r="A115" s="2217" t="s">
        <v>200</v>
      </c>
      <c r="B115" s="2218"/>
      <c r="C115" s="2218"/>
      <c r="D115" s="2218"/>
      <c r="E115" s="2218"/>
      <c r="F115" s="2218"/>
      <c r="G115" s="2219"/>
      <c r="H115" s="2190">
        <f>SUM(H114:O114)</f>
        <v>1671.0680000000002</v>
      </c>
      <c r="I115" s="2190"/>
      <c r="J115" s="2190"/>
      <c r="K115" s="2190"/>
      <c r="L115" s="2190"/>
      <c r="M115" s="2190"/>
      <c r="N115" s="2190"/>
      <c r="O115" s="2191"/>
      <c r="P115" s="3"/>
    </row>
    <row r="116" spans="1:50" s="75" customFormat="1" ht="20.100000000000001" hidden="1" customHeight="1" outlineLevel="2">
      <c r="A116" s="2214"/>
      <c r="B116" s="2215"/>
      <c r="C116" s="2215"/>
      <c r="D116" s="2215"/>
      <c r="E116" s="2215"/>
      <c r="F116" s="2215"/>
      <c r="G116" s="2215"/>
      <c r="H116" s="2215"/>
      <c r="I116" s="2215"/>
      <c r="J116" s="2215"/>
      <c r="K116" s="2215"/>
      <c r="L116" s="2215"/>
      <c r="M116" s="2215"/>
      <c r="N116" s="2215"/>
      <c r="O116" s="2216"/>
      <c r="P116" s="74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0.100000000000001" hidden="1" customHeight="1" outlineLevel="2">
      <c r="A117" s="289" t="s">
        <v>143</v>
      </c>
      <c r="B117" s="51"/>
      <c r="C117" s="51">
        <v>5</v>
      </c>
      <c r="D117" s="51">
        <v>1</v>
      </c>
      <c r="E117" s="51">
        <f t="shared" ref="E117:E135" si="9">D117*F117</f>
        <v>3</v>
      </c>
      <c r="F117" s="51">
        <v>3</v>
      </c>
      <c r="G117" s="63">
        <f>C117</f>
        <v>5</v>
      </c>
      <c r="H117" s="51"/>
      <c r="I117" s="51"/>
      <c r="J117" s="51"/>
      <c r="K117" s="51"/>
      <c r="L117" s="51"/>
      <c r="M117" s="51"/>
      <c r="N117" s="51"/>
      <c r="O117" s="290">
        <f>6.21*C117*E117</f>
        <v>93.15</v>
      </c>
      <c r="P117" s="62"/>
    </row>
    <row r="118" spans="1:50" ht="20.100000000000001" hidden="1" customHeight="1" outlineLevel="2">
      <c r="A118" s="291"/>
      <c r="B118" s="51"/>
      <c r="C118" s="51">
        <v>9</v>
      </c>
      <c r="D118" s="51">
        <v>1</v>
      </c>
      <c r="E118" s="51">
        <f t="shared" si="9"/>
        <v>1</v>
      </c>
      <c r="F118" s="51">
        <v>1</v>
      </c>
      <c r="G118" s="63">
        <f t="shared" ref="G118:G135" si="10">C118</f>
        <v>9</v>
      </c>
      <c r="H118" s="51"/>
      <c r="I118" s="51"/>
      <c r="J118" s="51"/>
      <c r="K118" s="51"/>
      <c r="L118" s="51"/>
      <c r="M118" s="51"/>
      <c r="N118" s="51"/>
      <c r="O118" s="290">
        <f>6.21*C118*E118</f>
        <v>55.89</v>
      </c>
      <c r="P118" s="62"/>
    </row>
    <row r="119" spans="1:50" ht="20.100000000000001" hidden="1" customHeight="1" outlineLevel="2">
      <c r="A119" s="291"/>
      <c r="B119" s="51"/>
      <c r="C119" s="51">
        <v>9</v>
      </c>
      <c r="D119" s="51">
        <v>1</v>
      </c>
      <c r="E119" s="51">
        <f t="shared" si="9"/>
        <v>2</v>
      </c>
      <c r="F119" s="51">
        <v>2</v>
      </c>
      <c r="G119" s="63">
        <f t="shared" si="10"/>
        <v>9</v>
      </c>
      <c r="H119" s="51"/>
      <c r="I119" s="51"/>
      <c r="J119" s="51"/>
      <c r="K119" s="51"/>
      <c r="L119" s="51"/>
      <c r="M119" s="51"/>
      <c r="N119" s="51">
        <f>4*C119*E119</f>
        <v>72</v>
      </c>
      <c r="O119" s="290"/>
      <c r="P119" s="62"/>
    </row>
    <row r="120" spans="1:50" ht="20.100000000000001" hidden="1" customHeight="1" outlineLevel="2">
      <c r="A120" s="291"/>
      <c r="B120" s="51"/>
      <c r="C120" s="51">
        <v>4.2</v>
      </c>
      <c r="D120" s="51">
        <v>1</v>
      </c>
      <c r="E120" s="51">
        <f t="shared" si="9"/>
        <v>3</v>
      </c>
      <c r="F120" s="51">
        <v>3</v>
      </c>
      <c r="G120" s="63">
        <f t="shared" si="10"/>
        <v>4.2</v>
      </c>
      <c r="H120" s="51"/>
      <c r="I120" s="51"/>
      <c r="J120" s="51"/>
      <c r="K120" s="51">
        <f>1.55*C120*E120*D120</f>
        <v>19.53</v>
      </c>
      <c r="L120" s="51"/>
      <c r="M120" s="51"/>
      <c r="N120" s="51"/>
      <c r="O120" s="290"/>
      <c r="P120" s="62"/>
    </row>
    <row r="121" spans="1:50" ht="20.100000000000001" hidden="1" customHeight="1" outlineLevel="2">
      <c r="A121" s="291"/>
      <c r="B121" s="51"/>
      <c r="C121" s="51">
        <v>4</v>
      </c>
      <c r="D121" s="51">
        <v>1</v>
      </c>
      <c r="E121" s="51">
        <f t="shared" si="9"/>
        <v>1</v>
      </c>
      <c r="F121" s="51">
        <v>1</v>
      </c>
      <c r="G121" s="63">
        <f t="shared" si="10"/>
        <v>4</v>
      </c>
      <c r="H121" s="51"/>
      <c r="I121" s="51"/>
      <c r="J121" s="51"/>
      <c r="K121" s="51"/>
      <c r="L121" s="51"/>
      <c r="M121" s="51"/>
      <c r="N121" s="51"/>
      <c r="O121" s="290">
        <f>6.21*C121*E121</f>
        <v>24.84</v>
      </c>
      <c r="P121" s="62"/>
    </row>
    <row r="122" spans="1:50" ht="20.100000000000001" hidden="1" customHeight="1" outlineLevel="2">
      <c r="A122" s="291"/>
      <c r="B122" s="51"/>
      <c r="C122" s="51">
        <v>4</v>
      </c>
      <c r="D122" s="51">
        <v>1</v>
      </c>
      <c r="E122" s="51">
        <f t="shared" si="9"/>
        <v>1</v>
      </c>
      <c r="F122" s="51">
        <v>1</v>
      </c>
      <c r="G122" s="63">
        <f t="shared" si="10"/>
        <v>4</v>
      </c>
      <c r="H122" s="51"/>
      <c r="I122" s="51"/>
      <c r="J122" s="51"/>
      <c r="K122" s="51"/>
      <c r="L122" s="51"/>
      <c r="M122" s="51"/>
      <c r="N122" s="51">
        <f>4*C122*E122</f>
        <v>16</v>
      </c>
      <c r="O122" s="290"/>
      <c r="P122" s="62"/>
    </row>
    <row r="123" spans="1:50" ht="20.100000000000001" hidden="1" customHeight="1" outlineLevel="2">
      <c r="A123" s="291"/>
      <c r="B123" s="51"/>
      <c r="C123" s="51">
        <v>9.1999999999999993</v>
      </c>
      <c r="D123" s="51">
        <v>1</v>
      </c>
      <c r="E123" s="51">
        <f t="shared" si="9"/>
        <v>1</v>
      </c>
      <c r="F123" s="51">
        <v>1</v>
      </c>
      <c r="G123" s="63">
        <f t="shared" si="10"/>
        <v>9.1999999999999993</v>
      </c>
      <c r="H123" s="51"/>
      <c r="I123" s="51"/>
      <c r="J123" s="51"/>
      <c r="K123" s="51"/>
      <c r="L123" s="51"/>
      <c r="M123" s="51"/>
      <c r="N123" s="51"/>
      <c r="O123" s="290">
        <f>6.21*C123*E123</f>
        <v>57.131999999999998</v>
      </c>
      <c r="P123" s="62"/>
    </row>
    <row r="124" spans="1:50" ht="20.100000000000001" hidden="1" customHeight="1" outlineLevel="2">
      <c r="A124" s="291"/>
      <c r="B124" s="51"/>
      <c r="C124" s="51">
        <v>9.1999999999999993</v>
      </c>
      <c r="D124" s="51">
        <v>1</v>
      </c>
      <c r="E124" s="51">
        <f t="shared" si="9"/>
        <v>1</v>
      </c>
      <c r="F124" s="51">
        <v>1</v>
      </c>
      <c r="G124" s="63">
        <f t="shared" si="10"/>
        <v>9.1999999999999993</v>
      </c>
      <c r="H124" s="51"/>
      <c r="I124" s="51"/>
      <c r="J124" s="51"/>
      <c r="K124" s="51"/>
      <c r="L124" s="51"/>
      <c r="M124" s="51"/>
      <c r="N124" s="51">
        <f>4*C124*E124</f>
        <v>36.799999999999997</v>
      </c>
      <c r="O124" s="290"/>
      <c r="P124" s="62"/>
    </row>
    <row r="125" spans="1:50" ht="20.100000000000001" hidden="1" customHeight="1" outlineLevel="2">
      <c r="A125" s="291"/>
      <c r="B125" s="51"/>
      <c r="C125" s="51">
        <v>4</v>
      </c>
      <c r="D125" s="51">
        <v>1</v>
      </c>
      <c r="E125" s="51">
        <f t="shared" si="9"/>
        <v>2</v>
      </c>
      <c r="F125" s="51">
        <v>2</v>
      </c>
      <c r="G125" s="63">
        <f t="shared" si="10"/>
        <v>4</v>
      </c>
      <c r="H125" s="51"/>
      <c r="I125" s="51"/>
      <c r="J125" s="51"/>
      <c r="K125" s="51"/>
      <c r="L125" s="51"/>
      <c r="M125" s="51">
        <f>3*E125*C125*D125</f>
        <v>24</v>
      </c>
      <c r="N125" s="51"/>
      <c r="O125" s="290"/>
      <c r="P125" s="62"/>
    </row>
    <row r="126" spans="1:50" ht="20.100000000000001" hidden="1" customHeight="1" outlineLevel="2">
      <c r="A126" s="291"/>
      <c r="B126" s="51"/>
      <c r="C126" s="51">
        <v>3.3</v>
      </c>
      <c r="D126" s="51">
        <v>1</v>
      </c>
      <c r="E126" s="51">
        <f t="shared" si="9"/>
        <v>3</v>
      </c>
      <c r="F126" s="51">
        <v>3</v>
      </c>
      <c r="G126" s="63">
        <f t="shared" si="10"/>
        <v>3.3</v>
      </c>
      <c r="H126" s="51"/>
      <c r="I126" s="51"/>
      <c r="J126" s="51"/>
      <c r="K126" s="51"/>
      <c r="L126" s="51"/>
      <c r="M126" s="51"/>
      <c r="N126" s="51"/>
      <c r="O126" s="290">
        <f>6.21*C126*E126</f>
        <v>61.478999999999999</v>
      </c>
      <c r="P126" s="62"/>
    </row>
    <row r="127" spans="1:50" ht="20.100000000000001" hidden="1" customHeight="1" outlineLevel="2">
      <c r="A127" s="291"/>
      <c r="B127" s="51"/>
      <c r="C127" s="51">
        <v>4.5</v>
      </c>
      <c r="D127" s="51">
        <v>1</v>
      </c>
      <c r="E127" s="51">
        <f t="shared" si="9"/>
        <v>3</v>
      </c>
      <c r="F127" s="51">
        <v>3</v>
      </c>
      <c r="G127" s="63">
        <f t="shared" si="10"/>
        <v>4.5</v>
      </c>
      <c r="H127" s="51"/>
      <c r="I127" s="51"/>
      <c r="J127" s="51"/>
      <c r="K127" s="51"/>
      <c r="L127" s="51"/>
      <c r="M127" s="51"/>
      <c r="N127" s="51">
        <f>4*C127*E127</f>
        <v>54</v>
      </c>
      <c r="O127" s="290"/>
      <c r="P127" s="62"/>
    </row>
    <row r="128" spans="1:50" ht="20.100000000000001" hidden="1" customHeight="1" outlineLevel="2">
      <c r="A128" s="291"/>
      <c r="B128" s="51"/>
      <c r="C128" s="51">
        <v>3.5</v>
      </c>
      <c r="D128" s="51">
        <v>1</v>
      </c>
      <c r="E128" s="51">
        <f t="shared" si="9"/>
        <v>2</v>
      </c>
      <c r="F128" s="51">
        <v>2</v>
      </c>
      <c r="G128" s="63">
        <f t="shared" si="10"/>
        <v>3.5</v>
      </c>
      <c r="H128" s="51"/>
      <c r="I128" s="51"/>
      <c r="J128" s="51"/>
      <c r="K128" s="51"/>
      <c r="L128" s="51">
        <f>2.24*C128*E128</f>
        <v>15.680000000000001</v>
      </c>
      <c r="M128" s="51"/>
      <c r="N128" s="51"/>
      <c r="O128" s="290"/>
      <c r="P128" s="62"/>
    </row>
    <row r="129" spans="1:50" ht="20.100000000000001" hidden="1" customHeight="1" outlineLevel="2">
      <c r="A129" s="291"/>
      <c r="B129" s="51"/>
      <c r="C129" s="51">
        <v>3.5</v>
      </c>
      <c r="D129" s="51">
        <v>1</v>
      </c>
      <c r="E129" s="51">
        <f t="shared" si="9"/>
        <v>1</v>
      </c>
      <c r="F129" s="51">
        <v>1</v>
      </c>
      <c r="G129" s="63">
        <f t="shared" si="10"/>
        <v>3.5</v>
      </c>
      <c r="H129" s="51"/>
      <c r="I129" s="51"/>
      <c r="J129" s="51"/>
      <c r="K129" s="51">
        <f>1.55*C129*E129*D129</f>
        <v>5.4249999999999998</v>
      </c>
      <c r="L129" s="51"/>
      <c r="M129" s="51"/>
      <c r="N129" s="51"/>
      <c r="O129" s="290"/>
      <c r="P129" s="62"/>
    </row>
    <row r="130" spans="1:50" ht="20.100000000000001" hidden="1" customHeight="1" outlineLevel="2">
      <c r="A130" s="291"/>
      <c r="B130" s="51"/>
      <c r="C130" s="51">
        <v>9.1999999999999993</v>
      </c>
      <c r="D130" s="51">
        <v>1</v>
      </c>
      <c r="E130" s="51">
        <f t="shared" si="9"/>
        <v>1</v>
      </c>
      <c r="F130" s="51">
        <v>1</v>
      </c>
      <c r="G130" s="63">
        <f t="shared" si="10"/>
        <v>9.1999999999999993</v>
      </c>
      <c r="H130" s="51"/>
      <c r="I130" s="51"/>
      <c r="J130" s="51"/>
      <c r="K130" s="51"/>
      <c r="L130" s="51"/>
      <c r="M130" s="51"/>
      <c r="N130" s="51"/>
      <c r="O130" s="290">
        <f>6.21*C130*E130</f>
        <v>57.131999999999998</v>
      </c>
      <c r="P130" s="62"/>
    </row>
    <row r="131" spans="1:50" ht="20.100000000000001" hidden="1" customHeight="1" outlineLevel="2">
      <c r="A131" s="291"/>
      <c r="B131" s="51"/>
      <c r="C131" s="51">
        <v>9.1999999999999993</v>
      </c>
      <c r="D131" s="51">
        <v>1</v>
      </c>
      <c r="E131" s="51">
        <f t="shared" si="9"/>
        <v>1</v>
      </c>
      <c r="F131" s="51">
        <v>1</v>
      </c>
      <c r="G131" s="63">
        <f t="shared" si="10"/>
        <v>9.1999999999999993</v>
      </c>
      <c r="H131" s="51"/>
      <c r="I131" s="51"/>
      <c r="J131" s="51"/>
      <c r="K131" s="51"/>
      <c r="L131" s="51"/>
      <c r="M131" s="51"/>
      <c r="N131" s="51">
        <f>4*C131*E131</f>
        <v>36.799999999999997</v>
      </c>
      <c r="O131" s="290"/>
      <c r="P131" s="62"/>
    </row>
    <row r="132" spans="1:50" ht="20.100000000000001" hidden="1" customHeight="1" outlineLevel="2">
      <c r="A132" s="291"/>
      <c r="B132" s="51"/>
      <c r="C132" s="51">
        <v>4</v>
      </c>
      <c r="D132" s="51">
        <v>1</v>
      </c>
      <c r="E132" s="51">
        <f t="shared" si="9"/>
        <v>1</v>
      </c>
      <c r="F132" s="51">
        <v>1</v>
      </c>
      <c r="G132" s="63">
        <f t="shared" si="10"/>
        <v>4</v>
      </c>
      <c r="H132" s="51"/>
      <c r="I132" s="51"/>
      <c r="J132" s="51"/>
      <c r="K132" s="51"/>
      <c r="L132" s="51"/>
      <c r="M132" s="51"/>
      <c r="N132" s="51"/>
      <c r="O132" s="290">
        <f>6.21*C132*E132</f>
        <v>24.84</v>
      </c>
      <c r="P132" s="62"/>
    </row>
    <row r="133" spans="1:50" ht="20.100000000000001" hidden="1" customHeight="1" outlineLevel="2">
      <c r="A133" s="291"/>
      <c r="B133" s="51"/>
      <c r="C133" s="51">
        <v>4</v>
      </c>
      <c r="D133" s="51">
        <v>1</v>
      </c>
      <c r="E133" s="51">
        <f t="shared" si="9"/>
        <v>1</v>
      </c>
      <c r="F133" s="51">
        <v>1</v>
      </c>
      <c r="G133" s="63">
        <f t="shared" si="10"/>
        <v>4</v>
      </c>
      <c r="H133" s="51"/>
      <c r="I133" s="51"/>
      <c r="J133" s="51"/>
      <c r="K133" s="51"/>
      <c r="L133" s="51"/>
      <c r="M133" s="51"/>
      <c r="N133" s="51">
        <f>4*C133*E133</f>
        <v>16</v>
      </c>
      <c r="O133" s="290"/>
      <c r="P133" s="62"/>
    </row>
    <row r="134" spans="1:50" ht="20.100000000000001" hidden="1" customHeight="1" outlineLevel="2">
      <c r="A134" s="291"/>
      <c r="B134" s="51"/>
      <c r="C134" s="51">
        <v>4</v>
      </c>
      <c r="D134" s="51">
        <v>1</v>
      </c>
      <c r="E134" s="51">
        <f t="shared" si="9"/>
        <v>2</v>
      </c>
      <c r="F134" s="51">
        <v>2</v>
      </c>
      <c r="G134" s="63">
        <f t="shared" si="10"/>
        <v>4</v>
      </c>
      <c r="H134" s="51"/>
      <c r="I134" s="51"/>
      <c r="J134" s="51"/>
      <c r="K134" s="51"/>
      <c r="L134" s="51"/>
      <c r="M134" s="51"/>
      <c r="N134" s="51">
        <f>4*C134*E134</f>
        <v>32</v>
      </c>
      <c r="O134" s="290"/>
      <c r="P134" s="62"/>
    </row>
    <row r="135" spans="1:50" ht="39" hidden="1" customHeight="1" outlineLevel="2">
      <c r="A135" s="291"/>
      <c r="B135" s="51"/>
      <c r="C135" s="51">
        <f>(0.35*2)+(0.55*2)+(0.05*2)</f>
        <v>1.9000000000000001</v>
      </c>
      <c r="D135" s="51">
        <v>1</v>
      </c>
      <c r="E135" s="51">
        <f t="shared" si="9"/>
        <v>90</v>
      </c>
      <c r="F135" s="51">
        <v>90</v>
      </c>
      <c r="G135" s="63">
        <f t="shared" si="10"/>
        <v>1.9000000000000001</v>
      </c>
      <c r="H135" s="51"/>
      <c r="I135" s="51">
        <f>0.56*F135*G135</f>
        <v>95.760000000000019</v>
      </c>
      <c r="J135" s="51"/>
      <c r="K135" s="51"/>
      <c r="L135" s="51"/>
      <c r="M135" s="51"/>
      <c r="N135" s="51"/>
      <c r="O135" s="290"/>
      <c r="P135" s="3"/>
    </row>
    <row r="136" spans="1:50" ht="20.100000000000001" hidden="1" customHeight="1" outlineLevel="2">
      <c r="A136" s="2192" t="s">
        <v>196</v>
      </c>
      <c r="B136" s="2193"/>
      <c r="C136" s="2193"/>
      <c r="D136" s="2193"/>
      <c r="E136" s="2193"/>
      <c r="F136" s="2193"/>
      <c r="G136" s="2194"/>
      <c r="H136" s="561">
        <f>SUM(H117:H135)</f>
        <v>0</v>
      </c>
      <c r="I136" s="561">
        <f t="shared" ref="I136:O136" si="11">SUM(I117:I135)</f>
        <v>95.760000000000019</v>
      </c>
      <c r="J136" s="561">
        <f t="shared" si="11"/>
        <v>0</v>
      </c>
      <c r="K136" s="561">
        <f t="shared" si="11"/>
        <v>24.955000000000002</v>
      </c>
      <c r="L136" s="561">
        <f t="shared" si="11"/>
        <v>15.680000000000001</v>
      </c>
      <c r="M136" s="561">
        <f t="shared" si="11"/>
        <v>24</v>
      </c>
      <c r="N136" s="561">
        <f t="shared" si="11"/>
        <v>263.60000000000002</v>
      </c>
      <c r="O136" s="562">
        <f t="shared" si="11"/>
        <v>374.46300000000002</v>
      </c>
    </row>
    <row r="137" spans="1:50" ht="20.100000000000001" hidden="1" customHeight="1" outlineLevel="2">
      <c r="A137" s="2217" t="s">
        <v>201</v>
      </c>
      <c r="B137" s="2218"/>
      <c r="C137" s="2218"/>
      <c r="D137" s="2218"/>
      <c r="E137" s="2218"/>
      <c r="F137" s="2218"/>
      <c r="G137" s="2219"/>
      <c r="H137" s="2220">
        <f>SUM(H136:O136)</f>
        <v>798.45800000000008</v>
      </c>
      <c r="I137" s="2221"/>
      <c r="J137" s="2221"/>
      <c r="K137" s="2221"/>
      <c r="L137" s="2221"/>
      <c r="M137" s="2221"/>
      <c r="N137" s="2221"/>
      <c r="O137" s="2222"/>
    </row>
    <row r="138" spans="1:50" s="75" customFormat="1" ht="20.100000000000001" hidden="1" customHeight="1" outlineLevel="2">
      <c r="A138" s="2214"/>
      <c r="B138" s="2215"/>
      <c r="C138" s="2215"/>
      <c r="D138" s="2215"/>
      <c r="E138" s="2215"/>
      <c r="F138" s="2215"/>
      <c r="G138" s="2215"/>
      <c r="H138" s="2215"/>
      <c r="I138" s="2215"/>
      <c r="J138" s="2215"/>
      <c r="K138" s="2215"/>
      <c r="L138" s="2215"/>
      <c r="M138" s="2215"/>
      <c r="N138" s="2215"/>
      <c r="O138" s="2216"/>
      <c r="P138" s="74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9.5" hidden="1" customHeight="1" outlineLevel="2">
      <c r="A139" s="294" t="s">
        <v>133</v>
      </c>
      <c r="B139" s="37"/>
      <c r="C139" s="34">
        <v>3</v>
      </c>
      <c r="D139" s="34">
        <v>1</v>
      </c>
      <c r="E139" s="34">
        <v>7</v>
      </c>
      <c r="F139" s="34">
        <f>D139*E139</f>
        <v>7</v>
      </c>
      <c r="G139" s="34">
        <f>C139</f>
        <v>3</v>
      </c>
      <c r="H139" s="34"/>
      <c r="I139" s="34"/>
      <c r="J139" s="34">
        <f>0.5*F139*G139</f>
        <v>10.5</v>
      </c>
      <c r="K139" s="34"/>
      <c r="L139" s="34"/>
      <c r="M139" s="34"/>
      <c r="N139" s="34"/>
      <c r="O139" s="295"/>
    </row>
    <row r="140" spans="1:50" ht="20.100000000000001" hidden="1" customHeight="1" outlineLevel="2">
      <c r="A140" s="296"/>
      <c r="B140" s="37"/>
      <c r="C140" s="34">
        <v>8</v>
      </c>
      <c r="D140" s="34">
        <v>1</v>
      </c>
      <c r="E140" s="34">
        <v>2</v>
      </c>
      <c r="F140" s="34">
        <f t="shared" ref="F140:F148" si="12">D140*E140</f>
        <v>2</v>
      </c>
      <c r="G140" s="34">
        <f>C140</f>
        <v>8</v>
      </c>
      <c r="H140" s="34"/>
      <c r="I140" s="34"/>
      <c r="J140" s="34"/>
      <c r="K140" s="34"/>
      <c r="L140" s="34"/>
      <c r="M140" s="34"/>
      <c r="N140" s="34"/>
      <c r="O140" s="295">
        <f>6.4*F140*G140</f>
        <v>102.4</v>
      </c>
    </row>
    <row r="141" spans="1:50" ht="20.100000000000001" hidden="1" customHeight="1" outlineLevel="2">
      <c r="A141" s="296"/>
      <c r="B141" s="37"/>
      <c r="C141" s="34">
        <v>8</v>
      </c>
      <c r="D141" s="34">
        <v>1</v>
      </c>
      <c r="E141" s="34">
        <v>1</v>
      </c>
      <c r="F141" s="34">
        <f t="shared" si="12"/>
        <v>1</v>
      </c>
      <c r="G141" s="34">
        <f t="shared" ref="G141:G148" si="13">C141</f>
        <v>8</v>
      </c>
      <c r="H141" s="34"/>
      <c r="I141" s="34"/>
      <c r="J141" s="34"/>
      <c r="K141" s="34"/>
      <c r="L141" s="34"/>
      <c r="M141" s="34"/>
      <c r="N141" s="34">
        <f>4*F141*G141</f>
        <v>32</v>
      </c>
      <c r="O141" s="295"/>
    </row>
    <row r="142" spans="1:50" ht="20.100000000000001" hidden="1" customHeight="1" outlineLevel="2">
      <c r="A142" s="296"/>
      <c r="B142" s="42"/>
      <c r="C142" s="34">
        <v>6.3</v>
      </c>
      <c r="D142" s="34">
        <v>1</v>
      </c>
      <c r="E142" s="34">
        <v>4</v>
      </c>
      <c r="F142" s="34">
        <f t="shared" si="12"/>
        <v>4</v>
      </c>
      <c r="G142" s="34">
        <f t="shared" si="13"/>
        <v>6.3</v>
      </c>
      <c r="H142" s="34"/>
      <c r="I142" s="34"/>
      <c r="J142" s="34"/>
      <c r="K142" s="34"/>
      <c r="L142" s="34"/>
      <c r="M142" s="34"/>
      <c r="N142" s="34"/>
      <c r="O142" s="295">
        <f>F142*G142*6.4</f>
        <v>161.28</v>
      </c>
    </row>
    <row r="143" spans="1:50" ht="20.100000000000001" hidden="1" customHeight="1" outlineLevel="2">
      <c r="A143" s="296"/>
      <c r="B143" s="34"/>
      <c r="C143" s="34">
        <v>9</v>
      </c>
      <c r="D143" s="34">
        <v>1</v>
      </c>
      <c r="E143" s="34">
        <v>2</v>
      </c>
      <c r="F143" s="34">
        <f t="shared" si="12"/>
        <v>2</v>
      </c>
      <c r="G143" s="34">
        <f t="shared" si="13"/>
        <v>9</v>
      </c>
      <c r="H143" s="34"/>
      <c r="I143" s="34"/>
      <c r="J143" s="34"/>
      <c r="K143" s="34"/>
      <c r="L143" s="34"/>
      <c r="M143" s="34"/>
      <c r="N143" s="34"/>
      <c r="O143" s="295">
        <f>F143*G143*6.4</f>
        <v>115.2</v>
      </c>
    </row>
    <row r="144" spans="1:50" ht="20.100000000000001" hidden="1" customHeight="1" outlineLevel="2">
      <c r="A144" s="296"/>
      <c r="B144" s="297"/>
      <c r="C144" s="34">
        <v>3.6</v>
      </c>
      <c r="D144" s="34">
        <v>1</v>
      </c>
      <c r="E144" s="34">
        <v>2</v>
      </c>
      <c r="F144" s="34">
        <f t="shared" si="12"/>
        <v>2</v>
      </c>
      <c r="G144" s="34">
        <f t="shared" si="13"/>
        <v>3.6</v>
      </c>
      <c r="H144" s="34"/>
      <c r="I144" s="34"/>
      <c r="J144" s="34"/>
      <c r="K144" s="34"/>
      <c r="L144" s="34"/>
      <c r="M144" s="34"/>
      <c r="N144" s="34"/>
      <c r="O144" s="295">
        <f>F144*G144*6.4</f>
        <v>46.080000000000005</v>
      </c>
    </row>
    <row r="145" spans="1:50" ht="20.100000000000001" hidden="1" customHeight="1" outlineLevel="2">
      <c r="A145" s="296"/>
      <c r="B145" s="34"/>
      <c r="C145" s="34">
        <v>3.6</v>
      </c>
      <c r="D145" s="34">
        <v>1</v>
      </c>
      <c r="E145" s="34">
        <v>5</v>
      </c>
      <c r="F145" s="34">
        <f t="shared" si="12"/>
        <v>5</v>
      </c>
      <c r="G145" s="34">
        <f t="shared" si="13"/>
        <v>3.6</v>
      </c>
      <c r="H145" s="34"/>
      <c r="I145" s="34"/>
      <c r="J145" s="34">
        <f>1*F145*G145</f>
        <v>18</v>
      </c>
      <c r="K145" s="34"/>
      <c r="L145" s="34"/>
      <c r="M145" s="34"/>
      <c r="N145" s="34"/>
      <c r="O145" s="295"/>
    </row>
    <row r="146" spans="1:50" ht="20.100000000000001" hidden="1" customHeight="1" outlineLevel="2">
      <c r="A146" s="296"/>
      <c r="B146" s="297"/>
      <c r="C146" s="34">
        <v>7.5</v>
      </c>
      <c r="D146" s="34">
        <v>1</v>
      </c>
      <c r="E146" s="34">
        <v>2</v>
      </c>
      <c r="F146" s="34">
        <f t="shared" si="12"/>
        <v>2</v>
      </c>
      <c r="G146" s="34">
        <f t="shared" si="13"/>
        <v>7.5</v>
      </c>
      <c r="H146" s="34"/>
      <c r="I146" s="34"/>
      <c r="J146" s="34"/>
      <c r="K146" s="34"/>
      <c r="L146" s="34"/>
      <c r="M146" s="34"/>
      <c r="N146" s="34"/>
      <c r="O146" s="295">
        <f>6.4*F146*G146</f>
        <v>96</v>
      </c>
    </row>
    <row r="147" spans="1:50" ht="20.100000000000001" hidden="1" customHeight="1" outlineLevel="2">
      <c r="A147" s="296"/>
      <c r="B147" s="34"/>
      <c r="C147" s="34">
        <v>2.4</v>
      </c>
      <c r="D147" s="34">
        <v>1</v>
      </c>
      <c r="E147" s="34">
        <v>3</v>
      </c>
      <c r="F147" s="34">
        <f t="shared" si="12"/>
        <v>3</v>
      </c>
      <c r="G147" s="34">
        <f t="shared" si="13"/>
        <v>2.4</v>
      </c>
      <c r="H147" s="34"/>
      <c r="I147" s="34"/>
      <c r="J147" s="34"/>
      <c r="K147" s="34"/>
      <c r="L147" s="34"/>
      <c r="M147" s="34"/>
      <c r="N147" s="34">
        <f>F147*G147*4</f>
        <v>28.799999999999997</v>
      </c>
      <c r="O147" s="295"/>
    </row>
    <row r="148" spans="1:50" ht="20.100000000000001" hidden="1" customHeight="1" outlineLevel="2">
      <c r="A148" s="296"/>
      <c r="B148" s="297"/>
      <c r="C148" s="34">
        <v>2.5</v>
      </c>
      <c r="D148" s="34">
        <v>1</v>
      </c>
      <c r="E148" s="34">
        <v>2</v>
      </c>
      <c r="F148" s="34">
        <f t="shared" si="12"/>
        <v>2</v>
      </c>
      <c r="G148" s="34">
        <f t="shared" si="13"/>
        <v>2.5</v>
      </c>
      <c r="H148" s="34"/>
      <c r="I148" s="34"/>
      <c r="J148" s="34"/>
      <c r="K148" s="34"/>
      <c r="L148" s="34"/>
      <c r="M148" s="34"/>
      <c r="N148" s="34"/>
      <c r="O148" s="295">
        <f>6.4*F148*G148</f>
        <v>32</v>
      </c>
    </row>
    <row r="149" spans="1:50" ht="44.25" hidden="1" customHeight="1" outlineLevel="2">
      <c r="A149" s="291"/>
      <c r="B149" s="52"/>
      <c r="C149" s="51">
        <f>(0.55*2)+(0.35*2)+(0.05*2)</f>
        <v>1.9000000000000001</v>
      </c>
      <c r="D149" s="51">
        <v>1</v>
      </c>
      <c r="E149" s="51">
        <v>20</v>
      </c>
      <c r="F149" s="51">
        <f>D149*E149</f>
        <v>20</v>
      </c>
      <c r="G149" s="51">
        <v>1.9</v>
      </c>
      <c r="H149" s="51"/>
      <c r="I149" s="51">
        <f>0.56*G149*F149</f>
        <v>21.28</v>
      </c>
      <c r="J149" s="34"/>
      <c r="K149" s="51"/>
      <c r="L149" s="51"/>
      <c r="M149" s="51"/>
      <c r="N149" s="51"/>
      <c r="O149" s="290"/>
    </row>
    <row r="150" spans="1:50" ht="43.5" hidden="1" customHeight="1" outlineLevel="2">
      <c r="A150" s="291"/>
      <c r="B150" s="52"/>
      <c r="C150" s="51">
        <f>(0.55*2)+(0.35*2)+(0.05*2)</f>
        <v>1.9000000000000001</v>
      </c>
      <c r="D150" s="51">
        <v>1</v>
      </c>
      <c r="E150" s="51">
        <v>16</v>
      </c>
      <c r="F150" s="51">
        <f>D150*E150</f>
        <v>16</v>
      </c>
      <c r="G150" s="51">
        <v>1.9</v>
      </c>
      <c r="H150" s="51"/>
      <c r="I150" s="51"/>
      <c r="J150" s="34">
        <f>1*F150*G150</f>
        <v>30.4</v>
      </c>
      <c r="K150" s="51"/>
      <c r="L150" s="51"/>
      <c r="M150" s="51"/>
      <c r="N150" s="51"/>
      <c r="O150" s="290"/>
    </row>
    <row r="151" spans="1:50" ht="45.75" hidden="1" customHeight="1" outlineLevel="2">
      <c r="A151" s="291"/>
      <c r="B151" s="52"/>
      <c r="C151" s="51">
        <f>(0.55*2)+(0.35*2)+(0.05*2)</f>
        <v>1.9000000000000001</v>
      </c>
      <c r="D151" s="51">
        <v>1</v>
      </c>
      <c r="E151" s="51">
        <v>32</v>
      </c>
      <c r="F151" s="51">
        <f>D151*E151</f>
        <v>32</v>
      </c>
      <c r="G151" s="51">
        <v>1.9</v>
      </c>
      <c r="H151" s="51"/>
      <c r="I151" s="51"/>
      <c r="J151" s="34"/>
      <c r="K151" s="51"/>
      <c r="L151" s="51">
        <f>2.24*G151*F151</f>
        <v>136.19200000000001</v>
      </c>
      <c r="M151" s="51"/>
      <c r="N151" s="51"/>
      <c r="O151" s="290"/>
    </row>
    <row r="152" spans="1:50" ht="20.100000000000001" hidden="1" customHeight="1" outlineLevel="2">
      <c r="A152" s="2186" t="s">
        <v>114</v>
      </c>
      <c r="B152" s="2187"/>
      <c r="C152" s="2187"/>
      <c r="D152" s="2187"/>
      <c r="E152" s="2187"/>
      <c r="F152" s="2187"/>
      <c r="G152" s="2187"/>
      <c r="H152" s="65">
        <f>SUM(H139:H151)</f>
        <v>0</v>
      </c>
      <c r="I152" s="65">
        <f t="shared" ref="I152:O152" si="14">SUM(I139:I151)</f>
        <v>21.28</v>
      </c>
      <c r="J152" s="65">
        <f t="shared" si="14"/>
        <v>58.9</v>
      </c>
      <c r="K152" s="65">
        <f t="shared" si="14"/>
        <v>0</v>
      </c>
      <c r="L152" s="65">
        <f t="shared" si="14"/>
        <v>136.19200000000001</v>
      </c>
      <c r="M152" s="65">
        <f t="shared" si="14"/>
        <v>0</v>
      </c>
      <c r="N152" s="65">
        <f t="shared" si="14"/>
        <v>60.8</v>
      </c>
      <c r="O152" s="298">
        <f t="shared" si="14"/>
        <v>552.96</v>
      </c>
    </row>
    <row r="153" spans="1:50" ht="20.100000000000001" hidden="1" customHeight="1" outlineLevel="2">
      <c r="A153" s="2186" t="s">
        <v>134</v>
      </c>
      <c r="B153" s="2187"/>
      <c r="C153" s="2187"/>
      <c r="D153" s="2187"/>
      <c r="E153" s="2187"/>
      <c r="F153" s="2187"/>
      <c r="G153" s="2187"/>
      <c r="H153" s="2188">
        <f>SUM(H152:O152)</f>
        <v>830.13200000000006</v>
      </c>
      <c r="I153" s="2188"/>
      <c r="J153" s="2188"/>
      <c r="K153" s="2188"/>
      <c r="L153" s="2188"/>
      <c r="M153" s="2188"/>
      <c r="N153" s="2188"/>
      <c r="O153" s="2189"/>
    </row>
    <row r="154" spans="1:50" s="79" customFormat="1" ht="20.100000000000001" hidden="1" customHeight="1" outlineLevel="2">
      <c r="A154" s="2214"/>
      <c r="B154" s="2215"/>
      <c r="C154" s="2215"/>
      <c r="D154" s="2215"/>
      <c r="E154" s="2215"/>
      <c r="F154" s="2215"/>
      <c r="G154" s="2215"/>
      <c r="H154" s="2215"/>
      <c r="I154" s="2215"/>
      <c r="J154" s="2215"/>
      <c r="K154" s="2215"/>
      <c r="L154" s="2215"/>
      <c r="M154" s="2215"/>
      <c r="N154" s="2215"/>
      <c r="O154" s="2216"/>
      <c r="P154" s="74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0.100000000000001" hidden="1" customHeight="1" outlineLevel="2">
      <c r="A155" s="289" t="s">
        <v>144</v>
      </c>
      <c r="B155" s="51"/>
      <c r="C155" s="51">
        <v>3</v>
      </c>
      <c r="D155" s="51">
        <v>1</v>
      </c>
      <c r="E155" s="51">
        <f t="shared" ref="E155:E175" si="15">D155*F155</f>
        <v>3</v>
      </c>
      <c r="F155" s="51">
        <v>3</v>
      </c>
      <c r="G155" s="51">
        <f>C155</f>
        <v>3</v>
      </c>
      <c r="H155" s="51"/>
      <c r="I155" s="51"/>
      <c r="J155" s="51"/>
      <c r="K155" s="51"/>
      <c r="L155" s="51"/>
      <c r="M155" s="51"/>
      <c r="N155" s="51"/>
      <c r="O155" s="290">
        <f>6.21*G155*E155</f>
        <v>55.89</v>
      </c>
      <c r="P155" s="62"/>
    </row>
    <row r="156" spans="1:50" ht="20.100000000000001" hidden="1" customHeight="1" outlineLevel="2">
      <c r="A156" s="291"/>
      <c r="B156" s="51"/>
      <c r="C156" s="51">
        <v>4</v>
      </c>
      <c r="D156" s="51">
        <v>1</v>
      </c>
      <c r="E156" s="51">
        <f t="shared" si="15"/>
        <v>3</v>
      </c>
      <c r="F156" s="51">
        <v>3</v>
      </c>
      <c r="G156" s="51">
        <f t="shared" ref="G156:G175" si="16">C156</f>
        <v>4</v>
      </c>
      <c r="H156" s="51"/>
      <c r="I156" s="51"/>
      <c r="J156" s="51"/>
      <c r="K156" s="51"/>
      <c r="L156" s="51"/>
      <c r="M156" s="51"/>
      <c r="N156" s="51">
        <f>4*G156*E156</f>
        <v>48</v>
      </c>
      <c r="O156" s="290"/>
      <c r="P156" s="62"/>
    </row>
    <row r="157" spans="1:50" ht="20.100000000000001" hidden="1" customHeight="1" outlineLevel="2">
      <c r="A157" s="291"/>
      <c r="B157" s="51"/>
      <c r="C157" s="51">
        <v>4.5</v>
      </c>
      <c r="D157" s="51">
        <v>1</v>
      </c>
      <c r="E157" s="51">
        <f t="shared" si="15"/>
        <v>2</v>
      </c>
      <c r="F157" s="51">
        <v>2</v>
      </c>
      <c r="G157" s="51">
        <f t="shared" si="16"/>
        <v>4.5</v>
      </c>
      <c r="H157" s="51"/>
      <c r="I157" s="51"/>
      <c r="J157" s="51"/>
      <c r="K157" s="51"/>
      <c r="L157" s="51">
        <f>2.24*G157*E157</f>
        <v>20.160000000000004</v>
      </c>
      <c r="M157" s="51"/>
      <c r="N157" s="51"/>
      <c r="O157" s="290"/>
      <c r="P157" s="62"/>
    </row>
    <row r="158" spans="1:50" ht="20.100000000000001" hidden="1" customHeight="1" outlineLevel="2">
      <c r="A158" s="291"/>
      <c r="B158" s="51"/>
      <c r="C158" s="51">
        <v>4.5</v>
      </c>
      <c r="D158" s="51">
        <v>1</v>
      </c>
      <c r="E158" s="51">
        <f t="shared" si="15"/>
        <v>1</v>
      </c>
      <c r="F158" s="51">
        <v>1</v>
      </c>
      <c r="G158" s="51">
        <f t="shared" si="16"/>
        <v>4.5</v>
      </c>
      <c r="H158" s="51"/>
      <c r="I158" s="51"/>
      <c r="J158" s="51"/>
      <c r="K158" s="51">
        <f>1.55*G158*E158*D158</f>
        <v>6.9750000000000005</v>
      </c>
      <c r="L158" s="51"/>
      <c r="M158" s="51"/>
      <c r="N158" s="51"/>
      <c r="O158" s="290"/>
      <c r="P158" s="62"/>
    </row>
    <row r="159" spans="1:50" ht="20.100000000000001" hidden="1" customHeight="1" outlineLevel="2">
      <c r="A159" s="291"/>
      <c r="B159" s="51"/>
      <c r="C159" s="51">
        <v>4</v>
      </c>
      <c r="D159" s="51">
        <v>1</v>
      </c>
      <c r="E159" s="51">
        <f t="shared" si="15"/>
        <v>1</v>
      </c>
      <c r="F159" s="51">
        <v>1</v>
      </c>
      <c r="G159" s="51">
        <f t="shared" si="16"/>
        <v>4</v>
      </c>
      <c r="H159" s="51"/>
      <c r="I159" s="51"/>
      <c r="J159" s="51"/>
      <c r="K159" s="51"/>
      <c r="L159" s="51"/>
      <c r="M159" s="51"/>
      <c r="N159" s="51"/>
      <c r="O159" s="290">
        <f>6.21*G159*E159</f>
        <v>24.84</v>
      </c>
      <c r="P159" s="62"/>
    </row>
    <row r="160" spans="1:50" ht="20.100000000000001" hidden="1" customHeight="1" outlineLevel="2">
      <c r="A160" s="291"/>
      <c r="B160" s="51"/>
      <c r="C160" s="51">
        <v>4</v>
      </c>
      <c r="D160" s="51">
        <v>1</v>
      </c>
      <c r="E160" s="51">
        <f t="shared" si="15"/>
        <v>1</v>
      </c>
      <c r="F160" s="51">
        <v>1</v>
      </c>
      <c r="G160" s="51">
        <f t="shared" si="16"/>
        <v>4</v>
      </c>
      <c r="H160" s="51"/>
      <c r="I160" s="51"/>
      <c r="J160" s="51"/>
      <c r="K160" s="51"/>
      <c r="L160" s="51"/>
      <c r="M160" s="51"/>
      <c r="N160" s="51">
        <f>4*G160*E160</f>
        <v>16</v>
      </c>
      <c r="O160" s="290"/>
      <c r="P160" s="62"/>
    </row>
    <row r="161" spans="1:16" ht="20.100000000000001" hidden="1" customHeight="1" outlineLevel="2">
      <c r="A161" s="291"/>
      <c r="B161" s="51"/>
      <c r="C161" s="51">
        <v>9.1999999999999993</v>
      </c>
      <c r="D161" s="51">
        <v>1</v>
      </c>
      <c r="E161" s="51">
        <f t="shared" si="15"/>
        <v>1</v>
      </c>
      <c r="F161" s="51">
        <v>1</v>
      </c>
      <c r="G161" s="51">
        <f t="shared" si="16"/>
        <v>9.1999999999999993</v>
      </c>
      <c r="H161" s="51"/>
      <c r="I161" s="51"/>
      <c r="J161" s="51"/>
      <c r="K161" s="51"/>
      <c r="L161" s="51"/>
      <c r="M161" s="51"/>
      <c r="N161" s="51"/>
      <c r="O161" s="290">
        <f>6.21*G161*E161</f>
        <v>57.131999999999998</v>
      </c>
      <c r="P161" s="62"/>
    </row>
    <row r="162" spans="1:16" ht="20.100000000000001" hidden="1" customHeight="1" outlineLevel="2">
      <c r="A162" s="291"/>
      <c r="B162" s="51"/>
      <c r="C162" s="51">
        <v>9.1999999999999993</v>
      </c>
      <c r="D162" s="51">
        <v>1</v>
      </c>
      <c r="E162" s="51">
        <f t="shared" si="15"/>
        <v>1</v>
      </c>
      <c r="F162" s="51">
        <v>1</v>
      </c>
      <c r="G162" s="51">
        <f t="shared" si="16"/>
        <v>9.1999999999999993</v>
      </c>
      <c r="H162" s="51"/>
      <c r="I162" s="51"/>
      <c r="J162" s="51"/>
      <c r="K162" s="51"/>
      <c r="L162" s="51"/>
      <c r="M162" s="51"/>
      <c r="N162" s="51">
        <f>4*G162*E162</f>
        <v>36.799999999999997</v>
      </c>
      <c r="O162" s="290"/>
      <c r="P162" s="62"/>
    </row>
    <row r="163" spans="1:16" ht="20.100000000000001" hidden="1" customHeight="1" outlineLevel="2">
      <c r="A163" s="291"/>
      <c r="B163" s="51"/>
      <c r="C163" s="51">
        <v>4</v>
      </c>
      <c r="D163" s="51">
        <v>1</v>
      </c>
      <c r="E163" s="51">
        <f t="shared" si="15"/>
        <v>2</v>
      </c>
      <c r="F163" s="51">
        <v>2</v>
      </c>
      <c r="G163" s="51">
        <f t="shared" si="16"/>
        <v>4</v>
      </c>
      <c r="H163" s="51"/>
      <c r="I163" s="51"/>
      <c r="J163" s="51">
        <f>G163*E163</f>
        <v>8</v>
      </c>
      <c r="K163" s="51"/>
      <c r="L163" s="51"/>
      <c r="M163" s="51"/>
      <c r="N163" s="51"/>
      <c r="O163" s="290"/>
      <c r="P163" s="62"/>
    </row>
    <row r="164" spans="1:16" ht="20.100000000000001" hidden="1" customHeight="1" outlineLevel="2">
      <c r="A164" s="291"/>
      <c r="B164" s="51"/>
      <c r="C164" s="51">
        <v>6.4</v>
      </c>
      <c r="D164" s="51">
        <v>1</v>
      </c>
      <c r="E164" s="51">
        <f t="shared" si="15"/>
        <v>2</v>
      </c>
      <c r="F164" s="51">
        <v>2</v>
      </c>
      <c r="G164" s="51">
        <f t="shared" si="16"/>
        <v>6.4</v>
      </c>
      <c r="H164" s="51"/>
      <c r="I164" s="51"/>
      <c r="J164" s="51"/>
      <c r="K164" s="51"/>
      <c r="L164" s="51"/>
      <c r="M164" s="51"/>
      <c r="N164" s="51"/>
      <c r="O164" s="290">
        <f t="shared" ref="O164:O170" si="17">6.21*G164*E164</f>
        <v>79.488</v>
      </c>
      <c r="P164" s="62"/>
    </row>
    <row r="165" spans="1:16" ht="20.100000000000001" hidden="1" customHeight="1" outlineLevel="2">
      <c r="A165" s="291"/>
      <c r="B165" s="51"/>
      <c r="C165" s="51">
        <v>8</v>
      </c>
      <c r="D165" s="51">
        <v>1</v>
      </c>
      <c r="E165" s="51">
        <f t="shared" si="15"/>
        <v>2</v>
      </c>
      <c r="F165" s="51">
        <v>2</v>
      </c>
      <c r="G165" s="51">
        <f t="shared" si="16"/>
        <v>8</v>
      </c>
      <c r="H165" s="51"/>
      <c r="I165" s="51"/>
      <c r="J165" s="51"/>
      <c r="K165" s="51"/>
      <c r="L165" s="51"/>
      <c r="M165" s="51"/>
      <c r="N165" s="51"/>
      <c r="O165" s="290">
        <f t="shared" si="17"/>
        <v>99.36</v>
      </c>
      <c r="P165" s="62"/>
    </row>
    <row r="166" spans="1:16" ht="20.100000000000001" hidden="1" customHeight="1" outlineLevel="2">
      <c r="A166" s="291"/>
      <c r="B166" s="51"/>
      <c r="C166" s="51">
        <v>7.5</v>
      </c>
      <c r="D166" s="51">
        <v>1</v>
      </c>
      <c r="E166" s="51">
        <f t="shared" si="15"/>
        <v>3</v>
      </c>
      <c r="F166" s="51">
        <v>3</v>
      </c>
      <c r="G166" s="51">
        <f t="shared" si="16"/>
        <v>7.5</v>
      </c>
      <c r="H166" s="51"/>
      <c r="I166" s="51"/>
      <c r="J166" s="51"/>
      <c r="K166" s="51"/>
      <c r="L166" s="51"/>
      <c r="M166" s="51"/>
      <c r="N166" s="51"/>
      <c r="O166" s="290">
        <f t="shared" si="17"/>
        <v>139.72500000000002</v>
      </c>
      <c r="P166" s="62"/>
    </row>
    <row r="167" spans="1:16" ht="20.100000000000001" hidden="1" customHeight="1" outlineLevel="2">
      <c r="A167" s="291"/>
      <c r="B167" s="51"/>
      <c r="C167" s="51">
        <v>3.7</v>
      </c>
      <c r="D167" s="51">
        <v>1</v>
      </c>
      <c r="E167" s="51">
        <f t="shared" si="15"/>
        <v>3</v>
      </c>
      <c r="F167" s="51">
        <v>3</v>
      </c>
      <c r="G167" s="51">
        <f t="shared" si="16"/>
        <v>3.7</v>
      </c>
      <c r="H167" s="51"/>
      <c r="I167" s="51"/>
      <c r="J167" s="51"/>
      <c r="K167" s="51"/>
      <c r="L167" s="51"/>
      <c r="M167" s="51"/>
      <c r="N167" s="51"/>
      <c r="O167" s="290">
        <f t="shared" si="17"/>
        <v>68.930999999999997</v>
      </c>
      <c r="P167" s="62"/>
    </row>
    <row r="168" spans="1:16" ht="20.100000000000001" hidden="1" customHeight="1" outlineLevel="2">
      <c r="A168" s="291"/>
      <c r="B168" s="51"/>
      <c r="C168" s="51">
        <v>12</v>
      </c>
      <c r="D168" s="51">
        <v>1</v>
      </c>
      <c r="E168" s="51">
        <f t="shared" si="15"/>
        <v>2</v>
      </c>
      <c r="F168" s="51">
        <v>2</v>
      </c>
      <c r="G168" s="51">
        <f t="shared" si="16"/>
        <v>12</v>
      </c>
      <c r="H168" s="51"/>
      <c r="I168" s="51"/>
      <c r="J168" s="51"/>
      <c r="K168" s="51"/>
      <c r="L168" s="51"/>
      <c r="M168" s="51"/>
      <c r="N168" s="51"/>
      <c r="O168" s="290">
        <f t="shared" si="17"/>
        <v>149.04</v>
      </c>
      <c r="P168" s="62"/>
    </row>
    <row r="169" spans="1:16" ht="19.5" hidden="1" customHeight="1" outlineLevel="2">
      <c r="A169" s="291"/>
      <c r="B169" s="51"/>
      <c r="C169" s="51">
        <v>4.0999999999999996</v>
      </c>
      <c r="D169" s="51">
        <v>1</v>
      </c>
      <c r="E169" s="51">
        <f t="shared" si="15"/>
        <v>2</v>
      </c>
      <c r="F169" s="51">
        <v>2</v>
      </c>
      <c r="G169" s="51">
        <f t="shared" si="16"/>
        <v>4.0999999999999996</v>
      </c>
      <c r="H169" s="51"/>
      <c r="I169" s="51"/>
      <c r="J169" s="51"/>
      <c r="K169" s="51"/>
      <c r="L169" s="51"/>
      <c r="M169" s="51"/>
      <c r="N169" s="51"/>
      <c r="O169" s="290">
        <f t="shared" si="17"/>
        <v>50.921999999999997</v>
      </c>
      <c r="P169" s="62"/>
    </row>
    <row r="170" spans="1:16" ht="20.100000000000001" hidden="1" customHeight="1" outlineLevel="2">
      <c r="A170" s="291"/>
      <c r="B170" s="51"/>
      <c r="C170" s="51">
        <v>9</v>
      </c>
      <c r="D170" s="51">
        <v>1</v>
      </c>
      <c r="E170" s="51">
        <f t="shared" si="15"/>
        <v>2</v>
      </c>
      <c r="F170" s="51">
        <v>2</v>
      </c>
      <c r="G170" s="51">
        <f t="shared" si="16"/>
        <v>9</v>
      </c>
      <c r="H170" s="51"/>
      <c r="I170" s="51"/>
      <c r="J170" s="51"/>
      <c r="K170" s="51"/>
      <c r="L170" s="51"/>
      <c r="M170" s="51"/>
      <c r="N170" s="51"/>
      <c r="O170" s="290">
        <f t="shared" si="17"/>
        <v>111.78</v>
      </c>
      <c r="P170" s="62"/>
    </row>
    <row r="171" spans="1:16" ht="20.100000000000001" hidden="1" customHeight="1" outlineLevel="2">
      <c r="A171" s="291"/>
      <c r="B171" s="51"/>
      <c r="C171" s="51">
        <v>2.4</v>
      </c>
      <c r="D171" s="51">
        <v>1</v>
      </c>
      <c r="E171" s="51">
        <f t="shared" si="15"/>
        <v>3</v>
      </c>
      <c r="F171" s="51">
        <v>3</v>
      </c>
      <c r="G171" s="51">
        <f t="shared" si="16"/>
        <v>2.4</v>
      </c>
      <c r="H171" s="51"/>
      <c r="I171" s="51"/>
      <c r="J171" s="51"/>
      <c r="K171" s="51"/>
      <c r="L171" s="51"/>
      <c r="M171" s="51"/>
      <c r="N171" s="51">
        <f>4*G171*E171</f>
        <v>28.799999999999997</v>
      </c>
      <c r="O171" s="290"/>
      <c r="P171" s="62"/>
    </row>
    <row r="172" spans="1:16" ht="20.100000000000001" hidden="1" customHeight="1" outlineLevel="2">
      <c r="A172" s="291"/>
      <c r="B172" s="51"/>
      <c r="C172" s="51">
        <v>2.5</v>
      </c>
      <c r="D172" s="51">
        <v>1</v>
      </c>
      <c r="E172" s="51">
        <f t="shared" si="15"/>
        <v>3</v>
      </c>
      <c r="F172" s="51">
        <v>3</v>
      </c>
      <c r="G172" s="51">
        <f t="shared" si="16"/>
        <v>2.5</v>
      </c>
      <c r="H172" s="51"/>
      <c r="I172" s="51"/>
      <c r="J172" s="51"/>
      <c r="K172" s="51"/>
      <c r="L172" s="51"/>
      <c r="M172" s="51"/>
      <c r="N172" s="51"/>
      <c r="O172" s="290">
        <f>6.21*G172*E172</f>
        <v>46.575000000000003</v>
      </c>
      <c r="P172" s="62"/>
    </row>
    <row r="173" spans="1:16" ht="43.5" hidden="1" customHeight="1" outlineLevel="2">
      <c r="A173" s="291"/>
      <c r="B173" s="51"/>
      <c r="C173" s="51">
        <f>(0.55*2)+(0.35*2)+(0.05*2)</f>
        <v>1.9000000000000001</v>
      </c>
      <c r="D173" s="51">
        <v>1</v>
      </c>
      <c r="E173" s="51">
        <f t="shared" si="15"/>
        <v>81</v>
      </c>
      <c r="F173" s="51">
        <v>81</v>
      </c>
      <c r="G173" s="51">
        <f t="shared" si="16"/>
        <v>1.9000000000000001</v>
      </c>
      <c r="H173" s="51"/>
      <c r="I173" s="51">
        <f>0.56*F173*G173</f>
        <v>86.184000000000012</v>
      </c>
      <c r="J173" s="51"/>
      <c r="K173" s="51"/>
      <c r="L173" s="51"/>
      <c r="M173" s="51"/>
      <c r="N173" s="51"/>
      <c r="O173" s="290"/>
      <c r="P173" s="62"/>
    </row>
    <row r="174" spans="1:16" ht="42.75" hidden="1" customHeight="1" outlineLevel="2">
      <c r="A174" s="291"/>
      <c r="B174" s="51"/>
      <c r="C174" s="51">
        <f>(0.55*2)+(0.35*2)+(0.05*2)</f>
        <v>1.9000000000000001</v>
      </c>
      <c r="D174" s="51">
        <v>1</v>
      </c>
      <c r="E174" s="51">
        <f t="shared" si="15"/>
        <v>9</v>
      </c>
      <c r="F174" s="51">
        <v>9</v>
      </c>
      <c r="G174" s="51">
        <f t="shared" si="16"/>
        <v>1.9000000000000001</v>
      </c>
      <c r="H174" s="51"/>
      <c r="I174" s="51"/>
      <c r="J174" s="51"/>
      <c r="K174" s="51"/>
      <c r="L174" s="51">
        <f>2.24*F174*G174</f>
        <v>38.304000000000009</v>
      </c>
      <c r="M174" s="51"/>
      <c r="N174" s="51"/>
      <c r="O174" s="290"/>
      <c r="P174" s="62"/>
    </row>
    <row r="175" spans="1:16" ht="45.75" hidden="1" customHeight="1" outlineLevel="2">
      <c r="A175" s="291"/>
      <c r="B175" s="51"/>
      <c r="C175" s="51">
        <f>(0.55*2)+(0.35*2)+(0.05*2)</f>
        <v>1.9000000000000001</v>
      </c>
      <c r="D175" s="51">
        <v>1</v>
      </c>
      <c r="E175" s="51">
        <f t="shared" si="15"/>
        <v>23</v>
      </c>
      <c r="F175" s="51">
        <v>23</v>
      </c>
      <c r="G175" s="51">
        <f t="shared" si="16"/>
        <v>1.9000000000000001</v>
      </c>
      <c r="H175" s="51"/>
      <c r="I175" s="51"/>
      <c r="J175" s="51"/>
      <c r="K175" s="51">
        <f>1.55*F175*G175</f>
        <v>67.734999999999999</v>
      </c>
      <c r="L175" s="51"/>
      <c r="M175" s="51"/>
      <c r="N175" s="51"/>
      <c r="O175" s="290"/>
      <c r="P175" s="62"/>
    </row>
    <row r="176" spans="1:16" ht="20.100000000000001" hidden="1" customHeight="1" outlineLevel="2">
      <c r="A176" s="2129" t="s">
        <v>196</v>
      </c>
      <c r="B176" s="2130"/>
      <c r="C176" s="2130"/>
      <c r="D176" s="2130"/>
      <c r="E176" s="2130"/>
      <c r="F176" s="2130"/>
      <c r="G176" s="2130"/>
      <c r="H176" s="561">
        <f>SUM(H155:H175)</f>
        <v>0</v>
      </c>
      <c r="I176" s="561">
        <f t="shared" ref="I176:O176" si="18">SUM(I155:I175)</f>
        <v>86.184000000000012</v>
      </c>
      <c r="J176" s="561">
        <f t="shared" si="18"/>
        <v>8</v>
      </c>
      <c r="K176" s="561">
        <f t="shared" si="18"/>
        <v>74.709999999999994</v>
      </c>
      <c r="L176" s="561">
        <f t="shared" si="18"/>
        <v>58.464000000000013</v>
      </c>
      <c r="M176" s="561">
        <f t="shared" si="18"/>
        <v>0</v>
      </c>
      <c r="N176" s="561">
        <f t="shared" si="18"/>
        <v>129.6</v>
      </c>
      <c r="O176" s="562">
        <f t="shared" si="18"/>
        <v>883.68299999999999</v>
      </c>
      <c r="P176" s="3"/>
    </row>
    <row r="177" spans="1:50" ht="20.100000000000001" hidden="1" customHeight="1" outlineLevel="2">
      <c r="A177" s="2186" t="s">
        <v>202</v>
      </c>
      <c r="B177" s="2187"/>
      <c r="C177" s="2187"/>
      <c r="D177" s="2187"/>
      <c r="E177" s="2187"/>
      <c r="F177" s="2187"/>
      <c r="G177" s="2187"/>
      <c r="H177" s="2190">
        <f>SUM(H176:O176)</f>
        <v>1240.6410000000001</v>
      </c>
      <c r="I177" s="2190"/>
      <c r="J177" s="2190"/>
      <c r="K177" s="2190"/>
      <c r="L177" s="2190"/>
      <c r="M177" s="2190"/>
      <c r="N177" s="2190"/>
      <c r="O177" s="2191"/>
      <c r="P177" s="3"/>
    </row>
    <row r="178" spans="1:50" s="79" customFormat="1" ht="20.100000000000001" hidden="1" customHeight="1" outlineLevel="2">
      <c r="A178" s="2214"/>
      <c r="B178" s="2215"/>
      <c r="C178" s="2215"/>
      <c r="D178" s="2215"/>
      <c r="E178" s="2215"/>
      <c r="F178" s="2215"/>
      <c r="G178" s="2215"/>
      <c r="H178" s="2215"/>
      <c r="I178" s="2215"/>
      <c r="J178" s="2215"/>
      <c r="K178" s="2215"/>
      <c r="L178" s="2215"/>
      <c r="M178" s="2215"/>
      <c r="N178" s="2215"/>
      <c r="O178" s="2216"/>
      <c r="P178" s="74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0.100000000000001" hidden="1" customHeight="1" outlineLevel="2">
      <c r="A179" s="289" t="s">
        <v>145</v>
      </c>
      <c r="B179" s="51"/>
      <c r="C179" s="51">
        <v>4.5</v>
      </c>
      <c r="D179" s="51">
        <v>1</v>
      </c>
      <c r="E179" s="51">
        <f t="shared" ref="E179:E223" si="19">D179*F179</f>
        <v>3</v>
      </c>
      <c r="F179" s="51">
        <v>3</v>
      </c>
      <c r="G179" s="63">
        <f>C179</f>
        <v>4.5</v>
      </c>
      <c r="H179" s="51"/>
      <c r="I179" s="51"/>
      <c r="J179" s="51"/>
      <c r="K179" s="51"/>
      <c r="L179" s="51"/>
      <c r="M179" s="51"/>
      <c r="N179" s="51"/>
      <c r="O179" s="290">
        <f>6.21*C179*E179</f>
        <v>83.835000000000008</v>
      </c>
      <c r="P179" s="62"/>
    </row>
    <row r="180" spans="1:50" ht="20.100000000000001" hidden="1" customHeight="1" outlineLevel="2">
      <c r="A180" s="291"/>
      <c r="B180" s="51"/>
      <c r="C180" s="51">
        <v>7</v>
      </c>
      <c r="D180" s="51">
        <v>1</v>
      </c>
      <c r="E180" s="51">
        <f t="shared" si="19"/>
        <v>2</v>
      </c>
      <c r="F180" s="51">
        <v>2</v>
      </c>
      <c r="G180" s="63">
        <f t="shared" ref="G180:G223" si="20">C180</f>
        <v>7</v>
      </c>
      <c r="H180" s="51"/>
      <c r="I180" s="51"/>
      <c r="J180" s="51"/>
      <c r="K180" s="51"/>
      <c r="L180" s="51"/>
      <c r="M180" s="51"/>
      <c r="N180" s="51"/>
      <c r="O180" s="290">
        <f>6.21*C180*E180</f>
        <v>86.94</v>
      </c>
      <c r="P180" s="62"/>
    </row>
    <row r="181" spans="1:50" ht="20.100000000000001" hidden="1" customHeight="1" outlineLevel="2">
      <c r="A181" s="291"/>
      <c r="B181" s="51"/>
      <c r="C181" s="51">
        <v>7</v>
      </c>
      <c r="D181" s="51">
        <v>1</v>
      </c>
      <c r="E181" s="51">
        <f t="shared" si="19"/>
        <v>1</v>
      </c>
      <c r="F181" s="51">
        <v>1</v>
      </c>
      <c r="G181" s="63">
        <f t="shared" si="20"/>
        <v>7</v>
      </c>
      <c r="H181" s="51"/>
      <c r="I181" s="51"/>
      <c r="J181" s="51"/>
      <c r="K181" s="51"/>
      <c r="L181" s="51"/>
      <c r="M181" s="51"/>
      <c r="N181" s="51">
        <f>4*C181*E181</f>
        <v>28</v>
      </c>
      <c r="O181" s="290"/>
      <c r="P181" s="62"/>
    </row>
    <row r="182" spans="1:50" ht="20.100000000000001" hidden="1" customHeight="1" outlineLevel="2">
      <c r="A182" s="291"/>
      <c r="B182" s="51"/>
      <c r="C182" s="51">
        <v>5</v>
      </c>
      <c r="D182" s="51">
        <v>1</v>
      </c>
      <c r="E182" s="51">
        <f t="shared" si="19"/>
        <v>3</v>
      </c>
      <c r="F182" s="51">
        <v>3</v>
      </c>
      <c r="G182" s="63">
        <f t="shared" si="20"/>
        <v>5</v>
      </c>
      <c r="H182" s="51"/>
      <c r="I182" s="51"/>
      <c r="J182" s="51"/>
      <c r="K182" s="51"/>
      <c r="L182" s="51">
        <f>2.24*C182*E182</f>
        <v>33.6</v>
      </c>
      <c r="M182" s="51"/>
      <c r="N182" s="51"/>
      <c r="O182" s="290"/>
      <c r="P182" s="62"/>
    </row>
    <row r="183" spans="1:50" ht="20.100000000000001" hidden="1" customHeight="1" outlineLevel="2">
      <c r="A183" s="291"/>
      <c r="B183" s="51"/>
      <c r="C183" s="51">
        <v>3.4</v>
      </c>
      <c r="D183" s="51">
        <v>1</v>
      </c>
      <c r="E183" s="51">
        <f t="shared" si="19"/>
        <v>3</v>
      </c>
      <c r="F183" s="51">
        <v>3</v>
      </c>
      <c r="G183" s="63">
        <f t="shared" si="20"/>
        <v>3.4</v>
      </c>
      <c r="H183" s="51"/>
      <c r="I183" s="51"/>
      <c r="J183" s="51"/>
      <c r="K183" s="51">
        <f>1.55*C183*E183*D183</f>
        <v>15.809999999999999</v>
      </c>
      <c r="L183" s="51"/>
      <c r="M183" s="51"/>
      <c r="N183" s="51"/>
      <c r="O183" s="290"/>
      <c r="P183" s="62"/>
    </row>
    <row r="184" spans="1:50" ht="20.100000000000001" hidden="1" customHeight="1" outlineLevel="2">
      <c r="A184" s="291"/>
      <c r="B184" s="51"/>
      <c r="C184" s="51">
        <v>4</v>
      </c>
      <c r="D184" s="51">
        <v>1</v>
      </c>
      <c r="E184" s="51">
        <f t="shared" si="19"/>
        <v>2</v>
      </c>
      <c r="F184" s="51">
        <v>2</v>
      </c>
      <c r="G184" s="63">
        <f t="shared" si="20"/>
        <v>4</v>
      </c>
      <c r="H184" s="51"/>
      <c r="I184" s="51"/>
      <c r="J184" s="51"/>
      <c r="K184" s="51"/>
      <c r="L184" s="51"/>
      <c r="M184" s="51"/>
      <c r="N184" s="51"/>
      <c r="O184" s="290">
        <f>6.21*C184*E184</f>
        <v>49.68</v>
      </c>
      <c r="P184" s="62"/>
    </row>
    <row r="185" spans="1:50" ht="20.100000000000001" hidden="1" customHeight="1" outlineLevel="2">
      <c r="A185" s="291"/>
      <c r="B185" s="51"/>
      <c r="C185" s="51">
        <v>8.4</v>
      </c>
      <c r="D185" s="51">
        <v>1</v>
      </c>
      <c r="E185" s="51">
        <f t="shared" si="19"/>
        <v>2</v>
      </c>
      <c r="F185" s="51">
        <v>2</v>
      </c>
      <c r="G185" s="63">
        <f t="shared" si="20"/>
        <v>8.4</v>
      </c>
      <c r="H185" s="51"/>
      <c r="I185" s="51"/>
      <c r="J185" s="51"/>
      <c r="K185" s="51"/>
      <c r="L185" s="51"/>
      <c r="M185" s="51"/>
      <c r="N185" s="51"/>
      <c r="O185" s="290">
        <f>6.21*C185*E185</f>
        <v>104.328</v>
      </c>
      <c r="P185" s="62"/>
    </row>
    <row r="186" spans="1:50" ht="20.100000000000001" hidden="1" customHeight="1" outlineLevel="2">
      <c r="A186" s="291"/>
      <c r="B186" s="51"/>
      <c r="C186" s="51">
        <v>4.5</v>
      </c>
      <c r="D186" s="51">
        <v>1</v>
      </c>
      <c r="E186" s="51">
        <f t="shared" si="19"/>
        <v>3</v>
      </c>
      <c r="F186" s="51">
        <v>3</v>
      </c>
      <c r="G186" s="63">
        <f t="shared" si="20"/>
        <v>4.5</v>
      </c>
      <c r="H186" s="51"/>
      <c r="I186" s="51"/>
      <c r="J186" s="51"/>
      <c r="K186" s="51"/>
      <c r="L186" s="51"/>
      <c r="M186" s="51"/>
      <c r="N186" s="51"/>
      <c r="O186" s="290">
        <f>6.21*C186*E186</f>
        <v>83.835000000000008</v>
      </c>
      <c r="P186" s="62"/>
    </row>
    <row r="187" spans="1:50" ht="20.100000000000001" hidden="1" customHeight="1" outlineLevel="2">
      <c r="A187" s="291"/>
      <c r="B187" s="51"/>
      <c r="C187" s="51">
        <v>7.5</v>
      </c>
      <c r="D187" s="51">
        <v>1</v>
      </c>
      <c r="E187" s="51">
        <f t="shared" si="19"/>
        <v>1</v>
      </c>
      <c r="F187" s="51">
        <v>1</v>
      </c>
      <c r="G187" s="63">
        <f t="shared" si="20"/>
        <v>7.5</v>
      </c>
      <c r="H187" s="51"/>
      <c r="I187" s="51"/>
      <c r="J187" s="51"/>
      <c r="K187" s="51"/>
      <c r="L187" s="51"/>
      <c r="M187" s="51"/>
      <c r="N187" s="51"/>
      <c r="O187" s="290">
        <f>6.21*C187*E187</f>
        <v>46.575000000000003</v>
      </c>
      <c r="P187" s="62"/>
    </row>
    <row r="188" spans="1:50" ht="20.100000000000001" hidden="1" customHeight="1" outlineLevel="2">
      <c r="A188" s="291"/>
      <c r="B188" s="51"/>
      <c r="C188" s="51">
        <v>7.5</v>
      </c>
      <c r="D188" s="51">
        <v>1</v>
      </c>
      <c r="E188" s="51">
        <f t="shared" si="19"/>
        <v>2</v>
      </c>
      <c r="F188" s="51">
        <v>2</v>
      </c>
      <c r="G188" s="63">
        <f t="shared" si="20"/>
        <v>7.5</v>
      </c>
      <c r="H188" s="51"/>
      <c r="I188" s="51"/>
      <c r="J188" s="51"/>
      <c r="K188" s="51"/>
      <c r="L188" s="51"/>
      <c r="M188" s="51"/>
      <c r="N188" s="51">
        <f>4*C188*E188</f>
        <v>60</v>
      </c>
      <c r="O188" s="290"/>
      <c r="P188" s="62"/>
    </row>
    <row r="189" spans="1:50" ht="20.100000000000001" hidden="1" customHeight="1" outlineLevel="2">
      <c r="A189" s="291"/>
      <c r="B189" s="51"/>
      <c r="C189" s="51">
        <v>12</v>
      </c>
      <c r="D189" s="51">
        <v>1</v>
      </c>
      <c r="E189" s="51">
        <f t="shared" si="19"/>
        <v>2</v>
      </c>
      <c r="F189" s="51">
        <v>2</v>
      </c>
      <c r="G189" s="63">
        <f t="shared" si="20"/>
        <v>12</v>
      </c>
      <c r="H189" s="51"/>
      <c r="I189" s="51"/>
      <c r="J189" s="51"/>
      <c r="K189" s="51"/>
      <c r="L189" s="51"/>
      <c r="M189" s="51"/>
      <c r="N189" s="51"/>
      <c r="O189" s="290">
        <f>6.21*C189*E189</f>
        <v>149.04</v>
      </c>
      <c r="P189" s="62"/>
    </row>
    <row r="190" spans="1:50" ht="20.100000000000001" hidden="1" customHeight="1" outlineLevel="2">
      <c r="A190" s="291"/>
      <c r="B190" s="51"/>
      <c r="C190" s="51">
        <v>12</v>
      </c>
      <c r="D190" s="51">
        <v>1</v>
      </c>
      <c r="E190" s="51">
        <f t="shared" si="19"/>
        <v>2</v>
      </c>
      <c r="F190" s="51">
        <v>2</v>
      </c>
      <c r="G190" s="63">
        <f t="shared" si="20"/>
        <v>12</v>
      </c>
      <c r="H190" s="51"/>
      <c r="I190" s="51"/>
      <c r="J190" s="51"/>
      <c r="K190" s="51"/>
      <c r="L190" s="51"/>
      <c r="M190" s="51"/>
      <c r="N190" s="51"/>
      <c r="O190" s="290">
        <f>6.21*C190*E190</f>
        <v>149.04</v>
      </c>
      <c r="P190" s="62"/>
    </row>
    <row r="191" spans="1:50" ht="20.100000000000001" hidden="1" customHeight="1" outlineLevel="2">
      <c r="A191" s="291"/>
      <c r="B191" s="51"/>
      <c r="C191" s="51">
        <v>4.5</v>
      </c>
      <c r="D191" s="51">
        <v>1</v>
      </c>
      <c r="E191" s="51">
        <f t="shared" si="19"/>
        <v>3</v>
      </c>
      <c r="F191" s="51">
        <v>3</v>
      </c>
      <c r="G191" s="63">
        <f t="shared" si="20"/>
        <v>4.5</v>
      </c>
      <c r="H191" s="51"/>
      <c r="I191" s="51"/>
      <c r="J191" s="51"/>
      <c r="K191" s="51"/>
      <c r="L191" s="51"/>
      <c r="M191" s="51"/>
      <c r="N191" s="51"/>
      <c r="O191" s="290">
        <f>6.21*C191*E191</f>
        <v>83.835000000000008</v>
      </c>
      <c r="P191" s="62"/>
    </row>
    <row r="192" spans="1:50" ht="20.100000000000001" hidden="1" customHeight="1" outlineLevel="2">
      <c r="A192" s="291"/>
      <c r="B192" s="51"/>
      <c r="C192" s="51">
        <v>7.5</v>
      </c>
      <c r="D192" s="51">
        <v>1</v>
      </c>
      <c r="E192" s="51">
        <f t="shared" si="19"/>
        <v>1</v>
      </c>
      <c r="F192" s="51">
        <v>1</v>
      </c>
      <c r="G192" s="63">
        <f t="shared" si="20"/>
        <v>7.5</v>
      </c>
      <c r="H192" s="51"/>
      <c r="I192" s="51"/>
      <c r="J192" s="51"/>
      <c r="K192" s="51"/>
      <c r="L192" s="51"/>
      <c r="M192" s="51"/>
      <c r="N192" s="51"/>
      <c r="O192" s="290">
        <f>6.21*C192*E192</f>
        <v>46.575000000000003</v>
      </c>
      <c r="P192" s="62"/>
    </row>
    <row r="193" spans="1:16" ht="20.100000000000001" hidden="1" customHeight="1" outlineLevel="2">
      <c r="A193" s="291"/>
      <c r="B193" s="51"/>
      <c r="C193" s="51">
        <v>7.5</v>
      </c>
      <c r="D193" s="51">
        <v>1</v>
      </c>
      <c r="E193" s="51">
        <f t="shared" si="19"/>
        <v>2</v>
      </c>
      <c r="F193" s="51">
        <v>2</v>
      </c>
      <c r="G193" s="63">
        <f t="shared" si="20"/>
        <v>7.5</v>
      </c>
      <c r="H193" s="51"/>
      <c r="I193" s="51"/>
      <c r="J193" s="51"/>
      <c r="K193" s="51"/>
      <c r="L193" s="51"/>
      <c r="M193" s="51"/>
      <c r="N193" s="51">
        <f>4*C193*E193</f>
        <v>60</v>
      </c>
      <c r="O193" s="290"/>
      <c r="P193" s="62"/>
    </row>
    <row r="194" spans="1:16" ht="20.100000000000001" hidden="1" customHeight="1" outlineLevel="2">
      <c r="A194" s="291"/>
      <c r="B194" s="51"/>
      <c r="C194" s="51">
        <v>12</v>
      </c>
      <c r="D194" s="51">
        <v>1</v>
      </c>
      <c r="E194" s="51">
        <f t="shared" si="19"/>
        <v>2</v>
      </c>
      <c r="F194" s="51">
        <v>2</v>
      </c>
      <c r="G194" s="63">
        <f t="shared" si="20"/>
        <v>12</v>
      </c>
      <c r="H194" s="51"/>
      <c r="I194" s="51"/>
      <c r="J194" s="51"/>
      <c r="K194" s="51"/>
      <c r="L194" s="51"/>
      <c r="M194" s="51"/>
      <c r="N194" s="51"/>
      <c r="O194" s="290">
        <f>6.21*C194*E194</f>
        <v>149.04</v>
      </c>
      <c r="P194" s="62"/>
    </row>
    <row r="195" spans="1:16" ht="20.100000000000001" hidden="1" customHeight="1" outlineLevel="2">
      <c r="A195" s="291"/>
      <c r="B195" s="51"/>
      <c r="C195" s="51">
        <v>4</v>
      </c>
      <c r="D195" s="51">
        <v>1</v>
      </c>
      <c r="E195" s="51">
        <f t="shared" si="19"/>
        <v>2</v>
      </c>
      <c r="F195" s="51">
        <v>2</v>
      </c>
      <c r="G195" s="63">
        <f t="shared" si="20"/>
        <v>4</v>
      </c>
      <c r="H195" s="51"/>
      <c r="I195" s="51"/>
      <c r="J195" s="51"/>
      <c r="K195" s="51"/>
      <c r="L195" s="51">
        <f>2.24*C195*E195</f>
        <v>17.920000000000002</v>
      </c>
      <c r="M195" s="51"/>
      <c r="N195" s="51"/>
      <c r="O195" s="290"/>
      <c r="P195" s="62"/>
    </row>
    <row r="196" spans="1:16" ht="20.100000000000001" hidden="1" customHeight="1" outlineLevel="2">
      <c r="A196" s="291"/>
      <c r="B196" s="51"/>
      <c r="C196" s="51">
        <v>4</v>
      </c>
      <c r="D196" s="51">
        <v>1</v>
      </c>
      <c r="E196" s="51">
        <f t="shared" si="19"/>
        <v>1</v>
      </c>
      <c r="F196" s="51">
        <v>1</v>
      </c>
      <c r="G196" s="63">
        <f t="shared" si="20"/>
        <v>4</v>
      </c>
      <c r="H196" s="51"/>
      <c r="I196" s="51"/>
      <c r="J196" s="51"/>
      <c r="K196" s="51">
        <f>1.55*C196*E196*D196</f>
        <v>6.2</v>
      </c>
      <c r="L196" s="51"/>
      <c r="M196" s="51"/>
      <c r="N196" s="51"/>
      <c r="O196" s="290"/>
      <c r="P196" s="62"/>
    </row>
    <row r="197" spans="1:16" ht="20.100000000000001" hidden="1" customHeight="1" outlineLevel="2">
      <c r="A197" s="291"/>
      <c r="B197" s="51"/>
      <c r="C197" s="51">
        <v>12</v>
      </c>
      <c r="D197" s="51">
        <v>1</v>
      </c>
      <c r="E197" s="51">
        <f t="shared" si="19"/>
        <v>2</v>
      </c>
      <c r="F197" s="51">
        <v>2</v>
      </c>
      <c r="G197" s="63">
        <f t="shared" si="20"/>
        <v>12</v>
      </c>
      <c r="H197" s="51"/>
      <c r="I197" s="51"/>
      <c r="J197" s="51"/>
      <c r="K197" s="51"/>
      <c r="L197" s="51"/>
      <c r="M197" s="51"/>
      <c r="N197" s="51"/>
      <c r="O197" s="290">
        <f>6.21*C197*E197</f>
        <v>149.04</v>
      </c>
      <c r="P197" s="62"/>
    </row>
    <row r="198" spans="1:16" ht="20.100000000000001" hidden="1" customHeight="1" outlineLevel="2">
      <c r="A198" s="291"/>
      <c r="B198" s="51"/>
      <c r="C198" s="51">
        <v>12</v>
      </c>
      <c r="D198" s="51">
        <v>1</v>
      </c>
      <c r="E198" s="51">
        <f t="shared" si="19"/>
        <v>2</v>
      </c>
      <c r="F198" s="51">
        <v>2</v>
      </c>
      <c r="G198" s="63">
        <f t="shared" si="20"/>
        <v>12</v>
      </c>
      <c r="H198" s="51"/>
      <c r="I198" s="51"/>
      <c r="J198" s="51"/>
      <c r="K198" s="51"/>
      <c r="L198" s="51"/>
      <c r="M198" s="51"/>
      <c r="N198" s="51"/>
      <c r="O198" s="290">
        <f>6.21*C198*E198</f>
        <v>149.04</v>
      </c>
      <c r="P198" s="62"/>
    </row>
    <row r="199" spans="1:16" ht="20.100000000000001" hidden="1" customHeight="1" outlineLevel="2">
      <c r="A199" s="291"/>
      <c r="B199" s="51"/>
      <c r="C199" s="51">
        <v>7.5</v>
      </c>
      <c r="D199" s="51">
        <v>1</v>
      </c>
      <c r="E199" s="51">
        <f t="shared" si="19"/>
        <v>1</v>
      </c>
      <c r="F199" s="51">
        <v>1</v>
      </c>
      <c r="G199" s="63">
        <f t="shared" si="20"/>
        <v>7.5</v>
      </c>
      <c r="H199" s="51"/>
      <c r="I199" s="51"/>
      <c r="J199" s="51"/>
      <c r="K199" s="51"/>
      <c r="L199" s="51"/>
      <c r="M199" s="51"/>
      <c r="N199" s="51"/>
      <c r="O199" s="290">
        <f>6.21*C199*E199</f>
        <v>46.575000000000003</v>
      </c>
      <c r="P199" s="62"/>
    </row>
    <row r="200" spans="1:16" ht="20.100000000000001" hidden="1" customHeight="1" outlineLevel="2">
      <c r="A200" s="291"/>
      <c r="B200" s="51"/>
      <c r="C200" s="51">
        <v>7.5</v>
      </c>
      <c r="D200" s="51">
        <v>1</v>
      </c>
      <c r="E200" s="51">
        <f t="shared" si="19"/>
        <v>2</v>
      </c>
      <c r="F200" s="51">
        <v>2</v>
      </c>
      <c r="G200" s="63">
        <f t="shared" si="20"/>
        <v>7.5</v>
      </c>
      <c r="H200" s="51"/>
      <c r="I200" s="51"/>
      <c r="J200" s="51"/>
      <c r="K200" s="51"/>
      <c r="L200" s="51"/>
      <c r="M200" s="51"/>
      <c r="N200" s="51">
        <f>4*C200*E200</f>
        <v>60</v>
      </c>
      <c r="O200" s="290"/>
      <c r="P200" s="62"/>
    </row>
    <row r="201" spans="1:16" ht="20.100000000000001" hidden="1" customHeight="1" outlineLevel="2">
      <c r="A201" s="291"/>
      <c r="B201" s="51"/>
      <c r="C201" s="51">
        <v>4.5</v>
      </c>
      <c r="D201" s="51">
        <v>1</v>
      </c>
      <c r="E201" s="51">
        <f t="shared" si="19"/>
        <v>3</v>
      </c>
      <c r="F201" s="51">
        <v>3</v>
      </c>
      <c r="G201" s="63">
        <f t="shared" si="20"/>
        <v>4.5</v>
      </c>
      <c r="H201" s="51"/>
      <c r="I201" s="51"/>
      <c r="J201" s="51"/>
      <c r="K201" s="51"/>
      <c r="L201" s="51"/>
      <c r="M201" s="51"/>
      <c r="N201" s="51"/>
      <c r="O201" s="290">
        <f>6.21*C201*E201</f>
        <v>83.835000000000008</v>
      </c>
      <c r="P201" s="62"/>
    </row>
    <row r="202" spans="1:16" ht="20.100000000000001" hidden="1" customHeight="1" outlineLevel="2">
      <c r="A202" s="291"/>
      <c r="B202" s="51"/>
      <c r="C202" s="51">
        <v>4</v>
      </c>
      <c r="D202" s="51">
        <v>1</v>
      </c>
      <c r="E202" s="51">
        <f t="shared" si="19"/>
        <v>2</v>
      </c>
      <c r="F202" s="51">
        <v>2</v>
      </c>
      <c r="G202" s="63">
        <f t="shared" si="20"/>
        <v>4</v>
      </c>
      <c r="H202" s="51"/>
      <c r="I202" s="51"/>
      <c r="J202" s="51"/>
      <c r="K202" s="51"/>
      <c r="L202" s="51">
        <f>2.24*C202*E202</f>
        <v>17.920000000000002</v>
      </c>
      <c r="M202" s="51"/>
      <c r="N202" s="51"/>
      <c r="O202" s="290">
        <f>6.21*C202*E202</f>
        <v>49.68</v>
      </c>
      <c r="P202" s="62"/>
    </row>
    <row r="203" spans="1:16" ht="20.100000000000001" hidden="1" customHeight="1" outlineLevel="2">
      <c r="A203" s="291"/>
      <c r="B203" s="51"/>
      <c r="C203" s="51">
        <v>4</v>
      </c>
      <c r="D203" s="51">
        <v>1</v>
      </c>
      <c r="E203" s="51">
        <f t="shared" si="19"/>
        <v>1</v>
      </c>
      <c r="F203" s="51">
        <v>1</v>
      </c>
      <c r="G203" s="63">
        <f t="shared" si="20"/>
        <v>4</v>
      </c>
      <c r="H203" s="51"/>
      <c r="I203" s="51"/>
      <c r="J203" s="51"/>
      <c r="K203" s="51">
        <f>1.55*C203*E203*D203</f>
        <v>6.2</v>
      </c>
      <c r="L203" s="51"/>
      <c r="M203" s="51"/>
      <c r="N203" s="51"/>
      <c r="O203" s="290"/>
      <c r="P203" s="62"/>
    </row>
    <row r="204" spans="1:16" ht="20.100000000000001" hidden="1" customHeight="1" outlineLevel="2">
      <c r="A204" s="291"/>
      <c r="B204" s="51"/>
      <c r="C204" s="51">
        <v>12</v>
      </c>
      <c r="D204" s="51">
        <v>1</v>
      </c>
      <c r="E204" s="51">
        <f t="shared" si="19"/>
        <v>2</v>
      </c>
      <c r="F204" s="51">
        <v>2</v>
      </c>
      <c r="G204" s="63">
        <f t="shared" si="20"/>
        <v>12</v>
      </c>
      <c r="H204" s="51"/>
      <c r="I204" s="51"/>
      <c r="J204" s="51"/>
      <c r="K204" s="51"/>
      <c r="L204" s="51"/>
      <c r="M204" s="51"/>
      <c r="N204" s="51"/>
      <c r="O204" s="290">
        <f>6.21*C204*E204</f>
        <v>149.04</v>
      </c>
      <c r="P204" s="62"/>
    </row>
    <row r="205" spans="1:16" ht="20.100000000000001" hidden="1" customHeight="1" outlineLevel="2">
      <c r="A205" s="291"/>
      <c r="B205" s="51"/>
      <c r="C205" s="51">
        <v>4.5</v>
      </c>
      <c r="D205" s="51">
        <v>1</v>
      </c>
      <c r="E205" s="51">
        <f t="shared" si="19"/>
        <v>2</v>
      </c>
      <c r="F205" s="51">
        <v>2</v>
      </c>
      <c r="G205" s="63">
        <f t="shared" si="20"/>
        <v>4.5</v>
      </c>
      <c r="H205" s="51"/>
      <c r="I205" s="51"/>
      <c r="J205" s="51"/>
      <c r="K205" s="51"/>
      <c r="L205" s="51">
        <f>2.24*C205*E205</f>
        <v>20.160000000000004</v>
      </c>
      <c r="M205" s="51"/>
      <c r="N205" s="51"/>
      <c r="O205" s="290"/>
      <c r="P205" s="62"/>
    </row>
    <row r="206" spans="1:16" ht="20.100000000000001" hidden="1" customHeight="1" outlineLevel="2">
      <c r="A206" s="291"/>
      <c r="B206" s="51"/>
      <c r="C206" s="51">
        <v>4.5</v>
      </c>
      <c r="D206" s="51">
        <v>1</v>
      </c>
      <c r="E206" s="51">
        <f t="shared" si="19"/>
        <v>1</v>
      </c>
      <c r="F206" s="51">
        <v>1</v>
      </c>
      <c r="G206" s="63">
        <f t="shared" si="20"/>
        <v>4.5</v>
      </c>
      <c r="H206" s="51"/>
      <c r="I206" s="51"/>
      <c r="J206" s="51"/>
      <c r="K206" s="51">
        <f>1.55*C206*E206*D206</f>
        <v>6.9750000000000005</v>
      </c>
      <c r="L206" s="51"/>
      <c r="M206" s="51"/>
      <c r="N206" s="51"/>
      <c r="O206" s="290"/>
      <c r="P206" s="62"/>
    </row>
    <row r="207" spans="1:16" ht="20.100000000000001" hidden="1" customHeight="1" outlineLevel="2">
      <c r="A207" s="291"/>
      <c r="B207" s="51"/>
      <c r="C207" s="51">
        <v>4.7</v>
      </c>
      <c r="D207" s="51">
        <v>1</v>
      </c>
      <c r="E207" s="51">
        <f t="shared" si="19"/>
        <v>4</v>
      </c>
      <c r="F207" s="51">
        <v>4</v>
      </c>
      <c r="G207" s="63">
        <f t="shared" si="20"/>
        <v>4.7</v>
      </c>
      <c r="H207" s="51"/>
      <c r="I207" s="51"/>
      <c r="J207" s="51"/>
      <c r="K207" s="51"/>
      <c r="L207" s="51"/>
      <c r="M207" s="51"/>
      <c r="N207" s="51"/>
      <c r="O207" s="290">
        <f>6.21*C207*E207</f>
        <v>116.748</v>
      </c>
      <c r="P207" s="62"/>
    </row>
    <row r="208" spans="1:16" ht="20.100000000000001" hidden="1" customHeight="1" outlineLevel="2">
      <c r="A208" s="291"/>
      <c r="B208" s="51"/>
      <c r="C208" s="51">
        <v>7.5</v>
      </c>
      <c r="D208" s="51">
        <v>1</v>
      </c>
      <c r="E208" s="51">
        <f t="shared" si="19"/>
        <v>1</v>
      </c>
      <c r="F208" s="51">
        <v>1</v>
      </c>
      <c r="G208" s="63">
        <f t="shared" si="20"/>
        <v>7.5</v>
      </c>
      <c r="H208" s="51"/>
      <c r="I208" s="51"/>
      <c r="J208" s="51"/>
      <c r="K208" s="51"/>
      <c r="L208" s="51"/>
      <c r="M208" s="51"/>
      <c r="N208" s="51"/>
      <c r="O208" s="290">
        <f>6.21*C208*E208</f>
        <v>46.575000000000003</v>
      </c>
      <c r="P208" s="62"/>
    </row>
    <row r="209" spans="1:16" ht="20.100000000000001" hidden="1" customHeight="1" outlineLevel="2">
      <c r="A209" s="291"/>
      <c r="B209" s="51"/>
      <c r="C209" s="51">
        <v>7.5</v>
      </c>
      <c r="D209" s="51">
        <v>1</v>
      </c>
      <c r="E209" s="51">
        <f t="shared" si="19"/>
        <v>2</v>
      </c>
      <c r="F209" s="51">
        <v>2</v>
      </c>
      <c r="G209" s="63">
        <f t="shared" si="20"/>
        <v>7.5</v>
      </c>
      <c r="H209" s="51"/>
      <c r="I209" s="51"/>
      <c r="J209" s="51"/>
      <c r="K209" s="51"/>
      <c r="L209" s="51"/>
      <c r="M209" s="51"/>
      <c r="N209" s="51">
        <f>4*C209*E209</f>
        <v>60</v>
      </c>
      <c r="O209" s="290"/>
      <c r="P209" s="62"/>
    </row>
    <row r="210" spans="1:16" ht="20.100000000000001" hidden="1" customHeight="1" outlineLevel="2">
      <c r="A210" s="291"/>
      <c r="B210" s="51"/>
      <c r="C210" s="51">
        <v>12</v>
      </c>
      <c r="D210" s="51">
        <v>1</v>
      </c>
      <c r="E210" s="51">
        <f t="shared" si="19"/>
        <v>1</v>
      </c>
      <c r="F210" s="51">
        <v>1</v>
      </c>
      <c r="G210" s="63">
        <f t="shared" si="20"/>
        <v>12</v>
      </c>
      <c r="H210" s="51"/>
      <c r="I210" s="51"/>
      <c r="J210" s="51"/>
      <c r="K210" s="51"/>
      <c r="L210" s="51"/>
      <c r="M210" s="51"/>
      <c r="N210" s="51"/>
      <c r="O210" s="290">
        <f>6.21*C210*E210</f>
        <v>74.52</v>
      </c>
      <c r="P210" s="62"/>
    </row>
    <row r="211" spans="1:16" ht="20.100000000000001" hidden="1" customHeight="1" outlineLevel="2">
      <c r="A211" s="291"/>
      <c r="B211" s="51"/>
      <c r="C211" s="51">
        <v>12</v>
      </c>
      <c r="D211" s="51">
        <v>1</v>
      </c>
      <c r="E211" s="51">
        <f t="shared" si="19"/>
        <v>1</v>
      </c>
      <c r="F211" s="51">
        <v>1</v>
      </c>
      <c r="G211" s="63">
        <f t="shared" si="20"/>
        <v>12</v>
      </c>
      <c r="H211" s="51"/>
      <c r="I211" s="51"/>
      <c r="J211" s="51"/>
      <c r="K211" s="51"/>
      <c r="L211" s="51"/>
      <c r="M211" s="51"/>
      <c r="N211" s="51">
        <f>4*C211*E211</f>
        <v>48</v>
      </c>
      <c r="O211" s="290"/>
      <c r="P211" s="62"/>
    </row>
    <row r="212" spans="1:16" ht="20.100000000000001" hidden="1" customHeight="1" outlineLevel="2">
      <c r="A212" s="291"/>
      <c r="B212" s="51"/>
      <c r="C212" s="51">
        <v>9</v>
      </c>
      <c r="D212" s="51">
        <v>1</v>
      </c>
      <c r="E212" s="51">
        <f t="shared" si="19"/>
        <v>1</v>
      </c>
      <c r="F212" s="51">
        <v>1</v>
      </c>
      <c r="G212" s="63">
        <f t="shared" si="20"/>
        <v>9</v>
      </c>
      <c r="H212" s="51"/>
      <c r="I212" s="51"/>
      <c r="J212" s="51"/>
      <c r="K212" s="51"/>
      <c r="L212" s="51"/>
      <c r="M212" s="51"/>
      <c r="N212" s="51"/>
      <c r="O212" s="290">
        <f>6.21*C212*E212</f>
        <v>55.89</v>
      </c>
      <c r="P212" s="62"/>
    </row>
    <row r="213" spans="1:16" ht="20.100000000000001" hidden="1" customHeight="1" outlineLevel="2">
      <c r="A213" s="291"/>
      <c r="B213" s="51"/>
      <c r="C213" s="51">
        <v>9</v>
      </c>
      <c r="D213" s="51">
        <v>1</v>
      </c>
      <c r="E213" s="51">
        <f t="shared" si="19"/>
        <v>1</v>
      </c>
      <c r="F213" s="51">
        <v>1</v>
      </c>
      <c r="G213" s="63">
        <f t="shared" si="20"/>
        <v>9</v>
      </c>
      <c r="H213" s="51"/>
      <c r="I213" s="51"/>
      <c r="J213" s="51"/>
      <c r="K213" s="51"/>
      <c r="L213" s="51"/>
      <c r="M213" s="51"/>
      <c r="N213" s="51">
        <f>4*C213*E213</f>
        <v>36</v>
      </c>
      <c r="O213" s="290"/>
      <c r="P213" s="62"/>
    </row>
    <row r="214" spans="1:16" ht="20.100000000000001" hidden="1" customHeight="1" outlineLevel="2">
      <c r="A214" s="291"/>
      <c r="B214" s="51"/>
      <c r="C214" s="51">
        <v>6</v>
      </c>
      <c r="D214" s="51">
        <v>1</v>
      </c>
      <c r="E214" s="51">
        <f t="shared" si="19"/>
        <v>3</v>
      </c>
      <c r="F214" s="51">
        <v>3</v>
      </c>
      <c r="G214" s="63">
        <f t="shared" si="20"/>
        <v>6</v>
      </c>
      <c r="H214" s="51"/>
      <c r="I214" s="51"/>
      <c r="J214" s="51"/>
      <c r="K214" s="51"/>
      <c r="L214" s="51"/>
      <c r="M214" s="51"/>
      <c r="N214" s="51"/>
      <c r="O214" s="290">
        <f>6.21*C214*E214</f>
        <v>111.78</v>
      </c>
      <c r="P214" s="62"/>
    </row>
    <row r="215" spans="1:16" ht="20.100000000000001" hidden="1" customHeight="1" outlineLevel="2">
      <c r="A215" s="291"/>
      <c r="B215" s="51"/>
      <c r="C215" s="51">
        <v>3</v>
      </c>
      <c r="D215" s="51">
        <v>1</v>
      </c>
      <c r="E215" s="51">
        <f t="shared" si="19"/>
        <v>3</v>
      </c>
      <c r="F215" s="51">
        <v>3</v>
      </c>
      <c r="G215" s="63">
        <f t="shared" si="20"/>
        <v>3</v>
      </c>
      <c r="H215" s="51"/>
      <c r="I215" s="51"/>
      <c r="J215" s="51"/>
      <c r="K215" s="51"/>
      <c r="L215" s="51"/>
      <c r="M215" s="51"/>
      <c r="N215" s="51"/>
      <c r="O215" s="290">
        <f>6.21*C215*E215</f>
        <v>55.89</v>
      </c>
      <c r="P215" s="62"/>
    </row>
    <row r="216" spans="1:16" ht="20.100000000000001" hidden="1" customHeight="1" outlineLevel="2">
      <c r="A216" s="291"/>
      <c r="B216" s="51"/>
      <c r="C216" s="51">
        <v>4</v>
      </c>
      <c r="D216" s="51">
        <v>1</v>
      </c>
      <c r="E216" s="51">
        <f t="shared" si="19"/>
        <v>3</v>
      </c>
      <c r="F216" s="51">
        <v>3</v>
      </c>
      <c r="G216" s="63">
        <f t="shared" si="20"/>
        <v>4</v>
      </c>
      <c r="H216" s="51"/>
      <c r="I216" s="51"/>
      <c r="J216" s="51"/>
      <c r="K216" s="51"/>
      <c r="L216" s="51"/>
      <c r="M216" s="51"/>
      <c r="N216" s="51"/>
      <c r="O216" s="290">
        <f>6.21*C216*E216</f>
        <v>74.52</v>
      </c>
      <c r="P216" s="62"/>
    </row>
    <row r="217" spans="1:16" ht="20.100000000000001" hidden="1" customHeight="1" outlineLevel="2">
      <c r="A217" s="291"/>
      <c r="B217" s="51"/>
      <c r="C217" s="51">
        <v>2</v>
      </c>
      <c r="D217" s="51">
        <v>1</v>
      </c>
      <c r="E217" s="51">
        <f t="shared" si="19"/>
        <v>3</v>
      </c>
      <c r="F217" s="51">
        <v>3</v>
      </c>
      <c r="G217" s="63">
        <f t="shared" si="20"/>
        <v>2</v>
      </c>
      <c r="H217" s="51"/>
      <c r="I217" s="51"/>
      <c r="J217" s="51"/>
      <c r="K217" s="51"/>
      <c r="L217" s="51"/>
      <c r="M217" s="51">
        <f>3*E217*C217*D217</f>
        <v>18</v>
      </c>
      <c r="N217" s="51"/>
      <c r="O217" s="290"/>
      <c r="P217" s="62"/>
    </row>
    <row r="218" spans="1:16" ht="20.100000000000001" hidden="1" customHeight="1" outlineLevel="2">
      <c r="A218" s="291"/>
      <c r="B218" s="51"/>
      <c r="C218" s="51">
        <v>4.9000000000000004</v>
      </c>
      <c r="D218" s="51">
        <v>1</v>
      </c>
      <c r="E218" s="51">
        <f t="shared" si="19"/>
        <v>1</v>
      </c>
      <c r="F218" s="51">
        <v>1</v>
      </c>
      <c r="G218" s="63">
        <f t="shared" si="20"/>
        <v>4.9000000000000004</v>
      </c>
      <c r="H218" s="51"/>
      <c r="I218" s="51"/>
      <c r="J218" s="51"/>
      <c r="K218" s="51"/>
      <c r="L218" s="51"/>
      <c r="M218" s="51"/>
      <c r="N218" s="51"/>
      <c r="O218" s="290">
        <f>6.21*C218*E218</f>
        <v>30.429000000000002</v>
      </c>
      <c r="P218" s="62"/>
    </row>
    <row r="219" spans="1:16" ht="20.100000000000001" hidden="1" customHeight="1" outlineLevel="2">
      <c r="A219" s="291"/>
      <c r="B219" s="51"/>
      <c r="C219" s="51">
        <v>4.9000000000000004</v>
      </c>
      <c r="D219" s="51">
        <v>1</v>
      </c>
      <c r="E219" s="51">
        <f t="shared" si="19"/>
        <v>1</v>
      </c>
      <c r="F219" s="51">
        <v>1</v>
      </c>
      <c r="G219" s="63">
        <f t="shared" si="20"/>
        <v>4.9000000000000004</v>
      </c>
      <c r="H219" s="51"/>
      <c r="I219" s="51"/>
      <c r="J219" s="51"/>
      <c r="K219" s="51"/>
      <c r="L219" s="51"/>
      <c r="M219" s="51"/>
      <c r="N219" s="51">
        <f>4*C219*E219</f>
        <v>19.600000000000001</v>
      </c>
      <c r="O219" s="290"/>
      <c r="P219" s="62"/>
    </row>
    <row r="220" spans="1:16" ht="20.100000000000001" hidden="1" customHeight="1" outlineLevel="2">
      <c r="A220" s="291"/>
      <c r="B220" s="51"/>
      <c r="C220" s="51">
        <v>3.5</v>
      </c>
      <c r="D220" s="51">
        <v>1</v>
      </c>
      <c r="E220" s="51">
        <f t="shared" si="19"/>
        <v>4</v>
      </c>
      <c r="F220" s="51">
        <v>4</v>
      </c>
      <c r="G220" s="63">
        <f t="shared" si="20"/>
        <v>3.5</v>
      </c>
      <c r="H220" s="51"/>
      <c r="I220" s="51"/>
      <c r="J220" s="51"/>
      <c r="K220" s="51"/>
      <c r="L220" s="51"/>
      <c r="M220" s="51"/>
      <c r="N220" s="51"/>
      <c r="O220" s="290">
        <f>6.21*C220*E220</f>
        <v>86.94</v>
      </c>
      <c r="P220" s="62"/>
    </row>
    <row r="221" spans="1:16" ht="20.100000000000001" hidden="1" customHeight="1" outlineLevel="2">
      <c r="A221" s="291"/>
      <c r="B221" s="51"/>
      <c r="C221" s="51">
        <v>3.5</v>
      </c>
      <c r="D221" s="51">
        <v>1</v>
      </c>
      <c r="E221" s="51">
        <f t="shared" si="19"/>
        <v>1</v>
      </c>
      <c r="F221" s="51">
        <v>1</v>
      </c>
      <c r="G221" s="63">
        <f t="shared" si="20"/>
        <v>3.5</v>
      </c>
      <c r="H221" s="51"/>
      <c r="I221" s="51"/>
      <c r="J221" s="51"/>
      <c r="K221" s="51"/>
      <c r="L221" s="51"/>
      <c r="M221" s="51"/>
      <c r="N221" s="51">
        <f>4*C221*E221</f>
        <v>14</v>
      </c>
      <c r="O221" s="290"/>
      <c r="P221" s="62"/>
    </row>
    <row r="222" spans="1:16" ht="40.5" hidden="1" customHeight="1" outlineLevel="2">
      <c r="A222" s="291"/>
      <c r="B222" s="51"/>
      <c r="C222" s="51">
        <f>(0.55*2)+(0.35*2)+(0.05*2)</f>
        <v>1.9000000000000001</v>
      </c>
      <c r="D222" s="51">
        <v>1</v>
      </c>
      <c r="E222" s="51">
        <f t="shared" si="19"/>
        <v>225</v>
      </c>
      <c r="F222" s="51">
        <v>225</v>
      </c>
      <c r="G222" s="63">
        <f t="shared" si="20"/>
        <v>1.9000000000000001</v>
      </c>
      <c r="H222" s="51"/>
      <c r="I222" s="51">
        <f>0.56*F222*G222</f>
        <v>239.40000000000003</v>
      </c>
      <c r="J222" s="51"/>
      <c r="K222" s="51"/>
      <c r="L222" s="51"/>
      <c r="M222" s="51"/>
      <c r="N222" s="51"/>
      <c r="O222" s="290"/>
      <c r="P222" s="62"/>
    </row>
    <row r="223" spans="1:16" ht="41.25" hidden="1" customHeight="1" outlineLevel="2">
      <c r="A223" s="291"/>
      <c r="B223" s="51"/>
      <c r="C223" s="51">
        <f>(0.55*2)+(0.35*2)+(0.05*2)</f>
        <v>1.9000000000000001</v>
      </c>
      <c r="D223" s="51">
        <v>1</v>
      </c>
      <c r="E223" s="51">
        <f t="shared" si="19"/>
        <v>171</v>
      </c>
      <c r="F223" s="51">
        <v>171</v>
      </c>
      <c r="G223" s="63">
        <f t="shared" si="20"/>
        <v>1.9000000000000001</v>
      </c>
      <c r="H223" s="51"/>
      <c r="I223" s="51"/>
      <c r="J223" s="51">
        <f>G223*F223</f>
        <v>324.90000000000003</v>
      </c>
      <c r="K223" s="51"/>
      <c r="L223" s="51"/>
      <c r="M223" s="51"/>
      <c r="N223" s="51"/>
      <c r="O223" s="290"/>
      <c r="P223" s="62"/>
    </row>
    <row r="224" spans="1:16" ht="20.100000000000001" hidden="1" customHeight="1" outlineLevel="2">
      <c r="A224" s="2192" t="s">
        <v>196</v>
      </c>
      <c r="B224" s="2193"/>
      <c r="C224" s="2193"/>
      <c r="D224" s="2193"/>
      <c r="E224" s="2193"/>
      <c r="F224" s="2193"/>
      <c r="G224" s="2194"/>
      <c r="H224" s="561">
        <f>SUM(H179:H223)</f>
        <v>0</v>
      </c>
      <c r="I224" s="561">
        <f t="shared" ref="I224:O224" si="21">SUM(I179:I223)</f>
        <v>239.40000000000003</v>
      </c>
      <c r="J224" s="561">
        <f t="shared" si="21"/>
        <v>324.90000000000003</v>
      </c>
      <c r="K224" s="561">
        <f t="shared" si="21"/>
        <v>35.184999999999995</v>
      </c>
      <c r="L224" s="561">
        <f t="shared" si="21"/>
        <v>89.6</v>
      </c>
      <c r="M224" s="561">
        <f t="shared" si="21"/>
        <v>18</v>
      </c>
      <c r="N224" s="561">
        <f t="shared" si="21"/>
        <v>385.6</v>
      </c>
      <c r="O224" s="562">
        <f t="shared" si="21"/>
        <v>2313.2250000000004</v>
      </c>
    </row>
    <row r="225" spans="1:50" ht="20.100000000000001" hidden="1" customHeight="1" outlineLevel="2">
      <c r="A225" s="2186" t="s">
        <v>204</v>
      </c>
      <c r="B225" s="2187"/>
      <c r="C225" s="2187"/>
      <c r="D225" s="2187"/>
      <c r="E225" s="2187"/>
      <c r="F225" s="2187"/>
      <c r="G225" s="2187"/>
      <c r="H225" s="2190">
        <f>SUM(H224:O224)</f>
        <v>3405.9100000000003</v>
      </c>
      <c r="I225" s="2190"/>
      <c r="J225" s="2190"/>
      <c r="K225" s="2190"/>
      <c r="L225" s="2190"/>
      <c r="M225" s="2190"/>
      <c r="N225" s="2190"/>
      <c r="O225" s="2191"/>
    </row>
    <row r="226" spans="1:50" s="80" customFormat="1" ht="20.100000000000001" hidden="1" customHeight="1" outlineLevel="2">
      <c r="A226" s="2214"/>
      <c r="B226" s="2215"/>
      <c r="C226" s="2215"/>
      <c r="D226" s="2215"/>
      <c r="E226" s="2215"/>
      <c r="F226" s="2215"/>
      <c r="G226" s="2215"/>
      <c r="H226" s="2215"/>
      <c r="I226" s="2215"/>
      <c r="J226" s="2215"/>
      <c r="K226" s="2215"/>
      <c r="L226" s="2215"/>
      <c r="M226" s="2215"/>
      <c r="N226" s="2215"/>
      <c r="O226" s="2216"/>
      <c r="P226" s="74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s="32" customFormat="1" ht="20.100000000000001" hidden="1" customHeight="1" outlineLevel="2">
      <c r="A227" s="299" t="s">
        <v>112</v>
      </c>
      <c r="B227" s="33"/>
      <c r="C227" s="64">
        <v>3</v>
      </c>
      <c r="D227" s="34">
        <v>1</v>
      </c>
      <c r="E227" s="34">
        <v>3</v>
      </c>
      <c r="F227" s="43">
        <f>D227*E227</f>
        <v>3</v>
      </c>
      <c r="G227" s="34">
        <f>C227</f>
        <v>3</v>
      </c>
      <c r="H227" s="34"/>
      <c r="I227" s="34"/>
      <c r="J227" s="34"/>
      <c r="K227" s="34"/>
      <c r="L227" s="34"/>
      <c r="M227" s="34"/>
      <c r="N227" s="34"/>
      <c r="O227" s="295">
        <f>6.4*F227*G227</f>
        <v>57.600000000000009</v>
      </c>
      <c r="P227" s="3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0.100000000000001" hidden="1" customHeight="1" outlineLevel="2">
      <c r="A228" s="296"/>
      <c r="B228" s="34"/>
      <c r="C228" s="35">
        <v>7</v>
      </c>
      <c r="D228" s="34">
        <v>1</v>
      </c>
      <c r="E228" s="34">
        <v>3</v>
      </c>
      <c r="F228" s="43">
        <f t="shared" ref="F228:F240" si="22">D228*E228</f>
        <v>3</v>
      </c>
      <c r="G228" s="34">
        <f t="shared" ref="G228:G240" si="23">C228</f>
        <v>7</v>
      </c>
      <c r="H228" s="34"/>
      <c r="I228" s="34"/>
      <c r="J228" s="34"/>
      <c r="K228" s="34"/>
      <c r="L228" s="34"/>
      <c r="M228" s="34"/>
      <c r="N228" s="34"/>
      <c r="O228" s="295">
        <f>6.4*F228*G228</f>
        <v>134.40000000000003</v>
      </c>
      <c r="P228" s="3"/>
    </row>
    <row r="229" spans="1:50" ht="20.100000000000001" hidden="1" customHeight="1" outlineLevel="2">
      <c r="A229" s="296"/>
      <c r="B229" s="34"/>
      <c r="C229" s="35">
        <v>4</v>
      </c>
      <c r="D229" s="34">
        <v>1</v>
      </c>
      <c r="E229" s="34">
        <v>2</v>
      </c>
      <c r="F229" s="43">
        <f t="shared" si="22"/>
        <v>2</v>
      </c>
      <c r="G229" s="34">
        <f t="shared" si="23"/>
        <v>4</v>
      </c>
      <c r="H229" s="34"/>
      <c r="I229" s="34"/>
      <c r="J229" s="34"/>
      <c r="K229" s="34"/>
      <c r="L229" s="34"/>
      <c r="M229" s="34"/>
      <c r="N229" s="34"/>
      <c r="O229" s="295">
        <f>6.4*F229*G229</f>
        <v>51.2</v>
      </c>
      <c r="P229" s="3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</row>
    <row r="230" spans="1:50" ht="20.100000000000001" hidden="1" customHeight="1" outlineLevel="2">
      <c r="A230" s="296"/>
      <c r="B230" s="34"/>
      <c r="C230" s="36">
        <v>3.4</v>
      </c>
      <c r="D230" s="36">
        <v>1</v>
      </c>
      <c r="E230" s="36">
        <v>3</v>
      </c>
      <c r="F230" s="44">
        <f t="shared" si="22"/>
        <v>3</v>
      </c>
      <c r="G230" s="36">
        <f t="shared" si="23"/>
        <v>3.4</v>
      </c>
      <c r="H230" s="36"/>
      <c r="I230" s="36"/>
      <c r="J230" s="36">
        <f>1*F230*G230</f>
        <v>10.199999999999999</v>
      </c>
      <c r="K230" s="36"/>
      <c r="L230" s="36"/>
      <c r="M230" s="36"/>
      <c r="N230" s="36"/>
      <c r="O230" s="300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</row>
    <row r="231" spans="1:50" ht="20.100000000000001" hidden="1" customHeight="1" outlineLevel="2">
      <c r="A231" s="296"/>
      <c r="B231" s="34"/>
      <c r="C231" s="36">
        <v>8.5</v>
      </c>
      <c r="D231" s="36">
        <v>1</v>
      </c>
      <c r="E231" s="36">
        <v>2</v>
      </c>
      <c r="F231" s="44">
        <f t="shared" si="22"/>
        <v>2</v>
      </c>
      <c r="G231" s="36">
        <f t="shared" si="23"/>
        <v>8.5</v>
      </c>
      <c r="H231" s="36"/>
      <c r="I231" s="36"/>
      <c r="J231" s="36"/>
      <c r="K231" s="36"/>
      <c r="L231" s="36"/>
      <c r="M231" s="36"/>
      <c r="N231" s="36"/>
      <c r="O231" s="300">
        <f>6.4*F231*G231</f>
        <v>108.80000000000001</v>
      </c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</row>
    <row r="232" spans="1:50" ht="20.100000000000001" hidden="1" customHeight="1" outlineLevel="2">
      <c r="A232" s="296"/>
      <c r="B232" s="34"/>
      <c r="C232" s="36">
        <v>5</v>
      </c>
      <c r="D232" s="36">
        <v>1</v>
      </c>
      <c r="E232" s="36">
        <v>1</v>
      </c>
      <c r="F232" s="44">
        <f t="shared" si="22"/>
        <v>1</v>
      </c>
      <c r="G232" s="36">
        <f t="shared" si="23"/>
        <v>5</v>
      </c>
      <c r="H232" s="36"/>
      <c r="I232" s="36"/>
      <c r="J232" s="36"/>
      <c r="K232" s="36"/>
      <c r="L232" s="36"/>
      <c r="M232" s="36">
        <f>3*F232*G232</f>
        <v>15</v>
      </c>
      <c r="N232" s="36"/>
      <c r="O232" s="300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</row>
    <row r="233" spans="1:50" ht="20.100000000000001" hidden="1" customHeight="1" outlineLevel="2">
      <c r="A233" s="296"/>
      <c r="B233" s="34"/>
      <c r="C233" s="36">
        <v>5</v>
      </c>
      <c r="D233" s="36">
        <v>1</v>
      </c>
      <c r="E233" s="36">
        <v>2</v>
      </c>
      <c r="F233" s="44">
        <f t="shared" si="22"/>
        <v>2</v>
      </c>
      <c r="G233" s="36">
        <f t="shared" si="23"/>
        <v>5</v>
      </c>
      <c r="H233" s="36"/>
      <c r="I233" s="36"/>
      <c r="J233" s="36"/>
      <c r="K233" s="36"/>
      <c r="L233" s="36">
        <f>2.24*F233*G233</f>
        <v>22.400000000000002</v>
      </c>
      <c r="M233" s="36"/>
      <c r="N233" s="36"/>
      <c r="O233" s="300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</row>
    <row r="234" spans="1:50" ht="20.100000000000001" hidden="1" customHeight="1" outlineLevel="2">
      <c r="A234" s="296"/>
      <c r="B234" s="34"/>
      <c r="C234" s="36">
        <v>12</v>
      </c>
      <c r="D234" s="36">
        <v>1</v>
      </c>
      <c r="E234" s="36">
        <v>2</v>
      </c>
      <c r="F234" s="44">
        <f t="shared" si="22"/>
        <v>2</v>
      </c>
      <c r="G234" s="36">
        <f t="shared" si="23"/>
        <v>12</v>
      </c>
      <c r="H234" s="36"/>
      <c r="I234" s="36"/>
      <c r="J234" s="36"/>
      <c r="K234" s="36"/>
      <c r="L234" s="36"/>
      <c r="M234" s="36"/>
      <c r="N234" s="36"/>
      <c r="O234" s="300">
        <f>6.4*F234*G234</f>
        <v>153.60000000000002</v>
      </c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</row>
    <row r="235" spans="1:50" ht="20.100000000000001" hidden="1" customHeight="1" outlineLevel="2">
      <c r="A235" s="296"/>
      <c r="B235" s="37"/>
      <c r="C235" s="36">
        <v>4.5</v>
      </c>
      <c r="D235" s="36">
        <v>1</v>
      </c>
      <c r="E235" s="36">
        <v>3</v>
      </c>
      <c r="F235" s="44">
        <f t="shared" si="22"/>
        <v>3</v>
      </c>
      <c r="G235" s="36">
        <f t="shared" si="23"/>
        <v>4.5</v>
      </c>
      <c r="H235" s="36"/>
      <c r="I235" s="36"/>
      <c r="J235" s="36"/>
      <c r="K235" s="36"/>
      <c r="L235" s="36"/>
      <c r="M235" s="36"/>
      <c r="N235" s="36"/>
      <c r="O235" s="300">
        <f>6.4*F235*G235</f>
        <v>86.4</v>
      </c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</row>
    <row r="236" spans="1:50" ht="20.100000000000001" hidden="1" customHeight="1" outlineLevel="2">
      <c r="A236" s="296"/>
      <c r="B236" s="37"/>
      <c r="C236" s="36">
        <v>8</v>
      </c>
      <c r="D236" s="36">
        <v>1</v>
      </c>
      <c r="E236" s="36">
        <v>3</v>
      </c>
      <c r="F236" s="44">
        <f t="shared" si="22"/>
        <v>3</v>
      </c>
      <c r="G236" s="36">
        <f t="shared" si="23"/>
        <v>8</v>
      </c>
      <c r="H236" s="36"/>
      <c r="I236" s="36"/>
      <c r="J236" s="36"/>
      <c r="K236" s="36"/>
      <c r="L236" s="36"/>
      <c r="M236" s="36"/>
      <c r="N236" s="36"/>
      <c r="O236" s="300">
        <f>6.4*F236*G236</f>
        <v>153.60000000000002</v>
      </c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</row>
    <row r="237" spans="1:50" ht="20.100000000000001" hidden="1" customHeight="1" outlineLevel="2">
      <c r="A237" s="296"/>
      <c r="B237" s="34"/>
      <c r="C237" s="36">
        <v>4</v>
      </c>
      <c r="D237" s="36">
        <v>1</v>
      </c>
      <c r="E237" s="36">
        <v>6</v>
      </c>
      <c r="F237" s="44">
        <f t="shared" si="22"/>
        <v>6</v>
      </c>
      <c r="G237" s="36">
        <f t="shared" si="23"/>
        <v>4</v>
      </c>
      <c r="H237" s="36"/>
      <c r="I237" s="36"/>
      <c r="J237" s="36"/>
      <c r="K237" s="301"/>
      <c r="L237" s="36">
        <f>2.24*F237*G237</f>
        <v>53.760000000000005</v>
      </c>
      <c r="M237" s="36"/>
      <c r="N237" s="36"/>
      <c r="O237" s="300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</row>
    <row r="238" spans="1:50" ht="20.100000000000001" hidden="1" customHeight="1" outlineLevel="2">
      <c r="A238" s="296"/>
      <c r="B238" s="34"/>
      <c r="C238" s="36">
        <v>4</v>
      </c>
      <c r="D238" s="36">
        <v>1</v>
      </c>
      <c r="E238" s="36">
        <v>3</v>
      </c>
      <c r="F238" s="44">
        <f t="shared" si="22"/>
        <v>3</v>
      </c>
      <c r="G238" s="36">
        <f t="shared" si="23"/>
        <v>4</v>
      </c>
      <c r="H238" s="36"/>
      <c r="I238" s="36"/>
      <c r="J238" s="36"/>
      <c r="K238" s="36">
        <f>1.55*F238*G238</f>
        <v>18.600000000000001</v>
      </c>
      <c r="L238" s="36"/>
      <c r="M238" s="36"/>
      <c r="N238" s="36"/>
      <c r="O238" s="300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</row>
    <row r="239" spans="1:50" s="31" customFormat="1" ht="20.100000000000001" hidden="1" customHeight="1" outlineLevel="2">
      <c r="A239" s="296"/>
      <c r="B239" s="34"/>
      <c r="C239" s="36">
        <v>12</v>
      </c>
      <c r="D239" s="36">
        <v>1</v>
      </c>
      <c r="E239" s="36">
        <v>3</v>
      </c>
      <c r="F239" s="44">
        <f t="shared" si="22"/>
        <v>3</v>
      </c>
      <c r="G239" s="36">
        <f t="shared" si="23"/>
        <v>12</v>
      </c>
      <c r="H239" s="36"/>
      <c r="I239" s="36"/>
      <c r="J239" s="36"/>
      <c r="K239" s="36"/>
      <c r="L239" s="36"/>
      <c r="M239" s="36"/>
      <c r="N239" s="36">
        <f>4*F239*G239</f>
        <v>144</v>
      </c>
      <c r="O239" s="300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s="31" customFormat="1" ht="20.100000000000001" hidden="1" customHeight="1" outlineLevel="2">
      <c r="A240" s="296"/>
      <c r="B240" s="34"/>
      <c r="C240" s="36">
        <v>12</v>
      </c>
      <c r="D240" s="36">
        <v>1</v>
      </c>
      <c r="E240" s="36">
        <v>5</v>
      </c>
      <c r="F240" s="44">
        <f t="shared" si="22"/>
        <v>5</v>
      </c>
      <c r="G240" s="36">
        <f t="shared" si="23"/>
        <v>12</v>
      </c>
      <c r="H240" s="36"/>
      <c r="I240" s="36"/>
      <c r="J240" s="36"/>
      <c r="K240" s="36"/>
      <c r="L240" s="36"/>
      <c r="M240" s="36"/>
      <c r="N240" s="36"/>
      <c r="O240" s="300">
        <f>6.4*F240*G240</f>
        <v>384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s="31" customFormat="1" ht="20.100000000000001" hidden="1" customHeight="1" outlineLevel="2">
      <c r="A241" s="296"/>
      <c r="B241" s="34"/>
      <c r="C241" s="36">
        <v>5</v>
      </c>
      <c r="D241" s="36">
        <v>1</v>
      </c>
      <c r="E241" s="36">
        <v>6</v>
      </c>
      <c r="F241" s="44">
        <f t="shared" ref="F241:F253" si="24">D241*E241</f>
        <v>6</v>
      </c>
      <c r="G241" s="36">
        <f t="shared" ref="G241:G253" si="25">C241</f>
        <v>5</v>
      </c>
      <c r="H241" s="36"/>
      <c r="I241" s="36"/>
      <c r="J241" s="36"/>
      <c r="K241" s="36"/>
      <c r="L241" s="36"/>
      <c r="M241" s="36"/>
      <c r="N241" s="36"/>
      <c r="O241" s="300">
        <f>6.4*F241*G241</f>
        <v>192.00000000000003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s="31" customFormat="1" ht="20.100000000000001" hidden="1" customHeight="1" outlineLevel="2">
      <c r="A242" s="296"/>
      <c r="B242" s="34"/>
      <c r="C242" s="36">
        <v>8</v>
      </c>
      <c r="D242" s="36">
        <v>1</v>
      </c>
      <c r="E242" s="36">
        <v>3</v>
      </c>
      <c r="F242" s="44">
        <f t="shared" si="24"/>
        <v>3</v>
      </c>
      <c r="G242" s="36">
        <f t="shared" si="25"/>
        <v>8</v>
      </c>
      <c r="H242" s="36"/>
      <c r="I242" s="36"/>
      <c r="J242" s="36"/>
      <c r="K242" s="36"/>
      <c r="L242" s="36"/>
      <c r="M242" s="36"/>
      <c r="N242" s="36">
        <f>4*F242*G242</f>
        <v>96</v>
      </c>
      <c r="O242" s="300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s="31" customFormat="1" ht="20.100000000000001" hidden="1" customHeight="1" outlineLevel="2">
      <c r="A243" s="296"/>
      <c r="B243" s="34"/>
      <c r="C243" s="36">
        <v>7</v>
      </c>
      <c r="D243" s="36">
        <v>1</v>
      </c>
      <c r="E243" s="36">
        <v>2</v>
      </c>
      <c r="F243" s="44">
        <f t="shared" si="24"/>
        <v>2</v>
      </c>
      <c r="G243" s="36">
        <f t="shared" si="25"/>
        <v>7</v>
      </c>
      <c r="H243" s="36"/>
      <c r="I243" s="36"/>
      <c r="J243" s="36"/>
      <c r="K243" s="36"/>
      <c r="L243" s="36"/>
      <c r="M243" s="36">
        <f>3*F243*G243</f>
        <v>42</v>
      </c>
      <c r="N243" s="36"/>
      <c r="O243" s="300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s="31" customFormat="1" ht="20.100000000000001" hidden="1" customHeight="1" outlineLevel="2">
      <c r="A244" s="296"/>
      <c r="B244" s="34"/>
      <c r="C244" s="36">
        <v>7.5</v>
      </c>
      <c r="D244" s="36">
        <v>1</v>
      </c>
      <c r="E244" s="36">
        <v>3</v>
      </c>
      <c r="F244" s="44">
        <f t="shared" si="24"/>
        <v>3</v>
      </c>
      <c r="G244" s="36">
        <f t="shared" si="25"/>
        <v>7.5</v>
      </c>
      <c r="H244" s="36"/>
      <c r="I244" s="36"/>
      <c r="J244" s="36"/>
      <c r="K244" s="36"/>
      <c r="L244" s="36"/>
      <c r="M244" s="36"/>
      <c r="N244" s="36">
        <f>4*F244*G244</f>
        <v>90</v>
      </c>
      <c r="O244" s="300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s="31" customFormat="1" ht="20.100000000000001" hidden="1" customHeight="1" outlineLevel="2">
      <c r="A245" s="302"/>
      <c r="B245" s="39"/>
      <c r="C245" s="36">
        <v>6.5</v>
      </c>
      <c r="D245" s="36">
        <v>1</v>
      </c>
      <c r="E245" s="36">
        <v>3</v>
      </c>
      <c r="F245" s="44">
        <f t="shared" si="24"/>
        <v>3</v>
      </c>
      <c r="G245" s="36">
        <f t="shared" si="25"/>
        <v>6.5</v>
      </c>
      <c r="H245" s="36"/>
      <c r="I245" s="36"/>
      <c r="J245" s="36"/>
      <c r="K245" s="36">
        <f>1.55*F245*G245</f>
        <v>30.225000000000001</v>
      </c>
      <c r="L245" s="36"/>
      <c r="M245" s="36"/>
      <c r="N245" s="36"/>
      <c r="O245" s="300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s="31" customFormat="1" ht="20.100000000000001" hidden="1" customHeight="1" outlineLevel="2">
      <c r="A246" s="296"/>
      <c r="B246" s="37"/>
      <c r="C246" s="36">
        <v>3.3</v>
      </c>
      <c r="D246" s="36">
        <v>1</v>
      </c>
      <c r="E246" s="36">
        <v>3</v>
      </c>
      <c r="F246" s="44">
        <f t="shared" si="24"/>
        <v>3</v>
      </c>
      <c r="G246" s="36">
        <f t="shared" si="25"/>
        <v>3.3</v>
      </c>
      <c r="H246" s="36"/>
      <c r="I246" s="36"/>
      <c r="J246" s="36"/>
      <c r="K246" s="36"/>
      <c r="L246" s="36"/>
      <c r="M246" s="36"/>
      <c r="N246" s="36"/>
      <c r="O246" s="300">
        <f t="shared" ref="O246:O251" si="26">6.4*F246*G246</f>
        <v>63.360000000000007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s="31" customFormat="1" ht="20.100000000000001" hidden="1" customHeight="1" outlineLevel="2">
      <c r="A247" s="296"/>
      <c r="B247" s="34"/>
      <c r="C247" s="36">
        <v>7.5</v>
      </c>
      <c r="D247" s="36">
        <v>1</v>
      </c>
      <c r="E247" s="36">
        <v>3</v>
      </c>
      <c r="F247" s="44">
        <f t="shared" si="24"/>
        <v>3</v>
      </c>
      <c r="G247" s="36">
        <f t="shared" si="25"/>
        <v>7.5</v>
      </c>
      <c r="H247" s="36"/>
      <c r="I247" s="36"/>
      <c r="J247" s="36"/>
      <c r="K247" s="36"/>
      <c r="L247" s="36"/>
      <c r="M247" s="36"/>
      <c r="N247" s="36">
        <f t="shared" ref="N247:N252" si="27">4*F247*G247</f>
        <v>90</v>
      </c>
      <c r="O247" s="300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s="31" customFormat="1" ht="20.100000000000001" hidden="1" customHeight="1" outlineLevel="2">
      <c r="A248" s="296"/>
      <c r="B248" s="34"/>
      <c r="C248" s="40">
        <v>8.5</v>
      </c>
      <c r="D248" s="36">
        <v>1</v>
      </c>
      <c r="E248" s="40">
        <v>1</v>
      </c>
      <c r="F248" s="45">
        <f t="shared" si="24"/>
        <v>1</v>
      </c>
      <c r="G248" s="40">
        <f t="shared" si="25"/>
        <v>8.5</v>
      </c>
      <c r="H248" s="40"/>
      <c r="I248" s="40"/>
      <c r="J248" s="36"/>
      <c r="K248" s="36"/>
      <c r="L248" s="40"/>
      <c r="M248" s="40"/>
      <c r="N248" s="36"/>
      <c r="O248" s="300">
        <f t="shared" si="26"/>
        <v>54.400000000000006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0.100000000000001" hidden="1" customHeight="1" outlineLevel="2">
      <c r="A249" s="296"/>
      <c r="B249" s="34"/>
      <c r="C249" s="36">
        <v>8.5</v>
      </c>
      <c r="D249" s="36">
        <v>1</v>
      </c>
      <c r="E249" s="36">
        <v>1</v>
      </c>
      <c r="F249" s="44">
        <f t="shared" si="24"/>
        <v>1</v>
      </c>
      <c r="G249" s="36">
        <f t="shared" si="25"/>
        <v>8.5</v>
      </c>
      <c r="H249" s="36"/>
      <c r="I249" s="36"/>
      <c r="J249" s="36"/>
      <c r="K249" s="36"/>
      <c r="L249" s="36"/>
      <c r="M249" s="36"/>
      <c r="N249" s="36">
        <f t="shared" si="27"/>
        <v>34</v>
      </c>
      <c r="O249" s="300"/>
    </row>
    <row r="250" spans="1:50" ht="19.5" hidden="1" customHeight="1" outlineLevel="2">
      <c r="A250" s="296"/>
      <c r="B250" s="34"/>
      <c r="C250" s="36">
        <v>3.2</v>
      </c>
      <c r="D250" s="36">
        <v>1</v>
      </c>
      <c r="E250" s="36">
        <v>3</v>
      </c>
      <c r="F250" s="44">
        <f t="shared" si="24"/>
        <v>3</v>
      </c>
      <c r="G250" s="36">
        <f t="shared" si="25"/>
        <v>3.2</v>
      </c>
      <c r="H250" s="36"/>
      <c r="I250" s="36"/>
      <c r="J250" s="36">
        <f>1*F250*G250</f>
        <v>9.6000000000000014</v>
      </c>
      <c r="K250" s="36"/>
      <c r="L250" s="36"/>
      <c r="M250" s="36"/>
      <c r="N250" s="36"/>
      <c r="O250" s="300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</row>
    <row r="251" spans="1:50" ht="20.100000000000001" hidden="1" customHeight="1" outlineLevel="2">
      <c r="A251" s="296"/>
      <c r="B251" s="34"/>
      <c r="C251" s="36">
        <v>4</v>
      </c>
      <c r="D251" s="58">
        <v>1</v>
      </c>
      <c r="E251" s="36">
        <v>1</v>
      </c>
      <c r="F251" s="44">
        <f t="shared" si="24"/>
        <v>1</v>
      </c>
      <c r="G251" s="36">
        <f t="shared" si="25"/>
        <v>4</v>
      </c>
      <c r="H251" s="36"/>
      <c r="I251" s="36"/>
      <c r="J251" s="36"/>
      <c r="K251" s="36"/>
      <c r="L251" s="36"/>
      <c r="M251" s="36"/>
      <c r="N251" s="36"/>
      <c r="O251" s="300">
        <f t="shared" si="26"/>
        <v>25.6</v>
      </c>
    </row>
    <row r="252" spans="1:50" ht="20.100000000000001" hidden="1" customHeight="1" outlineLevel="2">
      <c r="A252" s="296"/>
      <c r="B252" s="34"/>
      <c r="C252" s="36">
        <v>4</v>
      </c>
      <c r="D252" s="58">
        <v>1</v>
      </c>
      <c r="E252" s="36">
        <v>1</v>
      </c>
      <c r="F252" s="44">
        <f t="shared" si="24"/>
        <v>1</v>
      </c>
      <c r="G252" s="36">
        <f t="shared" si="25"/>
        <v>4</v>
      </c>
      <c r="H252" s="36"/>
      <c r="I252" s="36"/>
      <c r="J252" s="36"/>
      <c r="K252" s="36"/>
      <c r="L252" s="36"/>
      <c r="M252" s="36"/>
      <c r="N252" s="36">
        <f t="shared" si="27"/>
        <v>16</v>
      </c>
      <c r="O252" s="300"/>
    </row>
    <row r="253" spans="1:50" ht="19.5" hidden="1" customHeight="1" outlineLevel="2">
      <c r="A253" s="296"/>
      <c r="B253" s="41"/>
      <c r="C253" s="40">
        <v>3.5</v>
      </c>
      <c r="D253" s="58">
        <v>1</v>
      </c>
      <c r="E253" s="40">
        <v>3</v>
      </c>
      <c r="F253" s="45">
        <f t="shared" si="24"/>
        <v>3</v>
      </c>
      <c r="G253" s="40">
        <f t="shared" si="25"/>
        <v>3.5</v>
      </c>
      <c r="H253" s="40"/>
      <c r="I253" s="40"/>
      <c r="J253" s="40"/>
      <c r="K253" s="36">
        <f>1.55*F253*G253</f>
        <v>16.275000000000002</v>
      </c>
      <c r="L253" s="40"/>
      <c r="M253" s="40"/>
      <c r="N253" s="36"/>
      <c r="O253" s="300"/>
    </row>
    <row r="254" spans="1:50" ht="42" hidden="1" customHeight="1" outlineLevel="2">
      <c r="A254" s="291"/>
      <c r="B254" s="52"/>
      <c r="C254" s="51">
        <f>(0.55*2)+(0.35*2)+(0.05*2)</f>
        <v>1.9000000000000001</v>
      </c>
      <c r="D254" s="59">
        <v>1</v>
      </c>
      <c r="E254" s="51">
        <v>263</v>
      </c>
      <c r="F254" s="51">
        <f>D254*E254</f>
        <v>263</v>
      </c>
      <c r="G254" s="51">
        <v>1.9</v>
      </c>
      <c r="H254" s="51"/>
      <c r="I254" s="51">
        <f>0.56*G254*F254</f>
        <v>279.83199999999999</v>
      </c>
      <c r="J254" s="34"/>
      <c r="K254" s="51"/>
      <c r="L254" s="51"/>
      <c r="M254" s="51"/>
      <c r="N254" s="51"/>
      <c r="O254" s="290"/>
    </row>
    <row r="255" spans="1:50" ht="42" hidden="1" customHeight="1" outlineLevel="2">
      <c r="A255" s="291"/>
      <c r="B255" s="52"/>
      <c r="C255" s="51">
        <f>(0.55*2)+(0.35*2)+(0.05*2)</f>
        <v>1.9000000000000001</v>
      </c>
      <c r="D255" s="59">
        <v>1</v>
      </c>
      <c r="E255" s="51">
        <v>74</v>
      </c>
      <c r="F255" s="51">
        <f>D255*E255</f>
        <v>74</v>
      </c>
      <c r="G255" s="51">
        <v>1.9</v>
      </c>
      <c r="H255" s="51"/>
      <c r="I255" s="51"/>
      <c r="J255" s="34">
        <f>1*F255*G255</f>
        <v>140.6</v>
      </c>
      <c r="K255" s="51"/>
      <c r="L255" s="51"/>
      <c r="M255" s="51"/>
      <c r="N255" s="51"/>
      <c r="O255" s="290"/>
    </row>
    <row r="256" spans="1:50" ht="25.5" hidden="1" customHeight="1" outlineLevel="2">
      <c r="A256" s="2192" t="s">
        <v>196</v>
      </c>
      <c r="B256" s="2193"/>
      <c r="C256" s="2193"/>
      <c r="D256" s="2193"/>
      <c r="E256" s="2193"/>
      <c r="F256" s="2193"/>
      <c r="G256" s="2194"/>
      <c r="H256" s="65">
        <f>SUM(H227:H255)</f>
        <v>0</v>
      </c>
      <c r="I256" s="65">
        <f t="shared" ref="I256:O256" si="28">SUM(I227:I255)</f>
        <v>279.83199999999999</v>
      </c>
      <c r="J256" s="65">
        <f t="shared" si="28"/>
        <v>160.4</v>
      </c>
      <c r="K256" s="65">
        <f t="shared" si="28"/>
        <v>65.100000000000009</v>
      </c>
      <c r="L256" s="65">
        <f t="shared" si="28"/>
        <v>76.160000000000011</v>
      </c>
      <c r="M256" s="65">
        <f t="shared" si="28"/>
        <v>57</v>
      </c>
      <c r="N256" s="65">
        <f t="shared" si="28"/>
        <v>470</v>
      </c>
      <c r="O256" s="298">
        <f t="shared" si="28"/>
        <v>1464.96</v>
      </c>
    </row>
    <row r="257" spans="1:50" ht="20.100000000000001" hidden="1" customHeight="1" outlineLevel="2">
      <c r="A257" s="2186" t="s">
        <v>113</v>
      </c>
      <c r="B257" s="2187"/>
      <c r="C257" s="2187"/>
      <c r="D257" s="2187"/>
      <c r="E257" s="2187"/>
      <c r="F257" s="2187"/>
      <c r="G257" s="2187"/>
      <c r="H257" s="2223">
        <f>SUM(H256:O256)</f>
        <v>2573.4520000000002</v>
      </c>
      <c r="I257" s="2224"/>
      <c r="J257" s="2224"/>
      <c r="K257" s="2224"/>
      <c r="L257" s="2224"/>
      <c r="M257" s="2224"/>
      <c r="N257" s="2224"/>
      <c r="O257" s="2225"/>
    </row>
    <row r="258" spans="1:50" s="37" customFormat="1" ht="20.100000000000001" hidden="1" customHeight="1" outlineLevel="2">
      <c r="A258" s="2206"/>
      <c r="B258" s="2207"/>
      <c r="C258" s="2207"/>
      <c r="D258" s="2207"/>
      <c r="E258" s="2207"/>
      <c r="F258" s="2207"/>
      <c r="G258" s="2207"/>
      <c r="H258" s="2207"/>
      <c r="I258" s="2207"/>
      <c r="J258" s="2207"/>
      <c r="K258" s="2207"/>
      <c r="L258" s="2207"/>
      <c r="M258" s="2207"/>
      <c r="N258" s="2207"/>
      <c r="O258" s="2208"/>
      <c r="P258" s="82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0.100000000000001" hidden="1" customHeight="1" outlineLevel="2">
      <c r="A259" s="299" t="s">
        <v>115</v>
      </c>
      <c r="B259" s="41"/>
      <c r="C259" s="36">
        <v>3</v>
      </c>
      <c r="D259" s="36">
        <v>1</v>
      </c>
      <c r="E259" s="36">
        <v>3</v>
      </c>
      <c r="F259" s="44">
        <f>+D259*E259</f>
        <v>3</v>
      </c>
      <c r="G259" s="36">
        <f>C259</f>
        <v>3</v>
      </c>
      <c r="H259" s="36"/>
      <c r="I259" s="36"/>
      <c r="J259" s="36"/>
      <c r="K259" s="36"/>
      <c r="L259" s="36"/>
      <c r="M259" s="36"/>
      <c r="N259" s="36"/>
      <c r="O259" s="300">
        <f>6.4*F259*G259</f>
        <v>57.600000000000009</v>
      </c>
    </row>
    <row r="260" spans="1:50" ht="19.5" hidden="1" customHeight="1" outlineLevel="2">
      <c r="A260" s="296"/>
      <c r="B260" s="37"/>
      <c r="C260" s="36">
        <v>7</v>
      </c>
      <c r="D260" s="36">
        <v>1</v>
      </c>
      <c r="E260" s="36">
        <v>3</v>
      </c>
      <c r="F260" s="44">
        <f t="shared" ref="F260:F286" si="29">+D260*E260</f>
        <v>3</v>
      </c>
      <c r="G260" s="36">
        <f t="shared" ref="G260:G286" si="30">C260</f>
        <v>7</v>
      </c>
      <c r="H260" s="36"/>
      <c r="I260" s="36"/>
      <c r="J260" s="36"/>
      <c r="K260" s="36"/>
      <c r="L260" s="36"/>
      <c r="M260" s="36"/>
      <c r="N260" s="36"/>
      <c r="O260" s="300">
        <f>6.4*F260*G260</f>
        <v>134.40000000000003</v>
      </c>
    </row>
    <row r="261" spans="1:50" s="31" customFormat="1" ht="20.100000000000001" hidden="1" customHeight="1" outlineLevel="2">
      <c r="A261" s="296"/>
      <c r="B261" s="37"/>
      <c r="C261" s="36">
        <v>4</v>
      </c>
      <c r="D261" s="36">
        <v>1</v>
      </c>
      <c r="E261" s="36">
        <v>1</v>
      </c>
      <c r="F261" s="44">
        <f t="shared" si="29"/>
        <v>1</v>
      </c>
      <c r="G261" s="36">
        <f t="shared" si="30"/>
        <v>4</v>
      </c>
      <c r="H261" s="36"/>
      <c r="I261" s="36"/>
      <c r="J261" s="36"/>
      <c r="K261" s="36"/>
      <c r="L261" s="36"/>
      <c r="M261" s="36"/>
      <c r="N261" s="36"/>
      <c r="O261" s="300">
        <f>6.4*F261*G261</f>
        <v>25.6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0.100000000000001" hidden="1" customHeight="1" outlineLevel="2">
      <c r="A262" s="296"/>
      <c r="B262" s="42"/>
      <c r="C262" s="36">
        <v>4</v>
      </c>
      <c r="D262" s="36">
        <v>1</v>
      </c>
      <c r="E262" s="36">
        <v>1</v>
      </c>
      <c r="F262" s="44">
        <f t="shared" si="29"/>
        <v>1</v>
      </c>
      <c r="G262" s="36">
        <f t="shared" si="30"/>
        <v>4</v>
      </c>
      <c r="H262" s="36"/>
      <c r="I262" s="36"/>
      <c r="J262" s="36"/>
      <c r="K262" s="36"/>
      <c r="L262" s="36"/>
      <c r="M262" s="36"/>
      <c r="N262" s="36">
        <f>4*F262*G262</f>
        <v>16</v>
      </c>
      <c r="O262" s="300"/>
    </row>
    <row r="263" spans="1:50" ht="20.100000000000001" hidden="1" customHeight="1" outlineLevel="2">
      <c r="A263" s="296"/>
      <c r="B263" s="34"/>
      <c r="C263" s="36">
        <v>2.9</v>
      </c>
      <c r="D263" s="36">
        <v>1</v>
      </c>
      <c r="E263" s="36">
        <v>3</v>
      </c>
      <c r="F263" s="44">
        <f t="shared" si="29"/>
        <v>3</v>
      </c>
      <c r="G263" s="36">
        <f t="shared" si="30"/>
        <v>2.9</v>
      </c>
      <c r="H263" s="36"/>
      <c r="I263" s="36"/>
      <c r="J263" s="36">
        <f>1*F263*G263</f>
        <v>8.6999999999999993</v>
      </c>
      <c r="K263" s="36"/>
      <c r="L263" s="36"/>
      <c r="M263" s="36"/>
      <c r="N263" s="36"/>
      <c r="O263" s="300"/>
    </row>
    <row r="264" spans="1:50" ht="20.100000000000001" hidden="1" customHeight="1" outlineLevel="2">
      <c r="A264" s="296"/>
      <c r="B264" s="34"/>
      <c r="C264" s="36">
        <v>7.7</v>
      </c>
      <c r="D264" s="36">
        <v>1</v>
      </c>
      <c r="E264" s="36">
        <v>1</v>
      </c>
      <c r="F264" s="44">
        <f t="shared" si="29"/>
        <v>1</v>
      </c>
      <c r="G264" s="36">
        <f t="shared" si="30"/>
        <v>7.7</v>
      </c>
      <c r="H264" s="36"/>
      <c r="I264" s="36"/>
      <c r="J264" s="36"/>
      <c r="K264" s="36"/>
      <c r="L264" s="36"/>
      <c r="M264" s="36"/>
      <c r="N264" s="36">
        <f>4*F264*G264</f>
        <v>30.8</v>
      </c>
      <c r="O264" s="300"/>
    </row>
    <row r="265" spans="1:50" ht="20.100000000000001" hidden="1" customHeight="1" outlineLevel="2">
      <c r="A265" s="296"/>
      <c r="B265" s="34"/>
      <c r="C265" s="36">
        <v>7.7</v>
      </c>
      <c r="D265" s="36">
        <v>1</v>
      </c>
      <c r="E265" s="36">
        <v>1</v>
      </c>
      <c r="F265" s="44">
        <f t="shared" si="29"/>
        <v>1</v>
      </c>
      <c r="G265" s="36">
        <f t="shared" si="30"/>
        <v>7.7</v>
      </c>
      <c r="H265" s="36"/>
      <c r="I265" s="36"/>
      <c r="J265" s="36"/>
      <c r="K265" s="36"/>
      <c r="L265" s="36"/>
      <c r="M265" s="36"/>
      <c r="N265" s="36"/>
      <c r="O265" s="300">
        <f>6.4*F265*G265</f>
        <v>49.28</v>
      </c>
    </row>
    <row r="266" spans="1:50" ht="20.100000000000001" hidden="1" customHeight="1" outlineLevel="2">
      <c r="A266" s="296"/>
      <c r="B266" s="34"/>
      <c r="C266" s="36">
        <v>3</v>
      </c>
      <c r="D266" s="36">
        <v>1</v>
      </c>
      <c r="E266" s="36">
        <v>1</v>
      </c>
      <c r="F266" s="44">
        <f t="shared" si="29"/>
        <v>1</v>
      </c>
      <c r="G266" s="36">
        <f t="shared" si="30"/>
        <v>3</v>
      </c>
      <c r="H266" s="36"/>
      <c r="I266" s="36"/>
      <c r="J266" s="36"/>
      <c r="K266" s="36"/>
      <c r="L266" s="36"/>
      <c r="M266" s="36">
        <f>3*F266*G266</f>
        <v>9</v>
      </c>
      <c r="N266" s="36"/>
      <c r="O266" s="300"/>
    </row>
    <row r="267" spans="1:50" ht="20.100000000000001" hidden="1" customHeight="1" outlineLevel="2">
      <c r="A267" s="296"/>
      <c r="B267" s="34"/>
      <c r="C267" s="36">
        <v>3</v>
      </c>
      <c r="D267" s="36">
        <v>1</v>
      </c>
      <c r="E267" s="36">
        <v>2</v>
      </c>
      <c r="F267" s="44">
        <f t="shared" si="29"/>
        <v>2</v>
      </c>
      <c r="G267" s="36">
        <f t="shared" si="30"/>
        <v>3</v>
      </c>
      <c r="H267" s="36"/>
      <c r="I267" s="36"/>
      <c r="J267" s="36"/>
      <c r="K267" s="36"/>
      <c r="L267" s="36">
        <f>2.24*F267*G267</f>
        <v>13.440000000000001</v>
      </c>
      <c r="M267" s="36"/>
      <c r="N267" s="36"/>
      <c r="O267" s="300"/>
    </row>
    <row r="268" spans="1:50" ht="20.100000000000001" hidden="1" customHeight="1" outlineLevel="2">
      <c r="A268" s="296"/>
      <c r="B268" s="34"/>
      <c r="C268" s="36">
        <v>6.5</v>
      </c>
      <c r="D268" s="36">
        <v>1</v>
      </c>
      <c r="E268" s="36">
        <v>2</v>
      </c>
      <c r="F268" s="44">
        <f t="shared" si="29"/>
        <v>2</v>
      </c>
      <c r="G268" s="36">
        <f t="shared" si="30"/>
        <v>6.5</v>
      </c>
      <c r="H268" s="36"/>
      <c r="I268" s="36"/>
      <c r="J268" s="36"/>
      <c r="K268" s="36"/>
      <c r="L268" s="36"/>
      <c r="M268" s="36"/>
      <c r="N268" s="36"/>
      <c r="O268" s="300">
        <f>6.4*F268*G268</f>
        <v>83.2</v>
      </c>
    </row>
    <row r="269" spans="1:50" ht="20.100000000000001" hidden="1" customHeight="1" outlineLevel="2">
      <c r="A269" s="296"/>
      <c r="B269" s="37"/>
      <c r="C269" s="36">
        <v>4.5</v>
      </c>
      <c r="D269" s="36">
        <v>1</v>
      </c>
      <c r="E269" s="36">
        <v>3</v>
      </c>
      <c r="F269" s="44">
        <f t="shared" si="29"/>
        <v>3</v>
      </c>
      <c r="G269" s="36">
        <f t="shared" si="30"/>
        <v>4.5</v>
      </c>
      <c r="H269" s="36"/>
      <c r="I269" s="36"/>
      <c r="J269" s="36"/>
      <c r="K269" s="36"/>
      <c r="L269" s="36"/>
      <c r="M269" s="36"/>
      <c r="N269" s="36"/>
      <c r="O269" s="300">
        <f>6.4*F269*G269</f>
        <v>86.4</v>
      </c>
    </row>
    <row r="270" spans="1:50" ht="20.100000000000001" hidden="1" customHeight="1" outlineLevel="2">
      <c r="A270" s="296"/>
      <c r="B270" s="37"/>
      <c r="C270" s="36">
        <v>4.5</v>
      </c>
      <c r="D270" s="36">
        <v>1</v>
      </c>
      <c r="E270" s="36">
        <v>1</v>
      </c>
      <c r="F270" s="44">
        <f t="shared" si="29"/>
        <v>1</v>
      </c>
      <c r="G270" s="36">
        <f t="shared" si="30"/>
        <v>4.5</v>
      </c>
      <c r="H270" s="36"/>
      <c r="I270" s="36"/>
      <c r="J270" s="36"/>
      <c r="K270" s="36"/>
      <c r="L270" s="36"/>
      <c r="M270" s="36"/>
      <c r="N270" s="36">
        <f>4*F270*G270</f>
        <v>18</v>
      </c>
      <c r="O270" s="300"/>
    </row>
    <row r="271" spans="1:50" ht="20.100000000000001" hidden="1" customHeight="1" outlineLevel="2">
      <c r="A271" s="296"/>
      <c r="B271" s="34"/>
      <c r="C271" s="36">
        <v>7</v>
      </c>
      <c r="D271" s="36">
        <v>1</v>
      </c>
      <c r="E271" s="36">
        <v>2</v>
      </c>
      <c r="F271" s="44">
        <f t="shared" si="29"/>
        <v>2</v>
      </c>
      <c r="G271" s="36">
        <f t="shared" si="30"/>
        <v>7</v>
      </c>
      <c r="H271" s="36"/>
      <c r="I271" s="36"/>
      <c r="J271" s="36"/>
      <c r="K271" s="36"/>
      <c r="L271" s="36"/>
      <c r="M271" s="36"/>
      <c r="N271" s="36"/>
      <c r="O271" s="300">
        <f>6.4*F271*G271</f>
        <v>89.600000000000009</v>
      </c>
    </row>
    <row r="272" spans="1:50" ht="20.100000000000001" hidden="1" customHeight="1" outlineLevel="2">
      <c r="A272" s="296"/>
      <c r="B272" s="34"/>
      <c r="C272" s="36">
        <v>7</v>
      </c>
      <c r="D272" s="36">
        <v>1</v>
      </c>
      <c r="E272" s="36">
        <v>1</v>
      </c>
      <c r="F272" s="44">
        <f t="shared" si="29"/>
        <v>1</v>
      </c>
      <c r="G272" s="36">
        <f t="shared" si="30"/>
        <v>7</v>
      </c>
      <c r="H272" s="36"/>
      <c r="I272" s="36"/>
      <c r="J272" s="36"/>
      <c r="K272" s="36"/>
      <c r="L272" s="36"/>
      <c r="M272" s="36"/>
      <c r="N272" s="36">
        <f>4*F272*G272</f>
        <v>28</v>
      </c>
      <c r="O272" s="300"/>
    </row>
    <row r="273" spans="1:15" ht="20.100000000000001" hidden="1" customHeight="1" outlineLevel="2">
      <c r="A273" s="296"/>
      <c r="B273" s="34"/>
      <c r="C273" s="36">
        <v>10</v>
      </c>
      <c r="D273" s="36">
        <v>1</v>
      </c>
      <c r="E273" s="36">
        <v>1</v>
      </c>
      <c r="F273" s="44">
        <f t="shared" si="29"/>
        <v>1</v>
      </c>
      <c r="G273" s="36">
        <f t="shared" si="30"/>
        <v>10</v>
      </c>
      <c r="H273" s="36"/>
      <c r="I273" s="36"/>
      <c r="J273" s="36"/>
      <c r="K273" s="36"/>
      <c r="L273" s="36"/>
      <c r="M273" s="36"/>
      <c r="N273" s="36"/>
      <c r="O273" s="300">
        <f>6.4*F273*G273</f>
        <v>64</v>
      </c>
    </row>
    <row r="274" spans="1:15" ht="20.100000000000001" hidden="1" customHeight="1" outlineLevel="2">
      <c r="A274" s="296"/>
      <c r="B274" s="34"/>
      <c r="C274" s="36">
        <v>10</v>
      </c>
      <c r="D274" s="36">
        <v>1</v>
      </c>
      <c r="E274" s="36">
        <v>1</v>
      </c>
      <c r="F274" s="44">
        <f t="shared" si="29"/>
        <v>1</v>
      </c>
      <c r="G274" s="36">
        <f t="shared" si="30"/>
        <v>10</v>
      </c>
      <c r="H274" s="36"/>
      <c r="I274" s="36"/>
      <c r="J274" s="36"/>
      <c r="K274" s="36"/>
      <c r="L274" s="36"/>
      <c r="M274" s="36"/>
      <c r="N274" s="36">
        <f>4*F274*G274</f>
        <v>40</v>
      </c>
      <c r="O274" s="300"/>
    </row>
    <row r="275" spans="1:15" ht="20.100000000000001" hidden="1" customHeight="1" outlineLevel="2">
      <c r="A275" s="296"/>
      <c r="B275" s="34"/>
      <c r="C275" s="36">
        <v>9</v>
      </c>
      <c r="D275" s="36">
        <v>1</v>
      </c>
      <c r="E275" s="36">
        <v>1</v>
      </c>
      <c r="F275" s="44">
        <f t="shared" si="29"/>
        <v>1</v>
      </c>
      <c r="G275" s="36">
        <f t="shared" si="30"/>
        <v>9</v>
      </c>
      <c r="H275" s="36"/>
      <c r="I275" s="36"/>
      <c r="J275" s="36"/>
      <c r="K275" s="36"/>
      <c r="L275" s="36"/>
      <c r="M275" s="36"/>
      <c r="N275" s="36"/>
      <c r="O275" s="300">
        <f>6.4*F275*G275</f>
        <v>57.6</v>
      </c>
    </row>
    <row r="276" spans="1:15" ht="20.100000000000001" hidden="1" customHeight="1" outlineLevel="2">
      <c r="A276" s="296"/>
      <c r="B276" s="34"/>
      <c r="C276" s="36">
        <v>9</v>
      </c>
      <c r="D276" s="36">
        <v>1</v>
      </c>
      <c r="E276" s="36">
        <v>1</v>
      </c>
      <c r="F276" s="44">
        <f t="shared" si="29"/>
        <v>1</v>
      </c>
      <c r="G276" s="36">
        <f t="shared" si="30"/>
        <v>9</v>
      </c>
      <c r="H276" s="36"/>
      <c r="I276" s="36"/>
      <c r="J276" s="36"/>
      <c r="K276" s="36"/>
      <c r="L276" s="36"/>
      <c r="M276" s="36"/>
      <c r="N276" s="36">
        <f>4*F276*G276</f>
        <v>36</v>
      </c>
      <c r="O276" s="300"/>
    </row>
    <row r="277" spans="1:15" ht="20.100000000000001" hidden="1" customHeight="1" outlineLevel="2">
      <c r="A277" s="296"/>
      <c r="B277" s="34"/>
      <c r="C277" s="36">
        <v>2.5</v>
      </c>
      <c r="D277" s="36">
        <v>1</v>
      </c>
      <c r="E277" s="36">
        <v>3</v>
      </c>
      <c r="F277" s="44">
        <f t="shared" si="29"/>
        <v>3</v>
      </c>
      <c r="G277" s="36">
        <f t="shared" si="30"/>
        <v>2.5</v>
      </c>
      <c r="H277" s="36"/>
      <c r="I277" s="36"/>
      <c r="J277" s="36"/>
      <c r="K277" s="36"/>
      <c r="L277" s="36">
        <f>2.24*F277*G277</f>
        <v>16.8</v>
      </c>
      <c r="M277" s="36"/>
      <c r="N277" s="36"/>
      <c r="O277" s="300"/>
    </row>
    <row r="278" spans="1:15" ht="20.100000000000001" hidden="1" customHeight="1" outlineLevel="2">
      <c r="A278" s="296"/>
      <c r="B278" s="34"/>
      <c r="C278" s="34">
        <v>6</v>
      </c>
      <c r="D278" s="36">
        <v>1</v>
      </c>
      <c r="E278" s="34">
        <v>3</v>
      </c>
      <c r="F278" s="43">
        <f t="shared" si="29"/>
        <v>3</v>
      </c>
      <c r="G278" s="34">
        <f t="shared" si="30"/>
        <v>6</v>
      </c>
      <c r="H278" s="34"/>
      <c r="I278" s="34"/>
      <c r="J278" s="34"/>
      <c r="K278" s="34"/>
      <c r="L278" s="34"/>
      <c r="M278" s="36">
        <f>3*F278*G278</f>
        <v>54</v>
      </c>
      <c r="N278" s="36"/>
      <c r="O278" s="300"/>
    </row>
    <row r="279" spans="1:15" ht="20.100000000000001" hidden="1" customHeight="1" outlineLevel="2">
      <c r="A279" s="296"/>
      <c r="B279" s="34"/>
      <c r="C279" s="34">
        <v>4</v>
      </c>
      <c r="D279" s="36">
        <v>1</v>
      </c>
      <c r="E279" s="34">
        <v>6</v>
      </c>
      <c r="F279" s="43">
        <f t="shared" si="29"/>
        <v>6</v>
      </c>
      <c r="G279" s="34">
        <f t="shared" si="30"/>
        <v>4</v>
      </c>
      <c r="H279" s="34"/>
      <c r="I279" s="34"/>
      <c r="J279" s="34"/>
      <c r="K279" s="34"/>
      <c r="L279" s="34"/>
      <c r="M279" s="36"/>
      <c r="N279" s="36">
        <f>4*F279*G279</f>
        <v>96</v>
      </c>
      <c r="O279" s="300"/>
    </row>
    <row r="280" spans="1:15" ht="20.100000000000001" hidden="1" customHeight="1" outlineLevel="2">
      <c r="A280" s="296"/>
      <c r="B280" s="34"/>
      <c r="C280" s="34">
        <v>4</v>
      </c>
      <c r="D280" s="36">
        <v>1</v>
      </c>
      <c r="E280" s="34">
        <v>1</v>
      </c>
      <c r="F280" s="43">
        <f t="shared" si="29"/>
        <v>1</v>
      </c>
      <c r="G280" s="34">
        <f t="shared" si="30"/>
        <v>4</v>
      </c>
      <c r="H280" s="34"/>
      <c r="I280" s="34"/>
      <c r="J280" s="34"/>
      <c r="K280" s="34"/>
      <c r="L280" s="34"/>
      <c r="M280" s="36">
        <f>3*F280*G280</f>
        <v>12</v>
      </c>
      <c r="N280" s="36"/>
      <c r="O280" s="300"/>
    </row>
    <row r="281" spans="1:15" ht="20.100000000000001" hidden="1" customHeight="1" outlineLevel="2">
      <c r="A281" s="296"/>
      <c r="B281" s="34"/>
      <c r="C281" s="34">
        <v>7.3</v>
      </c>
      <c r="D281" s="34">
        <v>1</v>
      </c>
      <c r="E281" s="34">
        <v>3</v>
      </c>
      <c r="F281" s="43">
        <f t="shared" si="29"/>
        <v>3</v>
      </c>
      <c r="G281" s="34">
        <f t="shared" si="30"/>
        <v>7.3</v>
      </c>
      <c r="H281" s="34"/>
      <c r="I281" s="34"/>
      <c r="J281" s="34"/>
      <c r="K281" s="34"/>
      <c r="L281" s="34"/>
      <c r="M281" s="34"/>
      <c r="N281" s="36"/>
      <c r="O281" s="300">
        <f>6.4*F281*G281</f>
        <v>140.16000000000003</v>
      </c>
    </row>
    <row r="282" spans="1:15" ht="20.100000000000001" hidden="1" customHeight="1" outlineLevel="2">
      <c r="A282" s="296"/>
      <c r="B282" s="34"/>
      <c r="C282" s="34">
        <v>6.7</v>
      </c>
      <c r="D282" s="34">
        <v>1</v>
      </c>
      <c r="E282" s="34">
        <v>1</v>
      </c>
      <c r="F282" s="43">
        <f t="shared" si="29"/>
        <v>1</v>
      </c>
      <c r="G282" s="34">
        <f t="shared" si="30"/>
        <v>6.7</v>
      </c>
      <c r="H282" s="34"/>
      <c r="I282" s="34"/>
      <c r="J282" s="34"/>
      <c r="K282" s="34"/>
      <c r="L282" s="34"/>
      <c r="M282" s="34"/>
      <c r="N282" s="36"/>
      <c r="O282" s="300">
        <f>6.4*F282*G282</f>
        <v>42.88</v>
      </c>
    </row>
    <row r="283" spans="1:15" ht="20.100000000000001" hidden="1" customHeight="1" outlineLevel="2">
      <c r="A283" s="296"/>
      <c r="B283" s="34"/>
      <c r="C283" s="34">
        <v>6.7</v>
      </c>
      <c r="D283" s="34">
        <v>1</v>
      </c>
      <c r="E283" s="34">
        <v>1</v>
      </c>
      <c r="F283" s="43">
        <f t="shared" si="29"/>
        <v>1</v>
      </c>
      <c r="G283" s="34">
        <f t="shared" si="30"/>
        <v>6.7</v>
      </c>
      <c r="H283" s="34"/>
      <c r="I283" s="34"/>
      <c r="J283" s="34"/>
      <c r="K283" s="34"/>
      <c r="L283" s="34"/>
      <c r="M283" s="34"/>
      <c r="N283" s="36">
        <f>4*F283*G283</f>
        <v>26.8</v>
      </c>
      <c r="O283" s="300"/>
    </row>
    <row r="284" spans="1:15" ht="20.100000000000001" hidden="1" customHeight="1" outlineLevel="2">
      <c r="A284" s="296"/>
      <c r="B284" s="34"/>
      <c r="C284" s="34">
        <v>3.8</v>
      </c>
      <c r="D284" s="34">
        <v>1</v>
      </c>
      <c r="E284" s="34">
        <v>5</v>
      </c>
      <c r="F284" s="43">
        <f t="shared" si="29"/>
        <v>5</v>
      </c>
      <c r="G284" s="34">
        <f t="shared" si="30"/>
        <v>3.8</v>
      </c>
      <c r="H284" s="34"/>
      <c r="I284" s="34"/>
      <c r="J284" s="34"/>
      <c r="K284" s="34"/>
      <c r="L284" s="34"/>
      <c r="M284" s="34"/>
      <c r="N284" s="36">
        <f>4*F284*G284</f>
        <v>76</v>
      </c>
      <c r="O284" s="300"/>
    </row>
    <row r="285" spans="1:15" ht="20.100000000000001" hidden="1" customHeight="1" outlineLevel="2">
      <c r="A285" s="296"/>
      <c r="B285" s="34"/>
      <c r="C285" s="34">
        <v>4</v>
      </c>
      <c r="D285" s="34">
        <v>1</v>
      </c>
      <c r="E285" s="34">
        <v>1</v>
      </c>
      <c r="F285" s="43">
        <f t="shared" si="29"/>
        <v>1</v>
      </c>
      <c r="G285" s="34">
        <f t="shared" si="30"/>
        <v>4</v>
      </c>
      <c r="H285" s="34"/>
      <c r="I285" s="34"/>
      <c r="J285" s="34"/>
      <c r="K285" s="34"/>
      <c r="L285" s="34"/>
      <c r="M285" s="34"/>
      <c r="N285" s="36">
        <f>4*F285*G285</f>
        <v>16</v>
      </c>
      <c r="O285" s="300"/>
    </row>
    <row r="286" spans="1:15" ht="20.100000000000001" hidden="1" customHeight="1" outlineLevel="2">
      <c r="A286" s="296"/>
      <c r="B286" s="34"/>
      <c r="C286" s="34">
        <v>4</v>
      </c>
      <c r="D286" s="34">
        <v>1</v>
      </c>
      <c r="E286" s="34">
        <v>1</v>
      </c>
      <c r="F286" s="43">
        <f t="shared" si="29"/>
        <v>1</v>
      </c>
      <c r="G286" s="34">
        <f t="shared" si="30"/>
        <v>4</v>
      </c>
      <c r="H286" s="34"/>
      <c r="I286" s="34"/>
      <c r="J286" s="34"/>
      <c r="K286" s="34"/>
      <c r="L286" s="34"/>
      <c r="M286" s="34"/>
      <c r="N286" s="34"/>
      <c r="O286" s="300">
        <f>6.4*F286*G286</f>
        <v>25.6</v>
      </c>
    </row>
    <row r="287" spans="1:15" ht="40.5" hidden="1" customHeight="1" outlineLevel="2">
      <c r="A287" s="291"/>
      <c r="B287" s="52"/>
      <c r="C287" s="51">
        <f>(0.55*2)+(0.35*2)+(0.05*2)</f>
        <v>1.9000000000000001</v>
      </c>
      <c r="D287" s="59">
        <v>1</v>
      </c>
      <c r="E287" s="51">
        <v>10</v>
      </c>
      <c r="F287" s="51">
        <f>D287*E287</f>
        <v>10</v>
      </c>
      <c r="G287" s="51">
        <v>1.9</v>
      </c>
      <c r="H287" s="51"/>
      <c r="I287" s="51">
        <f>0.56*G287*F287</f>
        <v>10.64</v>
      </c>
      <c r="J287" s="34"/>
      <c r="K287" s="51"/>
      <c r="L287" s="51"/>
      <c r="M287" s="51"/>
      <c r="N287" s="51"/>
      <c r="O287" s="290"/>
    </row>
    <row r="288" spans="1:15" ht="40.5" hidden="1" customHeight="1" outlineLevel="2">
      <c r="A288" s="291"/>
      <c r="B288" s="52"/>
      <c r="C288" s="51">
        <f>(0.55*2)+(0.35*2)+(0.05*2)</f>
        <v>1.9000000000000001</v>
      </c>
      <c r="D288" s="59">
        <v>1</v>
      </c>
      <c r="E288" s="51">
        <v>111</v>
      </c>
      <c r="F288" s="51">
        <f>D288*E288</f>
        <v>111</v>
      </c>
      <c r="G288" s="51">
        <v>1.9</v>
      </c>
      <c r="H288" s="51"/>
      <c r="I288" s="51"/>
      <c r="J288" s="34"/>
      <c r="K288" s="51">
        <f>1.55*G288*F288</f>
        <v>326.89499999999998</v>
      </c>
      <c r="L288" s="51"/>
      <c r="M288" s="51"/>
      <c r="N288" s="51"/>
      <c r="O288" s="290"/>
    </row>
    <row r="289" spans="1:50" ht="43.5" hidden="1" customHeight="1" outlineLevel="2">
      <c r="A289" s="291"/>
      <c r="B289" s="52"/>
      <c r="C289" s="51">
        <f>(0.55*2)+(0.35*2)+(0.05*2)</f>
        <v>1.9000000000000001</v>
      </c>
      <c r="D289" s="59">
        <v>1</v>
      </c>
      <c r="E289" s="51">
        <v>22</v>
      </c>
      <c r="F289" s="51">
        <f>D289*E289</f>
        <v>22</v>
      </c>
      <c r="G289" s="51">
        <v>1.9</v>
      </c>
      <c r="H289" s="51"/>
      <c r="I289" s="51"/>
      <c r="J289" s="34">
        <f>1*F289*G289</f>
        <v>41.8</v>
      </c>
      <c r="K289" s="51"/>
      <c r="L289" s="51"/>
      <c r="M289" s="51"/>
      <c r="N289" s="51"/>
      <c r="O289" s="290"/>
    </row>
    <row r="290" spans="1:50" ht="20.100000000000001" hidden="1" customHeight="1" outlineLevel="2">
      <c r="A290" s="2192" t="s">
        <v>196</v>
      </c>
      <c r="B290" s="2193"/>
      <c r="C290" s="2193"/>
      <c r="D290" s="2193"/>
      <c r="E290" s="2193"/>
      <c r="F290" s="2193"/>
      <c r="G290" s="2194"/>
      <c r="H290" s="65">
        <f t="shared" ref="H290:O290" si="31">SUM(H259:H289)</f>
        <v>0</v>
      </c>
      <c r="I290" s="65">
        <f t="shared" si="31"/>
        <v>10.64</v>
      </c>
      <c r="J290" s="65">
        <f t="shared" si="31"/>
        <v>50.5</v>
      </c>
      <c r="K290" s="65">
        <f t="shared" si="31"/>
        <v>326.89499999999998</v>
      </c>
      <c r="L290" s="65">
        <f t="shared" si="31"/>
        <v>30.240000000000002</v>
      </c>
      <c r="M290" s="65">
        <f t="shared" si="31"/>
        <v>75</v>
      </c>
      <c r="N290" s="65">
        <f t="shared" si="31"/>
        <v>383.6</v>
      </c>
      <c r="O290" s="298">
        <f t="shared" si="31"/>
        <v>856.32000000000016</v>
      </c>
    </row>
    <row r="291" spans="1:50" ht="20.100000000000001" hidden="1" customHeight="1" outlineLevel="2">
      <c r="A291" s="2186" t="s">
        <v>116</v>
      </c>
      <c r="B291" s="2187"/>
      <c r="C291" s="2187"/>
      <c r="D291" s="2187"/>
      <c r="E291" s="2187"/>
      <c r="F291" s="2187"/>
      <c r="G291" s="2187"/>
      <c r="H291" s="2223">
        <f>SUM(H290:O290)</f>
        <v>1733.1950000000002</v>
      </c>
      <c r="I291" s="2224"/>
      <c r="J291" s="2224"/>
      <c r="K291" s="2224"/>
      <c r="L291" s="2224"/>
      <c r="M291" s="2224"/>
      <c r="N291" s="2224"/>
      <c r="O291" s="2225"/>
    </row>
    <row r="292" spans="1:50" s="37" customFormat="1" ht="20.100000000000001" hidden="1" customHeight="1" outlineLevel="2">
      <c r="A292" s="2206"/>
      <c r="B292" s="2207"/>
      <c r="C292" s="2207"/>
      <c r="D292" s="2207"/>
      <c r="E292" s="2207"/>
      <c r="F292" s="2207"/>
      <c r="G292" s="2207"/>
      <c r="H292" s="2207"/>
      <c r="I292" s="2207"/>
      <c r="J292" s="2207"/>
      <c r="K292" s="2207"/>
      <c r="L292" s="2207"/>
      <c r="M292" s="2207"/>
      <c r="N292" s="2207"/>
      <c r="O292" s="2208"/>
      <c r="P292" s="82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0.100000000000001" hidden="1" customHeight="1" outlineLevel="2">
      <c r="A293" s="299" t="s">
        <v>117</v>
      </c>
      <c r="B293" s="34"/>
      <c r="C293" s="34">
        <v>3</v>
      </c>
      <c r="D293" s="34">
        <v>1</v>
      </c>
      <c r="E293" s="34">
        <v>3</v>
      </c>
      <c r="F293" s="43">
        <f>+D293*E293</f>
        <v>3</v>
      </c>
      <c r="G293" s="34">
        <f>+C293</f>
        <v>3</v>
      </c>
      <c r="H293" s="34"/>
      <c r="I293" s="34"/>
      <c r="J293" s="34"/>
      <c r="K293" s="34"/>
      <c r="L293" s="34"/>
      <c r="M293" s="34"/>
      <c r="N293" s="34"/>
      <c r="O293" s="295">
        <f>6.4*F293*G293</f>
        <v>57.600000000000009</v>
      </c>
    </row>
    <row r="294" spans="1:50" ht="20.100000000000001" hidden="1" customHeight="1" outlineLevel="2">
      <c r="A294" s="296"/>
      <c r="B294" s="34"/>
      <c r="C294" s="34">
        <v>7</v>
      </c>
      <c r="D294" s="34">
        <v>1</v>
      </c>
      <c r="E294" s="34">
        <v>3</v>
      </c>
      <c r="F294" s="43">
        <f t="shared" ref="F294:F316" si="32">+D294*E294</f>
        <v>3</v>
      </c>
      <c r="G294" s="34">
        <f t="shared" ref="G294:G320" si="33">+C294</f>
        <v>7</v>
      </c>
      <c r="H294" s="34"/>
      <c r="I294" s="34"/>
      <c r="J294" s="34"/>
      <c r="K294" s="34"/>
      <c r="L294" s="34"/>
      <c r="M294" s="34"/>
      <c r="N294" s="34"/>
      <c r="O294" s="295">
        <f>6.4*F294*G294</f>
        <v>134.40000000000003</v>
      </c>
    </row>
    <row r="295" spans="1:50" ht="20.100000000000001" hidden="1" customHeight="1" outlineLevel="2">
      <c r="A295" s="303"/>
      <c r="B295" s="37"/>
      <c r="C295" s="34">
        <v>4</v>
      </c>
      <c r="D295" s="34">
        <v>1</v>
      </c>
      <c r="E295" s="34">
        <v>1</v>
      </c>
      <c r="F295" s="43">
        <f t="shared" si="32"/>
        <v>1</v>
      </c>
      <c r="G295" s="34">
        <f t="shared" si="33"/>
        <v>4</v>
      </c>
      <c r="H295" s="34"/>
      <c r="I295" s="34"/>
      <c r="J295" s="34"/>
      <c r="K295" s="34"/>
      <c r="L295" s="34"/>
      <c r="M295" s="34"/>
      <c r="N295" s="34"/>
      <c r="O295" s="295">
        <f>6.4*F295*G295</f>
        <v>25.6</v>
      </c>
    </row>
    <row r="296" spans="1:50" ht="20.100000000000001" hidden="1" customHeight="1" outlineLevel="2">
      <c r="A296" s="296"/>
      <c r="B296" s="37"/>
      <c r="C296" s="34">
        <v>4</v>
      </c>
      <c r="D296" s="34">
        <v>1</v>
      </c>
      <c r="E296" s="34">
        <v>1</v>
      </c>
      <c r="F296" s="43">
        <f t="shared" si="32"/>
        <v>1</v>
      </c>
      <c r="G296" s="34">
        <f t="shared" si="33"/>
        <v>4</v>
      </c>
      <c r="H296" s="34"/>
      <c r="I296" s="34"/>
      <c r="J296" s="34"/>
      <c r="K296" s="34"/>
      <c r="L296" s="34"/>
      <c r="M296" s="34"/>
      <c r="N296" s="34">
        <f>4*F296*G296</f>
        <v>16</v>
      </c>
      <c r="O296" s="295"/>
    </row>
    <row r="297" spans="1:50" ht="20.100000000000001" hidden="1" customHeight="1" outlineLevel="2">
      <c r="A297" s="296"/>
      <c r="B297" s="34"/>
      <c r="C297" s="34">
        <v>2.9</v>
      </c>
      <c r="D297" s="34">
        <v>1</v>
      </c>
      <c r="E297" s="34">
        <v>3</v>
      </c>
      <c r="F297" s="43">
        <f t="shared" si="32"/>
        <v>3</v>
      </c>
      <c r="G297" s="34">
        <f t="shared" si="33"/>
        <v>2.9</v>
      </c>
      <c r="H297" s="34"/>
      <c r="I297" s="34"/>
      <c r="J297" s="34"/>
      <c r="K297" s="34"/>
      <c r="L297" s="34"/>
      <c r="M297" s="34"/>
      <c r="N297" s="34"/>
      <c r="O297" s="295"/>
    </row>
    <row r="298" spans="1:50" ht="20.100000000000001" hidden="1" customHeight="1" outlineLevel="2">
      <c r="A298" s="296"/>
      <c r="B298" s="34"/>
      <c r="C298" s="34">
        <v>7.8</v>
      </c>
      <c r="D298" s="34">
        <v>1</v>
      </c>
      <c r="E298" s="34">
        <v>1</v>
      </c>
      <c r="F298" s="43">
        <f t="shared" si="32"/>
        <v>1</v>
      </c>
      <c r="G298" s="34">
        <f t="shared" si="33"/>
        <v>7.8</v>
      </c>
      <c r="H298" s="34"/>
      <c r="I298" s="34"/>
      <c r="J298" s="34"/>
      <c r="K298" s="34"/>
      <c r="L298" s="34"/>
      <c r="M298" s="34"/>
      <c r="N298" s="34"/>
      <c r="O298" s="295">
        <f>6.4*F298*G298</f>
        <v>49.92</v>
      </c>
    </row>
    <row r="299" spans="1:50" ht="20.100000000000001" hidden="1" customHeight="1" outlineLevel="2">
      <c r="A299" s="296"/>
      <c r="B299" s="34"/>
      <c r="C299" s="34">
        <v>7.8</v>
      </c>
      <c r="D299" s="34">
        <v>1</v>
      </c>
      <c r="E299" s="34">
        <v>1</v>
      </c>
      <c r="F299" s="43">
        <f t="shared" si="32"/>
        <v>1</v>
      </c>
      <c r="G299" s="34">
        <f t="shared" si="33"/>
        <v>7.8</v>
      </c>
      <c r="H299" s="34"/>
      <c r="I299" s="34"/>
      <c r="J299" s="34"/>
      <c r="K299" s="34"/>
      <c r="L299" s="34"/>
      <c r="M299" s="34"/>
      <c r="N299" s="34">
        <f>4*F299*G299</f>
        <v>31.2</v>
      </c>
      <c r="O299" s="295"/>
    </row>
    <row r="300" spans="1:50" ht="20.100000000000001" hidden="1" customHeight="1" outlineLevel="2">
      <c r="A300" s="296"/>
      <c r="B300" s="34"/>
      <c r="C300" s="34">
        <v>3</v>
      </c>
      <c r="D300" s="34">
        <v>1</v>
      </c>
      <c r="E300" s="34">
        <v>2</v>
      </c>
      <c r="F300" s="43">
        <f t="shared" si="32"/>
        <v>2</v>
      </c>
      <c r="G300" s="34">
        <f t="shared" si="33"/>
        <v>3</v>
      </c>
      <c r="H300" s="34"/>
      <c r="I300" s="34"/>
      <c r="J300" s="34"/>
      <c r="K300" s="34"/>
      <c r="L300" s="34"/>
      <c r="M300" s="34">
        <f>3*F300*G300</f>
        <v>18</v>
      </c>
      <c r="N300" s="34"/>
      <c r="O300" s="295"/>
    </row>
    <row r="301" spans="1:50" ht="20.100000000000001" hidden="1" customHeight="1" outlineLevel="2">
      <c r="A301" s="296"/>
      <c r="B301" s="34"/>
      <c r="C301" s="34">
        <v>3</v>
      </c>
      <c r="D301" s="34">
        <v>1</v>
      </c>
      <c r="E301" s="34">
        <v>4</v>
      </c>
      <c r="F301" s="43">
        <f t="shared" si="32"/>
        <v>4</v>
      </c>
      <c r="G301" s="34">
        <f t="shared" si="33"/>
        <v>3</v>
      </c>
      <c r="H301" s="34"/>
      <c r="I301" s="34"/>
      <c r="J301" s="34"/>
      <c r="K301" s="34"/>
      <c r="L301" s="34">
        <f>2.24*F301*G301</f>
        <v>26.880000000000003</v>
      </c>
      <c r="M301" s="34"/>
      <c r="N301" s="34"/>
      <c r="O301" s="295"/>
    </row>
    <row r="302" spans="1:50" ht="20.100000000000001" hidden="1" customHeight="1" outlineLevel="2">
      <c r="A302" s="296"/>
      <c r="B302" s="34"/>
      <c r="C302" s="34">
        <v>7.5</v>
      </c>
      <c r="D302" s="34">
        <v>1</v>
      </c>
      <c r="E302" s="34">
        <v>1</v>
      </c>
      <c r="F302" s="43">
        <f t="shared" si="32"/>
        <v>1</v>
      </c>
      <c r="G302" s="34">
        <f t="shared" si="33"/>
        <v>7.5</v>
      </c>
      <c r="H302" s="34"/>
      <c r="I302" s="34"/>
      <c r="J302" s="34"/>
      <c r="K302" s="34"/>
      <c r="L302" s="34"/>
      <c r="M302" s="34">
        <f>3*F302*G302</f>
        <v>22.5</v>
      </c>
      <c r="N302" s="34"/>
      <c r="O302" s="295"/>
    </row>
    <row r="303" spans="1:50" ht="20.100000000000001" hidden="1" customHeight="1" outlineLevel="2">
      <c r="A303" s="296"/>
      <c r="B303" s="34"/>
      <c r="C303" s="34">
        <v>7.5</v>
      </c>
      <c r="D303" s="34">
        <v>1</v>
      </c>
      <c r="E303" s="34">
        <v>1</v>
      </c>
      <c r="F303" s="43">
        <f t="shared" si="32"/>
        <v>1</v>
      </c>
      <c r="G303" s="34">
        <f t="shared" si="33"/>
        <v>7.5</v>
      </c>
      <c r="H303" s="34"/>
      <c r="I303" s="34"/>
      <c r="J303" s="34"/>
      <c r="K303" s="34"/>
      <c r="L303" s="34">
        <f>2.24*F303*G303</f>
        <v>16.8</v>
      </c>
      <c r="M303" s="34"/>
      <c r="N303" s="34"/>
      <c r="O303" s="295"/>
    </row>
    <row r="304" spans="1:50" ht="20.100000000000001" hidden="1" customHeight="1" outlineLevel="2">
      <c r="A304" s="296"/>
      <c r="B304" s="34"/>
      <c r="C304" s="34">
        <v>4.5</v>
      </c>
      <c r="D304" s="34">
        <v>1</v>
      </c>
      <c r="E304" s="34">
        <v>3</v>
      </c>
      <c r="F304" s="43">
        <f t="shared" si="32"/>
        <v>3</v>
      </c>
      <c r="G304" s="34">
        <f t="shared" si="33"/>
        <v>4.5</v>
      </c>
      <c r="H304" s="34"/>
      <c r="I304" s="34"/>
      <c r="J304" s="34"/>
      <c r="K304" s="34"/>
      <c r="L304" s="34"/>
      <c r="M304" s="34"/>
      <c r="N304" s="34"/>
      <c r="O304" s="295">
        <f>6.4*F304*G304</f>
        <v>86.4</v>
      </c>
    </row>
    <row r="305" spans="1:15" ht="20.100000000000001" hidden="1" customHeight="1" outlineLevel="2">
      <c r="A305" s="296"/>
      <c r="B305" s="34"/>
      <c r="C305" s="34">
        <v>7</v>
      </c>
      <c r="D305" s="34">
        <v>1</v>
      </c>
      <c r="E305" s="34">
        <v>3</v>
      </c>
      <c r="F305" s="43">
        <f t="shared" si="32"/>
        <v>3</v>
      </c>
      <c r="G305" s="34">
        <f t="shared" si="33"/>
        <v>7</v>
      </c>
      <c r="H305" s="34"/>
      <c r="I305" s="34"/>
      <c r="J305" s="34"/>
      <c r="K305" s="34"/>
      <c r="L305" s="34"/>
      <c r="M305" s="34"/>
      <c r="N305" s="34"/>
      <c r="O305" s="295">
        <f>6.4*F305*G305</f>
        <v>134.40000000000003</v>
      </c>
    </row>
    <row r="306" spans="1:15" ht="20.100000000000001" hidden="1" customHeight="1" outlineLevel="2">
      <c r="A306" s="296"/>
      <c r="B306" s="34"/>
      <c r="C306" s="34">
        <v>9</v>
      </c>
      <c r="D306" s="34">
        <v>1</v>
      </c>
      <c r="E306" s="34">
        <v>2</v>
      </c>
      <c r="F306" s="43">
        <f t="shared" si="32"/>
        <v>2</v>
      </c>
      <c r="G306" s="34">
        <f t="shared" si="33"/>
        <v>9</v>
      </c>
      <c r="H306" s="34"/>
      <c r="I306" s="34"/>
      <c r="J306" s="34"/>
      <c r="K306" s="34"/>
      <c r="L306" s="34"/>
      <c r="M306" s="34"/>
      <c r="N306" s="34"/>
      <c r="O306" s="295">
        <f>6.4*F306*G306</f>
        <v>115.2</v>
      </c>
    </row>
    <row r="307" spans="1:15" ht="20.100000000000001" hidden="1" customHeight="1" outlineLevel="2">
      <c r="A307" s="296"/>
      <c r="B307" s="34"/>
      <c r="C307" s="34">
        <v>9</v>
      </c>
      <c r="D307" s="34">
        <v>1</v>
      </c>
      <c r="E307" s="34">
        <v>1</v>
      </c>
      <c r="F307" s="43">
        <f t="shared" si="32"/>
        <v>1</v>
      </c>
      <c r="G307" s="34">
        <f t="shared" si="33"/>
        <v>9</v>
      </c>
      <c r="H307" s="34"/>
      <c r="I307" s="34"/>
      <c r="J307" s="34"/>
      <c r="K307" s="34"/>
      <c r="L307" s="34"/>
      <c r="M307" s="34"/>
      <c r="N307" s="34">
        <f>4*F307*G307</f>
        <v>36</v>
      </c>
      <c r="O307" s="295"/>
    </row>
    <row r="308" spans="1:15" ht="20.100000000000001" hidden="1" customHeight="1" outlineLevel="2">
      <c r="A308" s="296"/>
      <c r="B308" s="34"/>
      <c r="C308" s="34">
        <v>4.5</v>
      </c>
      <c r="D308" s="34">
        <v>1</v>
      </c>
      <c r="E308" s="34">
        <v>9</v>
      </c>
      <c r="F308" s="43">
        <f>+D308*E308</f>
        <v>9</v>
      </c>
      <c r="G308" s="34">
        <f t="shared" si="33"/>
        <v>4.5</v>
      </c>
      <c r="H308" s="34"/>
      <c r="I308" s="34"/>
      <c r="J308" s="34"/>
      <c r="K308" s="34"/>
      <c r="L308" s="34"/>
      <c r="M308" s="34"/>
      <c r="N308" s="34">
        <f>4*F308*G308</f>
        <v>162</v>
      </c>
      <c r="O308" s="295"/>
    </row>
    <row r="309" spans="1:15" ht="20.100000000000001" hidden="1" customHeight="1" outlineLevel="2">
      <c r="A309" s="296"/>
      <c r="B309" s="34"/>
      <c r="C309" s="34">
        <v>4.5</v>
      </c>
      <c r="D309" s="34">
        <v>1</v>
      </c>
      <c r="E309" s="34">
        <v>1</v>
      </c>
      <c r="F309" s="43">
        <f t="shared" si="32"/>
        <v>1</v>
      </c>
      <c r="G309" s="34">
        <f t="shared" si="33"/>
        <v>4.5</v>
      </c>
      <c r="H309" s="34"/>
      <c r="I309" s="34"/>
      <c r="J309" s="34"/>
      <c r="K309" s="34"/>
      <c r="L309" s="34"/>
      <c r="M309" s="34">
        <f>3*F309*G309</f>
        <v>13.5</v>
      </c>
      <c r="N309" s="34"/>
      <c r="O309" s="295"/>
    </row>
    <row r="310" spans="1:15" ht="20.100000000000001" hidden="1" customHeight="1" outlineLevel="2">
      <c r="A310" s="296"/>
      <c r="B310" s="34"/>
      <c r="C310" s="34">
        <v>7.2</v>
      </c>
      <c r="D310" s="34">
        <v>1</v>
      </c>
      <c r="E310" s="34">
        <v>2</v>
      </c>
      <c r="F310" s="43">
        <f t="shared" si="32"/>
        <v>2</v>
      </c>
      <c r="G310" s="34">
        <f t="shared" si="33"/>
        <v>7.2</v>
      </c>
      <c r="H310" s="34"/>
      <c r="I310" s="34"/>
      <c r="J310" s="34"/>
      <c r="K310" s="34"/>
      <c r="L310" s="34"/>
      <c r="M310" s="34"/>
      <c r="N310" s="34"/>
      <c r="O310" s="295">
        <f>6.4*F310*G310</f>
        <v>92.160000000000011</v>
      </c>
    </row>
    <row r="311" spans="1:15" ht="20.100000000000001" hidden="1" customHeight="1" outlineLevel="2">
      <c r="A311" s="296"/>
      <c r="B311" s="34"/>
      <c r="C311" s="34">
        <v>7.2</v>
      </c>
      <c r="D311" s="34">
        <v>1</v>
      </c>
      <c r="E311" s="34">
        <v>1</v>
      </c>
      <c r="F311" s="43">
        <f t="shared" si="32"/>
        <v>1</v>
      </c>
      <c r="G311" s="34">
        <f t="shared" si="33"/>
        <v>7.2</v>
      </c>
      <c r="H311" s="34"/>
      <c r="I311" s="34"/>
      <c r="J311" s="34"/>
      <c r="K311" s="34"/>
      <c r="L311" s="34"/>
      <c r="M311" s="34"/>
      <c r="N311" s="34">
        <f>4*F311*G311</f>
        <v>28.8</v>
      </c>
      <c r="O311" s="295"/>
    </row>
    <row r="312" spans="1:15" ht="20.100000000000001" hidden="1" customHeight="1" outlineLevel="2">
      <c r="A312" s="296"/>
      <c r="B312" s="37"/>
      <c r="C312" s="34">
        <v>6.8</v>
      </c>
      <c r="D312" s="34">
        <v>1</v>
      </c>
      <c r="E312" s="34">
        <v>2</v>
      </c>
      <c r="F312" s="43">
        <f t="shared" si="32"/>
        <v>2</v>
      </c>
      <c r="G312" s="34">
        <f t="shared" si="33"/>
        <v>6.8</v>
      </c>
      <c r="H312" s="34"/>
      <c r="I312" s="34"/>
      <c r="J312" s="34"/>
      <c r="K312" s="34"/>
      <c r="L312" s="34"/>
      <c r="M312" s="34"/>
      <c r="N312" s="34"/>
      <c r="O312" s="295">
        <f>6.4*F312*G312</f>
        <v>87.04</v>
      </c>
    </row>
    <row r="313" spans="1:15" ht="20.100000000000001" hidden="1" customHeight="1" outlineLevel="2">
      <c r="A313" s="296"/>
      <c r="B313" s="37"/>
      <c r="C313" s="34">
        <v>6.8</v>
      </c>
      <c r="D313" s="34">
        <v>1</v>
      </c>
      <c r="E313" s="34">
        <v>1</v>
      </c>
      <c r="F313" s="43">
        <f t="shared" si="32"/>
        <v>1</v>
      </c>
      <c r="G313" s="34">
        <f t="shared" si="33"/>
        <v>6.8</v>
      </c>
      <c r="H313" s="34"/>
      <c r="I313" s="34"/>
      <c r="J313" s="34"/>
      <c r="K313" s="34"/>
      <c r="L313" s="34"/>
      <c r="M313" s="34"/>
      <c r="N313" s="34">
        <f>4*F313*G313</f>
        <v>27.2</v>
      </c>
      <c r="O313" s="295"/>
    </row>
    <row r="314" spans="1:15" ht="20.100000000000001" hidden="1" customHeight="1" outlineLevel="2">
      <c r="A314" s="296"/>
      <c r="B314" s="34"/>
      <c r="C314" s="34">
        <v>3.8</v>
      </c>
      <c r="D314" s="34">
        <v>1</v>
      </c>
      <c r="E314" s="34">
        <v>6</v>
      </c>
      <c r="F314" s="43">
        <f t="shared" si="32"/>
        <v>6</v>
      </c>
      <c r="G314" s="34">
        <f t="shared" si="33"/>
        <v>3.8</v>
      </c>
      <c r="H314" s="34"/>
      <c r="I314" s="34"/>
      <c r="J314" s="34"/>
      <c r="K314" s="34"/>
      <c r="L314" s="34"/>
      <c r="M314" s="34"/>
      <c r="N314" s="34">
        <f>4*F314*G314</f>
        <v>91.199999999999989</v>
      </c>
      <c r="O314" s="295"/>
    </row>
    <row r="315" spans="1:15" ht="20.100000000000001" hidden="1" customHeight="1" outlineLevel="2">
      <c r="A315" s="296"/>
      <c r="B315" s="34"/>
      <c r="C315" s="34">
        <v>4</v>
      </c>
      <c r="D315" s="34">
        <v>1</v>
      </c>
      <c r="E315" s="34">
        <v>2</v>
      </c>
      <c r="F315" s="43">
        <f t="shared" si="32"/>
        <v>2</v>
      </c>
      <c r="G315" s="34">
        <f t="shared" si="33"/>
        <v>4</v>
      </c>
      <c r="H315" s="34"/>
      <c r="I315" s="34"/>
      <c r="J315" s="34"/>
      <c r="K315" s="34"/>
      <c r="L315" s="34"/>
      <c r="M315" s="34"/>
      <c r="N315" s="34"/>
      <c r="O315" s="295">
        <f>6.4*F315*G315</f>
        <v>51.2</v>
      </c>
    </row>
    <row r="316" spans="1:15" ht="20.100000000000001" hidden="1" customHeight="1" outlineLevel="2">
      <c r="A316" s="296"/>
      <c r="B316" s="34"/>
      <c r="C316" s="34">
        <v>4</v>
      </c>
      <c r="D316" s="34">
        <v>1</v>
      </c>
      <c r="E316" s="34">
        <v>1</v>
      </c>
      <c r="F316" s="43">
        <f t="shared" si="32"/>
        <v>1</v>
      </c>
      <c r="G316" s="34">
        <f t="shared" si="33"/>
        <v>4</v>
      </c>
      <c r="H316" s="34"/>
      <c r="I316" s="34"/>
      <c r="J316" s="34"/>
      <c r="K316" s="34"/>
      <c r="L316" s="34"/>
      <c r="M316" s="34"/>
      <c r="N316" s="34">
        <f>4*F316*G316</f>
        <v>16</v>
      </c>
      <c r="O316" s="295"/>
    </row>
    <row r="317" spans="1:15" ht="42" hidden="1" customHeight="1" outlineLevel="2">
      <c r="A317" s="291"/>
      <c r="B317" s="52"/>
      <c r="C317" s="51">
        <f>(0.55*2)+(0.35*2)+(0.05*2)</f>
        <v>1.9000000000000001</v>
      </c>
      <c r="D317" s="59">
        <v>1</v>
      </c>
      <c r="E317" s="51">
        <v>10</v>
      </c>
      <c r="F317" s="51">
        <f>D317*E317</f>
        <v>10</v>
      </c>
      <c r="G317" s="34">
        <f t="shared" si="33"/>
        <v>1.9000000000000001</v>
      </c>
      <c r="H317" s="51"/>
      <c r="I317" s="51">
        <f>0.56*G317*F317</f>
        <v>10.640000000000002</v>
      </c>
      <c r="J317" s="34"/>
      <c r="K317" s="51"/>
      <c r="L317" s="51"/>
      <c r="M317" s="51"/>
      <c r="N317" s="51"/>
      <c r="O317" s="290"/>
    </row>
    <row r="318" spans="1:15" ht="44.25" hidden="1" customHeight="1" outlineLevel="2">
      <c r="A318" s="291"/>
      <c r="B318" s="52"/>
      <c r="C318" s="51">
        <f>(0.55*2)+(0.35*2)+(0.05*2)</f>
        <v>1.9000000000000001</v>
      </c>
      <c r="D318" s="59">
        <v>1</v>
      </c>
      <c r="E318" s="51">
        <v>108</v>
      </c>
      <c r="F318" s="51">
        <f>D318*E318</f>
        <v>108</v>
      </c>
      <c r="G318" s="34">
        <f t="shared" si="33"/>
        <v>1.9000000000000001</v>
      </c>
      <c r="H318" s="51"/>
      <c r="I318" s="51"/>
      <c r="J318" s="34"/>
      <c r="K318" s="51">
        <f>1.55*G318*F318</f>
        <v>318.06000000000006</v>
      </c>
      <c r="L318" s="51"/>
      <c r="M318" s="51"/>
      <c r="N318" s="51"/>
      <c r="O318" s="290"/>
    </row>
    <row r="319" spans="1:15" ht="44.25" hidden="1" customHeight="1" outlineLevel="2">
      <c r="A319" s="291"/>
      <c r="B319" s="52"/>
      <c r="C319" s="51">
        <f>(0.55*2)+(0.45*2)+(0.05*2)</f>
        <v>2.1</v>
      </c>
      <c r="D319" s="59">
        <v>1</v>
      </c>
      <c r="E319" s="51">
        <v>20</v>
      </c>
      <c r="F319" s="51">
        <f>D319*E319</f>
        <v>20</v>
      </c>
      <c r="G319" s="34">
        <f t="shared" si="33"/>
        <v>2.1</v>
      </c>
      <c r="H319" s="51"/>
      <c r="I319" s="51"/>
      <c r="J319" s="34">
        <f>1*F319*G319</f>
        <v>42</v>
      </c>
      <c r="K319" s="51"/>
      <c r="L319" s="51"/>
      <c r="M319" s="51"/>
      <c r="N319" s="51"/>
      <c r="O319" s="290"/>
    </row>
    <row r="320" spans="1:15" ht="44.25" hidden="1" customHeight="1" outlineLevel="2">
      <c r="A320" s="291"/>
      <c r="B320" s="52"/>
      <c r="C320" s="51">
        <f>0.55+(0.05*2)</f>
        <v>0.65</v>
      </c>
      <c r="D320" s="59">
        <v>1</v>
      </c>
      <c r="E320" s="51">
        <v>20</v>
      </c>
      <c r="F320" s="51">
        <f>D320*E320</f>
        <v>20</v>
      </c>
      <c r="G320" s="34">
        <f t="shared" si="33"/>
        <v>0.65</v>
      </c>
      <c r="H320" s="51"/>
      <c r="I320" s="51"/>
      <c r="J320" s="34">
        <f>1*F320*G320</f>
        <v>13</v>
      </c>
      <c r="K320" s="51"/>
      <c r="L320" s="51"/>
      <c r="M320" s="51"/>
      <c r="N320" s="51"/>
      <c r="O320" s="290"/>
    </row>
    <row r="321" spans="1:50" ht="20.100000000000001" hidden="1" customHeight="1" outlineLevel="2">
      <c r="A321" s="2192" t="s">
        <v>196</v>
      </c>
      <c r="B321" s="2193"/>
      <c r="C321" s="2193"/>
      <c r="D321" s="2193"/>
      <c r="E321" s="2193"/>
      <c r="F321" s="2193"/>
      <c r="G321" s="2194"/>
      <c r="H321" s="65">
        <f t="shared" ref="H321:O321" si="34">SUM(H293:H320)</f>
        <v>0</v>
      </c>
      <c r="I321" s="65">
        <f t="shared" si="34"/>
        <v>10.640000000000002</v>
      </c>
      <c r="J321" s="65">
        <f t="shared" si="34"/>
        <v>55</v>
      </c>
      <c r="K321" s="65">
        <f t="shared" si="34"/>
        <v>318.06000000000006</v>
      </c>
      <c r="L321" s="65">
        <f t="shared" si="34"/>
        <v>43.680000000000007</v>
      </c>
      <c r="M321" s="65">
        <f t="shared" si="34"/>
        <v>54</v>
      </c>
      <c r="N321" s="65">
        <f t="shared" si="34"/>
        <v>408.4</v>
      </c>
      <c r="O321" s="298">
        <f t="shared" si="34"/>
        <v>833.92000000000007</v>
      </c>
    </row>
    <row r="322" spans="1:50" ht="20.100000000000001" hidden="1" customHeight="1" outlineLevel="2">
      <c r="A322" s="2186" t="s">
        <v>118</v>
      </c>
      <c r="B322" s="2187"/>
      <c r="C322" s="2187"/>
      <c r="D322" s="2187"/>
      <c r="E322" s="2187"/>
      <c r="F322" s="2187"/>
      <c r="G322" s="2187"/>
      <c r="H322" s="2223">
        <f>SUM(H321:O321)</f>
        <v>1723.7</v>
      </c>
      <c r="I322" s="2224"/>
      <c r="J322" s="2224"/>
      <c r="K322" s="2224"/>
      <c r="L322" s="2224"/>
      <c r="M322" s="2224"/>
      <c r="N322" s="2224"/>
      <c r="O322" s="2225"/>
    </row>
    <row r="323" spans="1:50" s="37" customFormat="1" ht="20.100000000000001" hidden="1" customHeight="1" outlineLevel="2">
      <c r="A323" s="2206"/>
      <c r="B323" s="2207"/>
      <c r="C323" s="2207"/>
      <c r="D323" s="2207"/>
      <c r="E323" s="2207"/>
      <c r="F323" s="2207"/>
      <c r="G323" s="2207"/>
      <c r="H323" s="2207"/>
      <c r="I323" s="2207"/>
      <c r="J323" s="2207"/>
      <c r="K323" s="2207"/>
      <c r="L323" s="2207"/>
      <c r="M323" s="2207"/>
      <c r="N323" s="2207"/>
      <c r="O323" s="2208"/>
      <c r="P323" s="82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0.100000000000001" hidden="1" customHeight="1" outlineLevel="2">
      <c r="A324" s="299" t="s">
        <v>119</v>
      </c>
      <c r="B324" s="37"/>
      <c r="C324" s="34">
        <v>3.5</v>
      </c>
      <c r="D324" s="34">
        <v>1</v>
      </c>
      <c r="E324" s="34">
        <v>3</v>
      </c>
      <c r="F324" s="43">
        <f>+D324*E324</f>
        <v>3</v>
      </c>
      <c r="G324" s="34">
        <f>+C324</f>
        <v>3.5</v>
      </c>
      <c r="H324" s="34"/>
      <c r="I324" s="34"/>
      <c r="J324" s="34"/>
      <c r="K324" s="34"/>
      <c r="L324" s="34"/>
      <c r="M324" s="34"/>
      <c r="N324" s="34"/>
      <c r="O324" s="295">
        <f>6.4*F324*G324</f>
        <v>67.200000000000017</v>
      </c>
    </row>
    <row r="325" spans="1:50" ht="20.100000000000001" hidden="1" customHeight="1" outlineLevel="2">
      <c r="A325" s="296"/>
      <c r="B325" s="37"/>
      <c r="C325" s="34">
        <v>7</v>
      </c>
      <c r="D325" s="34">
        <v>1</v>
      </c>
      <c r="E325" s="34">
        <v>3</v>
      </c>
      <c r="F325" s="43">
        <f t="shared" ref="F325:F340" si="35">+D325*E325</f>
        <v>3</v>
      </c>
      <c r="G325" s="34">
        <f t="shared" ref="G325:G341" si="36">+C325</f>
        <v>7</v>
      </c>
      <c r="H325" s="34"/>
      <c r="I325" s="34"/>
      <c r="J325" s="34"/>
      <c r="K325" s="34"/>
      <c r="L325" s="34"/>
      <c r="M325" s="34"/>
      <c r="N325" s="34">
        <f>4*F325*G325</f>
        <v>84</v>
      </c>
      <c r="O325" s="295"/>
    </row>
    <row r="326" spans="1:50" ht="20.100000000000001" hidden="1" customHeight="1" outlineLevel="2">
      <c r="A326" s="296"/>
      <c r="B326" s="34"/>
      <c r="C326" s="34">
        <v>4</v>
      </c>
      <c r="D326" s="34">
        <v>1</v>
      </c>
      <c r="E326" s="34">
        <v>1</v>
      </c>
      <c r="F326" s="43">
        <f t="shared" si="35"/>
        <v>1</v>
      </c>
      <c r="G326" s="34">
        <f t="shared" si="36"/>
        <v>4</v>
      </c>
      <c r="H326" s="34"/>
      <c r="I326" s="34"/>
      <c r="J326" s="34"/>
      <c r="K326" s="34"/>
      <c r="L326" s="34"/>
      <c r="M326" s="34"/>
      <c r="N326" s="34"/>
      <c r="O326" s="295">
        <f>6.4*F326*G326</f>
        <v>25.6</v>
      </c>
    </row>
    <row r="327" spans="1:50" ht="20.100000000000001" hidden="1" customHeight="1" outlineLevel="2">
      <c r="A327" s="296"/>
      <c r="B327" s="34"/>
      <c r="C327" s="34">
        <v>4</v>
      </c>
      <c r="D327" s="34">
        <v>1</v>
      </c>
      <c r="E327" s="34">
        <v>4</v>
      </c>
      <c r="F327" s="43">
        <f t="shared" si="35"/>
        <v>4</v>
      </c>
      <c r="G327" s="34">
        <f t="shared" si="36"/>
        <v>4</v>
      </c>
      <c r="H327" s="34"/>
      <c r="I327" s="34"/>
      <c r="J327" s="34"/>
      <c r="K327" s="34"/>
      <c r="L327" s="34"/>
      <c r="M327" s="34"/>
      <c r="N327" s="34">
        <f>4*F327*G327</f>
        <v>64</v>
      </c>
      <c r="O327" s="295"/>
    </row>
    <row r="328" spans="1:50" ht="20.100000000000001" hidden="1" customHeight="1" outlineLevel="2">
      <c r="A328" s="296"/>
      <c r="B328" s="34"/>
      <c r="C328" s="34">
        <v>2.9</v>
      </c>
      <c r="D328" s="34">
        <v>1</v>
      </c>
      <c r="E328" s="34">
        <v>3</v>
      </c>
      <c r="F328" s="43">
        <f t="shared" si="35"/>
        <v>3</v>
      </c>
      <c r="G328" s="34">
        <f t="shared" si="36"/>
        <v>2.9</v>
      </c>
      <c r="H328" s="34"/>
      <c r="I328" s="34"/>
      <c r="J328" s="34"/>
      <c r="K328" s="34"/>
      <c r="L328" s="34"/>
      <c r="M328" s="34">
        <f>3*F328*G328</f>
        <v>26.099999999999998</v>
      </c>
      <c r="N328" s="34"/>
      <c r="O328" s="295"/>
    </row>
    <row r="329" spans="1:50" ht="20.100000000000001" hidden="1" customHeight="1" outlineLevel="2">
      <c r="A329" s="296"/>
      <c r="B329" s="34"/>
      <c r="C329" s="34">
        <v>7.7</v>
      </c>
      <c r="D329" s="34">
        <v>1</v>
      </c>
      <c r="E329" s="34">
        <v>1</v>
      </c>
      <c r="F329" s="43">
        <f t="shared" si="35"/>
        <v>1</v>
      </c>
      <c r="G329" s="34">
        <f t="shared" si="36"/>
        <v>7.7</v>
      </c>
      <c r="H329" s="34"/>
      <c r="I329" s="34"/>
      <c r="J329" s="34"/>
      <c r="K329" s="34"/>
      <c r="L329" s="34"/>
      <c r="M329" s="34"/>
      <c r="N329" s="34"/>
      <c r="O329" s="295">
        <f>6.4*F329*G329</f>
        <v>49.28</v>
      </c>
    </row>
    <row r="330" spans="1:50" ht="20.100000000000001" hidden="1" customHeight="1" outlineLevel="2">
      <c r="A330" s="296"/>
      <c r="B330" s="34"/>
      <c r="C330" s="34">
        <v>7.7</v>
      </c>
      <c r="D330" s="34">
        <v>1</v>
      </c>
      <c r="E330" s="34">
        <v>1</v>
      </c>
      <c r="F330" s="43">
        <f t="shared" si="35"/>
        <v>1</v>
      </c>
      <c r="G330" s="34">
        <f t="shared" si="36"/>
        <v>7.7</v>
      </c>
      <c r="H330" s="34"/>
      <c r="I330" s="34"/>
      <c r="J330" s="34"/>
      <c r="K330" s="34"/>
      <c r="L330" s="34"/>
      <c r="M330" s="34"/>
      <c r="N330" s="34">
        <f>4*F330*G330</f>
        <v>30.8</v>
      </c>
      <c r="O330" s="295"/>
    </row>
    <row r="331" spans="1:50" ht="20.100000000000001" hidden="1" customHeight="1" outlineLevel="2">
      <c r="A331" s="296"/>
      <c r="B331" s="34"/>
      <c r="C331" s="34">
        <v>2.5</v>
      </c>
      <c r="D331" s="34">
        <v>1</v>
      </c>
      <c r="E331" s="34">
        <v>1</v>
      </c>
      <c r="F331" s="43">
        <f t="shared" si="35"/>
        <v>1</v>
      </c>
      <c r="G331" s="34">
        <f t="shared" si="36"/>
        <v>2.5</v>
      </c>
      <c r="H331" s="34"/>
      <c r="I331" s="34"/>
      <c r="J331" s="34"/>
      <c r="K331" s="34">
        <f>1.55*F331*G331</f>
        <v>3.875</v>
      </c>
      <c r="L331" s="34"/>
      <c r="M331" s="34"/>
      <c r="N331" s="34"/>
      <c r="O331" s="295"/>
    </row>
    <row r="332" spans="1:50" ht="20.100000000000001" hidden="1" customHeight="1" outlineLevel="2">
      <c r="A332" s="296"/>
      <c r="B332" s="37"/>
      <c r="C332" s="34">
        <v>2.5</v>
      </c>
      <c r="D332" s="34">
        <v>1</v>
      </c>
      <c r="E332" s="34">
        <v>2</v>
      </c>
      <c r="F332" s="43">
        <f t="shared" si="35"/>
        <v>2</v>
      </c>
      <c r="G332" s="34">
        <f t="shared" si="36"/>
        <v>2.5</v>
      </c>
      <c r="H332" s="34"/>
      <c r="I332" s="34"/>
      <c r="J332" s="34"/>
      <c r="K332" s="34"/>
      <c r="L332" s="34">
        <f>2.24*F332*G332</f>
        <v>11.200000000000001</v>
      </c>
      <c r="M332" s="34"/>
      <c r="N332" s="34"/>
      <c r="O332" s="295"/>
    </row>
    <row r="333" spans="1:50" ht="20.100000000000001" hidden="1" customHeight="1" outlineLevel="2">
      <c r="A333" s="296"/>
      <c r="B333" s="37"/>
      <c r="C333" s="34">
        <v>5</v>
      </c>
      <c r="D333" s="34">
        <v>1</v>
      </c>
      <c r="E333" s="34">
        <v>3</v>
      </c>
      <c r="F333" s="43">
        <f t="shared" si="35"/>
        <v>3</v>
      </c>
      <c r="G333" s="34">
        <f t="shared" si="36"/>
        <v>5</v>
      </c>
      <c r="H333" s="34"/>
      <c r="I333" s="34"/>
      <c r="J333" s="34"/>
      <c r="K333" s="34"/>
      <c r="L333" s="34"/>
      <c r="M333" s="34"/>
      <c r="N333" s="34"/>
      <c r="O333" s="295">
        <f>6.4*F333*G333</f>
        <v>96.000000000000014</v>
      </c>
    </row>
    <row r="334" spans="1:50" ht="20.100000000000001" hidden="1" customHeight="1" outlineLevel="2">
      <c r="A334" s="296"/>
      <c r="B334" s="34"/>
      <c r="C334" s="34">
        <v>6.8</v>
      </c>
      <c r="D334" s="34">
        <v>1</v>
      </c>
      <c r="E334" s="34">
        <v>1</v>
      </c>
      <c r="F334" s="43">
        <f t="shared" si="35"/>
        <v>1</v>
      </c>
      <c r="G334" s="34">
        <f t="shared" si="36"/>
        <v>6.8</v>
      </c>
      <c r="H334" s="34"/>
      <c r="I334" s="34"/>
      <c r="J334" s="34"/>
      <c r="K334" s="34"/>
      <c r="L334" s="34"/>
      <c r="M334" s="34"/>
      <c r="N334" s="34"/>
      <c r="O334" s="295">
        <f>6.4*F334*G334</f>
        <v>43.52</v>
      </c>
    </row>
    <row r="335" spans="1:50" ht="20.100000000000001" hidden="1" customHeight="1" outlineLevel="2">
      <c r="A335" s="296"/>
      <c r="B335" s="34"/>
      <c r="C335" s="34">
        <v>6.8</v>
      </c>
      <c r="D335" s="34">
        <v>1</v>
      </c>
      <c r="E335" s="34">
        <v>2</v>
      </c>
      <c r="F335" s="43">
        <f t="shared" si="35"/>
        <v>2</v>
      </c>
      <c r="G335" s="34">
        <f t="shared" si="36"/>
        <v>6.8</v>
      </c>
      <c r="H335" s="34"/>
      <c r="I335" s="34"/>
      <c r="J335" s="34"/>
      <c r="K335" s="34"/>
      <c r="L335" s="34"/>
      <c r="M335" s="34"/>
      <c r="N335" s="34">
        <f>4*F335*G335</f>
        <v>54.4</v>
      </c>
      <c r="O335" s="295"/>
    </row>
    <row r="336" spans="1:50" ht="20.100000000000001" hidden="1" customHeight="1" outlineLevel="2">
      <c r="A336" s="296"/>
      <c r="B336" s="34"/>
      <c r="C336" s="34">
        <v>7.7</v>
      </c>
      <c r="D336" s="34">
        <v>1</v>
      </c>
      <c r="E336" s="34">
        <v>1</v>
      </c>
      <c r="F336" s="43">
        <f t="shared" si="35"/>
        <v>1</v>
      </c>
      <c r="G336" s="34">
        <f t="shared" si="36"/>
        <v>7.7</v>
      </c>
      <c r="H336" s="34"/>
      <c r="I336" s="34"/>
      <c r="J336" s="34"/>
      <c r="K336" s="34"/>
      <c r="L336" s="34"/>
      <c r="M336" s="34"/>
      <c r="N336" s="34"/>
      <c r="O336" s="295">
        <f>6.4*F336*G336</f>
        <v>49.28</v>
      </c>
    </row>
    <row r="337" spans="1:50" ht="20.100000000000001" hidden="1" customHeight="1" outlineLevel="2">
      <c r="A337" s="296"/>
      <c r="B337" s="37"/>
      <c r="C337" s="34">
        <v>7.7</v>
      </c>
      <c r="D337" s="34">
        <v>1</v>
      </c>
      <c r="E337" s="34">
        <v>1</v>
      </c>
      <c r="F337" s="43">
        <f t="shared" si="35"/>
        <v>1</v>
      </c>
      <c r="G337" s="34">
        <f t="shared" si="36"/>
        <v>7.7</v>
      </c>
      <c r="H337" s="34"/>
      <c r="I337" s="34"/>
      <c r="J337" s="34"/>
      <c r="K337" s="34"/>
      <c r="L337" s="34"/>
      <c r="M337" s="34"/>
      <c r="N337" s="34">
        <f>4*F337*G337</f>
        <v>30.8</v>
      </c>
      <c r="O337" s="295"/>
    </row>
    <row r="338" spans="1:50" ht="20.100000000000001" hidden="1" customHeight="1" outlineLevel="2">
      <c r="A338" s="296"/>
      <c r="B338" s="37"/>
      <c r="C338" s="34">
        <v>2.6</v>
      </c>
      <c r="D338" s="34">
        <v>1</v>
      </c>
      <c r="E338" s="34">
        <v>3</v>
      </c>
      <c r="F338" s="43">
        <f t="shared" si="35"/>
        <v>3</v>
      </c>
      <c r="G338" s="34">
        <f t="shared" si="36"/>
        <v>2.6</v>
      </c>
      <c r="H338" s="34"/>
      <c r="I338" s="34"/>
      <c r="J338" s="34">
        <f>1*F338*G338</f>
        <v>7.8000000000000007</v>
      </c>
      <c r="K338" s="34"/>
      <c r="L338" s="34"/>
      <c r="M338" s="34"/>
      <c r="N338" s="34"/>
      <c r="O338" s="295"/>
    </row>
    <row r="339" spans="1:50" ht="20.100000000000001" hidden="1" customHeight="1" outlineLevel="2">
      <c r="A339" s="296"/>
      <c r="B339" s="34"/>
      <c r="C339" s="34">
        <v>4</v>
      </c>
      <c r="D339" s="34">
        <v>1</v>
      </c>
      <c r="E339" s="34">
        <v>3</v>
      </c>
      <c r="F339" s="43">
        <f t="shared" si="35"/>
        <v>3</v>
      </c>
      <c r="G339" s="34">
        <f t="shared" si="36"/>
        <v>4</v>
      </c>
      <c r="H339" s="34"/>
      <c r="I339" s="34"/>
      <c r="J339" s="34"/>
      <c r="K339" s="34"/>
      <c r="L339" s="34"/>
      <c r="M339" s="34"/>
      <c r="N339" s="34"/>
      <c r="O339" s="295">
        <f>6.4*F339*G339</f>
        <v>76.800000000000011</v>
      </c>
    </row>
    <row r="340" spans="1:50" ht="20.100000000000001" hidden="1" customHeight="1" outlineLevel="2">
      <c r="A340" s="296"/>
      <c r="B340" s="34"/>
      <c r="C340" s="34">
        <v>4</v>
      </c>
      <c r="D340" s="34">
        <v>1</v>
      </c>
      <c r="E340" s="34">
        <v>1</v>
      </c>
      <c r="F340" s="43">
        <f t="shared" si="35"/>
        <v>1</v>
      </c>
      <c r="G340" s="34">
        <f t="shared" si="36"/>
        <v>4</v>
      </c>
      <c r="H340" s="34"/>
      <c r="I340" s="34"/>
      <c r="J340" s="34"/>
      <c r="K340" s="34"/>
      <c r="L340" s="34"/>
      <c r="M340" s="34"/>
      <c r="N340" s="34">
        <f>4*F340*G340</f>
        <v>16</v>
      </c>
      <c r="O340" s="295"/>
    </row>
    <row r="341" spans="1:50" ht="44.25" hidden="1" customHeight="1" outlineLevel="2">
      <c r="A341" s="291"/>
      <c r="B341" s="52"/>
      <c r="C341" s="51">
        <f>(0.55*2)+(0.35*2)+(0.05*2)</f>
        <v>1.9000000000000001</v>
      </c>
      <c r="D341" s="59">
        <v>1</v>
      </c>
      <c r="E341" s="51">
        <v>93</v>
      </c>
      <c r="F341" s="51">
        <f>D341*E341</f>
        <v>93</v>
      </c>
      <c r="G341" s="34">
        <f t="shared" si="36"/>
        <v>1.9000000000000001</v>
      </c>
      <c r="H341" s="51"/>
      <c r="I341" s="51">
        <f>0.56*G341*F341</f>
        <v>98.952000000000027</v>
      </c>
      <c r="J341" s="34"/>
      <c r="K341" s="51"/>
      <c r="L341" s="51"/>
      <c r="M341" s="51"/>
      <c r="N341" s="51"/>
      <c r="O341" s="290"/>
    </row>
    <row r="342" spans="1:50" ht="20.100000000000001" hidden="1" customHeight="1" outlineLevel="2">
      <c r="A342" s="2192" t="s">
        <v>196</v>
      </c>
      <c r="B342" s="2193"/>
      <c r="C342" s="2193"/>
      <c r="D342" s="2193"/>
      <c r="E342" s="2193"/>
      <c r="F342" s="2193"/>
      <c r="G342" s="2194"/>
      <c r="H342" s="556">
        <f t="shared" ref="H342:O342" si="37">SUM(H324:H341)</f>
        <v>0</v>
      </c>
      <c r="I342" s="556">
        <f t="shared" si="37"/>
        <v>98.952000000000027</v>
      </c>
      <c r="J342" s="556">
        <f t="shared" si="37"/>
        <v>7.8000000000000007</v>
      </c>
      <c r="K342" s="556">
        <f t="shared" si="37"/>
        <v>3.875</v>
      </c>
      <c r="L342" s="556">
        <f t="shared" si="37"/>
        <v>11.200000000000001</v>
      </c>
      <c r="M342" s="556">
        <f t="shared" si="37"/>
        <v>26.099999999999998</v>
      </c>
      <c r="N342" s="556">
        <f t="shared" si="37"/>
        <v>280</v>
      </c>
      <c r="O342" s="557">
        <f t="shared" si="37"/>
        <v>407.68</v>
      </c>
    </row>
    <row r="343" spans="1:50" ht="20.100000000000001" hidden="1" customHeight="1" outlineLevel="2">
      <c r="A343" s="2186" t="s">
        <v>139</v>
      </c>
      <c r="B343" s="2187"/>
      <c r="C343" s="2187"/>
      <c r="D343" s="2187"/>
      <c r="E343" s="2187"/>
      <c r="F343" s="2187"/>
      <c r="G343" s="2187"/>
      <c r="H343" s="2223">
        <f>SUM(H342:O342)</f>
        <v>835.60699999999997</v>
      </c>
      <c r="I343" s="2224"/>
      <c r="J343" s="2224"/>
      <c r="K343" s="2224"/>
      <c r="L343" s="2224"/>
      <c r="M343" s="2224"/>
      <c r="N343" s="2224"/>
      <c r="O343" s="2225"/>
    </row>
    <row r="344" spans="1:50" s="84" customFormat="1" ht="20.100000000000001" hidden="1" customHeight="1" outlineLevel="2">
      <c r="A344" s="2235"/>
      <c r="B344" s="2236"/>
      <c r="C344" s="2236"/>
      <c r="D344" s="2236"/>
      <c r="E344" s="2236"/>
      <c r="F344" s="2236"/>
      <c r="G344" s="2236"/>
      <c r="H344" s="2236"/>
      <c r="I344" s="2236"/>
      <c r="J344" s="2236"/>
      <c r="K344" s="2236"/>
      <c r="L344" s="2236"/>
      <c r="M344" s="2236"/>
      <c r="N344" s="2236"/>
      <c r="O344" s="2237"/>
      <c r="P344" s="83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0.100000000000001" hidden="1" customHeight="1" outlineLevel="2">
      <c r="A345" s="299" t="s">
        <v>135</v>
      </c>
      <c r="B345" s="34"/>
      <c r="C345" s="34">
        <v>3</v>
      </c>
      <c r="D345" s="34">
        <v>1</v>
      </c>
      <c r="E345" s="34">
        <v>3</v>
      </c>
      <c r="F345" s="34">
        <f t="shared" ref="F345:F358" si="38">D345*E345</f>
        <v>3</v>
      </c>
      <c r="G345" s="34">
        <f t="shared" ref="G345:G358" si="39">C345</f>
        <v>3</v>
      </c>
      <c r="H345" s="34"/>
      <c r="I345" s="34"/>
      <c r="J345" s="34"/>
      <c r="K345" s="34"/>
      <c r="L345" s="34"/>
      <c r="M345" s="34"/>
      <c r="N345" s="34"/>
      <c r="O345" s="295">
        <f>6.4*F345*G345</f>
        <v>57.600000000000009</v>
      </c>
    </row>
    <row r="346" spans="1:50" ht="20.100000000000001" hidden="1" customHeight="1" outlineLevel="2">
      <c r="A346" s="296"/>
      <c r="B346" s="34"/>
      <c r="C346" s="34">
        <v>4</v>
      </c>
      <c r="D346" s="34">
        <v>1</v>
      </c>
      <c r="E346" s="34">
        <v>1</v>
      </c>
      <c r="F346" s="34">
        <f t="shared" si="38"/>
        <v>1</v>
      </c>
      <c r="G346" s="34">
        <f t="shared" si="39"/>
        <v>4</v>
      </c>
      <c r="H346" s="34"/>
      <c r="I346" s="34"/>
      <c r="J346" s="34"/>
      <c r="K346" s="34"/>
      <c r="L346" s="34"/>
      <c r="M346" s="34"/>
      <c r="N346" s="34"/>
      <c r="O346" s="295">
        <f>F346*G346*6.4</f>
        <v>25.6</v>
      </c>
    </row>
    <row r="347" spans="1:50" ht="20.100000000000001" hidden="1" customHeight="1" outlineLevel="2">
      <c r="A347" s="296"/>
      <c r="B347" s="34"/>
      <c r="C347" s="34">
        <v>4</v>
      </c>
      <c r="D347" s="34">
        <v>1</v>
      </c>
      <c r="E347" s="34">
        <v>1</v>
      </c>
      <c r="F347" s="34">
        <f t="shared" si="38"/>
        <v>1</v>
      </c>
      <c r="G347" s="34">
        <f t="shared" si="39"/>
        <v>4</v>
      </c>
      <c r="H347" s="34"/>
      <c r="I347" s="34"/>
      <c r="J347" s="34"/>
      <c r="K347" s="34"/>
      <c r="L347" s="34"/>
      <c r="M347" s="34"/>
      <c r="N347" s="34">
        <f>4*F347*G347</f>
        <v>16</v>
      </c>
      <c r="O347" s="295"/>
    </row>
    <row r="348" spans="1:50" ht="20.100000000000001" hidden="1" customHeight="1" outlineLevel="2">
      <c r="A348" s="296"/>
      <c r="B348" s="34"/>
      <c r="C348" s="34">
        <v>3</v>
      </c>
      <c r="D348" s="34">
        <v>1</v>
      </c>
      <c r="E348" s="34">
        <v>3</v>
      </c>
      <c r="F348" s="34">
        <f t="shared" si="38"/>
        <v>3</v>
      </c>
      <c r="G348" s="34">
        <f t="shared" si="39"/>
        <v>3</v>
      </c>
      <c r="H348" s="34"/>
      <c r="I348" s="34"/>
      <c r="J348" s="34"/>
      <c r="K348" s="34"/>
      <c r="L348" s="34">
        <f>F348*G348*2.24</f>
        <v>20.160000000000004</v>
      </c>
      <c r="M348" s="34"/>
      <c r="N348" s="34"/>
      <c r="O348" s="295"/>
    </row>
    <row r="349" spans="1:50" ht="20.100000000000001" hidden="1" customHeight="1" outlineLevel="2">
      <c r="A349" s="296"/>
      <c r="B349" s="40"/>
      <c r="C349" s="34">
        <v>3</v>
      </c>
      <c r="D349" s="34">
        <v>1</v>
      </c>
      <c r="E349" s="34">
        <v>3</v>
      </c>
      <c r="F349" s="34">
        <f t="shared" si="38"/>
        <v>3</v>
      </c>
      <c r="G349" s="34">
        <f t="shared" si="39"/>
        <v>3</v>
      </c>
      <c r="H349" s="34"/>
      <c r="I349" s="34"/>
      <c r="J349" s="34"/>
      <c r="K349" s="34"/>
      <c r="L349" s="34"/>
      <c r="M349" s="34"/>
      <c r="N349" s="34"/>
      <c r="O349" s="295">
        <f>F349*G349*6.4</f>
        <v>57.6</v>
      </c>
    </row>
    <row r="350" spans="1:50" ht="20.100000000000001" hidden="1" customHeight="1" outlineLevel="2">
      <c r="A350" s="296"/>
      <c r="B350" s="40"/>
      <c r="C350" s="34">
        <v>4.5</v>
      </c>
      <c r="D350" s="34">
        <v>1</v>
      </c>
      <c r="E350" s="34">
        <v>3</v>
      </c>
      <c r="F350" s="34">
        <f t="shared" si="38"/>
        <v>3</v>
      </c>
      <c r="G350" s="34">
        <f t="shared" si="39"/>
        <v>4.5</v>
      </c>
      <c r="H350" s="34"/>
      <c r="I350" s="34"/>
      <c r="J350" s="34"/>
      <c r="K350" s="34"/>
      <c r="L350" s="34"/>
      <c r="M350" s="34"/>
      <c r="N350" s="34"/>
      <c r="O350" s="295">
        <f>F350*G350*6.4</f>
        <v>86.4</v>
      </c>
    </row>
    <row r="351" spans="1:50" ht="20.100000000000001" hidden="1" customHeight="1" outlineLevel="2">
      <c r="A351" s="296"/>
      <c r="B351" s="40"/>
      <c r="C351" s="34">
        <v>3.5</v>
      </c>
      <c r="D351" s="34">
        <v>1</v>
      </c>
      <c r="E351" s="34">
        <v>2</v>
      </c>
      <c r="F351" s="34">
        <f t="shared" si="38"/>
        <v>2</v>
      </c>
      <c r="G351" s="34">
        <f t="shared" si="39"/>
        <v>3.5</v>
      </c>
      <c r="H351" s="34"/>
      <c r="I351" s="34"/>
      <c r="J351" s="34"/>
      <c r="K351" s="34"/>
      <c r="L351" s="34"/>
      <c r="M351" s="34"/>
      <c r="N351" s="34"/>
      <c r="O351" s="295">
        <f>6.4*F351*G351</f>
        <v>44.800000000000004</v>
      </c>
    </row>
    <row r="352" spans="1:50" ht="20.100000000000001" hidden="1" customHeight="1" outlineLevel="2">
      <c r="A352" s="296"/>
      <c r="B352" s="40"/>
      <c r="C352" s="34">
        <v>3.5</v>
      </c>
      <c r="D352" s="34">
        <v>1</v>
      </c>
      <c r="E352" s="34">
        <v>1</v>
      </c>
      <c r="F352" s="34">
        <f t="shared" si="38"/>
        <v>1</v>
      </c>
      <c r="G352" s="34">
        <f t="shared" si="39"/>
        <v>3.5</v>
      </c>
      <c r="H352" s="34"/>
      <c r="I352" s="34"/>
      <c r="J352" s="34"/>
      <c r="K352" s="34"/>
      <c r="L352" s="34"/>
      <c r="M352" s="34"/>
      <c r="N352" s="34">
        <f>F352*G352*4</f>
        <v>14</v>
      </c>
      <c r="O352" s="295"/>
    </row>
    <row r="353" spans="1:50" ht="20.100000000000001" hidden="1" customHeight="1" outlineLevel="2">
      <c r="A353" s="296"/>
      <c r="B353" s="40"/>
      <c r="C353" s="34">
        <v>7.8</v>
      </c>
      <c r="D353" s="34">
        <v>1</v>
      </c>
      <c r="E353" s="34">
        <v>2</v>
      </c>
      <c r="F353" s="34">
        <f t="shared" si="38"/>
        <v>2</v>
      </c>
      <c r="G353" s="34">
        <f t="shared" si="39"/>
        <v>7.8</v>
      </c>
      <c r="H353" s="34"/>
      <c r="I353" s="34"/>
      <c r="J353" s="34"/>
      <c r="K353" s="34"/>
      <c r="L353" s="34"/>
      <c r="M353" s="34"/>
      <c r="N353" s="34"/>
      <c r="O353" s="295">
        <f>F353*G353*6.4</f>
        <v>99.84</v>
      </c>
    </row>
    <row r="354" spans="1:50" ht="20.100000000000001" hidden="1" customHeight="1" outlineLevel="2">
      <c r="A354" s="296"/>
      <c r="B354" s="40"/>
      <c r="C354" s="34">
        <f>7.8</f>
        <v>7.8</v>
      </c>
      <c r="D354" s="34">
        <v>1</v>
      </c>
      <c r="E354" s="34">
        <v>1</v>
      </c>
      <c r="F354" s="34">
        <f t="shared" si="38"/>
        <v>1</v>
      </c>
      <c r="G354" s="34">
        <f t="shared" si="39"/>
        <v>7.8</v>
      </c>
      <c r="H354" s="34"/>
      <c r="I354" s="34"/>
      <c r="J354" s="34"/>
      <c r="K354" s="34"/>
      <c r="L354" s="34"/>
      <c r="M354" s="34"/>
      <c r="N354" s="34">
        <f>4*F354*G354</f>
        <v>31.2</v>
      </c>
      <c r="O354" s="295"/>
    </row>
    <row r="355" spans="1:50" ht="20.100000000000001" hidden="1" customHeight="1" outlineLevel="2">
      <c r="A355" s="296"/>
      <c r="B355" s="40"/>
      <c r="C355" s="34">
        <v>7.8</v>
      </c>
      <c r="D355" s="34">
        <v>1</v>
      </c>
      <c r="E355" s="34">
        <v>2</v>
      </c>
      <c r="F355" s="34">
        <f t="shared" si="38"/>
        <v>2</v>
      </c>
      <c r="G355" s="34">
        <f t="shared" si="39"/>
        <v>7.8</v>
      </c>
      <c r="H355" s="34"/>
      <c r="I355" s="34"/>
      <c r="J355" s="34"/>
      <c r="K355" s="34"/>
      <c r="L355" s="34"/>
      <c r="M355" s="34"/>
      <c r="N355" s="34"/>
      <c r="O355" s="295">
        <f>6.4*G355*F355</f>
        <v>99.84</v>
      </c>
    </row>
    <row r="356" spans="1:50" ht="20.100000000000001" hidden="1" customHeight="1" outlineLevel="2">
      <c r="A356" s="296"/>
      <c r="B356" s="40"/>
      <c r="C356" s="34">
        <v>7.8</v>
      </c>
      <c r="D356" s="34">
        <v>1</v>
      </c>
      <c r="E356" s="34">
        <v>1</v>
      </c>
      <c r="F356" s="34">
        <f t="shared" si="38"/>
        <v>1</v>
      </c>
      <c r="G356" s="34">
        <f t="shared" si="39"/>
        <v>7.8</v>
      </c>
      <c r="H356" s="34"/>
      <c r="I356" s="34"/>
      <c r="J356" s="34"/>
      <c r="K356" s="34"/>
      <c r="L356" s="34"/>
      <c r="M356" s="34"/>
      <c r="N356" s="34">
        <f>G356*F356*4</f>
        <v>31.2</v>
      </c>
      <c r="O356" s="295"/>
    </row>
    <row r="357" spans="1:50" ht="20.100000000000001" hidden="1" customHeight="1" outlineLevel="2">
      <c r="A357" s="296"/>
      <c r="B357" s="40"/>
      <c r="C357" s="34">
        <v>3.5</v>
      </c>
      <c r="D357" s="34">
        <v>1</v>
      </c>
      <c r="E357" s="34">
        <v>2</v>
      </c>
      <c r="F357" s="34">
        <f t="shared" si="38"/>
        <v>2</v>
      </c>
      <c r="G357" s="34">
        <f t="shared" si="39"/>
        <v>3.5</v>
      </c>
      <c r="H357" s="34"/>
      <c r="I357" s="34"/>
      <c r="J357" s="34"/>
      <c r="K357" s="34"/>
      <c r="L357" s="34"/>
      <c r="M357" s="34"/>
      <c r="N357" s="34"/>
      <c r="O357" s="295">
        <f>6.4*F357*G357</f>
        <v>44.800000000000004</v>
      </c>
    </row>
    <row r="358" spans="1:50" ht="20.100000000000001" hidden="1" customHeight="1" outlineLevel="2">
      <c r="A358" s="296"/>
      <c r="B358" s="40"/>
      <c r="C358" s="34">
        <v>3.5</v>
      </c>
      <c r="D358" s="34">
        <v>1</v>
      </c>
      <c r="E358" s="34">
        <v>1</v>
      </c>
      <c r="F358" s="34">
        <f t="shared" si="38"/>
        <v>1</v>
      </c>
      <c r="G358" s="34">
        <f t="shared" si="39"/>
        <v>3.5</v>
      </c>
      <c r="H358" s="34"/>
      <c r="I358" s="34"/>
      <c r="J358" s="34"/>
      <c r="K358" s="34"/>
      <c r="L358" s="34"/>
      <c r="M358" s="34"/>
      <c r="N358" s="34">
        <f>4*G358*F358</f>
        <v>14</v>
      </c>
      <c r="O358" s="295"/>
    </row>
    <row r="359" spans="1:50" ht="44.25" hidden="1" customHeight="1" outlineLevel="2">
      <c r="A359" s="291"/>
      <c r="B359" s="52"/>
      <c r="C359" s="51">
        <f>(0.55*2)+(0.35*2)+(0.05*2)</f>
        <v>1.9000000000000001</v>
      </c>
      <c r="D359" s="59">
        <v>1</v>
      </c>
      <c r="E359" s="51">
        <v>19</v>
      </c>
      <c r="F359" s="51">
        <f>D359*E359</f>
        <v>19</v>
      </c>
      <c r="G359" s="34">
        <f>+C359</f>
        <v>1.9000000000000001</v>
      </c>
      <c r="H359" s="51"/>
      <c r="I359" s="51"/>
      <c r="J359" s="34"/>
      <c r="K359" s="51">
        <f>1.55*G359*F359</f>
        <v>55.955000000000005</v>
      </c>
      <c r="L359" s="51"/>
      <c r="M359" s="51"/>
      <c r="N359" s="51"/>
      <c r="O359" s="290"/>
    </row>
    <row r="360" spans="1:50" ht="44.25" hidden="1" customHeight="1" outlineLevel="2">
      <c r="A360" s="291"/>
      <c r="B360" s="52"/>
      <c r="C360" s="51">
        <f>(0.55*2)+(0.35*2)+(0.05*2)</f>
        <v>1.9000000000000001</v>
      </c>
      <c r="D360" s="59">
        <v>1</v>
      </c>
      <c r="E360" s="51">
        <v>36</v>
      </c>
      <c r="F360" s="51">
        <f>D360*E360</f>
        <v>36</v>
      </c>
      <c r="G360" s="34">
        <f>+C360</f>
        <v>1.9000000000000001</v>
      </c>
      <c r="H360" s="51"/>
      <c r="I360" s="51"/>
      <c r="J360" s="34">
        <f>1*F360*G360</f>
        <v>68.400000000000006</v>
      </c>
      <c r="K360" s="51"/>
      <c r="L360" s="51"/>
      <c r="M360" s="51"/>
      <c r="N360" s="51"/>
      <c r="O360" s="290"/>
    </row>
    <row r="361" spans="1:50" ht="20.100000000000001" hidden="1" customHeight="1" outlineLevel="2">
      <c r="A361" s="2192" t="s">
        <v>196</v>
      </c>
      <c r="B361" s="2193"/>
      <c r="C361" s="2193"/>
      <c r="D361" s="2193"/>
      <c r="E361" s="2193"/>
      <c r="F361" s="2193"/>
      <c r="G361" s="2194"/>
      <c r="H361" s="556">
        <f t="shared" ref="H361:O361" si="40">SUM(H345:H360)</f>
        <v>0</v>
      </c>
      <c r="I361" s="556">
        <f t="shared" si="40"/>
        <v>0</v>
      </c>
      <c r="J361" s="556">
        <f t="shared" si="40"/>
        <v>68.400000000000006</v>
      </c>
      <c r="K361" s="556">
        <f t="shared" si="40"/>
        <v>55.955000000000005</v>
      </c>
      <c r="L361" s="556">
        <f t="shared" si="40"/>
        <v>20.160000000000004</v>
      </c>
      <c r="M361" s="556">
        <f t="shared" si="40"/>
        <v>0</v>
      </c>
      <c r="N361" s="556">
        <f t="shared" si="40"/>
        <v>106.4</v>
      </c>
      <c r="O361" s="557">
        <f t="shared" si="40"/>
        <v>516.48</v>
      </c>
    </row>
    <row r="362" spans="1:50" ht="20.100000000000001" hidden="1" customHeight="1" outlineLevel="2">
      <c r="A362" s="2186" t="s">
        <v>140</v>
      </c>
      <c r="B362" s="2187"/>
      <c r="C362" s="2187"/>
      <c r="D362" s="2187"/>
      <c r="E362" s="2187"/>
      <c r="F362" s="2187"/>
      <c r="G362" s="2187"/>
      <c r="H362" s="2223">
        <f>SUM(H361:O361)</f>
        <v>767.39499999999998</v>
      </c>
      <c r="I362" s="2224"/>
      <c r="J362" s="2224"/>
      <c r="K362" s="2224"/>
      <c r="L362" s="2224"/>
      <c r="M362" s="2224"/>
      <c r="N362" s="2224"/>
      <c r="O362" s="2225"/>
    </row>
    <row r="363" spans="1:50" s="37" customFormat="1" ht="20.100000000000001" hidden="1" customHeight="1" outlineLevel="2">
      <c r="A363" s="2206"/>
      <c r="B363" s="2207"/>
      <c r="C363" s="2207"/>
      <c r="D363" s="2207"/>
      <c r="E363" s="2207"/>
      <c r="F363" s="2207"/>
      <c r="G363" s="2207"/>
      <c r="H363" s="2207"/>
      <c r="I363" s="2207"/>
      <c r="J363" s="2207"/>
      <c r="K363" s="2207"/>
      <c r="L363" s="2207"/>
      <c r="M363" s="2207"/>
      <c r="N363" s="2207"/>
      <c r="O363" s="2208"/>
      <c r="P363" s="82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0.100000000000001" hidden="1" customHeight="1" outlineLevel="2">
      <c r="A364" s="304" t="s">
        <v>120</v>
      </c>
      <c r="B364" s="34"/>
      <c r="C364" s="34">
        <v>3</v>
      </c>
      <c r="D364" s="34">
        <v>1</v>
      </c>
      <c r="E364" s="34">
        <v>3</v>
      </c>
      <c r="F364" s="43">
        <f>+D364*E364</f>
        <v>3</v>
      </c>
      <c r="G364" s="34">
        <f>+C364</f>
        <v>3</v>
      </c>
      <c r="H364" s="34"/>
      <c r="I364" s="34"/>
      <c r="J364" s="34"/>
      <c r="K364" s="34"/>
      <c r="L364" s="34"/>
      <c r="M364" s="34"/>
      <c r="N364" s="34"/>
      <c r="O364" s="295">
        <f>6.4*F364*G364</f>
        <v>57.600000000000009</v>
      </c>
    </row>
    <row r="365" spans="1:50" ht="20.100000000000001" hidden="1" customHeight="1" outlineLevel="2">
      <c r="A365" s="296"/>
      <c r="B365" s="34"/>
      <c r="C365" s="34">
        <v>4.5</v>
      </c>
      <c r="D365" s="34">
        <v>1</v>
      </c>
      <c r="E365" s="34">
        <v>3</v>
      </c>
      <c r="F365" s="43">
        <f t="shared" ref="F365:F388" si="41">+D365*E365</f>
        <v>3</v>
      </c>
      <c r="G365" s="34">
        <f t="shared" ref="G365:G390" si="42">+C365</f>
        <v>4.5</v>
      </c>
      <c r="H365" s="34"/>
      <c r="I365" s="34"/>
      <c r="J365" s="34"/>
      <c r="K365" s="34"/>
      <c r="L365" s="34"/>
      <c r="M365" s="34"/>
      <c r="N365" s="34"/>
      <c r="O365" s="295">
        <f>6.4*F365*G365</f>
        <v>86.4</v>
      </c>
    </row>
    <row r="366" spans="1:50" ht="20.100000000000001" hidden="1" customHeight="1" outlineLevel="2">
      <c r="A366" s="296"/>
      <c r="B366" s="34"/>
      <c r="C366" s="34">
        <v>4</v>
      </c>
      <c r="D366" s="34">
        <v>1</v>
      </c>
      <c r="E366" s="34">
        <v>2</v>
      </c>
      <c r="F366" s="43">
        <f t="shared" si="41"/>
        <v>2</v>
      </c>
      <c r="G366" s="34">
        <f t="shared" si="42"/>
        <v>4</v>
      </c>
      <c r="H366" s="34"/>
      <c r="I366" s="34"/>
      <c r="J366" s="34"/>
      <c r="K366" s="34"/>
      <c r="L366" s="34"/>
      <c r="M366" s="34"/>
      <c r="N366" s="34"/>
      <c r="O366" s="295">
        <f>6.4*F366*G366</f>
        <v>51.2</v>
      </c>
    </row>
    <row r="367" spans="1:50" ht="20.100000000000001" hidden="1" customHeight="1" outlineLevel="2">
      <c r="A367" s="296"/>
      <c r="B367" s="34"/>
      <c r="C367" s="34">
        <v>8.5</v>
      </c>
      <c r="D367" s="34">
        <v>1</v>
      </c>
      <c r="E367" s="34">
        <v>2</v>
      </c>
      <c r="F367" s="43">
        <f t="shared" si="41"/>
        <v>2</v>
      </c>
      <c r="G367" s="34">
        <f t="shared" si="42"/>
        <v>8.5</v>
      </c>
      <c r="H367" s="34"/>
      <c r="I367" s="34"/>
      <c r="J367" s="34"/>
      <c r="K367" s="34"/>
      <c r="L367" s="34"/>
      <c r="M367" s="34"/>
      <c r="N367" s="34"/>
      <c r="O367" s="295">
        <f>6.4*F367*G367</f>
        <v>108.80000000000001</v>
      </c>
    </row>
    <row r="368" spans="1:50" ht="20.100000000000001" hidden="1" customHeight="1" outlineLevel="2">
      <c r="A368" s="296"/>
      <c r="B368" s="34"/>
      <c r="C368" s="34">
        <v>12</v>
      </c>
      <c r="D368" s="34">
        <v>1</v>
      </c>
      <c r="E368" s="34">
        <v>8</v>
      </c>
      <c r="F368" s="43">
        <f t="shared" si="41"/>
        <v>8</v>
      </c>
      <c r="G368" s="34">
        <f t="shared" si="42"/>
        <v>12</v>
      </c>
      <c r="H368" s="34"/>
      <c r="I368" s="34"/>
      <c r="J368" s="34"/>
      <c r="K368" s="34"/>
      <c r="L368" s="34"/>
      <c r="M368" s="34"/>
      <c r="N368" s="34"/>
      <c r="O368" s="295">
        <f>6.4*F368*G368</f>
        <v>614.40000000000009</v>
      </c>
    </row>
    <row r="369" spans="1:50" ht="20.100000000000001" hidden="1" customHeight="1" outlineLevel="2">
      <c r="A369" s="296"/>
      <c r="B369" s="34"/>
      <c r="C369" s="34">
        <v>12</v>
      </c>
      <c r="D369" s="34">
        <v>1</v>
      </c>
      <c r="E369" s="34">
        <v>4</v>
      </c>
      <c r="F369" s="43">
        <f t="shared" si="41"/>
        <v>4</v>
      </c>
      <c r="G369" s="34">
        <f t="shared" si="42"/>
        <v>12</v>
      </c>
      <c r="H369" s="34"/>
      <c r="I369" s="34"/>
      <c r="J369" s="34"/>
      <c r="K369" s="34"/>
      <c r="L369" s="34"/>
      <c r="M369" s="34"/>
      <c r="N369" s="34">
        <f>4*F369*G369</f>
        <v>192</v>
      </c>
      <c r="O369" s="295"/>
    </row>
    <row r="370" spans="1:50" ht="20.100000000000001" hidden="1" customHeight="1" outlineLevel="2">
      <c r="A370" s="296"/>
      <c r="B370" s="34"/>
      <c r="C370" s="34">
        <v>6</v>
      </c>
      <c r="D370" s="34">
        <v>1</v>
      </c>
      <c r="E370" s="34">
        <v>4</v>
      </c>
      <c r="F370" s="43">
        <f t="shared" si="41"/>
        <v>4</v>
      </c>
      <c r="G370" s="34">
        <f t="shared" si="42"/>
        <v>6</v>
      </c>
      <c r="H370" s="34"/>
      <c r="I370" s="34"/>
      <c r="J370" s="34"/>
      <c r="K370" s="34"/>
      <c r="L370" s="34">
        <f>2.24*F370*G370</f>
        <v>53.760000000000005</v>
      </c>
      <c r="M370" s="34"/>
      <c r="N370" s="34"/>
      <c r="O370" s="295"/>
    </row>
    <row r="371" spans="1:50" ht="20.100000000000001" hidden="1" customHeight="1" outlineLevel="2">
      <c r="A371" s="296"/>
      <c r="B371" s="34"/>
      <c r="C371" s="34">
        <v>4.5</v>
      </c>
      <c r="D371" s="34">
        <v>1</v>
      </c>
      <c r="E371" s="34">
        <v>1</v>
      </c>
      <c r="F371" s="43">
        <f t="shared" si="41"/>
        <v>1</v>
      </c>
      <c r="G371" s="34">
        <f t="shared" si="42"/>
        <v>4.5</v>
      </c>
      <c r="H371" s="34"/>
      <c r="I371" s="34"/>
      <c r="J371" s="34"/>
      <c r="K371" s="34"/>
      <c r="L371" s="34"/>
      <c r="M371" s="34">
        <f>3*F371*G371</f>
        <v>13.5</v>
      </c>
      <c r="N371" s="34"/>
      <c r="O371" s="295"/>
    </row>
    <row r="372" spans="1:50" ht="20.100000000000001" hidden="1" customHeight="1" outlineLevel="2">
      <c r="A372" s="296"/>
      <c r="B372" s="34"/>
      <c r="C372" s="34">
        <v>4.5</v>
      </c>
      <c r="D372" s="34">
        <v>1</v>
      </c>
      <c r="E372" s="34">
        <v>6</v>
      </c>
      <c r="F372" s="43">
        <f t="shared" si="41"/>
        <v>6</v>
      </c>
      <c r="G372" s="34">
        <f t="shared" si="42"/>
        <v>4.5</v>
      </c>
      <c r="H372" s="34"/>
      <c r="I372" s="34"/>
      <c r="J372" s="34"/>
      <c r="K372" s="34"/>
      <c r="L372" s="34">
        <f>2.24*F372*G372</f>
        <v>60.480000000000004</v>
      </c>
      <c r="M372" s="34"/>
      <c r="N372" s="34"/>
      <c r="O372" s="295"/>
    </row>
    <row r="373" spans="1:50" ht="20.100000000000001" hidden="1" customHeight="1" outlineLevel="2">
      <c r="A373" s="296"/>
      <c r="B373" s="34"/>
      <c r="C373" s="34">
        <v>4.5</v>
      </c>
      <c r="D373" s="34">
        <v>1</v>
      </c>
      <c r="E373" s="34">
        <v>2</v>
      </c>
      <c r="F373" s="43">
        <f t="shared" si="41"/>
        <v>2</v>
      </c>
      <c r="G373" s="34">
        <f t="shared" si="42"/>
        <v>4.5</v>
      </c>
      <c r="H373" s="34"/>
      <c r="I373" s="34"/>
      <c r="J373" s="34"/>
      <c r="K373" s="34">
        <f>1.55*F373*G373</f>
        <v>13.950000000000001</v>
      </c>
      <c r="L373" s="34"/>
      <c r="M373" s="34"/>
      <c r="N373" s="34"/>
      <c r="O373" s="295"/>
    </row>
    <row r="374" spans="1:50" ht="20.100000000000001" hidden="1" customHeight="1" outlineLevel="2">
      <c r="A374" s="296"/>
      <c r="B374" s="34"/>
      <c r="C374" s="34">
        <v>4</v>
      </c>
      <c r="D374" s="34">
        <v>1</v>
      </c>
      <c r="E374" s="34">
        <v>1</v>
      </c>
      <c r="F374" s="43">
        <f t="shared" si="41"/>
        <v>1</v>
      </c>
      <c r="G374" s="34">
        <f t="shared" si="42"/>
        <v>4</v>
      </c>
      <c r="H374" s="34"/>
      <c r="I374" s="34"/>
      <c r="J374" s="34"/>
      <c r="K374" s="34">
        <f>1.55*F374*G374</f>
        <v>6.2</v>
      </c>
      <c r="L374" s="34"/>
      <c r="M374" s="34"/>
      <c r="N374" s="34"/>
      <c r="O374" s="295"/>
    </row>
    <row r="375" spans="1:50" ht="20.100000000000001" hidden="1" customHeight="1" outlineLevel="2">
      <c r="A375" s="296"/>
      <c r="B375" s="34"/>
      <c r="C375" s="34">
        <v>4</v>
      </c>
      <c r="D375" s="34">
        <v>1</v>
      </c>
      <c r="E375" s="34">
        <v>2</v>
      </c>
      <c r="F375" s="43">
        <f t="shared" si="41"/>
        <v>2</v>
      </c>
      <c r="G375" s="34">
        <f t="shared" si="42"/>
        <v>4</v>
      </c>
      <c r="H375" s="34"/>
      <c r="I375" s="34"/>
      <c r="J375" s="34"/>
      <c r="K375" s="34"/>
      <c r="L375" s="34">
        <f>2.24*F375*G375</f>
        <v>17.920000000000002</v>
      </c>
      <c r="M375" s="34"/>
      <c r="N375" s="34"/>
      <c r="O375" s="295"/>
    </row>
    <row r="376" spans="1:50" ht="20.100000000000001" hidden="1" customHeight="1" outlineLevel="2">
      <c r="A376" s="296"/>
      <c r="B376" s="37"/>
      <c r="C376" s="34">
        <v>8</v>
      </c>
      <c r="D376" s="34">
        <v>1</v>
      </c>
      <c r="E376" s="34">
        <v>1</v>
      </c>
      <c r="F376" s="43">
        <f t="shared" si="41"/>
        <v>1</v>
      </c>
      <c r="G376" s="34">
        <f t="shared" si="42"/>
        <v>8</v>
      </c>
      <c r="H376" s="34"/>
      <c r="I376" s="34"/>
      <c r="J376" s="34"/>
      <c r="K376" s="34"/>
      <c r="L376" s="34"/>
      <c r="M376" s="34"/>
      <c r="N376" s="34"/>
      <c r="O376" s="295">
        <f>6.4*F376*G376</f>
        <v>51.2</v>
      </c>
    </row>
    <row r="377" spans="1:50" ht="20.100000000000001" hidden="1" customHeight="1" outlineLevel="2">
      <c r="A377" s="296"/>
      <c r="B377" s="37"/>
      <c r="C377" s="34">
        <v>8</v>
      </c>
      <c r="D377" s="34">
        <v>1</v>
      </c>
      <c r="E377" s="34">
        <v>2</v>
      </c>
      <c r="F377" s="43">
        <f t="shared" si="41"/>
        <v>2</v>
      </c>
      <c r="G377" s="34">
        <f t="shared" si="42"/>
        <v>8</v>
      </c>
      <c r="H377" s="34"/>
      <c r="I377" s="34"/>
      <c r="J377" s="34"/>
      <c r="K377" s="34"/>
      <c r="L377" s="34"/>
      <c r="M377" s="34"/>
      <c r="N377" s="34">
        <f t="shared" ref="N377:N387" si="43">4*F377*G377</f>
        <v>64</v>
      </c>
      <c r="O377" s="295"/>
    </row>
    <row r="378" spans="1:50" ht="20.100000000000001" hidden="1" customHeight="1" outlineLevel="2">
      <c r="A378" s="296"/>
      <c r="B378" s="34"/>
      <c r="C378" s="34">
        <v>7.5</v>
      </c>
      <c r="D378" s="34">
        <v>1</v>
      </c>
      <c r="E378" s="34">
        <v>6</v>
      </c>
      <c r="F378" s="43">
        <f t="shared" si="41"/>
        <v>6</v>
      </c>
      <c r="G378" s="34">
        <f t="shared" si="42"/>
        <v>7.5</v>
      </c>
      <c r="H378" s="34"/>
      <c r="I378" s="34"/>
      <c r="J378" s="34"/>
      <c r="K378" s="34"/>
      <c r="L378" s="34"/>
      <c r="M378" s="34"/>
      <c r="N378" s="34"/>
      <c r="O378" s="295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</row>
    <row r="379" spans="1:50" ht="20.100000000000001" hidden="1" customHeight="1" outlineLevel="2">
      <c r="A379" s="296"/>
      <c r="B379" s="34"/>
      <c r="C379" s="34">
        <v>5</v>
      </c>
      <c r="D379" s="34">
        <v>1</v>
      </c>
      <c r="E379" s="34">
        <v>9</v>
      </c>
      <c r="F379" s="43">
        <f t="shared" si="41"/>
        <v>9</v>
      </c>
      <c r="G379" s="34">
        <f t="shared" si="42"/>
        <v>5</v>
      </c>
      <c r="H379" s="34"/>
      <c r="I379" s="34"/>
      <c r="J379" s="34"/>
      <c r="K379" s="34"/>
      <c r="L379" s="34"/>
      <c r="M379" s="34"/>
      <c r="N379" s="34"/>
      <c r="O379" s="295">
        <f>6.4*F379*G379</f>
        <v>288</v>
      </c>
    </row>
    <row r="380" spans="1:50" ht="20.100000000000001" hidden="1" customHeight="1" outlineLevel="2">
      <c r="A380" s="296"/>
      <c r="B380" s="34"/>
      <c r="C380" s="34">
        <v>5</v>
      </c>
      <c r="D380" s="34">
        <v>1</v>
      </c>
      <c r="E380" s="34">
        <v>1</v>
      </c>
      <c r="F380" s="43">
        <f t="shared" si="41"/>
        <v>1</v>
      </c>
      <c r="G380" s="34">
        <f t="shared" si="42"/>
        <v>5</v>
      </c>
      <c r="H380" s="34"/>
      <c r="I380" s="34"/>
      <c r="J380" s="34"/>
      <c r="K380" s="34"/>
      <c r="L380" s="34"/>
      <c r="M380" s="34"/>
      <c r="N380" s="34">
        <f t="shared" si="43"/>
        <v>20</v>
      </c>
      <c r="O380" s="295"/>
    </row>
    <row r="381" spans="1:50" ht="20.100000000000001" hidden="1" customHeight="1" outlineLevel="2">
      <c r="A381" s="296"/>
      <c r="B381" s="34"/>
      <c r="C381" s="34">
        <v>3.2</v>
      </c>
      <c r="D381" s="34">
        <v>1</v>
      </c>
      <c r="E381" s="34">
        <v>2</v>
      </c>
      <c r="F381" s="43">
        <f t="shared" si="41"/>
        <v>2</v>
      </c>
      <c r="G381" s="34">
        <f t="shared" si="42"/>
        <v>3.2</v>
      </c>
      <c r="H381" s="34"/>
      <c r="I381" s="34"/>
      <c r="J381" s="34"/>
      <c r="K381" s="34"/>
      <c r="L381" s="34"/>
      <c r="M381" s="34"/>
      <c r="N381" s="34"/>
      <c r="O381" s="295">
        <f>6.4*F381*G381</f>
        <v>40.960000000000008</v>
      </c>
    </row>
    <row r="382" spans="1:50" ht="20.100000000000001" hidden="1" customHeight="1" outlineLevel="2">
      <c r="A382" s="296"/>
      <c r="B382" s="34"/>
      <c r="C382" s="34">
        <v>3.2</v>
      </c>
      <c r="D382" s="34">
        <v>1</v>
      </c>
      <c r="E382" s="34">
        <v>1</v>
      </c>
      <c r="F382" s="43">
        <f t="shared" si="41"/>
        <v>1</v>
      </c>
      <c r="G382" s="34">
        <f t="shared" si="42"/>
        <v>3.2</v>
      </c>
      <c r="H382" s="34"/>
      <c r="I382" s="34"/>
      <c r="J382" s="34"/>
      <c r="K382" s="34"/>
      <c r="L382" s="34"/>
      <c r="M382" s="34"/>
      <c r="N382" s="34">
        <f t="shared" si="43"/>
        <v>12.8</v>
      </c>
      <c r="O382" s="295"/>
    </row>
    <row r="383" spans="1:50" ht="20.100000000000001" hidden="1" customHeight="1" outlineLevel="2">
      <c r="A383" s="296"/>
      <c r="B383" s="34"/>
      <c r="C383" s="34">
        <v>7</v>
      </c>
      <c r="D383" s="34">
        <v>1</v>
      </c>
      <c r="E383" s="34">
        <v>3</v>
      </c>
      <c r="F383" s="43">
        <f>+D383*E383</f>
        <v>3</v>
      </c>
      <c r="G383" s="34">
        <f t="shared" si="42"/>
        <v>7</v>
      </c>
      <c r="H383" s="34"/>
      <c r="I383" s="34"/>
      <c r="J383" s="34"/>
      <c r="K383" s="34"/>
      <c r="L383" s="34"/>
      <c r="M383" s="34"/>
      <c r="N383" s="34">
        <f t="shared" si="43"/>
        <v>84</v>
      </c>
      <c r="O383" s="295"/>
    </row>
    <row r="384" spans="1:50" ht="20.100000000000001" hidden="1" customHeight="1" outlineLevel="2">
      <c r="A384" s="296"/>
      <c r="B384" s="34"/>
      <c r="C384" s="34">
        <v>8.5</v>
      </c>
      <c r="D384" s="34">
        <v>1</v>
      </c>
      <c r="E384" s="34">
        <v>1</v>
      </c>
      <c r="F384" s="43">
        <f t="shared" si="41"/>
        <v>1</v>
      </c>
      <c r="G384" s="34">
        <f t="shared" si="42"/>
        <v>8.5</v>
      </c>
      <c r="H384" s="34"/>
      <c r="I384" s="34"/>
      <c r="J384" s="34"/>
      <c r="K384" s="34"/>
      <c r="L384" s="34"/>
      <c r="M384" s="34"/>
      <c r="N384" s="34">
        <f t="shared" si="43"/>
        <v>34</v>
      </c>
      <c r="O384" s="295"/>
    </row>
    <row r="385" spans="1:50" ht="20.100000000000001" hidden="1" customHeight="1" outlineLevel="2">
      <c r="A385" s="296"/>
      <c r="B385" s="34"/>
      <c r="C385" s="34">
        <v>8.5</v>
      </c>
      <c r="D385" s="34">
        <v>1</v>
      </c>
      <c r="E385" s="34">
        <v>1</v>
      </c>
      <c r="F385" s="43">
        <f t="shared" si="41"/>
        <v>1</v>
      </c>
      <c r="G385" s="34">
        <f t="shared" si="42"/>
        <v>8.5</v>
      </c>
      <c r="H385" s="34"/>
      <c r="I385" s="34"/>
      <c r="J385" s="34"/>
      <c r="K385" s="34"/>
      <c r="L385" s="34"/>
      <c r="M385" s="34"/>
      <c r="N385" s="34"/>
      <c r="O385" s="295">
        <f>6.4*F385*G385</f>
        <v>54.400000000000006</v>
      </c>
    </row>
    <row r="386" spans="1:50" ht="20.100000000000001" hidden="1" customHeight="1" outlineLevel="2">
      <c r="A386" s="296"/>
      <c r="B386" s="34"/>
      <c r="C386" s="34">
        <v>3.2</v>
      </c>
      <c r="D386" s="34">
        <v>1</v>
      </c>
      <c r="E386" s="34">
        <v>3</v>
      </c>
      <c r="F386" s="43">
        <f t="shared" si="41"/>
        <v>3</v>
      </c>
      <c r="G386" s="34">
        <f t="shared" si="42"/>
        <v>3.2</v>
      </c>
      <c r="H386" s="34"/>
      <c r="I386" s="34"/>
      <c r="J386" s="34">
        <f>1*F386*G386</f>
        <v>9.6000000000000014</v>
      </c>
      <c r="K386" s="34"/>
      <c r="L386" s="34"/>
      <c r="M386" s="34"/>
      <c r="N386" s="34"/>
      <c r="O386" s="295"/>
    </row>
    <row r="387" spans="1:50" ht="20.100000000000001" hidden="1" customHeight="1" outlineLevel="2">
      <c r="A387" s="296"/>
      <c r="B387" s="37"/>
      <c r="C387" s="34">
        <v>3.9</v>
      </c>
      <c r="D387" s="34">
        <v>1</v>
      </c>
      <c r="E387" s="34">
        <v>3</v>
      </c>
      <c r="F387" s="43">
        <f t="shared" si="41"/>
        <v>3</v>
      </c>
      <c r="G387" s="34">
        <f t="shared" si="42"/>
        <v>3.9</v>
      </c>
      <c r="H387" s="34"/>
      <c r="I387" s="34"/>
      <c r="J387" s="34"/>
      <c r="K387" s="34"/>
      <c r="L387" s="34"/>
      <c r="M387" s="34"/>
      <c r="N387" s="34">
        <f t="shared" si="43"/>
        <v>46.8</v>
      </c>
      <c r="O387" s="295"/>
    </row>
    <row r="388" spans="1:50" ht="20.100000000000001" hidden="1" customHeight="1" outlineLevel="2">
      <c r="A388" s="296"/>
      <c r="B388" s="37"/>
      <c r="C388" s="34">
        <v>3.9</v>
      </c>
      <c r="D388" s="34">
        <v>1</v>
      </c>
      <c r="E388" s="34">
        <v>1</v>
      </c>
      <c r="F388" s="43">
        <f t="shared" si="41"/>
        <v>1</v>
      </c>
      <c r="G388" s="34">
        <f t="shared" si="42"/>
        <v>3.9</v>
      </c>
      <c r="H388" s="34"/>
      <c r="I388" s="34"/>
      <c r="J388" s="34"/>
      <c r="K388" s="34"/>
      <c r="L388" s="34"/>
      <c r="M388" s="34">
        <f>3*F388*G388</f>
        <v>11.7</v>
      </c>
      <c r="N388" s="34"/>
      <c r="O388" s="295"/>
    </row>
    <row r="389" spans="1:50" ht="47.25" hidden="1" customHeight="1" outlineLevel="2">
      <c r="A389" s="291"/>
      <c r="B389" s="52"/>
      <c r="C389" s="51">
        <f>(0.55*2)+(0.35*2)+(0.05*2)</f>
        <v>1.9000000000000001</v>
      </c>
      <c r="D389" s="59">
        <v>1</v>
      </c>
      <c r="E389" s="51">
        <v>241</v>
      </c>
      <c r="F389" s="51">
        <f>D389*E389</f>
        <v>241</v>
      </c>
      <c r="G389" s="34">
        <f t="shared" si="42"/>
        <v>1.9000000000000001</v>
      </c>
      <c r="H389" s="51"/>
      <c r="I389" s="51">
        <f>0.56*G389*F389</f>
        <v>256.42400000000009</v>
      </c>
      <c r="J389" s="34"/>
      <c r="K389" s="51"/>
      <c r="L389" s="51"/>
      <c r="M389" s="51"/>
      <c r="N389" s="51"/>
      <c r="O389" s="290"/>
    </row>
    <row r="390" spans="1:50" ht="43.5" hidden="1" customHeight="1" outlineLevel="2">
      <c r="A390" s="291"/>
      <c r="B390" s="52"/>
      <c r="C390" s="51">
        <f>(0.55*2)+(0.35*2)+(0.05*2)</f>
        <v>1.9000000000000001</v>
      </c>
      <c r="D390" s="59">
        <v>1</v>
      </c>
      <c r="E390" s="51">
        <v>77</v>
      </c>
      <c r="F390" s="51">
        <f>D390*E390</f>
        <v>77</v>
      </c>
      <c r="G390" s="34">
        <f t="shared" si="42"/>
        <v>1.9000000000000001</v>
      </c>
      <c r="H390" s="51"/>
      <c r="I390" s="51"/>
      <c r="J390" s="34">
        <f>1*F390*G390</f>
        <v>146.30000000000001</v>
      </c>
      <c r="K390" s="51"/>
      <c r="L390" s="51"/>
      <c r="M390" s="51"/>
      <c r="N390" s="51"/>
      <c r="O390" s="290"/>
    </row>
    <row r="391" spans="1:50" ht="20.100000000000001" hidden="1" customHeight="1" outlineLevel="2">
      <c r="A391" s="2192" t="s">
        <v>196</v>
      </c>
      <c r="B391" s="2193"/>
      <c r="C391" s="2193"/>
      <c r="D391" s="2193"/>
      <c r="E391" s="2193"/>
      <c r="F391" s="2193"/>
      <c r="G391" s="2194"/>
      <c r="H391" s="65">
        <f t="shared" ref="H391:O391" si="44">SUM(H364:H390)</f>
        <v>0</v>
      </c>
      <c r="I391" s="65">
        <f t="shared" si="44"/>
        <v>256.42400000000009</v>
      </c>
      <c r="J391" s="65">
        <f t="shared" si="44"/>
        <v>155.9</v>
      </c>
      <c r="K391" s="65">
        <f t="shared" si="44"/>
        <v>20.150000000000002</v>
      </c>
      <c r="L391" s="65">
        <f t="shared" si="44"/>
        <v>132.16000000000003</v>
      </c>
      <c r="M391" s="65">
        <f t="shared" si="44"/>
        <v>25.2</v>
      </c>
      <c r="N391" s="65">
        <f t="shared" si="44"/>
        <v>453.6</v>
      </c>
      <c r="O391" s="298">
        <f t="shared" si="44"/>
        <v>1352.9600000000003</v>
      </c>
    </row>
    <row r="392" spans="1:50" ht="20.100000000000001" hidden="1" customHeight="1" outlineLevel="2">
      <c r="A392" s="2186" t="s">
        <v>229</v>
      </c>
      <c r="B392" s="2187"/>
      <c r="C392" s="2187"/>
      <c r="D392" s="2187"/>
      <c r="E392" s="2187"/>
      <c r="F392" s="2187"/>
      <c r="G392" s="2187"/>
      <c r="H392" s="2188">
        <f>SUM(H391:O391)</f>
        <v>2396.3940000000002</v>
      </c>
      <c r="I392" s="2188"/>
      <c r="J392" s="2188"/>
      <c r="K392" s="2188"/>
      <c r="L392" s="2188"/>
      <c r="M392" s="2188"/>
      <c r="N392" s="2188"/>
      <c r="O392" s="2189"/>
    </row>
    <row r="393" spans="1:50" s="84" customFormat="1" ht="20.100000000000001" hidden="1" customHeight="1" outlineLevel="2">
      <c r="A393" s="2211"/>
      <c r="B393" s="2212"/>
      <c r="C393" s="2212"/>
      <c r="D393" s="2212"/>
      <c r="E393" s="2212"/>
      <c r="F393" s="2212"/>
      <c r="G393" s="2212"/>
      <c r="H393" s="2212"/>
      <c r="I393" s="2212"/>
      <c r="J393" s="2212"/>
      <c r="K393" s="2212"/>
      <c r="L393" s="2212"/>
      <c r="M393" s="2212"/>
      <c r="N393" s="2212"/>
      <c r="O393" s="2213"/>
      <c r="P393" s="83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0.100000000000001" hidden="1" customHeight="1" outlineLevel="2">
      <c r="A394" s="305" t="s">
        <v>136</v>
      </c>
      <c r="B394" s="34"/>
      <c r="C394" s="34">
        <v>3</v>
      </c>
      <c r="D394" s="34">
        <v>1</v>
      </c>
      <c r="E394" s="34">
        <v>3</v>
      </c>
      <c r="F394" s="34">
        <f t="shared" ref="F394:F461" si="45">D394*E394</f>
        <v>3</v>
      </c>
      <c r="G394" s="34">
        <f t="shared" ref="G394:G461" si="46">C394</f>
        <v>3</v>
      </c>
      <c r="H394" s="34"/>
      <c r="I394" s="34"/>
      <c r="J394" s="34"/>
      <c r="K394" s="34"/>
      <c r="L394" s="34"/>
      <c r="M394" s="34"/>
      <c r="N394" s="34"/>
      <c r="O394" s="295">
        <f>6.4*G394*F394</f>
        <v>57.600000000000009</v>
      </c>
    </row>
    <row r="395" spans="1:50" ht="20.100000000000001" hidden="1" customHeight="1" outlineLevel="2">
      <c r="A395" s="306"/>
      <c r="B395" s="34"/>
      <c r="C395" s="36">
        <v>4.5</v>
      </c>
      <c r="D395" s="36">
        <v>1</v>
      </c>
      <c r="E395" s="36">
        <v>3</v>
      </c>
      <c r="F395" s="36">
        <f t="shared" si="45"/>
        <v>3</v>
      </c>
      <c r="G395" s="36">
        <f t="shared" si="46"/>
        <v>4.5</v>
      </c>
      <c r="H395" s="36"/>
      <c r="I395" s="36"/>
      <c r="J395" s="36"/>
      <c r="K395" s="36"/>
      <c r="L395" s="36"/>
      <c r="M395" s="36"/>
      <c r="N395" s="36"/>
      <c r="O395" s="300">
        <f>6.4*G395*F395</f>
        <v>86.4</v>
      </c>
    </row>
    <row r="396" spans="1:50" ht="20.100000000000001" hidden="1" customHeight="1" outlineLevel="2">
      <c r="A396" s="296"/>
      <c r="B396" s="34"/>
      <c r="C396" s="36">
        <v>4.5</v>
      </c>
      <c r="D396" s="36">
        <v>1</v>
      </c>
      <c r="E396" s="36">
        <v>1</v>
      </c>
      <c r="F396" s="36">
        <f t="shared" si="45"/>
        <v>1</v>
      </c>
      <c r="G396" s="36">
        <f t="shared" si="46"/>
        <v>4.5</v>
      </c>
      <c r="H396" s="36"/>
      <c r="I396" s="36"/>
      <c r="J396" s="36"/>
      <c r="K396" s="36"/>
      <c r="L396" s="36"/>
      <c r="M396" s="36">
        <f>3*G396*F396</f>
        <v>13.5</v>
      </c>
      <c r="N396" s="36"/>
      <c r="O396" s="300"/>
    </row>
    <row r="397" spans="1:50" ht="20.100000000000001" hidden="1" customHeight="1" outlineLevel="2">
      <c r="A397" s="296"/>
      <c r="B397" s="34"/>
      <c r="C397" s="36">
        <v>4.5</v>
      </c>
      <c r="D397" s="36">
        <v>1</v>
      </c>
      <c r="E397" s="36">
        <v>8</v>
      </c>
      <c r="F397" s="36">
        <f t="shared" si="45"/>
        <v>8</v>
      </c>
      <c r="G397" s="36">
        <f t="shared" si="46"/>
        <v>4.5</v>
      </c>
      <c r="H397" s="36"/>
      <c r="I397" s="36"/>
      <c r="J397" s="36"/>
      <c r="K397" s="36"/>
      <c r="L397" s="36">
        <f>2.24*G397*F397</f>
        <v>80.640000000000015</v>
      </c>
      <c r="M397" s="36"/>
      <c r="N397" s="36"/>
      <c r="O397" s="300"/>
    </row>
    <row r="398" spans="1:50" ht="20.100000000000001" hidden="1" customHeight="1" outlineLevel="2">
      <c r="A398" s="296"/>
      <c r="B398" s="34"/>
      <c r="C398" s="36">
        <v>4.5</v>
      </c>
      <c r="D398" s="36">
        <v>1</v>
      </c>
      <c r="E398" s="36">
        <v>9</v>
      </c>
      <c r="F398" s="36">
        <f t="shared" si="45"/>
        <v>9</v>
      </c>
      <c r="G398" s="36">
        <f t="shared" si="46"/>
        <v>4.5</v>
      </c>
      <c r="H398" s="36"/>
      <c r="I398" s="36"/>
      <c r="J398" s="36"/>
      <c r="K398" s="36"/>
      <c r="L398" s="36"/>
      <c r="M398" s="36"/>
      <c r="N398" s="36"/>
      <c r="O398" s="300">
        <f>6.4*G398*F398</f>
        <v>259.2</v>
      </c>
    </row>
    <row r="399" spans="1:50" ht="20.100000000000001" hidden="1" customHeight="1" outlineLevel="2">
      <c r="A399" s="296"/>
      <c r="B399" s="34"/>
      <c r="C399" s="36">
        <v>8</v>
      </c>
      <c r="D399" s="36">
        <v>1</v>
      </c>
      <c r="E399" s="36">
        <v>2</v>
      </c>
      <c r="F399" s="36">
        <f t="shared" si="45"/>
        <v>2</v>
      </c>
      <c r="G399" s="36">
        <f t="shared" si="46"/>
        <v>8</v>
      </c>
      <c r="H399" s="36"/>
      <c r="I399" s="36"/>
      <c r="J399" s="36"/>
      <c r="K399" s="36"/>
      <c r="L399" s="36"/>
      <c r="M399" s="36"/>
      <c r="N399" s="36"/>
      <c r="O399" s="300">
        <f>6.4*G399*F399</f>
        <v>102.4</v>
      </c>
    </row>
    <row r="400" spans="1:50" ht="20.100000000000001" hidden="1" customHeight="1" outlineLevel="2">
      <c r="A400" s="296"/>
      <c r="B400" s="34"/>
      <c r="C400" s="36">
        <v>8</v>
      </c>
      <c r="D400" s="36">
        <v>1</v>
      </c>
      <c r="E400" s="36">
        <v>1</v>
      </c>
      <c r="F400" s="36">
        <f t="shared" si="45"/>
        <v>1</v>
      </c>
      <c r="G400" s="36">
        <f t="shared" si="46"/>
        <v>8</v>
      </c>
      <c r="H400" s="36"/>
      <c r="I400" s="36"/>
      <c r="J400" s="36"/>
      <c r="K400" s="36"/>
      <c r="L400" s="36"/>
      <c r="M400" s="36"/>
      <c r="N400" s="36">
        <f>4*G400*F400</f>
        <v>32</v>
      </c>
      <c r="O400" s="300"/>
    </row>
    <row r="401" spans="1:50" ht="20.100000000000001" hidden="1" customHeight="1" outlineLevel="2">
      <c r="A401" s="296"/>
      <c r="B401" s="34"/>
      <c r="C401" s="36">
        <v>4.5</v>
      </c>
      <c r="D401" s="36">
        <v>1</v>
      </c>
      <c r="E401" s="36">
        <v>3</v>
      </c>
      <c r="F401" s="36">
        <f t="shared" si="45"/>
        <v>3</v>
      </c>
      <c r="G401" s="36">
        <f t="shared" si="46"/>
        <v>4.5</v>
      </c>
      <c r="H401" s="36"/>
      <c r="I401" s="36"/>
      <c r="J401" s="36"/>
      <c r="K401" s="36">
        <f>1.55*G401*F401</f>
        <v>20.925000000000001</v>
      </c>
      <c r="L401" s="36"/>
      <c r="M401" s="36"/>
      <c r="N401" s="36"/>
      <c r="O401" s="300"/>
    </row>
    <row r="402" spans="1:50" ht="20.100000000000001" hidden="1" customHeight="1" outlineLevel="2">
      <c r="A402" s="296"/>
      <c r="B402" s="34"/>
      <c r="C402" s="36">
        <v>5</v>
      </c>
      <c r="D402" s="36">
        <v>1</v>
      </c>
      <c r="E402" s="36">
        <v>3</v>
      </c>
      <c r="F402" s="36">
        <f t="shared" si="45"/>
        <v>3</v>
      </c>
      <c r="G402" s="36">
        <f t="shared" si="46"/>
        <v>5</v>
      </c>
      <c r="H402" s="36"/>
      <c r="I402" s="36"/>
      <c r="J402" s="36"/>
      <c r="K402" s="36"/>
      <c r="L402" s="36"/>
      <c r="M402" s="36"/>
      <c r="N402" s="36"/>
      <c r="O402" s="300">
        <f>6.4*G402*F402</f>
        <v>96</v>
      </c>
    </row>
    <row r="403" spans="1:50" ht="20.100000000000001" hidden="1" customHeight="1" outlineLevel="2">
      <c r="A403" s="296"/>
      <c r="B403" s="34"/>
      <c r="C403" s="36">
        <v>7</v>
      </c>
      <c r="D403" s="36">
        <v>1</v>
      </c>
      <c r="E403" s="36">
        <v>3</v>
      </c>
      <c r="F403" s="36">
        <f t="shared" si="45"/>
        <v>3</v>
      </c>
      <c r="G403" s="36">
        <f t="shared" si="46"/>
        <v>7</v>
      </c>
      <c r="H403" s="36"/>
      <c r="I403" s="36"/>
      <c r="J403" s="36"/>
      <c r="K403" s="36"/>
      <c r="L403" s="36"/>
      <c r="M403" s="36"/>
      <c r="N403" s="36">
        <f>4*G403*F403</f>
        <v>84</v>
      </c>
      <c r="O403" s="300"/>
    </row>
    <row r="404" spans="1:50" ht="20.100000000000001" hidden="1" customHeight="1" outlineLevel="2">
      <c r="A404" s="296"/>
      <c r="B404" s="34"/>
      <c r="C404" s="36">
        <v>7.5</v>
      </c>
      <c r="D404" s="36">
        <v>1</v>
      </c>
      <c r="E404" s="36">
        <v>4</v>
      </c>
      <c r="F404" s="36">
        <f t="shared" si="45"/>
        <v>4</v>
      </c>
      <c r="G404" s="36">
        <f t="shared" si="46"/>
        <v>7.5</v>
      </c>
      <c r="H404" s="36"/>
      <c r="I404" s="36"/>
      <c r="J404" s="36"/>
      <c r="K404" s="36"/>
      <c r="L404" s="36"/>
      <c r="M404" s="36"/>
      <c r="N404" s="36"/>
      <c r="O404" s="300">
        <f>6.4*G404*F404</f>
        <v>192</v>
      </c>
    </row>
    <row r="405" spans="1:50" ht="20.100000000000001" hidden="1" customHeight="1" outlineLevel="2">
      <c r="A405" s="296"/>
      <c r="B405" s="34"/>
      <c r="C405" s="36">
        <v>7.5</v>
      </c>
      <c r="D405" s="36">
        <v>1</v>
      </c>
      <c r="E405" s="36">
        <v>2</v>
      </c>
      <c r="F405" s="36">
        <f t="shared" si="45"/>
        <v>2</v>
      </c>
      <c r="G405" s="36">
        <f t="shared" si="46"/>
        <v>7.5</v>
      </c>
      <c r="H405" s="36"/>
      <c r="I405" s="36"/>
      <c r="J405" s="36"/>
      <c r="K405" s="36"/>
      <c r="L405" s="36"/>
      <c r="M405" s="36"/>
      <c r="N405" s="36">
        <f>G405*F405*4</f>
        <v>60</v>
      </c>
      <c r="O405" s="300"/>
    </row>
    <row r="406" spans="1:50" ht="20.100000000000001" hidden="1" customHeight="1" outlineLevel="2">
      <c r="A406" s="296"/>
      <c r="B406" s="37"/>
      <c r="C406" s="36">
        <v>5</v>
      </c>
      <c r="D406" s="36">
        <v>1</v>
      </c>
      <c r="E406" s="36">
        <v>3</v>
      </c>
      <c r="F406" s="36">
        <f t="shared" si="45"/>
        <v>3</v>
      </c>
      <c r="G406" s="36">
        <f t="shared" si="46"/>
        <v>5</v>
      </c>
      <c r="H406" s="36"/>
      <c r="I406" s="36"/>
      <c r="J406" s="36"/>
      <c r="K406" s="36"/>
      <c r="L406" s="36"/>
      <c r="M406" s="36"/>
      <c r="N406" s="36">
        <f>4*G406*F406</f>
        <v>60</v>
      </c>
      <c r="O406" s="300"/>
    </row>
    <row r="407" spans="1:50" ht="20.100000000000001" hidden="1" customHeight="1" outlineLevel="2">
      <c r="A407" s="296"/>
      <c r="B407" s="37"/>
      <c r="C407" s="36">
        <v>2.4</v>
      </c>
      <c r="D407" s="36">
        <v>1</v>
      </c>
      <c r="E407" s="36">
        <v>3</v>
      </c>
      <c r="F407" s="36">
        <f t="shared" si="45"/>
        <v>3</v>
      </c>
      <c r="G407" s="36">
        <f t="shared" si="46"/>
        <v>2.4</v>
      </c>
      <c r="H407" s="36"/>
      <c r="I407" s="36"/>
      <c r="J407" s="36"/>
      <c r="K407" s="36"/>
      <c r="L407" s="36"/>
      <c r="M407" s="36"/>
      <c r="N407" s="36">
        <f>4*G407*F407</f>
        <v>28.799999999999997</v>
      </c>
      <c r="O407" s="300"/>
    </row>
    <row r="408" spans="1:50" ht="20.100000000000001" hidden="1" customHeight="1" outlineLevel="2">
      <c r="A408" s="296"/>
      <c r="B408" s="40"/>
      <c r="C408" s="36">
        <v>4</v>
      </c>
      <c r="D408" s="36">
        <v>1</v>
      </c>
      <c r="E408" s="36">
        <v>2</v>
      </c>
      <c r="F408" s="36">
        <f t="shared" si="45"/>
        <v>2</v>
      </c>
      <c r="G408" s="36">
        <f t="shared" si="46"/>
        <v>4</v>
      </c>
      <c r="H408" s="36"/>
      <c r="I408" s="36"/>
      <c r="J408" s="36"/>
      <c r="K408" s="36"/>
      <c r="L408" s="36"/>
      <c r="M408" s="36"/>
      <c r="N408" s="36">
        <f>4*G408*F408</f>
        <v>32</v>
      </c>
      <c r="O408" s="300"/>
    </row>
    <row r="409" spans="1:50" ht="20.100000000000001" hidden="1" customHeight="1" outlineLevel="2">
      <c r="A409" s="296"/>
      <c r="B409" s="40"/>
      <c r="C409" s="36">
        <v>9.9</v>
      </c>
      <c r="D409" s="36">
        <v>1</v>
      </c>
      <c r="E409" s="36">
        <v>2</v>
      </c>
      <c r="F409" s="36">
        <f t="shared" si="45"/>
        <v>2</v>
      </c>
      <c r="G409" s="36">
        <f t="shared" si="46"/>
        <v>9.9</v>
      </c>
      <c r="H409" s="36"/>
      <c r="I409" s="36"/>
      <c r="J409" s="36"/>
      <c r="K409" s="36"/>
      <c r="L409" s="36"/>
      <c r="M409" s="36"/>
      <c r="N409" s="36">
        <f>4*G409*F409</f>
        <v>79.2</v>
      </c>
      <c r="O409" s="300"/>
    </row>
    <row r="410" spans="1:50" ht="20.100000000000001" hidden="1" customHeight="1" outlineLevel="2">
      <c r="A410" s="296"/>
      <c r="B410" s="34"/>
      <c r="C410" s="36">
        <v>9.5</v>
      </c>
      <c r="D410" s="36">
        <v>1</v>
      </c>
      <c r="E410" s="36">
        <v>1</v>
      </c>
      <c r="F410" s="36">
        <f t="shared" si="45"/>
        <v>1</v>
      </c>
      <c r="G410" s="36">
        <f t="shared" si="46"/>
        <v>9.5</v>
      </c>
      <c r="H410" s="36"/>
      <c r="I410" s="36"/>
      <c r="J410" s="36"/>
      <c r="K410" s="36"/>
      <c r="L410" s="36"/>
      <c r="M410" s="301"/>
      <c r="N410" s="36">
        <f>4*G410*F410</f>
        <v>38</v>
      </c>
      <c r="O410" s="300"/>
    </row>
    <row r="411" spans="1:50" ht="20.100000000000001" hidden="1" customHeight="1" outlineLevel="2">
      <c r="A411" s="296"/>
      <c r="B411" s="34"/>
      <c r="C411" s="36">
        <v>9.5</v>
      </c>
      <c r="D411" s="36">
        <v>1</v>
      </c>
      <c r="E411" s="36">
        <v>1</v>
      </c>
      <c r="F411" s="36">
        <f t="shared" si="45"/>
        <v>1</v>
      </c>
      <c r="G411" s="36">
        <f t="shared" si="46"/>
        <v>9.5</v>
      </c>
      <c r="H411" s="36"/>
      <c r="I411" s="36"/>
      <c r="J411" s="36"/>
      <c r="K411" s="36"/>
      <c r="L411" s="36"/>
      <c r="M411" s="36">
        <f>3*G411*F411</f>
        <v>28.5</v>
      </c>
      <c r="N411" s="36"/>
      <c r="O411" s="300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</row>
    <row r="412" spans="1:50" ht="20.100000000000001" hidden="1" customHeight="1" outlineLevel="2">
      <c r="A412" s="296"/>
      <c r="B412" s="34"/>
      <c r="C412" s="36">
        <v>12</v>
      </c>
      <c r="D412" s="36">
        <v>1</v>
      </c>
      <c r="E412" s="36">
        <v>1</v>
      </c>
      <c r="F412" s="36">
        <f t="shared" si="45"/>
        <v>1</v>
      </c>
      <c r="G412" s="36">
        <f t="shared" si="46"/>
        <v>12</v>
      </c>
      <c r="H412" s="36"/>
      <c r="I412" s="36"/>
      <c r="J412" s="36"/>
      <c r="K412" s="36"/>
      <c r="L412" s="36"/>
      <c r="M412" s="36"/>
      <c r="N412" s="36"/>
      <c r="O412" s="300">
        <f>6.4*G412*F412</f>
        <v>76.800000000000011</v>
      </c>
    </row>
    <row r="413" spans="1:50" ht="20.100000000000001" hidden="1" customHeight="1" outlineLevel="2">
      <c r="A413" s="296"/>
      <c r="B413" s="34"/>
      <c r="C413" s="36">
        <v>12</v>
      </c>
      <c r="D413" s="36">
        <v>1</v>
      </c>
      <c r="E413" s="36">
        <v>1</v>
      </c>
      <c r="F413" s="36">
        <f t="shared" si="45"/>
        <v>1</v>
      </c>
      <c r="G413" s="36">
        <f t="shared" si="46"/>
        <v>12</v>
      </c>
      <c r="H413" s="36"/>
      <c r="I413" s="36"/>
      <c r="J413" s="36"/>
      <c r="K413" s="36"/>
      <c r="L413" s="36"/>
      <c r="M413" s="36"/>
      <c r="N413" s="36">
        <f>G413*F413*4</f>
        <v>48</v>
      </c>
      <c r="O413" s="300"/>
    </row>
    <row r="414" spans="1:50" ht="20.100000000000001" hidden="1" customHeight="1" outlineLevel="2">
      <c r="A414" s="296"/>
      <c r="B414" s="34"/>
      <c r="C414" s="36">
        <v>10</v>
      </c>
      <c r="D414" s="36">
        <v>1</v>
      </c>
      <c r="E414" s="36">
        <v>3</v>
      </c>
      <c r="F414" s="36">
        <f>D414*E414</f>
        <v>3</v>
      </c>
      <c r="G414" s="36">
        <f>C414</f>
        <v>10</v>
      </c>
      <c r="H414" s="36"/>
      <c r="I414" s="36"/>
      <c r="J414" s="36"/>
      <c r="K414" s="36"/>
      <c r="L414" s="36"/>
      <c r="M414" s="36"/>
      <c r="N414" s="36"/>
      <c r="O414" s="300">
        <f>6.4*G414*F414</f>
        <v>192</v>
      </c>
    </row>
    <row r="415" spans="1:50" ht="20.100000000000001" hidden="1" customHeight="1" outlineLevel="2">
      <c r="A415" s="296"/>
      <c r="B415" s="34"/>
      <c r="C415" s="36">
        <v>10</v>
      </c>
      <c r="D415" s="36">
        <v>1</v>
      </c>
      <c r="E415" s="36">
        <v>1</v>
      </c>
      <c r="F415" s="36">
        <f t="shared" si="45"/>
        <v>1</v>
      </c>
      <c r="G415" s="36">
        <f t="shared" si="46"/>
        <v>10</v>
      </c>
      <c r="H415" s="36"/>
      <c r="I415" s="36"/>
      <c r="J415" s="36"/>
      <c r="K415" s="36"/>
      <c r="L415" s="36"/>
      <c r="M415" s="36"/>
      <c r="N415" s="36">
        <f>4*G415*F415</f>
        <v>40</v>
      </c>
      <c r="O415" s="300"/>
    </row>
    <row r="416" spans="1:50" ht="20.100000000000001" hidden="1" customHeight="1" outlineLevel="2">
      <c r="A416" s="296"/>
      <c r="B416" s="40"/>
      <c r="C416" s="36">
        <v>3.5</v>
      </c>
      <c r="D416" s="36">
        <v>1</v>
      </c>
      <c r="E416" s="36">
        <v>2</v>
      </c>
      <c r="F416" s="36">
        <f t="shared" si="45"/>
        <v>2</v>
      </c>
      <c r="G416" s="36">
        <f t="shared" si="46"/>
        <v>3.5</v>
      </c>
      <c r="H416" s="36"/>
      <c r="I416" s="36"/>
      <c r="J416" s="36">
        <f>1*G416*F416</f>
        <v>7</v>
      </c>
      <c r="K416" s="36"/>
      <c r="L416" s="36"/>
      <c r="M416" s="36"/>
      <c r="N416" s="36"/>
      <c r="O416" s="300"/>
    </row>
    <row r="417" spans="1:50" ht="20.100000000000001" hidden="1" customHeight="1" outlineLevel="2">
      <c r="A417" s="296"/>
      <c r="B417" s="34"/>
      <c r="C417" s="36">
        <v>12</v>
      </c>
      <c r="D417" s="36">
        <v>1</v>
      </c>
      <c r="E417" s="36">
        <v>8</v>
      </c>
      <c r="F417" s="36">
        <f t="shared" si="45"/>
        <v>8</v>
      </c>
      <c r="G417" s="36">
        <f t="shared" si="46"/>
        <v>12</v>
      </c>
      <c r="H417" s="36"/>
      <c r="I417" s="36"/>
      <c r="J417" s="36"/>
      <c r="K417" s="36"/>
      <c r="L417" s="36"/>
      <c r="M417" s="36"/>
      <c r="N417" s="36"/>
      <c r="O417" s="300">
        <f>6.4*G417*F417</f>
        <v>614.40000000000009</v>
      </c>
    </row>
    <row r="418" spans="1:50" ht="20.100000000000001" hidden="1" customHeight="1" outlineLevel="2">
      <c r="A418" s="296"/>
      <c r="B418" s="34"/>
      <c r="C418" s="36">
        <v>9</v>
      </c>
      <c r="D418" s="36">
        <v>1</v>
      </c>
      <c r="E418" s="36">
        <v>2</v>
      </c>
      <c r="F418" s="36">
        <f t="shared" si="45"/>
        <v>2</v>
      </c>
      <c r="G418" s="36">
        <f t="shared" si="46"/>
        <v>9</v>
      </c>
      <c r="H418" s="36"/>
      <c r="I418" s="36"/>
      <c r="J418" s="36"/>
      <c r="K418" s="36"/>
      <c r="L418" s="36"/>
      <c r="M418" s="36"/>
      <c r="N418" s="36"/>
      <c r="O418" s="300">
        <f t="shared" ref="O418:O430" si="47">6.4*G418*F418</f>
        <v>115.2</v>
      </c>
    </row>
    <row r="419" spans="1:50" ht="20.100000000000001" hidden="1" customHeight="1" outlineLevel="2">
      <c r="A419" s="296"/>
      <c r="B419" s="40"/>
      <c r="C419" s="36">
        <v>3</v>
      </c>
      <c r="D419" s="36">
        <v>1</v>
      </c>
      <c r="E419" s="36">
        <v>2</v>
      </c>
      <c r="F419" s="36">
        <f t="shared" si="45"/>
        <v>2</v>
      </c>
      <c r="G419" s="36">
        <f t="shared" si="46"/>
        <v>3</v>
      </c>
      <c r="H419" s="36"/>
      <c r="I419" s="36"/>
      <c r="J419" s="36"/>
      <c r="K419" s="36"/>
      <c r="L419" s="36"/>
      <c r="M419" s="36"/>
      <c r="N419" s="36">
        <f>G419*F419*4</f>
        <v>24</v>
      </c>
      <c r="O419" s="300"/>
    </row>
    <row r="420" spans="1:50" ht="20.100000000000001" hidden="1" customHeight="1" outlineLevel="2">
      <c r="A420" s="296"/>
      <c r="B420" s="40"/>
      <c r="C420" s="36">
        <v>6.4</v>
      </c>
      <c r="D420" s="36">
        <v>1</v>
      </c>
      <c r="E420" s="36">
        <v>2</v>
      </c>
      <c r="F420" s="36">
        <f t="shared" si="45"/>
        <v>2</v>
      </c>
      <c r="G420" s="36">
        <f t="shared" si="46"/>
        <v>6.4</v>
      </c>
      <c r="H420" s="36"/>
      <c r="I420" s="36"/>
      <c r="J420" s="36"/>
      <c r="K420" s="36"/>
      <c r="L420" s="36"/>
      <c r="M420" s="36"/>
      <c r="N420" s="36"/>
      <c r="O420" s="300">
        <f t="shared" si="47"/>
        <v>81.920000000000016</v>
      </c>
    </row>
    <row r="421" spans="1:50" ht="20.100000000000001" hidden="1" customHeight="1" outlineLevel="2">
      <c r="A421" s="296"/>
      <c r="B421" s="40"/>
      <c r="C421" s="36">
        <v>3.5</v>
      </c>
      <c r="D421" s="36">
        <v>1</v>
      </c>
      <c r="E421" s="36">
        <v>2</v>
      </c>
      <c r="F421" s="36">
        <f t="shared" si="45"/>
        <v>2</v>
      </c>
      <c r="G421" s="36">
        <f t="shared" si="46"/>
        <v>3.5</v>
      </c>
      <c r="H421" s="36"/>
      <c r="I421" s="36"/>
      <c r="J421" s="36"/>
      <c r="K421" s="36"/>
      <c r="L421" s="36"/>
      <c r="M421" s="36"/>
      <c r="N421" s="36"/>
      <c r="O421" s="300">
        <f t="shared" si="47"/>
        <v>44.800000000000004</v>
      </c>
    </row>
    <row r="422" spans="1:50" ht="44.25" hidden="1" customHeight="1" outlineLevel="2">
      <c r="A422" s="296"/>
      <c r="B422" s="52"/>
      <c r="C422" s="36">
        <f>(0.55*2)+(0.35*2)+(0.05*2)</f>
        <v>1.9000000000000001</v>
      </c>
      <c r="D422" s="123">
        <v>1</v>
      </c>
      <c r="E422" s="36">
        <f>42+35+30+9+23+3+9</f>
        <v>151</v>
      </c>
      <c r="F422" s="123">
        <f t="shared" si="45"/>
        <v>151</v>
      </c>
      <c r="G422" s="123">
        <f t="shared" si="46"/>
        <v>1.9000000000000001</v>
      </c>
      <c r="H422" s="36"/>
      <c r="I422" s="36"/>
      <c r="J422" s="36">
        <f>1*G422*F422</f>
        <v>286.90000000000003</v>
      </c>
      <c r="K422" s="36"/>
      <c r="L422" s="36"/>
      <c r="M422" s="36"/>
      <c r="N422" s="36"/>
      <c r="O422" s="300"/>
    </row>
    <row r="423" spans="1:50" ht="44.25" hidden="1" customHeight="1" outlineLevel="2">
      <c r="A423" s="296"/>
      <c r="B423" s="52"/>
      <c r="C423" s="36">
        <f>(0.55*2)+(0.35*2)+(0.05*2)</f>
        <v>1.9000000000000001</v>
      </c>
      <c r="D423" s="36">
        <v>1</v>
      </c>
      <c r="E423" s="36">
        <f>91+37+85+12</f>
        <v>225</v>
      </c>
      <c r="F423" s="36">
        <f t="shared" si="45"/>
        <v>225</v>
      </c>
      <c r="G423" s="123">
        <f t="shared" si="46"/>
        <v>1.9000000000000001</v>
      </c>
      <c r="H423" s="36"/>
      <c r="I423" s="36">
        <f>0.56*G423*F423</f>
        <v>239.40000000000006</v>
      </c>
      <c r="J423" s="36"/>
      <c r="K423" s="36"/>
      <c r="L423" s="36"/>
      <c r="M423" s="36"/>
      <c r="N423" s="36"/>
      <c r="O423" s="300"/>
    </row>
    <row r="424" spans="1:50" ht="20.100000000000001" hidden="1" customHeight="1" outlineLevel="2">
      <c r="A424" s="2129" t="s">
        <v>196</v>
      </c>
      <c r="B424" s="2130"/>
      <c r="C424" s="2130"/>
      <c r="D424" s="2130"/>
      <c r="E424" s="2130"/>
      <c r="F424" s="2130"/>
      <c r="G424" s="2130"/>
      <c r="H424" s="556">
        <f>SUM(H394:H423)</f>
        <v>0</v>
      </c>
      <c r="I424" s="556">
        <f t="shared" ref="I424:N424" si="48">SUM(I394:I423)</f>
        <v>239.40000000000006</v>
      </c>
      <c r="J424" s="556">
        <f t="shared" si="48"/>
        <v>293.90000000000003</v>
      </c>
      <c r="K424" s="556">
        <f t="shared" si="48"/>
        <v>20.925000000000001</v>
      </c>
      <c r="L424" s="556">
        <f t="shared" si="48"/>
        <v>80.640000000000015</v>
      </c>
      <c r="M424" s="556">
        <f t="shared" si="48"/>
        <v>42</v>
      </c>
      <c r="N424" s="556">
        <f t="shared" si="48"/>
        <v>526</v>
      </c>
      <c r="O424" s="557">
        <f>SUM(O394:O423)</f>
        <v>1918.7200000000003</v>
      </c>
    </row>
    <row r="425" spans="1:50" ht="20.100000000000001" hidden="1" customHeight="1" outlineLevel="2">
      <c r="A425" s="2186" t="s">
        <v>230</v>
      </c>
      <c r="B425" s="2187"/>
      <c r="C425" s="2187"/>
      <c r="D425" s="2187"/>
      <c r="E425" s="2187"/>
      <c r="F425" s="2187"/>
      <c r="G425" s="2187"/>
      <c r="H425" s="2188">
        <f>SUM(H424:O424)</f>
        <v>3121.585</v>
      </c>
      <c r="I425" s="2188"/>
      <c r="J425" s="2188"/>
      <c r="K425" s="2188"/>
      <c r="L425" s="2188"/>
      <c r="M425" s="2188"/>
      <c r="N425" s="2188"/>
      <c r="O425" s="2189"/>
    </row>
    <row r="426" spans="1:50" s="37" customFormat="1" ht="20.100000000000001" hidden="1" customHeight="1" outlineLevel="2">
      <c r="A426" s="2206"/>
      <c r="B426" s="2207"/>
      <c r="C426" s="2207"/>
      <c r="D426" s="2207"/>
      <c r="E426" s="2207"/>
      <c r="F426" s="2207"/>
      <c r="G426" s="2207"/>
      <c r="H426" s="2207"/>
      <c r="I426" s="2207"/>
      <c r="J426" s="2207"/>
      <c r="K426" s="2207"/>
      <c r="L426" s="2207"/>
      <c r="M426" s="2207"/>
      <c r="N426" s="2207"/>
      <c r="O426" s="2208"/>
      <c r="P426" s="82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0.100000000000001" hidden="1" customHeight="1" outlineLevel="2">
      <c r="A427" s="304" t="s">
        <v>137</v>
      </c>
      <c r="B427" s="33"/>
      <c r="C427" s="34">
        <v>7</v>
      </c>
      <c r="D427" s="34">
        <v>1</v>
      </c>
      <c r="E427" s="34">
        <v>2</v>
      </c>
      <c r="F427" s="34">
        <f t="shared" si="45"/>
        <v>2</v>
      </c>
      <c r="G427" s="34">
        <f t="shared" si="46"/>
        <v>7</v>
      </c>
      <c r="H427" s="34"/>
      <c r="I427" s="34"/>
      <c r="J427" s="34"/>
      <c r="K427" s="34"/>
      <c r="L427" s="34"/>
      <c r="M427" s="34"/>
      <c r="N427" s="34"/>
      <c r="O427" s="295">
        <f t="shared" si="47"/>
        <v>89.600000000000009</v>
      </c>
    </row>
    <row r="428" spans="1:50" ht="20.100000000000001" hidden="1" customHeight="1" outlineLevel="2">
      <c r="A428" s="306"/>
      <c r="B428" s="33"/>
      <c r="C428" s="34">
        <v>7</v>
      </c>
      <c r="D428" s="34">
        <v>1</v>
      </c>
      <c r="E428" s="34">
        <v>1</v>
      </c>
      <c r="F428" s="34">
        <f t="shared" si="45"/>
        <v>1</v>
      </c>
      <c r="G428" s="34">
        <f t="shared" si="46"/>
        <v>7</v>
      </c>
      <c r="H428" s="34"/>
      <c r="I428" s="34"/>
      <c r="J428" s="34"/>
      <c r="K428" s="34"/>
      <c r="L428" s="34"/>
      <c r="M428" s="34"/>
      <c r="N428" s="34">
        <f>4*G428*F428</f>
        <v>28</v>
      </c>
      <c r="O428" s="295"/>
    </row>
    <row r="429" spans="1:50" ht="20.100000000000001" hidden="1" customHeight="1" outlineLevel="2">
      <c r="A429" s="306"/>
      <c r="B429" s="36"/>
      <c r="C429" s="36">
        <v>4.5</v>
      </c>
      <c r="D429" s="36">
        <v>1</v>
      </c>
      <c r="E429" s="36">
        <v>11</v>
      </c>
      <c r="F429" s="36">
        <f t="shared" si="45"/>
        <v>11</v>
      </c>
      <c r="G429" s="36">
        <f t="shared" si="46"/>
        <v>4.5</v>
      </c>
      <c r="H429" s="36"/>
      <c r="I429" s="36"/>
      <c r="J429" s="36"/>
      <c r="K429" s="36"/>
      <c r="L429" s="36"/>
      <c r="M429" s="36"/>
      <c r="N429" s="36"/>
      <c r="O429" s="300">
        <f t="shared" si="47"/>
        <v>316.8</v>
      </c>
    </row>
    <row r="430" spans="1:50" ht="20.100000000000001" hidden="1" customHeight="1" outlineLevel="2">
      <c r="A430" s="306"/>
      <c r="B430" s="49"/>
      <c r="C430" s="36">
        <v>3</v>
      </c>
      <c r="D430" s="36">
        <v>1</v>
      </c>
      <c r="E430" s="36">
        <v>2</v>
      </c>
      <c r="F430" s="36">
        <f t="shared" si="45"/>
        <v>2</v>
      </c>
      <c r="G430" s="36">
        <f t="shared" si="46"/>
        <v>3</v>
      </c>
      <c r="H430" s="36"/>
      <c r="I430" s="36"/>
      <c r="J430" s="36"/>
      <c r="K430" s="36"/>
      <c r="L430" s="36"/>
      <c r="M430" s="36"/>
      <c r="N430" s="36"/>
      <c r="O430" s="300">
        <f t="shared" si="47"/>
        <v>38.400000000000006</v>
      </c>
    </row>
    <row r="431" spans="1:50" ht="20.100000000000001" hidden="1" customHeight="1" outlineLevel="2">
      <c r="A431" s="306"/>
      <c r="B431" s="36"/>
      <c r="C431" s="36">
        <v>5</v>
      </c>
      <c r="D431" s="36">
        <v>1</v>
      </c>
      <c r="E431" s="36">
        <v>1</v>
      </c>
      <c r="F431" s="36">
        <f t="shared" si="45"/>
        <v>1</v>
      </c>
      <c r="G431" s="36">
        <f t="shared" si="46"/>
        <v>5</v>
      </c>
      <c r="H431" s="36"/>
      <c r="I431" s="36"/>
      <c r="J431" s="36"/>
      <c r="K431" s="36"/>
      <c r="L431" s="36"/>
      <c r="M431" s="36">
        <f>3*G431*F431</f>
        <v>15</v>
      </c>
      <c r="N431" s="36"/>
      <c r="O431" s="300"/>
    </row>
    <row r="432" spans="1:50" ht="20.100000000000001" hidden="1" customHeight="1" outlineLevel="2">
      <c r="A432" s="306"/>
      <c r="B432" s="36"/>
      <c r="C432" s="36">
        <v>5</v>
      </c>
      <c r="D432" s="36">
        <v>1</v>
      </c>
      <c r="E432" s="36">
        <v>2</v>
      </c>
      <c r="F432" s="36">
        <f t="shared" si="45"/>
        <v>2</v>
      </c>
      <c r="G432" s="36">
        <f t="shared" si="46"/>
        <v>5</v>
      </c>
      <c r="H432" s="36"/>
      <c r="I432" s="36"/>
      <c r="J432" s="36"/>
      <c r="K432" s="36"/>
      <c r="L432" s="36">
        <f>2.24*G432*F432</f>
        <v>22.400000000000002</v>
      </c>
      <c r="M432" s="36"/>
      <c r="N432" s="36"/>
      <c r="O432" s="300"/>
    </row>
    <row r="433" spans="1:15" ht="20.100000000000001" hidden="1" customHeight="1" outlineLevel="2">
      <c r="A433" s="306"/>
      <c r="B433" s="36"/>
      <c r="C433" s="36">
        <v>8</v>
      </c>
      <c r="D433" s="36">
        <v>1</v>
      </c>
      <c r="E433" s="36">
        <v>1</v>
      </c>
      <c r="F433" s="36">
        <f t="shared" si="45"/>
        <v>1</v>
      </c>
      <c r="G433" s="36">
        <f t="shared" si="46"/>
        <v>8</v>
      </c>
      <c r="H433" s="36"/>
      <c r="I433" s="36"/>
      <c r="J433" s="36"/>
      <c r="K433" s="36"/>
      <c r="L433" s="36"/>
      <c r="M433" s="36"/>
      <c r="N433" s="36"/>
      <c r="O433" s="300">
        <f>6.4*G433*F433</f>
        <v>51.2</v>
      </c>
    </row>
    <row r="434" spans="1:15" ht="20.100000000000001" hidden="1" customHeight="1" outlineLevel="2">
      <c r="A434" s="306"/>
      <c r="B434" s="36"/>
      <c r="C434" s="36">
        <v>8</v>
      </c>
      <c r="D434" s="36">
        <v>1</v>
      </c>
      <c r="E434" s="36">
        <v>2</v>
      </c>
      <c r="F434" s="36">
        <f t="shared" si="45"/>
        <v>2</v>
      </c>
      <c r="G434" s="36">
        <f t="shared" si="46"/>
        <v>8</v>
      </c>
      <c r="H434" s="36"/>
      <c r="I434" s="36"/>
      <c r="J434" s="36"/>
      <c r="K434" s="36"/>
      <c r="L434" s="36"/>
      <c r="M434" s="36"/>
      <c r="N434" s="36">
        <f>4*G434*F434</f>
        <v>64</v>
      </c>
      <c r="O434" s="300"/>
    </row>
    <row r="435" spans="1:15" ht="20.100000000000001" hidden="1" customHeight="1" outlineLevel="2">
      <c r="A435" s="306"/>
      <c r="B435" s="36"/>
      <c r="C435" s="36">
        <v>4</v>
      </c>
      <c r="D435" s="36">
        <v>1</v>
      </c>
      <c r="E435" s="36">
        <v>4</v>
      </c>
      <c r="F435" s="36">
        <f t="shared" si="45"/>
        <v>4</v>
      </c>
      <c r="G435" s="36">
        <f t="shared" si="46"/>
        <v>4</v>
      </c>
      <c r="H435" s="36"/>
      <c r="I435" s="36"/>
      <c r="J435" s="36"/>
      <c r="K435" s="36"/>
      <c r="L435" s="36">
        <f>2.24*G435*F435</f>
        <v>35.840000000000003</v>
      </c>
      <c r="M435" s="36"/>
      <c r="N435" s="36"/>
      <c r="O435" s="300"/>
    </row>
    <row r="436" spans="1:15" ht="20.100000000000001" hidden="1" customHeight="1" outlineLevel="2">
      <c r="A436" s="306"/>
      <c r="B436" s="36"/>
      <c r="C436" s="36">
        <v>4</v>
      </c>
      <c r="D436" s="36">
        <v>1</v>
      </c>
      <c r="E436" s="36">
        <v>2</v>
      </c>
      <c r="F436" s="36">
        <f t="shared" si="45"/>
        <v>2</v>
      </c>
      <c r="G436" s="36">
        <f t="shared" si="46"/>
        <v>4</v>
      </c>
      <c r="H436" s="36"/>
      <c r="I436" s="36"/>
      <c r="J436" s="36"/>
      <c r="K436" s="36">
        <f>1.55*G436*F436</f>
        <v>12.4</v>
      </c>
      <c r="L436" s="36"/>
      <c r="M436" s="36"/>
      <c r="N436" s="36"/>
      <c r="O436" s="300"/>
    </row>
    <row r="437" spans="1:15" ht="20.100000000000001" hidden="1" customHeight="1" outlineLevel="2">
      <c r="A437" s="306"/>
      <c r="B437" s="36"/>
      <c r="C437" s="36">
        <v>7.5</v>
      </c>
      <c r="D437" s="36">
        <v>1</v>
      </c>
      <c r="E437" s="36">
        <v>3</v>
      </c>
      <c r="F437" s="36">
        <f t="shared" si="45"/>
        <v>3</v>
      </c>
      <c r="G437" s="36">
        <f t="shared" si="46"/>
        <v>7.5</v>
      </c>
      <c r="H437" s="36"/>
      <c r="I437" s="36"/>
      <c r="J437" s="36"/>
      <c r="K437" s="36"/>
      <c r="L437" s="36"/>
      <c r="M437" s="36"/>
      <c r="N437" s="36"/>
      <c r="O437" s="300">
        <f>6.4*G437*F437</f>
        <v>144</v>
      </c>
    </row>
    <row r="438" spans="1:15" ht="20.100000000000001" hidden="1" customHeight="1" outlineLevel="2">
      <c r="A438" s="306"/>
      <c r="B438" s="36"/>
      <c r="C438" s="36">
        <v>7.5</v>
      </c>
      <c r="D438" s="36">
        <v>3</v>
      </c>
      <c r="E438" s="36">
        <v>2</v>
      </c>
      <c r="F438" s="36">
        <f t="shared" si="45"/>
        <v>6</v>
      </c>
      <c r="G438" s="36">
        <f t="shared" si="46"/>
        <v>7.5</v>
      </c>
      <c r="H438" s="36"/>
      <c r="I438" s="36"/>
      <c r="J438" s="36"/>
      <c r="K438" s="36"/>
      <c r="L438" s="36"/>
      <c r="M438" s="36"/>
      <c r="N438" s="36">
        <f>4*G438*F438</f>
        <v>180</v>
      </c>
      <c r="O438" s="300"/>
    </row>
    <row r="439" spans="1:15" ht="20.100000000000001" hidden="1" customHeight="1" outlineLevel="2">
      <c r="A439" s="296"/>
      <c r="B439" s="34"/>
      <c r="C439" s="34">
        <v>4.5</v>
      </c>
      <c r="D439" s="34">
        <v>1</v>
      </c>
      <c r="E439" s="34">
        <v>2</v>
      </c>
      <c r="F439" s="34">
        <f t="shared" si="45"/>
        <v>2</v>
      </c>
      <c r="G439" s="34">
        <f t="shared" si="46"/>
        <v>4.5</v>
      </c>
      <c r="H439" s="34"/>
      <c r="I439" s="34"/>
      <c r="J439" s="34"/>
      <c r="K439" s="34"/>
      <c r="L439" s="34">
        <f>2.24*G439*F439</f>
        <v>20.160000000000004</v>
      </c>
      <c r="M439" s="34"/>
      <c r="N439" s="34"/>
      <c r="O439" s="295"/>
    </row>
    <row r="440" spans="1:15" ht="20.100000000000001" hidden="1" customHeight="1" outlineLevel="2">
      <c r="A440" s="296"/>
      <c r="B440" s="34"/>
      <c r="C440" s="34">
        <v>4.5</v>
      </c>
      <c r="D440" s="34">
        <v>1</v>
      </c>
      <c r="E440" s="34">
        <v>1</v>
      </c>
      <c r="F440" s="34">
        <f t="shared" si="45"/>
        <v>1</v>
      </c>
      <c r="G440" s="34">
        <f t="shared" si="46"/>
        <v>4.5</v>
      </c>
      <c r="H440" s="34"/>
      <c r="I440" s="34"/>
      <c r="J440" s="34"/>
      <c r="K440" s="34">
        <f>1.55*G440*F440</f>
        <v>6.9750000000000005</v>
      </c>
      <c r="L440" s="34"/>
      <c r="M440" s="34"/>
      <c r="N440" s="34"/>
      <c r="O440" s="295"/>
    </row>
    <row r="441" spans="1:15" ht="20.100000000000001" hidden="1" customHeight="1" outlineLevel="2">
      <c r="A441" s="296"/>
      <c r="B441" s="34"/>
      <c r="C441" s="34">
        <v>4.7</v>
      </c>
      <c r="D441" s="34">
        <v>1</v>
      </c>
      <c r="E441" s="34">
        <v>4</v>
      </c>
      <c r="F441" s="34">
        <f t="shared" si="45"/>
        <v>4</v>
      </c>
      <c r="G441" s="34">
        <f t="shared" si="46"/>
        <v>4.7</v>
      </c>
      <c r="H441" s="34"/>
      <c r="I441" s="34"/>
      <c r="J441" s="34"/>
      <c r="K441" s="34"/>
      <c r="L441" s="34"/>
      <c r="M441" s="34"/>
      <c r="N441" s="34"/>
      <c r="O441" s="295">
        <f>6.4*G441*F441</f>
        <v>120.32000000000001</v>
      </c>
    </row>
    <row r="442" spans="1:15" ht="20.100000000000001" hidden="1" customHeight="1" outlineLevel="2">
      <c r="A442" s="296"/>
      <c r="B442" s="34"/>
      <c r="C442" s="34">
        <v>2</v>
      </c>
      <c r="D442" s="34">
        <v>1</v>
      </c>
      <c r="E442" s="34">
        <v>3</v>
      </c>
      <c r="F442" s="34">
        <f t="shared" si="45"/>
        <v>3</v>
      </c>
      <c r="G442" s="34">
        <f t="shared" si="46"/>
        <v>2</v>
      </c>
      <c r="H442" s="34"/>
      <c r="I442" s="34"/>
      <c r="J442" s="34"/>
      <c r="K442" s="34"/>
      <c r="L442" s="34"/>
      <c r="M442" s="34">
        <f>3*G442*F442</f>
        <v>18</v>
      </c>
      <c r="N442" s="34"/>
      <c r="O442" s="295"/>
    </row>
    <row r="443" spans="1:15" ht="20.100000000000001" hidden="1" customHeight="1" outlineLevel="2">
      <c r="A443" s="296"/>
      <c r="B443" s="37"/>
      <c r="C443" s="34">
        <v>3</v>
      </c>
      <c r="D443" s="34">
        <v>1</v>
      </c>
      <c r="E443" s="34">
        <v>3</v>
      </c>
      <c r="F443" s="34">
        <f t="shared" si="45"/>
        <v>3</v>
      </c>
      <c r="G443" s="34">
        <f t="shared" si="46"/>
        <v>3</v>
      </c>
      <c r="H443" s="34"/>
      <c r="I443" s="34"/>
      <c r="J443" s="34"/>
      <c r="K443" s="34"/>
      <c r="L443" s="34"/>
      <c r="M443" s="34"/>
      <c r="N443" s="34"/>
      <c r="O443" s="295">
        <f>6.4*G443*F443</f>
        <v>57.600000000000009</v>
      </c>
    </row>
    <row r="444" spans="1:15" ht="20.100000000000001" hidden="1" customHeight="1" outlineLevel="2">
      <c r="A444" s="296"/>
      <c r="B444" s="37"/>
      <c r="C444" s="34">
        <v>4</v>
      </c>
      <c r="D444" s="34">
        <v>1</v>
      </c>
      <c r="E444" s="34">
        <v>3</v>
      </c>
      <c r="F444" s="34">
        <f t="shared" si="45"/>
        <v>3</v>
      </c>
      <c r="G444" s="34">
        <f t="shared" si="46"/>
        <v>4</v>
      </c>
      <c r="H444" s="34"/>
      <c r="I444" s="34"/>
      <c r="J444" s="34"/>
      <c r="K444" s="34"/>
      <c r="L444" s="34"/>
      <c r="M444" s="34"/>
      <c r="N444" s="34"/>
      <c r="O444" s="295">
        <f>6.4*G444*F444</f>
        <v>76.800000000000011</v>
      </c>
    </row>
    <row r="445" spans="1:15" ht="20.100000000000001" hidden="1" customHeight="1" outlineLevel="2">
      <c r="A445" s="296"/>
      <c r="B445" s="40"/>
      <c r="C445" s="34">
        <v>3.4</v>
      </c>
      <c r="D445" s="34">
        <v>1</v>
      </c>
      <c r="E445" s="34">
        <v>3</v>
      </c>
      <c r="F445" s="34">
        <f t="shared" si="45"/>
        <v>3</v>
      </c>
      <c r="G445" s="34">
        <f t="shared" si="46"/>
        <v>3.4</v>
      </c>
      <c r="H445" s="34"/>
      <c r="I445" s="34"/>
      <c r="J445" s="34"/>
      <c r="K445" s="34">
        <f>1.55*G445*F445</f>
        <v>15.809999999999999</v>
      </c>
      <c r="L445" s="34"/>
      <c r="M445" s="34"/>
      <c r="N445" s="34"/>
      <c r="O445" s="295"/>
    </row>
    <row r="446" spans="1:15" ht="20.100000000000001" hidden="1" customHeight="1" outlineLevel="2">
      <c r="A446" s="296"/>
      <c r="B446" s="40"/>
      <c r="C446" s="34">
        <v>4</v>
      </c>
      <c r="D446" s="34">
        <v>1</v>
      </c>
      <c r="E446" s="34">
        <v>1</v>
      </c>
      <c r="F446" s="34">
        <f t="shared" si="45"/>
        <v>1</v>
      </c>
      <c r="G446" s="34">
        <f t="shared" si="46"/>
        <v>4</v>
      </c>
      <c r="H446" s="34"/>
      <c r="I446" s="34"/>
      <c r="J446" s="34"/>
      <c r="K446" s="34"/>
      <c r="L446" s="34"/>
      <c r="M446" s="34"/>
      <c r="N446" s="34"/>
      <c r="O446" s="295">
        <f>6.4*G446*F446</f>
        <v>25.6</v>
      </c>
    </row>
    <row r="447" spans="1:15" ht="20.100000000000001" hidden="1" customHeight="1" outlineLevel="2">
      <c r="A447" s="296"/>
      <c r="B447" s="40"/>
      <c r="C447" s="34">
        <v>4</v>
      </c>
      <c r="D447" s="34">
        <v>1</v>
      </c>
      <c r="E447" s="34">
        <v>1</v>
      </c>
      <c r="F447" s="34">
        <f t="shared" si="45"/>
        <v>1</v>
      </c>
      <c r="G447" s="34">
        <f t="shared" si="46"/>
        <v>4</v>
      </c>
      <c r="H447" s="34"/>
      <c r="I447" s="34"/>
      <c r="J447" s="34"/>
      <c r="K447" s="34"/>
      <c r="L447" s="34"/>
      <c r="M447" s="34"/>
      <c r="N447" s="34">
        <f>4*G447*F447</f>
        <v>16</v>
      </c>
      <c r="O447" s="295"/>
    </row>
    <row r="448" spans="1:15" ht="20.100000000000001" hidden="1" customHeight="1" outlineLevel="2">
      <c r="A448" s="296"/>
      <c r="B448" s="40"/>
      <c r="C448" s="34">
        <v>8.4</v>
      </c>
      <c r="D448" s="34">
        <v>1</v>
      </c>
      <c r="E448" s="34">
        <v>1</v>
      </c>
      <c r="F448" s="34">
        <f t="shared" si="45"/>
        <v>1</v>
      </c>
      <c r="G448" s="34">
        <f t="shared" si="46"/>
        <v>8.4</v>
      </c>
      <c r="H448" s="34"/>
      <c r="I448" s="34"/>
      <c r="J448" s="34"/>
      <c r="K448" s="34"/>
      <c r="L448" s="34"/>
      <c r="M448" s="34"/>
      <c r="N448" s="34"/>
      <c r="O448" s="295">
        <f>6.4*G448*F448</f>
        <v>53.760000000000005</v>
      </c>
    </row>
    <row r="449" spans="1:50" ht="20.100000000000001" hidden="1" customHeight="1" outlineLevel="2">
      <c r="A449" s="296"/>
      <c r="B449" s="40"/>
      <c r="C449" s="34">
        <v>8.4</v>
      </c>
      <c r="D449" s="34">
        <v>1</v>
      </c>
      <c r="E449" s="34">
        <v>1</v>
      </c>
      <c r="F449" s="34">
        <f t="shared" si="45"/>
        <v>1</v>
      </c>
      <c r="G449" s="34">
        <f t="shared" si="46"/>
        <v>8.4</v>
      </c>
      <c r="H449" s="34"/>
      <c r="I449" s="34"/>
      <c r="J449" s="34"/>
      <c r="K449" s="34"/>
      <c r="L449" s="34"/>
      <c r="M449" s="34"/>
      <c r="N449" s="34">
        <f>4*G449*F449</f>
        <v>33.6</v>
      </c>
      <c r="O449" s="295"/>
    </row>
    <row r="450" spans="1:50" ht="20.100000000000001" hidden="1" customHeight="1" outlineLevel="2">
      <c r="A450" s="296"/>
      <c r="B450" s="34"/>
      <c r="C450" s="34">
        <v>12</v>
      </c>
      <c r="D450" s="34">
        <v>1</v>
      </c>
      <c r="E450" s="34">
        <v>11</v>
      </c>
      <c r="F450" s="34">
        <f t="shared" si="45"/>
        <v>11</v>
      </c>
      <c r="G450" s="34">
        <f t="shared" si="46"/>
        <v>12</v>
      </c>
      <c r="H450" s="34"/>
      <c r="I450" s="34"/>
      <c r="J450" s="34"/>
      <c r="K450" s="34"/>
      <c r="L450" s="34"/>
      <c r="M450" s="34"/>
      <c r="N450" s="34"/>
      <c r="O450" s="295">
        <f>6.4*G450*F450</f>
        <v>844.80000000000018</v>
      </c>
    </row>
    <row r="451" spans="1:50" ht="20.100000000000001" hidden="1" customHeight="1" outlineLevel="2">
      <c r="A451" s="306"/>
      <c r="B451" s="36"/>
      <c r="C451" s="36">
        <v>12</v>
      </c>
      <c r="D451" s="36">
        <v>1</v>
      </c>
      <c r="E451" s="36">
        <v>3</v>
      </c>
      <c r="F451" s="36">
        <f t="shared" si="45"/>
        <v>3</v>
      </c>
      <c r="G451" s="36">
        <f t="shared" si="46"/>
        <v>12</v>
      </c>
      <c r="H451" s="36"/>
      <c r="I451" s="36"/>
      <c r="J451" s="36"/>
      <c r="K451" s="36"/>
      <c r="L451" s="36"/>
      <c r="M451" s="36"/>
      <c r="N451" s="36">
        <f>4*G451*F451</f>
        <v>144</v>
      </c>
      <c r="O451" s="300"/>
    </row>
    <row r="452" spans="1:50" ht="20.100000000000001" hidden="1" customHeight="1" outlineLevel="2">
      <c r="A452" s="296"/>
      <c r="B452" s="34"/>
      <c r="C452" s="34">
        <v>6</v>
      </c>
      <c r="D452" s="34">
        <v>1</v>
      </c>
      <c r="E452" s="34">
        <v>2</v>
      </c>
      <c r="F452" s="34">
        <f t="shared" si="45"/>
        <v>2</v>
      </c>
      <c r="G452" s="34">
        <f t="shared" si="46"/>
        <v>6</v>
      </c>
      <c r="H452" s="34"/>
      <c r="I452" s="34"/>
      <c r="J452" s="34"/>
      <c r="K452" s="34"/>
      <c r="L452" s="34"/>
      <c r="M452" s="34"/>
      <c r="N452" s="34">
        <f>4*G452*F452</f>
        <v>48</v>
      </c>
      <c r="O452" s="295"/>
    </row>
    <row r="453" spans="1:50" ht="20.100000000000001" hidden="1" customHeight="1" outlineLevel="2">
      <c r="A453" s="296"/>
      <c r="B453" s="34"/>
      <c r="C453" s="34">
        <v>6</v>
      </c>
      <c r="D453" s="34">
        <v>1</v>
      </c>
      <c r="E453" s="34">
        <v>1</v>
      </c>
      <c r="F453" s="34">
        <f t="shared" si="45"/>
        <v>1</v>
      </c>
      <c r="G453" s="34">
        <f t="shared" si="46"/>
        <v>6</v>
      </c>
      <c r="H453" s="34"/>
      <c r="I453" s="34"/>
      <c r="J453" s="34"/>
      <c r="K453" s="34"/>
      <c r="L453" s="34"/>
      <c r="M453" s="34">
        <f>3*G453*F453</f>
        <v>18</v>
      </c>
      <c r="N453" s="34"/>
      <c r="O453" s="295"/>
    </row>
    <row r="454" spans="1:50" ht="20.100000000000001" hidden="1" customHeight="1" outlineLevel="2">
      <c r="A454" s="296"/>
      <c r="B454" s="40"/>
      <c r="C454" s="34">
        <v>3.5</v>
      </c>
      <c r="D454" s="34">
        <v>1</v>
      </c>
      <c r="E454" s="34">
        <v>2</v>
      </c>
      <c r="F454" s="34">
        <f t="shared" si="45"/>
        <v>2</v>
      </c>
      <c r="G454" s="34">
        <f t="shared" si="46"/>
        <v>3.5</v>
      </c>
      <c r="H454" s="34"/>
      <c r="I454" s="34"/>
      <c r="J454" s="34">
        <f>1*G454*F454</f>
        <v>7</v>
      </c>
      <c r="K454" s="34"/>
      <c r="L454" s="34"/>
      <c r="M454" s="34"/>
      <c r="N454" s="34"/>
      <c r="O454" s="295"/>
    </row>
    <row r="455" spans="1:50" ht="20.100000000000001" hidden="1" customHeight="1" outlineLevel="2">
      <c r="A455" s="296"/>
      <c r="B455" s="34"/>
      <c r="C455" s="34">
        <v>9</v>
      </c>
      <c r="D455" s="34">
        <v>1</v>
      </c>
      <c r="E455" s="34">
        <v>1</v>
      </c>
      <c r="F455" s="34">
        <f>D455*E455</f>
        <v>1</v>
      </c>
      <c r="G455" s="34">
        <f>C455</f>
        <v>9</v>
      </c>
      <c r="H455" s="34"/>
      <c r="I455" s="34"/>
      <c r="J455" s="34"/>
      <c r="K455" s="34"/>
      <c r="L455" s="34"/>
      <c r="M455" s="34"/>
      <c r="N455" s="34"/>
      <c r="O455" s="295">
        <f t="shared" ref="O455:O460" si="49">6.4*G455*F455</f>
        <v>57.6</v>
      </c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</row>
    <row r="456" spans="1:50" ht="20.100000000000001" hidden="1" customHeight="1" outlineLevel="2">
      <c r="A456" s="296"/>
      <c r="B456" s="34"/>
      <c r="C456" s="34">
        <v>9</v>
      </c>
      <c r="D456" s="34">
        <v>1</v>
      </c>
      <c r="E456" s="34">
        <v>1</v>
      </c>
      <c r="F456" s="34">
        <f>D456*E456</f>
        <v>1</v>
      </c>
      <c r="G456" s="34">
        <f>C456</f>
        <v>9</v>
      </c>
      <c r="H456" s="34"/>
      <c r="I456" s="34"/>
      <c r="J456" s="34"/>
      <c r="K456" s="34"/>
      <c r="L456" s="34"/>
      <c r="M456" s="34"/>
      <c r="N456" s="34">
        <f>4*G456*F456</f>
        <v>36</v>
      </c>
      <c r="O456" s="295"/>
    </row>
    <row r="457" spans="1:50" ht="20.100000000000001" hidden="1" customHeight="1" outlineLevel="2">
      <c r="A457" s="296"/>
      <c r="B457" s="34"/>
      <c r="C457" s="34">
        <v>6</v>
      </c>
      <c r="D457" s="34">
        <v>1</v>
      </c>
      <c r="E457" s="34">
        <v>3</v>
      </c>
      <c r="F457" s="34">
        <f t="shared" si="45"/>
        <v>3</v>
      </c>
      <c r="G457" s="34">
        <f t="shared" si="46"/>
        <v>6</v>
      </c>
      <c r="H457" s="34"/>
      <c r="I457" s="34"/>
      <c r="J457" s="34"/>
      <c r="K457" s="34"/>
      <c r="L457" s="34"/>
      <c r="M457" s="34"/>
      <c r="N457" s="34"/>
      <c r="O457" s="295">
        <f t="shared" si="49"/>
        <v>115.20000000000002</v>
      </c>
    </row>
    <row r="458" spans="1:50" ht="20.100000000000001" hidden="1" customHeight="1" outlineLevel="2">
      <c r="A458" s="296"/>
      <c r="B458" s="40"/>
      <c r="C458" s="34">
        <v>4.9000000000000004</v>
      </c>
      <c r="D458" s="34">
        <v>1</v>
      </c>
      <c r="E458" s="34">
        <v>1</v>
      </c>
      <c r="F458" s="34">
        <f t="shared" si="45"/>
        <v>1</v>
      </c>
      <c r="G458" s="34">
        <f t="shared" si="46"/>
        <v>4.9000000000000004</v>
      </c>
      <c r="H458" s="34"/>
      <c r="I458" s="34"/>
      <c r="J458" s="34"/>
      <c r="K458" s="34"/>
      <c r="L458" s="34"/>
      <c r="M458" s="34"/>
      <c r="N458" s="34"/>
      <c r="O458" s="295">
        <f t="shared" si="49"/>
        <v>31.360000000000003</v>
      </c>
    </row>
    <row r="459" spans="1:50" ht="20.100000000000001" hidden="1" customHeight="1" outlineLevel="2">
      <c r="A459" s="296"/>
      <c r="B459" s="40"/>
      <c r="C459" s="34">
        <v>4.9000000000000004</v>
      </c>
      <c r="D459" s="34">
        <v>1</v>
      </c>
      <c r="E459" s="34">
        <v>1</v>
      </c>
      <c r="F459" s="34">
        <f t="shared" si="45"/>
        <v>1</v>
      </c>
      <c r="G459" s="34">
        <f t="shared" si="46"/>
        <v>4.9000000000000004</v>
      </c>
      <c r="H459" s="34"/>
      <c r="I459" s="34"/>
      <c r="J459" s="34"/>
      <c r="K459" s="34"/>
      <c r="L459" s="34"/>
      <c r="M459" s="34"/>
      <c r="N459" s="34">
        <f>4*G459*F459</f>
        <v>19.600000000000001</v>
      </c>
      <c r="O459" s="295"/>
      <c r="P459" s="3"/>
    </row>
    <row r="460" spans="1:50" ht="20.100000000000001" hidden="1" customHeight="1" outlineLevel="2">
      <c r="A460" s="296"/>
      <c r="B460" s="40"/>
      <c r="C460" s="34">
        <v>3.5</v>
      </c>
      <c r="D460" s="34">
        <v>1</v>
      </c>
      <c r="E460" s="34">
        <v>4</v>
      </c>
      <c r="F460" s="34">
        <f t="shared" si="45"/>
        <v>4</v>
      </c>
      <c r="G460" s="34">
        <f t="shared" si="46"/>
        <v>3.5</v>
      </c>
      <c r="H460" s="34"/>
      <c r="I460" s="34"/>
      <c r="J460" s="34"/>
      <c r="K460" s="34"/>
      <c r="L460" s="34"/>
      <c r="M460" s="34"/>
      <c r="N460" s="34"/>
      <c r="O460" s="295">
        <f t="shared" si="49"/>
        <v>89.600000000000009</v>
      </c>
    </row>
    <row r="461" spans="1:50" ht="20.100000000000001" hidden="1" customHeight="1" outlineLevel="2">
      <c r="A461" s="296"/>
      <c r="B461" s="40"/>
      <c r="C461" s="34">
        <v>3.5</v>
      </c>
      <c r="D461" s="34">
        <v>1</v>
      </c>
      <c r="E461" s="34">
        <v>1</v>
      </c>
      <c r="F461" s="34">
        <f t="shared" si="45"/>
        <v>1</v>
      </c>
      <c r="G461" s="34">
        <f t="shared" si="46"/>
        <v>3.5</v>
      </c>
      <c r="H461" s="34"/>
      <c r="I461" s="34"/>
      <c r="J461" s="34"/>
      <c r="K461" s="34"/>
      <c r="L461" s="34"/>
      <c r="M461" s="34"/>
      <c r="N461" s="34">
        <f>4*G461*F461</f>
        <v>14</v>
      </c>
      <c r="O461" s="295"/>
    </row>
    <row r="462" spans="1:50" ht="42" hidden="1" customHeight="1" outlineLevel="2">
      <c r="A462" s="291"/>
      <c r="B462" s="52"/>
      <c r="C462" s="51">
        <f>(0.55*2)+(0.35*2)+(0.05*2)</f>
        <v>1.9000000000000001</v>
      </c>
      <c r="D462" s="51">
        <v>1</v>
      </c>
      <c r="E462" s="51">
        <f>9+4+48+44+37+43</f>
        <v>185</v>
      </c>
      <c r="F462" s="51">
        <f t="shared" ref="F462:F467" si="50">D462*E462</f>
        <v>185</v>
      </c>
      <c r="G462" s="34">
        <f t="shared" ref="G462:G467" si="51">C462</f>
        <v>1.9000000000000001</v>
      </c>
      <c r="H462" s="51"/>
      <c r="I462" s="51">
        <f>0.56*G462*F462</f>
        <v>196.84000000000006</v>
      </c>
      <c r="J462" s="34"/>
      <c r="K462" s="51"/>
      <c r="L462" s="51"/>
      <c r="M462" s="51"/>
      <c r="N462" s="51"/>
      <c r="O462" s="290"/>
    </row>
    <row r="463" spans="1:50" ht="45" hidden="1" customHeight="1" outlineLevel="2">
      <c r="A463" s="291"/>
      <c r="B463" s="52"/>
      <c r="C463" s="51">
        <f>(0.55*2)+(0.45*2)+(0.05*2)</f>
        <v>2.1</v>
      </c>
      <c r="D463" s="51">
        <v>1</v>
      </c>
      <c r="E463" s="51">
        <v>32</v>
      </c>
      <c r="F463" s="51">
        <f t="shared" si="50"/>
        <v>32</v>
      </c>
      <c r="G463" s="34">
        <f t="shared" si="51"/>
        <v>2.1</v>
      </c>
      <c r="H463" s="51"/>
      <c r="I463" s="51"/>
      <c r="J463" s="34"/>
      <c r="K463" s="51">
        <f>1.55*G463*F463</f>
        <v>104.16000000000001</v>
      </c>
      <c r="L463" s="51"/>
      <c r="M463" s="51"/>
      <c r="N463" s="51"/>
      <c r="O463" s="290"/>
    </row>
    <row r="464" spans="1:50" ht="46.5" hidden="1" customHeight="1" outlineLevel="2">
      <c r="A464" s="291"/>
      <c r="B464" s="52"/>
      <c r="C464" s="51">
        <f>0.55+(0.05*2)</f>
        <v>0.65</v>
      </c>
      <c r="D464" s="51">
        <v>1</v>
      </c>
      <c r="E464" s="51">
        <v>32</v>
      </c>
      <c r="F464" s="51">
        <f t="shared" si="50"/>
        <v>32</v>
      </c>
      <c r="G464" s="34">
        <f t="shared" si="51"/>
        <v>0.65</v>
      </c>
      <c r="H464" s="51"/>
      <c r="I464" s="51"/>
      <c r="J464" s="34"/>
      <c r="K464" s="51">
        <f>1.55*G464*F464</f>
        <v>32.24</v>
      </c>
      <c r="L464" s="51"/>
      <c r="M464" s="51"/>
      <c r="N464" s="51"/>
      <c r="O464" s="290"/>
    </row>
    <row r="465" spans="1:50" ht="45" hidden="1" customHeight="1" outlineLevel="2">
      <c r="A465" s="291"/>
      <c r="B465" s="52"/>
      <c r="C465" s="51">
        <f>(0.55*2)+(0.45*2)+(0.05*2)</f>
        <v>2.1</v>
      </c>
      <c r="D465" s="51">
        <v>1</v>
      </c>
      <c r="E465" s="51">
        <v>60</v>
      </c>
      <c r="F465" s="51">
        <f t="shared" si="50"/>
        <v>60</v>
      </c>
      <c r="G465" s="34">
        <f t="shared" si="51"/>
        <v>2.1</v>
      </c>
      <c r="H465" s="51"/>
      <c r="I465" s="51">
        <f>0.56*G465*F465</f>
        <v>70.56</v>
      </c>
      <c r="J465" s="34"/>
      <c r="K465" s="51"/>
      <c r="L465" s="51"/>
      <c r="M465" s="51"/>
      <c r="N465" s="51"/>
      <c r="O465" s="290"/>
    </row>
    <row r="466" spans="1:50" ht="46.5" hidden="1" customHeight="1" outlineLevel="2">
      <c r="A466" s="291"/>
      <c r="B466" s="52"/>
      <c r="C466" s="51">
        <f>0.55+(0.05*2)</f>
        <v>0.65</v>
      </c>
      <c r="D466" s="51">
        <v>1</v>
      </c>
      <c r="E466" s="51">
        <v>60</v>
      </c>
      <c r="F466" s="51">
        <f t="shared" si="50"/>
        <v>60</v>
      </c>
      <c r="G466" s="34">
        <f t="shared" si="51"/>
        <v>0.65</v>
      </c>
      <c r="H466" s="51"/>
      <c r="I466" s="51">
        <f>0.56*G466*F466</f>
        <v>21.840000000000003</v>
      </c>
      <c r="J466" s="34"/>
      <c r="K466" s="51"/>
      <c r="L466" s="51"/>
      <c r="M466" s="51"/>
      <c r="N466" s="51"/>
      <c r="O466" s="290"/>
    </row>
    <row r="467" spans="1:50" ht="45" hidden="1" customHeight="1" outlineLevel="2">
      <c r="A467" s="291"/>
      <c r="B467" s="52"/>
      <c r="C467" s="51">
        <f>(0.55*2)+(0.35*2)+(0.05*2)</f>
        <v>1.9000000000000001</v>
      </c>
      <c r="D467" s="51">
        <v>1</v>
      </c>
      <c r="E467" s="51">
        <f>39+32+26+28+1</f>
        <v>126</v>
      </c>
      <c r="F467" s="51">
        <f t="shared" si="50"/>
        <v>126</v>
      </c>
      <c r="G467" s="34">
        <f t="shared" si="51"/>
        <v>1.9000000000000001</v>
      </c>
      <c r="H467" s="51"/>
      <c r="I467" s="51"/>
      <c r="J467" s="34">
        <f>1*G467*F467</f>
        <v>239.4</v>
      </c>
      <c r="K467" s="51"/>
      <c r="L467" s="51"/>
      <c r="M467" s="51"/>
      <c r="N467" s="51"/>
      <c r="O467" s="290"/>
    </row>
    <row r="468" spans="1:50" ht="20.100000000000001" hidden="1" customHeight="1" outlineLevel="2">
      <c r="A468" s="2129" t="s">
        <v>196</v>
      </c>
      <c r="B468" s="2130"/>
      <c r="C468" s="2130"/>
      <c r="D468" s="2130"/>
      <c r="E468" s="2130"/>
      <c r="F468" s="2130"/>
      <c r="G468" s="2130"/>
      <c r="H468" s="556">
        <f>SUM(H427:H467)</f>
        <v>0</v>
      </c>
      <c r="I468" s="556">
        <f t="shared" ref="I468:N468" si="52">SUM(I427:I467)</f>
        <v>289.24000000000012</v>
      </c>
      <c r="J468" s="556">
        <f t="shared" si="52"/>
        <v>246.4</v>
      </c>
      <c r="K468" s="556">
        <f t="shared" si="52"/>
        <v>171.58500000000004</v>
      </c>
      <c r="L468" s="556">
        <f t="shared" si="52"/>
        <v>78.400000000000006</v>
      </c>
      <c r="M468" s="556">
        <f t="shared" si="52"/>
        <v>51</v>
      </c>
      <c r="N468" s="556">
        <f t="shared" si="52"/>
        <v>583.20000000000005</v>
      </c>
      <c r="O468" s="557">
        <f>SUM(O427:O467)</f>
        <v>2112.64</v>
      </c>
    </row>
    <row r="469" spans="1:50" ht="20.100000000000001" hidden="1" customHeight="1" outlineLevel="2">
      <c r="A469" s="2186" t="s">
        <v>231</v>
      </c>
      <c r="B469" s="2187"/>
      <c r="C469" s="2187"/>
      <c r="D469" s="2187"/>
      <c r="E469" s="2187"/>
      <c r="F469" s="2187"/>
      <c r="G469" s="2187"/>
      <c r="H469" s="2188">
        <f>SUM(H468:O468)</f>
        <v>3532.4650000000001</v>
      </c>
      <c r="I469" s="2188"/>
      <c r="J469" s="2188"/>
      <c r="K469" s="2188"/>
      <c r="L469" s="2188"/>
      <c r="M469" s="2188"/>
      <c r="N469" s="2188"/>
      <c r="O469" s="2189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50" s="84" customFormat="1" ht="20.100000000000001" hidden="1" customHeight="1" outlineLevel="2">
      <c r="A470" s="2211"/>
      <c r="B470" s="2212"/>
      <c r="C470" s="2212"/>
      <c r="D470" s="2212"/>
      <c r="E470" s="2212"/>
      <c r="F470" s="2212"/>
      <c r="G470" s="2212"/>
      <c r="H470" s="2212"/>
      <c r="I470" s="2212"/>
      <c r="J470" s="2212"/>
      <c r="K470" s="2212"/>
      <c r="L470" s="2212"/>
      <c r="M470" s="2212"/>
      <c r="N470" s="2212"/>
      <c r="O470" s="2213"/>
      <c r="P470" s="8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0.100000000000001" hidden="1" customHeight="1" outlineLevel="2">
      <c r="A471" s="304" t="s">
        <v>138</v>
      </c>
      <c r="B471" s="33"/>
      <c r="C471" s="34">
        <v>7</v>
      </c>
      <c r="D471" s="34">
        <v>1</v>
      </c>
      <c r="E471" s="34">
        <v>3</v>
      </c>
      <c r="F471" s="34">
        <f t="shared" ref="F471:F509" si="53">D471*E471</f>
        <v>3</v>
      </c>
      <c r="G471" s="34">
        <f t="shared" ref="G471:G509" si="54">C471</f>
        <v>7</v>
      </c>
      <c r="H471" s="34"/>
      <c r="I471" s="34"/>
      <c r="J471" s="34"/>
      <c r="K471" s="34"/>
      <c r="L471" s="34"/>
      <c r="M471" s="34"/>
      <c r="N471" s="34">
        <f>4*G471*F471</f>
        <v>84</v>
      </c>
      <c r="O471" s="295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</row>
    <row r="472" spans="1:50" ht="20.100000000000001" hidden="1" customHeight="1" outlineLevel="2">
      <c r="A472" s="306"/>
      <c r="B472" s="34"/>
      <c r="C472" s="36">
        <v>4.5</v>
      </c>
      <c r="D472" s="36">
        <v>1</v>
      </c>
      <c r="E472" s="36">
        <v>5</v>
      </c>
      <c r="F472" s="36">
        <f t="shared" si="53"/>
        <v>5</v>
      </c>
      <c r="G472" s="36">
        <f t="shared" si="54"/>
        <v>4.5</v>
      </c>
      <c r="H472" s="36"/>
      <c r="I472" s="36"/>
      <c r="J472" s="36"/>
      <c r="K472" s="36"/>
      <c r="L472" s="36"/>
      <c r="M472" s="36"/>
      <c r="N472" s="36"/>
      <c r="O472" s="300">
        <f>6.4*G472*F472</f>
        <v>144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50" ht="20.100000000000001" hidden="1" customHeight="1" outlineLevel="2">
      <c r="A473" s="296"/>
      <c r="B473" s="33"/>
      <c r="C473" s="36">
        <v>3</v>
      </c>
      <c r="D473" s="36">
        <v>1</v>
      </c>
      <c r="E473" s="36">
        <v>2</v>
      </c>
      <c r="F473" s="36">
        <f t="shared" si="53"/>
        <v>2</v>
      </c>
      <c r="G473" s="36">
        <f t="shared" si="54"/>
        <v>3</v>
      </c>
      <c r="H473" s="36"/>
      <c r="I473" s="36"/>
      <c r="J473" s="36"/>
      <c r="K473" s="36"/>
      <c r="L473" s="36"/>
      <c r="M473" s="36"/>
      <c r="N473" s="36"/>
      <c r="O473" s="300">
        <f>6.4*G473*F473</f>
        <v>38.400000000000006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50" ht="20.100000000000001" hidden="1" customHeight="1" outlineLevel="2">
      <c r="A474" s="296"/>
      <c r="B474" s="34"/>
      <c r="C474" s="36">
        <v>5</v>
      </c>
      <c r="D474" s="36">
        <v>1</v>
      </c>
      <c r="E474" s="36">
        <v>1</v>
      </c>
      <c r="F474" s="36">
        <f t="shared" si="53"/>
        <v>1</v>
      </c>
      <c r="G474" s="36">
        <f t="shared" si="54"/>
        <v>5</v>
      </c>
      <c r="H474" s="36"/>
      <c r="I474" s="36"/>
      <c r="J474" s="36"/>
      <c r="K474" s="36"/>
      <c r="L474" s="36"/>
      <c r="M474" s="36">
        <f>3*G474*F474</f>
        <v>15</v>
      </c>
      <c r="N474" s="36"/>
      <c r="O474" s="300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50" ht="20.100000000000001" hidden="1" customHeight="1" outlineLevel="2">
      <c r="A475" s="296"/>
      <c r="B475" s="34"/>
      <c r="C475" s="36">
        <v>5</v>
      </c>
      <c r="D475" s="36">
        <v>1</v>
      </c>
      <c r="E475" s="36">
        <v>2</v>
      </c>
      <c r="F475" s="36">
        <f t="shared" si="53"/>
        <v>2</v>
      </c>
      <c r="G475" s="36">
        <f t="shared" si="54"/>
        <v>5</v>
      </c>
      <c r="H475" s="36"/>
      <c r="I475" s="36"/>
      <c r="J475" s="36"/>
      <c r="K475" s="36"/>
      <c r="L475" s="36">
        <f>2.24*G475*F475</f>
        <v>22.400000000000002</v>
      </c>
      <c r="M475" s="36"/>
      <c r="N475" s="36"/>
      <c r="O475" s="300"/>
    </row>
    <row r="476" spans="1:50" ht="20.100000000000001" hidden="1" customHeight="1" outlineLevel="2">
      <c r="A476" s="296"/>
      <c r="B476" s="34"/>
      <c r="C476" s="36">
        <v>8</v>
      </c>
      <c r="D476" s="36">
        <v>1</v>
      </c>
      <c r="E476" s="36">
        <v>2</v>
      </c>
      <c r="F476" s="36">
        <f t="shared" si="53"/>
        <v>2</v>
      </c>
      <c r="G476" s="36">
        <f t="shared" si="54"/>
        <v>8</v>
      </c>
      <c r="H476" s="36"/>
      <c r="I476" s="36"/>
      <c r="J476" s="36"/>
      <c r="K476" s="36"/>
      <c r="L476" s="36"/>
      <c r="M476" s="36"/>
      <c r="N476" s="36"/>
      <c r="O476" s="300">
        <f>6.4*G476*F476</f>
        <v>102.4</v>
      </c>
    </row>
    <row r="477" spans="1:50" ht="20.100000000000001" hidden="1" customHeight="1" outlineLevel="2">
      <c r="A477" s="296"/>
      <c r="B477" s="34"/>
      <c r="C477" s="36">
        <v>8</v>
      </c>
      <c r="D477" s="36">
        <v>1</v>
      </c>
      <c r="E477" s="36">
        <v>1</v>
      </c>
      <c r="F477" s="36">
        <f t="shared" si="53"/>
        <v>1</v>
      </c>
      <c r="G477" s="36">
        <f t="shared" si="54"/>
        <v>8</v>
      </c>
      <c r="H477" s="36"/>
      <c r="I477" s="36"/>
      <c r="J477" s="36"/>
      <c r="K477" s="36"/>
      <c r="L477" s="36"/>
      <c r="M477" s="36"/>
      <c r="N477" s="36">
        <f>4*G477*F477</f>
        <v>32</v>
      </c>
      <c r="O477" s="300"/>
    </row>
    <row r="478" spans="1:50" ht="20.100000000000001" hidden="1" customHeight="1" outlineLevel="2">
      <c r="A478" s="296"/>
      <c r="B478" s="34"/>
      <c r="C478" s="36">
        <v>4</v>
      </c>
      <c r="D478" s="36">
        <v>1</v>
      </c>
      <c r="E478" s="36">
        <v>4</v>
      </c>
      <c r="F478" s="36">
        <f t="shared" si="53"/>
        <v>4</v>
      </c>
      <c r="G478" s="36">
        <f t="shared" si="54"/>
        <v>4</v>
      </c>
      <c r="H478" s="36"/>
      <c r="I478" s="36"/>
      <c r="J478" s="36"/>
      <c r="K478" s="36"/>
      <c r="L478" s="36">
        <f>2.24*G478*F478</f>
        <v>35.840000000000003</v>
      </c>
      <c r="M478" s="36"/>
      <c r="N478" s="36"/>
      <c r="O478" s="300"/>
    </row>
    <row r="479" spans="1:50" ht="20.100000000000001" hidden="1" customHeight="1" outlineLevel="2">
      <c r="A479" s="296"/>
      <c r="B479" s="34"/>
      <c r="C479" s="36">
        <v>4</v>
      </c>
      <c r="D479" s="36">
        <v>1</v>
      </c>
      <c r="E479" s="36">
        <v>2</v>
      </c>
      <c r="F479" s="36">
        <f t="shared" si="53"/>
        <v>2</v>
      </c>
      <c r="G479" s="36">
        <f t="shared" si="54"/>
        <v>4</v>
      </c>
      <c r="H479" s="36"/>
      <c r="I479" s="36"/>
      <c r="J479" s="36"/>
      <c r="K479" s="36">
        <f>1.55*G479*F479</f>
        <v>12.4</v>
      </c>
      <c r="L479" s="36"/>
      <c r="M479" s="36"/>
      <c r="N479" s="36"/>
      <c r="O479" s="300"/>
    </row>
    <row r="480" spans="1:50" ht="20.100000000000001" hidden="1" customHeight="1" outlineLevel="2">
      <c r="A480" s="296"/>
      <c r="B480" s="34"/>
      <c r="C480" s="36">
        <v>7.5</v>
      </c>
      <c r="D480" s="36">
        <v>1</v>
      </c>
      <c r="E480" s="36">
        <v>3</v>
      </c>
      <c r="F480" s="36">
        <f t="shared" si="53"/>
        <v>3</v>
      </c>
      <c r="G480" s="36">
        <f t="shared" si="54"/>
        <v>7.5</v>
      </c>
      <c r="H480" s="36"/>
      <c r="I480" s="36"/>
      <c r="J480" s="36"/>
      <c r="K480" s="36"/>
      <c r="L480" s="36"/>
      <c r="M480" s="36"/>
      <c r="N480" s="36">
        <f>4*G480*F480</f>
        <v>90</v>
      </c>
      <c r="O480" s="300"/>
    </row>
    <row r="481" spans="1:15" ht="20.100000000000001" hidden="1" customHeight="1" outlineLevel="2">
      <c r="A481" s="296"/>
      <c r="B481" s="34"/>
      <c r="C481" s="36">
        <v>5</v>
      </c>
      <c r="D481" s="36">
        <v>1</v>
      </c>
      <c r="E481" s="36">
        <v>6</v>
      </c>
      <c r="F481" s="36">
        <f t="shared" si="53"/>
        <v>6</v>
      </c>
      <c r="G481" s="36">
        <f t="shared" si="54"/>
        <v>5</v>
      </c>
      <c r="H481" s="36"/>
      <c r="I481" s="36"/>
      <c r="J481" s="36"/>
      <c r="K481" s="36"/>
      <c r="L481" s="36"/>
      <c r="M481" s="36"/>
      <c r="N481" s="36"/>
      <c r="O481" s="300">
        <f>6.4*G481*F481</f>
        <v>192</v>
      </c>
    </row>
    <row r="482" spans="1:15" ht="20.100000000000001" hidden="1" customHeight="1" outlineLevel="2">
      <c r="A482" s="296"/>
      <c r="B482" s="34"/>
      <c r="C482" s="36">
        <v>4.5</v>
      </c>
      <c r="D482" s="36">
        <v>1</v>
      </c>
      <c r="E482" s="36">
        <v>2</v>
      </c>
      <c r="F482" s="36">
        <f t="shared" si="53"/>
        <v>2</v>
      </c>
      <c r="G482" s="36">
        <f t="shared" si="54"/>
        <v>4.5</v>
      </c>
      <c r="H482" s="36"/>
      <c r="I482" s="36"/>
      <c r="J482" s="36"/>
      <c r="K482" s="36"/>
      <c r="L482" s="36">
        <f>2.24*G482*F482</f>
        <v>20.160000000000004</v>
      </c>
      <c r="M482" s="36"/>
      <c r="N482" s="36"/>
      <c r="O482" s="300"/>
    </row>
    <row r="483" spans="1:15" ht="20.100000000000001" hidden="1" customHeight="1" outlineLevel="2">
      <c r="A483" s="296"/>
      <c r="B483" s="34"/>
      <c r="C483" s="36">
        <v>4.5</v>
      </c>
      <c r="D483" s="36">
        <v>1</v>
      </c>
      <c r="E483" s="36">
        <v>1</v>
      </c>
      <c r="F483" s="36">
        <f t="shared" si="53"/>
        <v>1</v>
      </c>
      <c r="G483" s="36">
        <f t="shared" si="54"/>
        <v>4.5</v>
      </c>
      <c r="H483" s="36"/>
      <c r="I483" s="36"/>
      <c r="J483" s="36"/>
      <c r="K483" s="36">
        <f>1.55*G483*F483</f>
        <v>6.9750000000000005</v>
      </c>
      <c r="L483" s="36"/>
      <c r="M483" s="36"/>
      <c r="N483" s="36"/>
      <c r="O483" s="300"/>
    </row>
    <row r="484" spans="1:15" ht="20.100000000000001" hidden="1" customHeight="1" outlineLevel="2">
      <c r="A484" s="296"/>
      <c r="B484" s="34"/>
      <c r="C484" s="36">
        <v>7.5</v>
      </c>
      <c r="D484" s="36">
        <v>1</v>
      </c>
      <c r="E484" s="36">
        <v>3</v>
      </c>
      <c r="F484" s="36">
        <f t="shared" si="53"/>
        <v>3</v>
      </c>
      <c r="G484" s="36">
        <f t="shared" si="54"/>
        <v>7.5</v>
      </c>
      <c r="H484" s="36"/>
      <c r="I484" s="36"/>
      <c r="J484" s="36"/>
      <c r="K484" s="36"/>
      <c r="L484" s="36"/>
      <c r="M484" s="36"/>
      <c r="N484" s="36">
        <f>4*G484*F484</f>
        <v>90</v>
      </c>
      <c r="O484" s="300"/>
    </row>
    <row r="485" spans="1:15" ht="20.100000000000001" hidden="1" customHeight="1" outlineLevel="2">
      <c r="A485" s="296"/>
      <c r="B485" s="37"/>
      <c r="C485" s="36">
        <v>3.3</v>
      </c>
      <c r="D485" s="36">
        <v>1</v>
      </c>
      <c r="E485" s="36">
        <v>3</v>
      </c>
      <c r="F485" s="36">
        <f t="shared" si="53"/>
        <v>3</v>
      </c>
      <c r="G485" s="36">
        <f t="shared" si="54"/>
        <v>3.3</v>
      </c>
      <c r="H485" s="36"/>
      <c r="I485" s="36"/>
      <c r="J485" s="36"/>
      <c r="K485" s="36"/>
      <c r="L485" s="36"/>
      <c r="M485" s="36"/>
      <c r="N485" s="36"/>
      <c r="O485" s="300">
        <f>6.4*G485*F485</f>
        <v>63.36</v>
      </c>
    </row>
    <row r="486" spans="1:15" ht="20.100000000000001" hidden="1" customHeight="1" outlineLevel="2">
      <c r="A486" s="296"/>
      <c r="B486" s="37"/>
      <c r="C486" s="36">
        <v>7.3</v>
      </c>
      <c r="D486" s="36">
        <v>1</v>
      </c>
      <c r="E486" s="36">
        <v>3</v>
      </c>
      <c r="F486" s="36">
        <f t="shared" si="53"/>
        <v>3</v>
      </c>
      <c r="G486" s="36">
        <f t="shared" si="54"/>
        <v>7.3</v>
      </c>
      <c r="H486" s="36"/>
      <c r="I486" s="36"/>
      <c r="J486" s="36"/>
      <c r="K486" s="36"/>
      <c r="L486" s="36"/>
      <c r="M486" s="36"/>
      <c r="N486" s="36">
        <f>4*G486*F486</f>
        <v>87.6</v>
      </c>
      <c r="O486" s="300"/>
    </row>
    <row r="487" spans="1:15" ht="20.100000000000001" hidden="1" customHeight="1" outlineLevel="2">
      <c r="A487" s="296"/>
      <c r="B487" s="40"/>
      <c r="C487" s="36">
        <v>3.4</v>
      </c>
      <c r="D487" s="36">
        <v>1</v>
      </c>
      <c r="E487" s="36">
        <v>3</v>
      </c>
      <c r="F487" s="36">
        <f t="shared" si="53"/>
        <v>3</v>
      </c>
      <c r="G487" s="36">
        <f t="shared" si="54"/>
        <v>3.4</v>
      </c>
      <c r="H487" s="36"/>
      <c r="I487" s="36"/>
      <c r="J487" s="36">
        <f>1*G487*F487</f>
        <v>10.199999999999999</v>
      </c>
      <c r="K487" s="36"/>
      <c r="L487" s="36"/>
      <c r="M487" s="36"/>
      <c r="N487" s="36"/>
      <c r="O487" s="300"/>
    </row>
    <row r="488" spans="1:15" ht="20.100000000000001" hidden="1" customHeight="1" outlineLevel="2">
      <c r="A488" s="296"/>
      <c r="B488" s="40"/>
      <c r="C488" s="36">
        <v>4</v>
      </c>
      <c r="D488" s="36">
        <v>1</v>
      </c>
      <c r="E488" s="36">
        <v>1</v>
      </c>
      <c r="F488" s="36">
        <f t="shared" si="53"/>
        <v>1</v>
      </c>
      <c r="G488" s="36">
        <f t="shared" si="54"/>
        <v>4</v>
      </c>
      <c r="H488" s="36"/>
      <c r="I488" s="36"/>
      <c r="J488" s="36"/>
      <c r="K488" s="36"/>
      <c r="L488" s="36"/>
      <c r="M488" s="36"/>
      <c r="N488" s="36"/>
      <c r="O488" s="300">
        <f>6.4*G488*F488</f>
        <v>25.6</v>
      </c>
    </row>
    <row r="489" spans="1:15" ht="20.100000000000001" hidden="1" customHeight="1" outlineLevel="2">
      <c r="A489" s="296"/>
      <c r="B489" s="40"/>
      <c r="C489" s="36">
        <v>4</v>
      </c>
      <c r="D489" s="36">
        <v>1</v>
      </c>
      <c r="E489" s="36">
        <v>1</v>
      </c>
      <c r="F489" s="36">
        <f t="shared" si="53"/>
        <v>1</v>
      </c>
      <c r="G489" s="36">
        <f t="shared" si="54"/>
        <v>4</v>
      </c>
      <c r="H489" s="36"/>
      <c r="I489" s="36"/>
      <c r="J489" s="36"/>
      <c r="K489" s="36"/>
      <c r="L489" s="36"/>
      <c r="M489" s="36"/>
      <c r="N489" s="36">
        <f>4*G489*F489</f>
        <v>16</v>
      </c>
      <c r="O489" s="300"/>
    </row>
    <row r="490" spans="1:15" ht="20.100000000000001" hidden="1" customHeight="1" outlineLevel="2">
      <c r="A490" s="296"/>
      <c r="B490" s="40"/>
      <c r="C490" s="36">
        <v>8.5</v>
      </c>
      <c r="D490" s="36">
        <v>1</v>
      </c>
      <c r="E490" s="36">
        <v>1</v>
      </c>
      <c r="F490" s="36">
        <f t="shared" si="53"/>
        <v>1</v>
      </c>
      <c r="G490" s="36">
        <f t="shared" si="54"/>
        <v>8.5</v>
      </c>
      <c r="H490" s="36"/>
      <c r="I490" s="36"/>
      <c r="J490" s="36"/>
      <c r="K490" s="36"/>
      <c r="L490" s="36"/>
      <c r="M490" s="36"/>
      <c r="N490" s="36"/>
      <c r="O490" s="300">
        <f>6.4*G490*F490</f>
        <v>54.400000000000006</v>
      </c>
    </row>
    <row r="491" spans="1:15" ht="20.100000000000001" hidden="1" customHeight="1" outlineLevel="2">
      <c r="A491" s="296"/>
      <c r="B491" s="40"/>
      <c r="C491" s="36">
        <v>8.5</v>
      </c>
      <c r="D491" s="36">
        <v>1</v>
      </c>
      <c r="E491" s="36">
        <v>1</v>
      </c>
      <c r="F491" s="36">
        <f t="shared" si="53"/>
        <v>1</v>
      </c>
      <c r="G491" s="36">
        <f t="shared" si="54"/>
        <v>8.5</v>
      </c>
      <c r="H491" s="36"/>
      <c r="I491" s="36"/>
      <c r="J491" s="36"/>
      <c r="K491" s="36"/>
      <c r="L491" s="36"/>
      <c r="M491" s="36"/>
      <c r="N491" s="36">
        <f>4*G491*F491</f>
        <v>34</v>
      </c>
      <c r="O491" s="300"/>
    </row>
    <row r="492" spans="1:15" ht="20.100000000000001" hidden="1" customHeight="1" outlineLevel="2">
      <c r="A492" s="296"/>
      <c r="B492" s="34"/>
      <c r="C492" s="36">
        <v>12</v>
      </c>
      <c r="D492" s="36">
        <v>1</v>
      </c>
      <c r="E492" s="36">
        <v>6</v>
      </c>
      <c r="F492" s="36">
        <f t="shared" si="53"/>
        <v>6</v>
      </c>
      <c r="G492" s="36">
        <f t="shared" si="54"/>
        <v>12</v>
      </c>
      <c r="H492" s="36"/>
      <c r="I492" s="36"/>
      <c r="J492" s="36"/>
      <c r="K492" s="36"/>
      <c r="L492" s="36"/>
      <c r="M492" s="36"/>
      <c r="N492" s="36"/>
      <c r="O492" s="300">
        <f>6.4*G492*F492</f>
        <v>460.80000000000007</v>
      </c>
    </row>
    <row r="493" spans="1:15" ht="20.100000000000001" hidden="1" customHeight="1" outlineLevel="2">
      <c r="A493" s="296"/>
      <c r="B493" s="34"/>
      <c r="C493" s="36">
        <v>12</v>
      </c>
      <c r="D493" s="36">
        <v>1</v>
      </c>
      <c r="E493" s="36">
        <v>6</v>
      </c>
      <c r="F493" s="36">
        <f t="shared" si="53"/>
        <v>6</v>
      </c>
      <c r="G493" s="36">
        <f t="shared" si="54"/>
        <v>12</v>
      </c>
      <c r="H493" s="36"/>
      <c r="I493" s="36"/>
      <c r="J493" s="36"/>
      <c r="K493" s="36"/>
      <c r="L493" s="36"/>
      <c r="M493" s="36"/>
      <c r="N493" s="36">
        <f>4*G493*F493</f>
        <v>288</v>
      </c>
      <c r="O493" s="300"/>
    </row>
    <row r="494" spans="1:15" ht="20.100000000000001" hidden="1" customHeight="1" outlineLevel="2">
      <c r="A494" s="296"/>
      <c r="B494" s="34"/>
      <c r="C494" s="36">
        <v>6</v>
      </c>
      <c r="D494" s="36">
        <v>1</v>
      </c>
      <c r="E494" s="36">
        <v>1</v>
      </c>
      <c r="F494" s="36">
        <f t="shared" si="53"/>
        <v>1</v>
      </c>
      <c r="G494" s="36">
        <f t="shared" si="54"/>
        <v>6</v>
      </c>
      <c r="H494" s="36"/>
      <c r="I494" s="36"/>
      <c r="J494" s="36"/>
      <c r="K494" s="36"/>
      <c r="L494" s="36"/>
      <c r="M494" s="36"/>
      <c r="N494" s="36">
        <f>4*G494*F494</f>
        <v>24</v>
      </c>
      <c r="O494" s="300"/>
    </row>
    <row r="495" spans="1:15" ht="20.100000000000001" hidden="1" customHeight="1" outlineLevel="2">
      <c r="A495" s="296"/>
      <c r="B495" s="34"/>
      <c r="C495" s="36">
        <v>6</v>
      </c>
      <c r="D495" s="36">
        <v>1</v>
      </c>
      <c r="E495" s="36">
        <v>2</v>
      </c>
      <c r="F495" s="36">
        <f t="shared" si="53"/>
        <v>2</v>
      </c>
      <c r="G495" s="36">
        <f t="shared" si="54"/>
        <v>6</v>
      </c>
      <c r="H495" s="36"/>
      <c r="I495" s="36"/>
      <c r="J495" s="36"/>
      <c r="K495" s="36"/>
      <c r="L495" s="36"/>
      <c r="M495" s="36">
        <f>3*G495*F495</f>
        <v>36</v>
      </c>
      <c r="N495" s="36"/>
      <c r="O495" s="300"/>
    </row>
    <row r="496" spans="1:15" ht="20.100000000000001" hidden="1" customHeight="1" outlineLevel="2">
      <c r="A496" s="296"/>
      <c r="B496" s="40"/>
      <c r="C496" s="36">
        <v>4</v>
      </c>
      <c r="D496" s="36">
        <v>1</v>
      </c>
      <c r="E496" s="36">
        <v>2</v>
      </c>
      <c r="F496" s="36">
        <f t="shared" si="53"/>
        <v>2</v>
      </c>
      <c r="G496" s="36">
        <f t="shared" si="54"/>
        <v>4</v>
      </c>
      <c r="H496" s="36"/>
      <c r="I496" s="36"/>
      <c r="J496" s="36"/>
      <c r="K496" s="36"/>
      <c r="L496" s="36"/>
      <c r="M496" s="36">
        <f>3*G496*F496</f>
        <v>24</v>
      </c>
      <c r="N496" s="36"/>
      <c r="O496" s="300"/>
    </row>
    <row r="497" spans="1:50" ht="20.100000000000001" hidden="1" customHeight="1" outlineLevel="2">
      <c r="A497" s="296"/>
      <c r="B497" s="34"/>
      <c r="C497" s="36">
        <v>7</v>
      </c>
      <c r="D497" s="36">
        <v>1</v>
      </c>
      <c r="E497" s="36">
        <v>2</v>
      </c>
      <c r="F497" s="36">
        <f t="shared" si="53"/>
        <v>2</v>
      </c>
      <c r="G497" s="36">
        <f t="shared" si="54"/>
        <v>7</v>
      </c>
      <c r="H497" s="36"/>
      <c r="I497" s="36"/>
      <c r="J497" s="36"/>
      <c r="K497" s="36"/>
      <c r="L497" s="36"/>
      <c r="M497" s="36">
        <f>3*G497*F497</f>
        <v>42</v>
      </c>
      <c r="N497" s="36"/>
      <c r="O497" s="300"/>
    </row>
    <row r="498" spans="1:50" ht="20.100000000000001" hidden="1" customHeight="1" outlineLevel="2">
      <c r="A498" s="296"/>
      <c r="B498" s="34"/>
      <c r="C498" s="36">
        <v>6.5</v>
      </c>
      <c r="D498" s="36">
        <v>1</v>
      </c>
      <c r="E498" s="36">
        <v>3</v>
      </c>
      <c r="F498" s="36">
        <f t="shared" si="53"/>
        <v>3</v>
      </c>
      <c r="G498" s="36">
        <f t="shared" si="54"/>
        <v>6.5</v>
      </c>
      <c r="H498" s="36"/>
      <c r="I498" s="36"/>
      <c r="J498" s="36"/>
      <c r="K498" s="36">
        <f>1.55*G498*F498</f>
        <v>30.225000000000001</v>
      </c>
      <c r="L498" s="36"/>
      <c r="M498" s="36"/>
      <c r="N498" s="36"/>
      <c r="O498" s="300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</row>
    <row r="499" spans="1:50" ht="20.100000000000001" hidden="1" customHeight="1" outlineLevel="2">
      <c r="A499" s="296"/>
      <c r="B499" s="40"/>
      <c r="C499" s="36">
        <v>8.5</v>
      </c>
      <c r="D499" s="36">
        <v>1</v>
      </c>
      <c r="E499" s="36">
        <v>1</v>
      </c>
      <c r="F499" s="36">
        <f t="shared" si="53"/>
        <v>1</v>
      </c>
      <c r="G499" s="36">
        <f t="shared" si="54"/>
        <v>8.5</v>
      </c>
      <c r="H499" s="36"/>
      <c r="I499" s="36"/>
      <c r="J499" s="36"/>
      <c r="K499" s="36"/>
      <c r="L499" s="36"/>
      <c r="M499" s="36"/>
      <c r="N499" s="36"/>
      <c r="O499" s="300">
        <f>6.4*G499*F499</f>
        <v>54.400000000000006</v>
      </c>
    </row>
    <row r="500" spans="1:50" ht="20.100000000000001" hidden="1" customHeight="1" outlineLevel="2">
      <c r="A500" s="296"/>
      <c r="B500" s="40"/>
      <c r="C500" s="36">
        <v>8.5</v>
      </c>
      <c r="D500" s="36">
        <v>1</v>
      </c>
      <c r="E500" s="36">
        <v>1</v>
      </c>
      <c r="F500" s="36">
        <f t="shared" si="53"/>
        <v>1</v>
      </c>
      <c r="G500" s="36">
        <f t="shared" si="54"/>
        <v>8.5</v>
      </c>
      <c r="H500" s="36"/>
      <c r="I500" s="36"/>
      <c r="J500" s="36"/>
      <c r="K500" s="36"/>
      <c r="L500" s="36"/>
      <c r="M500" s="36"/>
      <c r="N500" s="36">
        <f>4*G500*F500</f>
        <v>34</v>
      </c>
      <c r="O500" s="300"/>
    </row>
    <row r="501" spans="1:50" ht="20.100000000000001" hidden="1" customHeight="1" outlineLevel="2">
      <c r="A501" s="296"/>
      <c r="B501" s="40"/>
      <c r="C501" s="36">
        <v>4</v>
      </c>
      <c r="D501" s="36">
        <v>1</v>
      </c>
      <c r="E501" s="36">
        <v>1</v>
      </c>
      <c r="F501" s="36">
        <f t="shared" si="53"/>
        <v>1</v>
      </c>
      <c r="G501" s="36">
        <f t="shared" si="54"/>
        <v>4</v>
      </c>
      <c r="H501" s="36"/>
      <c r="I501" s="36"/>
      <c r="J501" s="36"/>
      <c r="K501" s="36"/>
      <c r="L501" s="36"/>
      <c r="M501" s="36"/>
      <c r="N501" s="36"/>
      <c r="O501" s="300">
        <f>6.4*G501*F501</f>
        <v>25.6</v>
      </c>
    </row>
    <row r="502" spans="1:50" ht="20.100000000000001" hidden="1" customHeight="1" outlineLevel="2">
      <c r="A502" s="296"/>
      <c r="B502" s="40"/>
      <c r="C502" s="36">
        <v>4</v>
      </c>
      <c r="D502" s="36">
        <v>1</v>
      </c>
      <c r="E502" s="36">
        <v>1</v>
      </c>
      <c r="F502" s="36">
        <f t="shared" si="53"/>
        <v>1</v>
      </c>
      <c r="G502" s="36">
        <f t="shared" si="54"/>
        <v>4</v>
      </c>
      <c r="H502" s="36"/>
      <c r="I502" s="36"/>
      <c r="J502" s="36"/>
      <c r="K502" s="36"/>
      <c r="L502" s="36"/>
      <c r="M502" s="36"/>
      <c r="N502" s="36">
        <f>4*G502*F502</f>
        <v>16</v>
      </c>
      <c r="O502" s="300"/>
    </row>
    <row r="503" spans="1:50" ht="20.100000000000001" hidden="1" customHeight="1" outlineLevel="2">
      <c r="A503" s="296"/>
      <c r="B503" s="40"/>
      <c r="C503" s="34">
        <v>3.5</v>
      </c>
      <c r="D503" s="34">
        <v>1</v>
      </c>
      <c r="E503" s="34">
        <v>3</v>
      </c>
      <c r="F503" s="34">
        <f t="shared" si="53"/>
        <v>3</v>
      </c>
      <c r="G503" s="34">
        <f t="shared" si="54"/>
        <v>3.5</v>
      </c>
      <c r="H503" s="34"/>
      <c r="I503" s="34"/>
      <c r="J503" s="34"/>
      <c r="K503" s="34">
        <f>1.55*G503*F503</f>
        <v>16.274999999999999</v>
      </c>
      <c r="L503" s="34"/>
      <c r="M503" s="34"/>
      <c r="N503" s="34"/>
      <c r="O503" s="295"/>
    </row>
    <row r="504" spans="1:50" ht="20.100000000000001" hidden="1" customHeight="1" outlineLevel="2">
      <c r="A504" s="296"/>
      <c r="B504" s="40"/>
      <c r="C504" s="34">
        <v>3.2</v>
      </c>
      <c r="D504" s="34">
        <v>1</v>
      </c>
      <c r="E504" s="34">
        <v>3</v>
      </c>
      <c r="F504" s="34">
        <f t="shared" si="53"/>
        <v>3</v>
      </c>
      <c r="G504" s="34">
        <f t="shared" si="54"/>
        <v>3.2</v>
      </c>
      <c r="H504" s="34"/>
      <c r="I504" s="34"/>
      <c r="J504" s="34">
        <f>1*G504*F504</f>
        <v>9.6000000000000014</v>
      </c>
      <c r="K504" s="34"/>
      <c r="L504" s="34"/>
      <c r="M504" s="34"/>
      <c r="N504" s="34"/>
      <c r="O504" s="295"/>
      <c r="P504" s="73"/>
    </row>
    <row r="505" spans="1:50" ht="42.75" hidden="1" customHeight="1" outlineLevel="2">
      <c r="A505" s="296"/>
      <c r="B505" s="52"/>
      <c r="C505" s="34">
        <f>(0.55*2)+(0.35*2)+(0.05*2)</f>
        <v>1.9000000000000001</v>
      </c>
      <c r="D505" s="34">
        <v>1</v>
      </c>
      <c r="E505" s="34">
        <f>12+50+38+37+41+35+35+11</f>
        <v>259</v>
      </c>
      <c r="F505" s="34">
        <f t="shared" si="53"/>
        <v>259</v>
      </c>
      <c r="G505" s="34">
        <f t="shared" si="54"/>
        <v>1.9000000000000001</v>
      </c>
      <c r="H505" s="34"/>
      <c r="I505" s="34">
        <f>0.56*G505*F505</f>
        <v>275.57600000000008</v>
      </c>
      <c r="J505" s="34"/>
      <c r="K505" s="34"/>
      <c r="L505" s="34"/>
      <c r="M505" s="34"/>
      <c r="N505" s="34"/>
      <c r="O505" s="295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</row>
    <row r="506" spans="1:50" ht="42.75" hidden="1" customHeight="1" outlineLevel="2">
      <c r="A506" s="296"/>
      <c r="B506" s="52"/>
      <c r="C506" s="59">
        <f>(0.55*2)+(0.45*2)+(0.05*2)</f>
        <v>2.1</v>
      </c>
      <c r="D506" s="34">
        <v>1</v>
      </c>
      <c r="E506" s="34">
        <f>42+9</f>
        <v>51</v>
      </c>
      <c r="F506" s="34">
        <f t="shared" si="53"/>
        <v>51</v>
      </c>
      <c r="G506" s="34">
        <f t="shared" si="54"/>
        <v>2.1</v>
      </c>
      <c r="H506" s="34"/>
      <c r="I506" s="34"/>
      <c r="J506" s="34">
        <f>G506*F506*1</f>
        <v>107.10000000000001</v>
      </c>
      <c r="K506" s="34"/>
      <c r="L506" s="34"/>
      <c r="M506" s="34"/>
      <c r="N506" s="34"/>
      <c r="O506" s="295"/>
    </row>
    <row r="507" spans="1:50" ht="42.75" hidden="1" customHeight="1" outlineLevel="2">
      <c r="A507" s="296"/>
      <c r="B507" s="52"/>
      <c r="C507" s="59">
        <f>0.55+(0.05*2)</f>
        <v>0.65</v>
      </c>
      <c r="D507" s="34">
        <v>1</v>
      </c>
      <c r="E507" s="34">
        <f>42+9</f>
        <v>51</v>
      </c>
      <c r="F507" s="34">
        <f t="shared" si="53"/>
        <v>51</v>
      </c>
      <c r="G507" s="34">
        <f t="shared" si="54"/>
        <v>0.65</v>
      </c>
      <c r="H507" s="34"/>
      <c r="I507" s="34"/>
      <c r="J507" s="34">
        <f>G507*F507*1</f>
        <v>33.15</v>
      </c>
      <c r="K507" s="34"/>
      <c r="L507" s="34"/>
      <c r="M507" s="34"/>
      <c r="N507" s="34"/>
      <c r="O507" s="295"/>
    </row>
    <row r="508" spans="1:50" ht="42.75" hidden="1" customHeight="1" outlineLevel="2">
      <c r="A508" s="296"/>
      <c r="B508" s="52"/>
      <c r="C508" s="59">
        <f>(0.55*2)+(0.45*2)+(0.05*2)</f>
        <v>2.1</v>
      </c>
      <c r="D508" s="34">
        <v>1</v>
      </c>
      <c r="E508" s="34">
        <v>44</v>
      </c>
      <c r="F508" s="34">
        <f t="shared" si="53"/>
        <v>44</v>
      </c>
      <c r="G508" s="34">
        <f t="shared" si="54"/>
        <v>2.1</v>
      </c>
      <c r="H508" s="34"/>
      <c r="I508" s="34">
        <f>0.56*G508*F508</f>
        <v>51.744000000000007</v>
      </c>
      <c r="J508" s="34"/>
      <c r="K508" s="34"/>
      <c r="L508" s="34"/>
      <c r="M508" s="34"/>
      <c r="N508" s="34"/>
      <c r="O508" s="295"/>
    </row>
    <row r="509" spans="1:50" ht="42.75" hidden="1" customHeight="1" outlineLevel="2" thickBot="1">
      <c r="A509" s="589"/>
      <c r="B509" s="590"/>
      <c r="C509" s="591">
        <f>0.55+(0.05*2)</f>
        <v>0.65</v>
      </c>
      <c r="D509" s="41">
        <v>1</v>
      </c>
      <c r="E509" s="41">
        <v>44</v>
      </c>
      <c r="F509" s="41">
        <f t="shared" si="53"/>
        <v>44</v>
      </c>
      <c r="G509" s="41">
        <f t="shared" si="54"/>
        <v>0.65</v>
      </c>
      <c r="H509" s="41"/>
      <c r="I509" s="41">
        <f>0.56*G509*F509</f>
        <v>16.016000000000002</v>
      </c>
      <c r="J509" s="41"/>
      <c r="K509" s="41"/>
      <c r="L509" s="41"/>
      <c r="M509" s="41"/>
      <c r="N509" s="41"/>
      <c r="O509" s="592"/>
    </row>
    <row r="510" spans="1:50" ht="20.100000000000001" hidden="1" customHeight="1" outlineLevel="2">
      <c r="A510" s="2171" t="s">
        <v>196</v>
      </c>
      <c r="B510" s="2172"/>
      <c r="C510" s="2172"/>
      <c r="D510" s="2172"/>
      <c r="E510" s="2172"/>
      <c r="F510" s="2172"/>
      <c r="G510" s="2172"/>
      <c r="H510" s="593">
        <f>SUM(H471:H509)</f>
        <v>0</v>
      </c>
      <c r="I510" s="593">
        <f t="shared" ref="I510:O510" si="55">SUM(I471:I509)</f>
        <v>343.33600000000013</v>
      </c>
      <c r="J510" s="593">
        <f t="shared" si="55"/>
        <v>160.05000000000001</v>
      </c>
      <c r="K510" s="593">
        <f t="shared" si="55"/>
        <v>65.875</v>
      </c>
      <c r="L510" s="593">
        <f t="shared" si="55"/>
        <v>78.400000000000006</v>
      </c>
      <c r="M510" s="593">
        <f t="shared" si="55"/>
        <v>117</v>
      </c>
      <c r="N510" s="593">
        <f t="shared" si="55"/>
        <v>795.6</v>
      </c>
      <c r="O510" s="594">
        <f t="shared" si="55"/>
        <v>1160.96</v>
      </c>
      <c r="P510" s="73"/>
    </row>
    <row r="511" spans="1:50" ht="20.100000000000001" hidden="1" customHeight="1" outlineLevel="2" thickBot="1">
      <c r="A511" s="2173" t="s">
        <v>231</v>
      </c>
      <c r="B511" s="2174"/>
      <c r="C511" s="2174"/>
      <c r="D511" s="2174"/>
      <c r="E511" s="2174"/>
      <c r="F511" s="2174"/>
      <c r="G511" s="2174"/>
      <c r="H511" s="2202">
        <f>SUM(H510:O510)</f>
        <v>2721.2210000000005</v>
      </c>
      <c r="I511" s="2202"/>
      <c r="J511" s="2202"/>
      <c r="K511" s="2202"/>
      <c r="L511" s="2202"/>
      <c r="M511" s="2202"/>
      <c r="N511" s="2202"/>
      <c r="O511" s="220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</row>
    <row r="512" spans="1:50" s="31" customFormat="1" ht="20.100000000000001" hidden="1" customHeight="1" outlineLevel="2">
      <c r="A512" s="340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41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</row>
    <row r="513" spans="1:50" s="31" customFormat="1" ht="20.100000000000001" hidden="1" customHeight="1" outlineLevel="2" thickBot="1">
      <c r="A513" s="340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41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</row>
    <row r="514" spans="1:50" ht="20.100000000000001" hidden="1" customHeight="1" outlineLevel="1" collapsed="1">
      <c r="A514" s="2180" t="s">
        <v>1214</v>
      </c>
      <c r="B514" s="2181"/>
      <c r="C514" s="2181"/>
      <c r="D514" s="2181"/>
      <c r="E514" s="2181"/>
      <c r="F514" s="2181"/>
      <c r="G514" s="2182"/>
      <c r="H514" s="595">
        <f t="shared" ref="H514:O514" si="56">H468+H424+H391+H361+H342+H321+H290+H256+H224+H176+H152+H136+H114+H80+H43</f>
        <v>0</v>
      </c>
      <c r="I514" s="595">
        <f t="shared" si="56"/>
        <v>1638.3920000000003</v>
      </c>
      <c r="J514" s="595">
        <f t="shared" si="56"/>
        <v>1471.5120000000002</v>
      </c>
      <c r="K514" s="595">
        <f t="shared" si="56"/>
        <v>1973.3150000000001</v>
      </c>
      <c r="L514" s="595">
        <f t="shared" si="56"/>
        <v>1078.1310000000003</v>
      </c>
      <c r="M514" s="595">
        <f t="shared" si="56"/>
        <v>505.5</v>
      </c>
      <c r="N514" s="595">
        <f t="shared" si="56"/>
        <v>5424.4</v>
      </c>
      <c r="O514" s="596">
        <f t="shared" si="56"/>
        <v>16925.885999999999</v>
      </c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</row>
    <row r="515" spans="1:50" ht="20.100000000000001" hidden="1" customHeight="1" outlineLevel="1" thickBot="1">
      <c r="A515" s="2175" t="s">
        <v>1215</v>
      </c>
      <c r="B515" s="2176"/>
      <c r="C515" s="2176"/>
      <c r="D515" s="2176"/>
      <c r="E515" s="2176"/>
      <c r="F515" s="2176"/>
      <c r="G515" s="2177"/>
      <c r="H515" s="2178">
        <f>SUM(H514:O514)</f>
        <v>29017.135999999999</v>
      </c>
      <c r="I515" s="2176"/>
      <c r="J515" s="2176"/>
      <c r="K515" s="2176"/>
      <c r="L515" s="2176"/>
      <c r="M515" s="2176"/>
      <c r="N515" s="2176"/>
      <c r="O515" s="2179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</row>
    <row r="516" spans="1:50" ht="20.100000000000001" hidden="1" customHeight="1" outlineLevel="1" thickBot="1">
      <c r="A516" s="600"/>
      <c r="B516" s="601"/>
      <c r="C516" s="601"/>
      <c r="D516" s="601"/>
      <c r="E516" s="601"/>
      <c r="F516" s="601"/>
      <c r="G516" s="601"/>
      <c r="H516" s="601"/>
      <c r="I516" s="601"/>
      <c r="J516" s="601"/>
      <c r="K516" s="601"/>
      <c r="L516" s="601"/>
      <c r="M516" s="601"/>
      <c r="N516" s="601"/>
      <c r="O516" s="602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</row>
    <row r="517" spans="1:50" s="66" customFormat="1" ht="20.100000000000001" hidden="1" customHeight="1" outlineLevel="1" thickBot="1">
      <c r="A517" s="2195" t="s">
        <v>197</v>
      </c>
      <c r="B517" s="2204"/>
      <c r="C517" s="2204"/>
      <c r="D517" s="2204"/>
      <c r="E517" s="2204"/>
      <c r="F517" s="2204"/>
      <c r="G517" s="2204"/>
      <c r="H517" s="2204"/>
      <c r="I517" s="2204"/>
      <c r="J517" s="2204"/>
      <c r="K517" s="2204"/>
      <c r="L517" s="2204"/>
      <c r="M517" s="2204"/>
      <c r="N517" s="2204"/>
      <c r="O517" s="2205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0.100000000000001" hidden="1" customHeight="1" outlineLevel="2">
      <c r="A518" s="307" t="s">
        <v>155</v>
      </c>
      <c r="B518" s="287"/>
      <c r="C518" s="288">
        <v>5</v>
      </c>
      <c r="D518" s="288"/>
      <c r="E518" s="288">
        <f t="shared" ref="E518:E531" si="57">D518*F518</f>
        <v>0</v>
      </c>
      <c r="F518" s="288">
        <v>1</v>
      </c>
      <c r="G518" s="288">
        <v>5</v>
      </c>
      <c r="H518" s="288"/>
      <c r="I518" s="288"/>
      <c r="J518" s="288">
        <f>C518*E518</f>
        <v>0</v>
      </c>
      <c r="K518" s="288"/>
      <c r="L518" s="288"/>
      <c r="M518" s="288"/>
      <c r="N518" s="288"/>
      <c r="O518" s="308"/>
      <c r="P518" s="90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</row>
    <row r="519" spans="1:50" ht="20.100000000000001" hidden="1" customHeight="1" outlineLevel="2">
      <c r="A519" s="309"/>
      <c r="B519" s="28"/>
      <c r="C519" s="51">
        <v>5.4</v>
      </c>
      <c r="D519" s="51">
        <v>1</v>
      </c>
      <c r="E519" s="51">
        <f t="shared" si="57"/>
        <v>1</v>
      </c>
      <c r="F519" s="51">
        <v>1</v>
      </c>
      <c r="G519" s="51">
        <v>5.4</v>
      </c>
      <c r="H519" s="51"/>
      <c r="I519" s="51"/>
      <c r="J519" s="51">
        <f>C519*E519</f>
        <v>5.4</v>
      </c>
      <c r="K519" s="51"/>
      <c r="L519" s="51"/>
      <c r="M519" s="51"/>
      <c r="N519" s="51"/>
      <c r="O519" s="290"/>
      <c r="P519" s="90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</row>
    <row r="520" spans="1:50" ht="20.100000000000001" hidden="1" customHeight="1" outlineLevel="2">
      <c r="A520" s="309"/>
      <c r="B520" s="28"/>
      <c r="C520" s="51">
        <v>5.4</v>
      </c>
      <c r="D520" s="51">
        <v>1</v>
      </c>
      <c r="E520" s="51">
        <f t="shared" si="57"/>
        <v>1</v>
      </c>
      <c r="F520" s="51">
        <v>1</v>
      </c>
      <c r="G520" s="51">
        <v>5.4</v>
      </c>
      <c r="H520" s="51"/>
      <c r="I520" s="51">
        <f>0.56*E520*C520</f>
        <v>3.0240000000000005</v>
      </c>
      <c r="J520" s="51"/>
      <c r="K520" s="51"/>
      <c r="L520" s="51"/>
      <c r="M520" s="51"/>
      <c r="N520" s="51"/>
      <c r="O520" s="290"/>
      <c r="P520" s="90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</row>
    <row r="521" spans="1:50" ht="20.100000000000001" hidden="1" customHeight="1" outlineLevel="2">
      <c r="A521" s="309"/>
      <c r="B521" s="28"/>
      <c r="C521" s="51">
        <v>3.5</v>
      </c>
      <c r="D521" s="51">
        <v>1</v>
      </c>
      <c r="E521" s="51">
        <f t="shared" si="57"/>
        <v>3</v>
      </c>
      <c r="F521" s="51">
        <v>3</v>
      </c>
      <c r="G521" s="51">
        <v>3.5</v>
      </c>
      <c r="H521" s="51"/>
      <c r="I521" s="51">
        <f>0.56*E521*C521</f>
        <v>5.8800000000000008</v>
      </c>
      <c r="J521" s="51"/>
      <c r="K521" s="51"/>
      <c r="L521" s="51"/>
      <c r="M521" s="51"/>
      <c r="N521" s="51"/>
      <c r="O521" s="290"/>
      <c r="P521" s="90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</row>
    <row r="522" spans="1:50" ht="20.100000000000001" hidden="1" customHeight="1" outlineLevel="2">
      <c r="A522" s="309"/>
      <c r="B522" s="28"/>
      <c r="C522" s="51">
        <v>6.5</v>
      </c>
      <c r="D522" s="51">
        <v>1</v>
      </c>
      <c r="E522" s="51">
        <f t="shared" si="57"/>
        <v>1</v>
      </c>
      <c r="F522" s="51">
        <v>1</v>
      </c>
      <c r="G522" s="51">
        <v>6.5</v>
      </c>
      <c r="H522" s="51"/>
      <c r="I522" s="51">
        <f>0.56*E522*C522</f>
        <v>3.6400000000000006</v>
      </c>
      <c r="J522" s="51"/>
      <c r="K522" s="51"/>
      <c r="L522" s="51"/>
      <c r="M522" s="51"/>
      <c r="N522" s="51"/>
      <c r="O522" s="290"/>
      <c r="P522" s="90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</row>
    <row r="523" spans="1:50" ht="20.100000000000001" hidden="1" customHeight="1" outlineLevel="2">
      <c r="A523" s="309"/>
      <c r="B523" s="28"/>
      <c r="C523" s="51">
        <v>3.5</v>
      </c>
      <c r="D523" s="51">
        <v>1</v>
      </c>
      <c r="E523" s="51">
        <f t="shared" si="57"/>
        <v>1</v>
      </c>
      <c r="F523" s="51">
        <v>1</v>
      </c>
      <c r="G523" s="51">
        <v>3.5</v>
      </c>
      <c r="H523" s="51"/>
      <c r="I523" s="51"/>
      <c r="J523" s="51"/>
      <c r="K523" s="51">
        <f>1.55*E523*C523</f>
        <v>5.4249999999999998</v>
      </c>
      <c r="L523" s="51"/>
      <c r="M523" s="51"/>
      <c r="N523" s="51"/>
      <c r="O523" s="290"/>
      <c r="P523" s="90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</row>
    <row r="524" spans="1:50" ht="20.100000000000001" hidden="1" customHeight="1" outlineLevel="2">
      <c r="A524" s="309"/>
      <c r="B524" s="28"/>
      <c r="C524" s="51">
        <v>7</v>
      </c>
      <c r="D524" s="51">
        <v>1</v>
      </c>
      <c r="E524" s="51">
        <f t="shared" si="57"/>
        <v>2</v>
      </c>
      <c r="F524" s="51">
        <v>2</v>
      </c>
      <c r="G524" s="51">
        <v>7</v>
      </c>
      <c r="H524" s="51"/>
      <c r="I524" s="51"/>
      <c r="J524" s="51"/>
      <c r="K524" s="51">
        <f>1.55*E524*C524</f>
        <v>21.7</v>
      </c>
      <c r="L524" s="51"/>
      <c r="M524" s="51"/>
      <c r="N524" s="51"/>
      <c r="O524" s="290"/>
      <c r="P524" s="90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</row>
    <row r="525" spans="1:50" ht="20.100000000000001" hidden="1" customHeight="1" outlineLevel="2">
      <c r="A525" s="309"/>
      <c r="B525" s="28"/>
      <c r="C525" s="51">
        <v>8</v>
      </c>
      <c r="D525" s="51">
        <v>1</v>
      </c>
      <c r="E525" s="51">
        <f t="shared" si="57"/>
        <v>1</v>
      </c>
      <c r="F525" s="51">
        <v>1</v>
      </c>
      <c r="G525" s="51">
        <v>8</v>
      </c>
      <c r="H525" s="51"/>
      <c r="I525" s="51"/>
      <c r="J525" s="51"/>
      <c r="K525" s="51">
        <f>1.55*E525*C525</f>
        <v>12.4</v>
      </c>
      <c r="L525" s="51"/>
      <c r="M525" s="51"/>
      <c r="N525" s="51"/>
      <c r="O525" s="290"/>
      <c r="P525" s="90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</row>
    <row r="526" spans="1:50" ht="20.100000000000001" hidden="1" customHeight="1" outlineLevel="2">
      <c r="A526" s="309"/>
      <c r="B526" s="28"/>
      <c r="C526" s="51">
        <v>9</v>
      </c>
      <c r="D526" s="51">
        <v>1</v>
      </c>
      <c r="E526" s="51">
        <f t="shared" si="57"/>
        <v>2</v>
      </c>
      <c r="F526" s="51">
        <v>2</v>
      </c>
      <c r="G526" s="51">
        <v>9</v>
      </c>
      <c r="H526" s="51"/>
      <c r="I526" s="51"/>
      <c r="J526" s="51"/>
      <c r="K526" s="51">
        <f>1.55*C526*E526</f>
        <v>27.900000000000002</v>
      </c>
      <c r="L526" s="51"/>
      <c r="M526" s="51"/>
      <c r="N526" s="51"/>
      <c r="O526" s="290"/>
      <c r="P526" s="90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</row>
    <row r="527" spans="1:50" ht="20.100000000000001" hidden="1" customHeight="1" outlineLevel="2">
      <c r="A527" s="309"/>
      <c r="B527" s="28"/>
      <c r="C527" s="51">
        <v>3.5</v>
      </c>
      <c r="D527" s="51">
        <v>1</v>
      </c>
      <c r="E527" s="51">
        <f t="shared" si="57"/>
        <v>1</v>
      </c>
      <c r="F527" s="51">
        <v>1</v>
      </c>
      <c r="G527" s="51">
        <v>3.5</v>
      </c>
      <c r="H527" s="51"/>
      <c r="I527" s="51"/>
      <c r="J527" s="51"/>
      <c r="K527" s="51">
        <f>1.55*C527*E527</f>
        <v>5.4249999999999998</v>
      </c>
      <c r="L527" s="51"/>
      <c r="M527" s="51"/>
      <c r="N527" s="51"/>
      <c r="O527" s="290"/>
      <c r="P527" s="90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</row>
    <row r="528" spans="1:50" ht="20.100000000000001" hidden="1" customHeight="1" outlineLevel="2">
      <c r="A528" s="309"/>
      <c r="B528" s="53"/>
      <c r="C528" s="51">
        <v>5.5</v>
      </c>
      <c r="D528" s="51">
        <v>1</v>
      </c>
      <c r="E528" s="51">
        <f t="shared" si="57"/>
        <v>1</v>
      </c>
      <c r="F528" s="51">
        <v>1</v>
      </c>
      <c r="G528" s="51">
        <v>5.5</v>
      </c>
      <c r="H528" s="51"/>
      <c r="I528" s="51"/>
      <c r="J528" s="63"/>
      <c r="K528" s="51">
        <f>1.55*C528*E528</f>
        <v>8.5250000000000004</v>
      </c>
      <c r="L528" s="51"/>
      <c r="M528" s="51"/>
      <c r="N528" s="51"/>
      <c r="O528" s="290"/>
      <c r="P528" s="90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</row>
    <row r="529" spans="1:50" ht="20.100000000000001" hidden="1" customHeight="1" outlineLevel="2">
      <c r="A529" s="309"/>
      <c r="B529" s="53"/>
      <c r="C529" s="51">
        <v>5.5</v>
      </c>
      <c r="D529" s="51">
        <v>1</v>
      </c>
      <c r="E529" s="51">
        <f t="shared" si="57"/>
        <v>1</v>
      </c>
      <c r="F529" s="51">
        <v>1</v>
      </c>
      <c r="G529" s="51">
        <v>5.5</v>
      </c>
      <c r="H529" s="51"/>
      <c r="I529" s="51"/>
      <c r="J529" s="51">
        <f>E528*C528</f>
        <v>5.5</v>
      </c>
      <c r="K529" s="51"/>
      <c r="L529" s="51"/>
      <c r="M529" s="51"/>
      <c r="N529" s="51"/>
      <c r="O529" s="290"/>
      <c r="P529" s="90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</row>
    <row r="530" spans="1:50" ht="20.100000000000001" hidden="1" customHeight="1" outlineLevel="2">
      <c r="A530" s="309"/>
      <c r="B530" s="28"/>
      <c r="C530" s="51">
        <v>4.5</v>
      </c>
      <c r="D530" s="51">
        <v>1</v>
      </c>
      <c r="E530" s="51">
        <f t="shared" si="57"/>
        <v>1</v>
      </c>
      <c r="F530" s="51">
        <v>1</v>
      </c>
      <c r="G530" s="51">
        <v>4.5</v>
      </c>
      <c r="H530" s="51"/>
      <c r="I530" s="51">
        <f>0.56*C530*E530</f>
        <v>2.5200000000000005</v>
      </c>
      <c r="J530" s="51"/>
      <c r="K530" s="51"/>
      <c r="L530" s="51"/>
      <c r="M530" s="51"/>
      <c r="N530" s="51"/>
      <c r="O530" s="290"/>
      <c r="P530" s="90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</row>
    <row r="531" spans="1:50" ht="20.100000000000001" hidden="1" customHeight="1" outlineLevel="2">
      <c r="A531" s="309"/>
      <c r="B531" s="28"/>
      <c r="C531" s="51">
        <v>4.8</v>
      </c>
      <c r="D531" s="51">
        <v>1</v>
      </c>
      <c r="E531" s="51">
        <f t="shared" si="57"/>
        <v>2</v>
      </c>
      <c r="F531" s="51">
        <v>2</v>
      </c>
      <c r="G531" s="51">
        <v>4.8</v>
      </c>
      <c r="H531" s="51"/>
      <c r="I531" s="51">
        <f>0.56*C531*E531</f>
        <v>5.3760000000000003</v>
      </c>
      <c r="J531" s="51"/>
      <c r="K531" s="51"/>
      <c r="L531" s="51"/>
      <c r="M531" s="51"/>
      <c r="N531" s="51"/>
      <c r="O531" s="290"/>
      <c r="P531" s="90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</row>
    <row r="532" spans="1:50" ht="44.25" hidden="1" customHeight="1" outlineLevel="2">
      <c r="A532" s="309"/>
      <c r="B532" s="28"/>
      <c r="C532" s="51">
        <f>(0.55*2)+(0.15*2)+(0.05*2)</f>
        <v>1.5000000000000002</v>
      </c>
      <c r="D532" s="51">
        <v>1</v>
      </c>
      <c r="E532" s="51">
        <v>66</v>
      </c>
      <c r="F532" s="51">
        <v>53</v>
      </c>
      <c r="G532" s="51">
        <f>C532</f>
        <v>1.5000000000000002</v>
      </c>
      <c r="H532" s="51">
        <f>0.25*E532*C532</f>
        <v>24.750000000000004</v>
      </c>
      <c r="I532" s="51"/>
      <c r="J532" s="51"/>
      <c r="K532" s="51"/>
      <c r="L532" s="51"/>
      <c r="M532" s="51"/>
      <c r="N532" s="51"/>
      <c r="O532" s="290"/>
      <c r="P532" s="90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</row>
    <row r="533" spans="1:50" ht="20.100000000000001" hidden="1" customHeight="1" outlineLevel="2">
      <c r="A533" s="2129" t="s">
        <v>196</v>
      </c>
      <c r="B533" s="2130"/>
      <c r="C533" s="2130"/>
      <c r="D533" s="2130"/>
      <c r="E533" s="2130"/>
      <c r="F533" s="2130"/>
      <c r="G533" s="2130"/>
      <c r="H533" s="561">
        <f>SUM(H518:H532)</f>
        <v>24.750000000000004</v>
      </c>
      <c r="I533" s="561">
        <f t="shared" ref="I533:O533" si="58">SUM(I518:I531)</f>
        <v>20.440000000000005</v>
      </c>
      <c r="J533" s="561">
        <f t="shared" si="58"/>
        <v>10.9</v>
      </c>
      <c r="K533" s="561">
        <f t="shared" si="58"/>
        <v>81.375</v>
      </c>
      <c r="L533" s="561">
        <f t="shared" si="58"/>
        <v>0</v>
      </c>
      <c r="M533" s="561">
        <f t="shared" si="58"/>
        <v>0</v>
      </c>
      <c r="N533" s="561">
        <f t="shared" si="58"/>
        <v>0</v>
      </c>
      <c r="O533" s="562">
        <f t="shared" si="58"/>
        <v>0</v>
      </c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</row>
    <row r="534" spans="1:50" ht="20.100000000000001" hidden="1" customHeight="1" outlineLevel="2">
      <c r="A534" s="2186" t="s">
        <v>233</v>
      </c>
      <c r="B534" s="2187"/>
      <c r="C534" s="2187"/>
      <c r="D534" s="2187"/>
      <c r="E534" s="2187"/>
      <c r="F534" s="2187"/>
      <c r="G534" s="2187"/>
      <c r="H534" s="2190">
        <f>SUM(H533:O533)</f>
        <v>137.465</v>
      </c>
      <c r="I534" s="2190"/>
      <c r="J534" s="2190"/>
      <c r="K534" s="2190"/>
      <c r="L534" s="2190"/>
      <c r="M534" s="2190"/>
      <c r="N534" s="2190"/>
      <c r="O534" s="2191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</row>
    <row r="535" spans="1:50" s="88" customFormat="1" ht="20.100000000000001" hidden="1" customHeight="1" outlineLevel="2">
      <c r="A535" s="2183"/>
      <c r="B535" s="2184"/>
      <c r="C535" s="2184"/>
      <c r="D535" s="2184"/>
      <c r="E535" s="2184"/>
      <c r="F535" s="2184"/>
      <c r="G535" s="2184"/>
      <c r="H535" s="2184"/>
      <c r="I535" s="2184"/>
      <c r="J535" s="2184"/>
      <c r="K535" s="2184"/>
      <c r="L535" s="2184"/>
      <c r="M535" s="2184"/>
      <c r="N535" s="2184"/>
      <c r="O535" s="2185"/>
      <c r="P535" s="87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0.100000000000001" hidden="1" customHeight="1" outlineLevel="2">
      <c r="A536" s="277" t="s">
        <v>156</v>
      </c>
      <c r="B536" s="28"/>
      <c r="C536" s="51">
        <v>10.5</v>
      </c>
      <c r="D536" s="51">
        <v>1</v>
      </c>
      <c r="E536" s="51">
        <f>D536*F536</f>
        <v>2</v>
      </c>
      <c r="F536" s="51">
        <v>2</v>
      </c>
      <c r="G536" s="51">
        <v>10.5</v>
      </c>
      <c r="H536" s="51"/>
      <c r="I536" s="51"/>
      <c r="J536" s="51"/>
      <c r="K536" s="51"/>
      <c r="L536" s="51"/>
      <c r="M536" s="51">
        <f>3*E536*C536</f>
        <v>63</v>
      </c>
      <c r="N536" s="51"/>
      <c r="O536" s="290"/>
      <c r="P536" s="90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</row>
    <row r="537" spans="1:50" ht="20.100000000000001" hidden="1" customHeight="1" outlineLevel="2">
      <c r="A537" s="309"/>
      <c r="B537" s="28"/>
      <c r="C537" s="51">
        <v>7</v>
      </c>
      <c r="D537" s="51">
        <v>1</v>
      </c>
      <c r="E537" s="51">
        <f>D537*F537</f>
        <v>1</v>
      </c>
      <c r="F537" s="51">
        <v>1</v>
      </c>
      <c r="G537" s="51">
        <v>7</v>
      </c>
      <c r="H537" s="51"/>
      <c r="I537" s="51"/>
      <c r="J537" s="51"/>
      <c r="K537" s="51"/>
      <c r="L537" s="51"/>
      <c r="M537" s="51">
        <f>3*E537*C537</f>
        <v>21</v>
      </c>
      <c r="N537" s="51"/>
      <c r="O537" s="290"/>
      <c r="P537" s="90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</row>
    <row r="538" spans="1:50" ht="45" hidden="1" customHeight="1" outlineLevel="2">
      <c r="A538" s="309"/>
      <c r="B538" s="28"/>
      <c r="C538" s="51">
        <f>(0.55*2)+(0.15*2)+(0.05*2)</f>
        <v>1.5000000000000002</v>
      </c>
      <c r="D538" s="51">
        <v>1</v>
      </c>
      <c r="E538" s="51">
        <v>32</v>
      </c>
      <c r="F538" s="51">
        <f>E538</f>
        <v>32</v>
      </c>
      <c r="G538" s="51">
        <f>C538</f>
        <v>1.5000000000000002</v>
      </c>
      <c r="H538" s="51">
        <f>0.25*E538*C538</f>
        <v>12.000000000000002</v>
      </c>
      <c r="I538" s="51"/>
      <c r="J538" s="51"/>
      <c r="K538" s="51"/>
      <c r="L538" s="51"/>
      <c r="M538" s="51"/>
      <c r="N538" s="51"/>
      <c r="O538" s="290"/>
      <c r="P538" s="90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</row>
    <row r="539" spans="1:50" ht="20.100000000000001" hidden="1" customHeight="1" outlineLevel="2">
      <c r="A539" s="2129" t="s">
        <v>196</v>
      </c>
      <c r="B539" s="2130"/>
      <c r="C539" s="2130"/>
      <c r="D539" s="2130"/>
      <c r="E539" s="2130"/>
      <c r="F539" s="2130"/>
      <c r="G539" s="2130"/>
      <c r="H539" s="561">
        <f>SUM(H536:H538)</f>
        <v>12.000000000000002</v>
      </c>
      <c r="I539" s="561">
        <f t="shared" ref="I539:O539" si="59">SUM(I536:I537)</f>
        <v>0</v>
      </c>
      <c r="J539" s="561">
        <f t="shared" si="59"/>
        <v>0</v>
      </c>
      <c r="K539" s="561">
        <f t="shared" si="59"/>
        <v>0</v>
      </c>
      <c r="L539" s="561">
        <f t="shared" si="59"/>
        <v>0</v>
      </c>
      <c r="M539" s="561">
        <f t="shared" si="59"/>
        <v>84</v>
      </c>
      <c r="N539" s="561">
        <f t="shared" si="59"/>
        <v>0</v>
      </c>
      <c r="O539" s="562">
        <f t="shared" si="59"/>
        <v>0</v>
      </c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</row>
    <row r="540" spans="1:50" ht="20.100000000000001" hidden="1" customHeight="1" outlineLevel="2">
      <c r="A540" s="2186" t="s">
        <v>234</v>
      </c>
      <c r="B540" s="2187"/>
      <c r="C540" s="2187"/>
      <c r="D540" s="2187"/>
      <c r="E540" s="2187"/>
      <c r="F540" s="2187"/>
      <c r="G540" s="2187"/>
      <c r="H540" s="2190">
        <f>SUM(H539:O539)</f>
        <v>96</v>
      </c>
      <c r="I540" s="2190"/>
      <c r="J540" s="2190"/>
      <c r="K540" s="2190"/>
      <c r="L540" s="2190"/>
      <c r="M540" s="2190"/>
      <c r="N540" s="2190"/>
      <c r="O540" s="2191"/>
      <c r="P540" s="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</row>
    <row r="541" spans="1:50" s="91" customFormat="1" ht="20.100000000000001" hidden="1" customHeight="1" outlineLevel="2">
      <c r="A541" s="2183"/>
      <c r="B541" s="2184"/>
      <c r="C541" s="2184"/>
      <c r="D541" s="2184"/>
      <c r="E541" s="2184"/>
      <c r="F541" s="2184"/>
      <c r="G541" s="2184"/>
      <c r="H541" s="2184"/>
      <c r="I541" s="2184"/>
      <c r="J541" s="2184"/>
      <c r="K541" s="2184"/>
      <c r="L541" s="2184"/>
      <c r="M541" s="2184"/>
      <c r="N541" s="2184"/>
      <c r="O541" s="2185"/>
      <c r="P541" s="87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0.100000000000001" hidden="1" customHeight="1" outlineLevel="2">
      <c r="A542" s="310" t="s">
        <v>157</v>
      </c>
      <c r="B542" s="28"/>
      <c r="C542" s="51">
        <v>4.5</v>
      </c>
      <c r="D542" s="51">
        <v>1</v>
      </c>
      <c r="E542" s="51">
        <f>D542*F542</f>
        <v>2</v>
      </c>
      <c r="F542" s="51">
        <v>2</v>
      </c>
      <c r="G542" s="51">
        <v>4.5</v>
      </c>
      <c r="H542" s="51"/>
      <c r="I542" s="51">
        <f>0.56*E542*C542</f>
        <v>5.0400000000000009</v>
      </c>
      <c r="J542" s="51"/>
      <c r="K542" s="51"/>
      <c r="L542" s="51"/>
      <c r="M542" s="51"/>
      <c r="N542" s="51"/>
      <c r="O542" s="290"/>
      <c r="P542" s="62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2"/>
      <c r="AE542" s="91"/>
    </row>
    <row r="543" spans="1:50" ht="20.100000000000001" hidden="1" customHeight="1" outlineLevel="2">
      <c r="A543" s="309"/>
      <c r="B543" s="28"/>
      <c r="C543" s="51">
        <v>4.25</v>
      </c>
      <c r="D543" s="51">
        <v>1</v>
      </c>
      <c r="E543" s="51">
        <f>D543*F543</f>
        <v>1</v>
      </c>
      <c r="F543" s="51">
        <v>1</v>
      </c>
      <c r="G543" s="51">
        <v>4.25</v>
      </c>
      <c r="H543" s="51"/>
      <c r="I543" s="51"/>
      <c r="J543" s="51">
        <f>E543*C543</f>
        <v>4.25</v>
      </c>
      <c r="K543" s="51"/>
      <c r="L543" s="51"/>
      <c r="M543" s="51"/>
      <c r="N543" s="51"/>
      <c r="O543" s="290"/>
      <c r="P543" s="62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</row>
    <row r="544" spans="1:50" ht="20.100000000000001" hidden="1" customHeight="1" outlineLevel="2">
      <c r="A544" s="2129" t="s">
        <v>196</v>
      </c>
      <c r="B544" s="2130"/>
      <c r="C544" s="2130"/>
      <c r="D544" s="2130"/>
      <c r="E544" s="2130"/>
      <c r="F544" s="2130"/>
      <c r="G544" s="2130"/>
      <c r="H544" s="561">
        <f t="shared" ref="H544:O544" si="60">SUM(H542:H543)</f>
        <v>0</v>
      </c>
      <c r="I544" s="561">
        <f t="shared" si="60"/>
        <v>5.0400000000000009</v>
      </c>
      <c r="J544" s="561">
        <f t="shared" si="60"/>
        <v>4.25</v>
      </c>
      <c r="K544" s="561">
        <f t="shared" si="60"/>
        <v>0</v>
      </c>
      <c r="L544" s="561">
        <f t="shared" si="60"/>
        <v>0</v>
      </c>
      <c r="M544" s="561">
        <f t="shared" si="60"/>
        <v>0</v>
      </c>
      <c r="N544" s="561">
        <f t="shared" si="60"/>
        <v>0</v>
      </c>
      <c r="O544" s="562">
        <f t="shared" si="60"/>
        <v>0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50" ht="20.100000000000001" hidden="1" customHeight="1" outlineLevel="2">
      <c r="A545" s="2186" t="s">
        <v>235</v>
      </c>
      <c r="B545" s="2187"/>
      <c r="C545" s="2187"/>
      <c r="D545" s="2187"/>
      <c r="E545" s="2187"/>
      <c r="F545" s="2187"/>
      <c r="G545" s="2187"/>
      <c r="H545" s="2190">
        <f>SUM(H544:O544)</f>
        <v>9.2900000000000009</v>
      </c>
      <c r="I545" s="2190"/>
      <c r="J545" s="2190"/>
      <c r="K545" s="2190"/>
      <c r="L545" s="2190"/>
      <c r="M545" s="2190"/>
      <c r="N545" s="2190"/>
      <c r="O545" s="2191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50" s="91" customFormat="1" ht="20.100000000000001" hidden="1" customHeight="1" outlineLevel="2">
      <c r="A546" s="2183"/>
      <c r="B546" s="2184"/>
      <c r="C546" s="2184"/>
      <c r="D546" s="2184"/>
      <c r="E546" s="2184"/>
      <c r="F546" s="2184"/>
      <c r="G546" s="2184"/>
      <c r="H546" s="2184"/>
      <c r="I546" s="2184"/>
      <c r="J546" s="2184"/>
      <c r="K546" s="2184"/>
      <c r="L546" s="2184"/>
      <c r="M546" s="2184"/>
      <c r="N546" s="2184"/>
      <c r="O546" s="2185"/>
      <c r="P546" s="87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0.100000000000001" hidden="1" customHeight="1" outlineLevel="2">
      <c r="A547" s="310" t="s">
        <v>158</v>
      </c>
      <c r="B547" s="28"/>
      <c r="C547" s="51">
        <v>10.6</v>
      </c>
      <c r="D547" s="51">
        <v>1</v>
      </c>
      <c r="E547" s="51">
        <f>D547*F547</f>
        <v>3</v>
      </c>
      <c r="F547" s="51">
        <v>3</v>
      </c>
      <c r="G547" s="51">
        <v>10.6</v>
      </c>
      <c r="H547" s="51"/>
      <c r="I547" s="51"/>
      <c r="J547" s="51"/>
      <c r="K547" s="51"/>
      <c r="L547" s="51"/>
      <c r="M547" s="51">
        <f>3*E547*C547</f>
        <v>95.399999999999991</v>
      </c>
      <c r="N547" s="51"/>
      <c r="O547" s="290"/>
      <c r="P547" s="62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2"/>
      <c r="AE547" s="91"/>
    </row>
    <row r="548" spans="1:50" ht="20.100000000000001" hidden="1" customHeight="1" outlineLevel="2">
      <c r="A548" s="309"/>
      <c r="B548" s="28"/>
      <c r="C548" s="51">
        <v>6.6</v>
      </c>
      <c r="D548" s="51">
        <v>1</v>
      </c>
      <c r="E548" s="51">
        <f>D548*F548</f>
        <v>1</v>
      </c>
      <c r="F548" s="51">
        <v>1</v>
      </c>
      <c r="G548" s="51">
        <v>6.6</v>
      </c>
      <c r="H548" s="51"/>
      <c r="I548" s="51"/>
      <c r="J548" s="51"/>
      <c r="K548" s="51"/>
      <c r="L548" s="51"/>
      <c r="M548" s="51"/>
      <c r="N548" s="51">
        <f>4*E548*C548</f>
        <v>26.4</v>
      </c>
      <c r="O548" s="290"/>
      <c r="P548" s="62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50" ht="45.75" hidden="1" customHeight="1" outlineLevel="2">
      <c r="A549" s="309"/>
      <c r="B549" s="28"/>
      <c r="C549" s="51">
        <f>(0.55*2)+(0.25*2)+(0.05*2)</f>
        <v>1.7000000000000002</v>
      </c>
      <c r="D549" s="51">
        <v>1</v>
      </c>
      <c r="E549" s="51">
        <v>28</v>
      </c>
      <c r="F549" s="51">
        <f>E549</f>
        <v>28</v>
      </c>
      <c r="G549" s="51">
        <f>C549</f>
        <v>1.7000000000000002</v>
      </c>
      <c r="H549" s="51">
        <f>0.25*E549*C549</f>
        <v>11.900000000000002</v>
      </c>
      <c r="I549" s="51"/>
      <c r="J549" s="51"/>
      <c r="K549" s="51"/>
      <c r="L549" s="51"/>
      <c r="M549" s="51"/>
      <c r="N549" s="51"/>
      <c r="O549" s="290"/>
      <c r="P549" s="62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</row>
    <row r="550" spans="1:50" ht="20.100000000000001" hidden="1" customHeight="1" outlineLevel="2">
      <c r="A550" s="2129" t="s">
        <v>196</v>
      </c>
      <c r="B550" s="2130"/>
      <c r="C550" s="2130"/>
      <c r="D550" s="2130"/>
      <c r="E550" s="2130"/>
      <c r="F550" s="2130"/>
      <c r="G550" s="2130"/>
      <c r="H550" s="561">
        <f>SUM(H547:H549)</f>
        <v>11.900000000000002</v>
      </c>
      <c r="I550" s="561">
        <f t="shared" ref="I550:O550" si="61">SUM(I547:I548)</f>
        <v>0</v>
      </c>
      <c r="J550" s="561">
        <f t="shared" si="61"/>
        <v>0</v>
      </c>
      <c r="K550" s="561">
        <f t="shared" si="61"/>
        <v>0</v>
      </c>
      <c r="L550" s="561">
        <f t="shared" si="61"/>
        <v>0</v>
      </c>
      <c r="M550" s="561">
        <f t="shared" si="61"/>
        <v>95.399999999999991</v>
      </c>
      <c r="N550" s="561">
        <f t="shared" si="61"/>
        <v>26.4</v>
      </c>
      <c r="O550" s="562">
        <f t="shared" si="61"/>
        <v>0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</row>
    <row r="551" spans="1:50" ht="20.100000000000001" hidden="1" customHeight="1" outlineLevel="2">
      <c r="A551" s="2186" t="s">
        <v>236</v>
      </c>
      <c r="B551" s="2187"/>
      <c r="C551" s="2187"/>
      <c r="D551" s="2187"/>
      <c r="E551" s="2187"/>
      <c r="F551" s="2187"/>
      <c r="G551" s="2187"/>
      <c r="H551" s="2190">
        <f>SUM(H550:O550)</f>
        <v>133.69999999999999</v>
      </c>
      <c r="I551" s="2190"/>
      <c r="J551" s="2190"/>
      <c r="K551" s="2190"/>
      <c r="L551" s="2190"/>
      <c r="M551" s="2190"/>
      <c r="N551" s="2190"/>
      <c r="O551" s="2191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</row>
    <row r="552" spans="1:50" s="91" customFormat="1" ht="20.100000000000001" hidden="1" customHeight="1" outlineLevel="2">
      <c r="A552" s="2183"/>
      <c r="B552" s="2184"/>
      <c r="C552" s="2184"/>
      <c r="D552" s="2184"/>
      <c r="E552" s="2184"/>
      <c r="F552" s="2184"/>
      <c r="G552" s="2184"/>
      <c r="H552" s="2184"/>
      <c r="I552" s="2184"/>
      <c r="J552" s="2184"/>
      <c r="K552" s="2184"/>
      <c r="L552" s="2184"/>
      <c r="M552" s="2184"/>
      <c r="N552" s="2184"/>
      <c r="O552" s="2185"/>
      <c r="P552" s="87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1"/>
      <c r="AE552" s="1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</row>
    <row r="553" spans="1:50" ht="20.100000000000001" hidden="1" customHeight="1" outlineLevel="2">
      <c r="A553" s="310" t="s">
        <v>159</v>
      </c>
      <c r="B553" s="53"/>
      <c r="C553" s="51">
        <v>10.7</v>
      </c>
      <c r="D553" s="51">
        <v>1</v>
      </c>
      <c r="E553" s="51">
        <f>D553*F553</f>
        <v>2</v>
      </c>
      <c r="F553" s="51">
        <v>2</v>
      </c>
      <c r="G553" s="51">
        <v>10.7</v>
      </c>
      <c r="H553" s="51"/>
      <c r="I553" s="51"/>
      <c r="J553" s="51"/>
      <c r="K553" s="51"/>
      <c r="L553" s="51"/>
      <c r="M553" s="51">
        <f>3*E553*C553</f>
        <v>64.199999999999989</v>
      </c>
      <c r="N553" s="51"/>
      <c r="O553" s="290"/>
      <c r="P553" s="62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2"/>
      <c r="AE553" s="91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</row>
    <row r="554" spans="1:50" ht="20.100000000000001" hidden="1" customHeight="1" outlineLevel="2">
      <c r="A554" s="309"/>
      <c r="B554" s="53"/>
      <c r="C554" s="51">
        <v>8</v>
      </c>
      <c r="D554" s="51">
        <v>1</v>
      </c>
      <c r="E554" s="51">
        <f>D554*F554</f>
        <v>1</v>
      </c>
      <c r="F554" s="51">
        <v>1</v>
      </c>
      <c r="G554" s="51">
        <v>8</v>
      </c>
      <c r="H554" s="51"/>
      <c r="I554" s="51"/>
      <c r="J554" s="51"/>
      <c r="K554" s="51"/>
      <c r="L554" s="51"/>
      <c r="M554" s="51"/>
      <c r="N554" s="51">
        <f>4*E554*C554</f>
        <v>32</v>
      </c>
      <c r="O554" s="290"/>
      <c r="P554" s="62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</row>
    <row r="555" spans="1:50" ht="45" hidden="1" customHeight="1" outlineLevel="2">
      <c r="A555" s="309"/>
      <c r="B555" s="53"/>
      <c r="C555" s="51">
        <f>(0.55*2)+(0.15*2)+(0.05*2)</f>
        <v>1.5000000000000002</v>
      </c>
      <c r="D555" s="51">
        <v>1</v>
      </c>
      <c r="E555" s="51">
        <v>42</v>
      </c>
      <c r="F555" s="51">
        <f>E555</f>
        <v>42</v>
      </c>
      <c r="G555" s="51">
        <f>C555</f>
        <v>1.5000000000000002</v>
      </c>
      <c r="H555" s="51">
        <f>0.25*E555*C555</f>
        <v>15.750000000000002</v>
      </c>
      <c r="I555" s="51"/>
      <c r="J555" s="51"/>
      <c r="K555" s="51"/>
      <c r="L555" s="51"/>
      <c r="M555" s="51"/>
      <c r="N555" s="51"/>
      <c r="O555" s="290"/>
      <c r="P555" s="62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</row>
    <row r="556" spans="1:50" ht="20.100000000000001" hidden="1" customHeight="1" outlineLevel="2">
      <c r="A556" s="2129" t="s">
        <v>196</v>
      </c>
      <c r="B556" s="2130"/>
      <c r="C556" s="2130"/>
      <c r="D556" s="2130"/>
      <c r="E556" s="2130"/>
      <c r="F556" s="2130"/>
      <c r="G556" s="2130"/>
      <c r="H556" s="561">
        <f>SUM(H553:H555)</f>
        <v>15.750000000000002</v>
      </c>
      <c r="I556" s="561">
        <f t="shared" ref="I556:O556" si="62">SUM(I553:I554)</f>
        <v>0</v>
      </c>
      <c r="J556" s="561">
        <f t="shared" si="62"/>
        <v>0</v>
      </c>
      <c r="K556" s="561">
        <f t="shared" si="62"/>
        <v>0</v>
      </c>
      <c r="L556" s="561">
        <f t="shared" si="62"/>
        <v>0</v>
      </c>
      <c r="M556" s="561">
        <f t="shared" si="62"/>
        <v>64.199999999999989</v>
      </c>
      <c r="N556" s="561">
        <f t="shared" si="62"/>
        <v>32</v>
      </c>
      <c r="O556" s="562">
        <f t="shared" si="62"/>
        <v>0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50" ht="20.100000000000001" hidden="1" customHeight="1" outlineLevel="2">
      <c r="A557" s="2186" t="s">
        <v>237</v>
      </c>
      <c r="B557" s="2187"/>
      <c r="C557" s="2187"/>
      <c r="D557" s="2187"/>
      <c r="E557" s="2187"/>
      <c r="F557" s="2187"/>
      <c r="G557" s="2187"/>
      <c r="H557" s="2190">
        <f>SUM(H556:O556)</f>
        <v>111.94999999999999</v>
      </c>
      <c r="I557" s="2190"/>
      <c r="J557" s="2190"/>
      <c r="K557" s="2190"/>
      <c r="L557" s="2190"/>
      <c r="M557" s="2190"/>
      <c r="N557" s="2190"/>
      <c r="O557" s="2191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50" s="88" customFormat="1" ht="20.100000000000001" hidden="1" customHeight="1" outlineLevel="2">
      <c r="A558" s="2183"/>
      <c r="B558" s="2184"/>
      <c r="C558" s="2184"/>
      <c r="D558" s="2184"/>
      <c r="E558" s="2184"/>
      <c r="F558" s="2184"/>
      <c r="G558" s="2184"/>
      <c r="H558" s="2184"/>
      <c r="I558" s="2184"/>
      <c r="J558" s="2184"/>
      <c r="K558" s="2184"/>
      <c r="L558" s="2184"/>
      <c r="M558" s="2184"/>
      <c r="N558" s="2184"/>
      <c r="O558" s="2185"/>
      <c r="P558" s="87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0.100000000000001" hidden="1" customHeight="1" outlineLevel="2">
      <c r="A559" s="310" t="s">
        <v>160</v>
      </c>
      <c r="B559" s="28"/>
      <c r="C559" s="51">
        <v>5.7</v>
      </c>
      <c r="D559" s="51">
        <v>1</v>
      </c>
      <c r="E559" s="51">
        <f>D559*F559</f>
        <v>2</v>
      </c>
      <c r="F559" s="51">
        <v>2</v>
      </c>
      <c r="G559" s="51">
        <v>5.7</v>
      </c>
      <c r="H559" s="51"/>
      <c r="I559" s="51"/>
      <c r="J559" s="51">
        <f>C559*E559</f>
        <v>11.4</v>
      </c>
      <c r="K559" s="51"/>
      <c r="L559" s="51"/>
      <c r="M559" s="51"/>
      <c r="N559" s="51"/>
      <c r="O559" s="290"/>
      <c r="P559" s="62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9"/>
      <c r="AE559" s="88"/>
    </row>
    <row r="560" spans="1:50" ht="20.100000000000001" hidden="1" customHeight="1" outlineLevel="2">
      <c r="A560" s="309"/>
      <c r="B560" s="28"/>
      <c r="C560" s="51">
        <v>4.7</v>
      </c>
      <c r="D560" s="51">
        <v>1</v>
      </c>
      <c r="E560" s="51">
        <f>D560*F560</f>
        <v>1</v>
      </c>
      <c r="F560" s="51">
        <v>1</v>
      </c>
      <c r="G560" s="51">
        <v>4.7</v>
      </c>
      <c r="H560" s="51"/>
      <c r="I560" s="51"/>
      <c r="J560" s="51">
        <f>C560*E560</f>
        <v>4.7</v>
      </c>
      <c r="K560" s="51"/>
      <c r="L560" s="51"/>
      <c r="M560" s="51"/>
      <c r="N560" s="51"/>
      <c r="O560" s="290"/>
      <c r="P560" s="62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50" ht="44.25" hidden="1" customHeight="1" outlineLevel="2">
      <c r="A561" s="309"/>
      <c r="B561" s="28"/>
      <c r="C561" s="51">
        <f>(0.55*2)+(0.15*2)+(0.05*2)</f>
        <v>1.5000000000000002</v>
      </c>
      <c r="D561" s="51">
        <v>1</v>
      </c>
      <c r="E561" s="51">
        <v>17</v>
      </c>
      <c r="F561" s="51">
        <f>E561</f>
        <v>17</v>
      </c>
      <c r="G561" s="51">
        <f>C561</f>
        <v>1.5000000000000002</v>
      </c>
      <c r="H561" s="51">
        <f>0.25*E561*C561</f>
        <v>6.3750000000000009</v>
      </c>
      <c r="I561" s="51"/>
      <c r="J561" s="51"/>
      <c r="K561" s="51"/>
      <c r="L561" s="51"/>
      <c r="M561" s="51"/>
      <c r="N561" s="51"/>
      <c r="O561" s="290"/>
      <c r="P561" s="62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</row>
    <row r="562" spans="1:50" ht="20.100000000000001" hidden="1" customHeight="1" outlineLevel="2">
      <c r="A562" s="2129" t="s">
        <v>196</v>
      </c>
      <c r="B562" s="2130"/>
      <c r="C562" s="2130"/>
      <c r="D562" s="2130"/>
      <c r="E562" s="2130"/>
      <c r="F562" s="2130"/>
      <c r="G562" s="2130"/>
      <c r="H562" s="561">
        <f>SUM(H559:H561)</f>
        <v>6.3750000000000009</v>
      </c>
      <c r="I562" s="561">
        <f t="shared" ref="I562:O562" si="63">SUM(I559:I560)</f>
        <v>0</v>
      </c>
      <c r="J562" s="561">
        <f>SUM(J559:J560)</f>
        <v>16.100000000000001</v>
      </c>
      <c r="K562" s="561">
        <f t="shared" si="63"/>
        <v>0</v>
      </c>
      <c r="L562" s="561">
        <f t="shared" si="63"/>
        <v>0</v>
      </c>
      <c r="M562" s="561">
        <f t="shared" si="63"/>
        <v>0</v>
      </c>
      <c r="N562" s="561">
        <f t="shared" si="63"/>
        <v>0</v>
      </c>
      <c r="O562" s="562">
        <f t="shared" si="63"/>
        <v>0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50" ht="20.100000000000001" hidden="1" customHeight="1" outlineLevel="2">
      <c r="A563" s="2186" t="s">
        <v>238</v>
      </c>
      <c r="B563" s="2187"/>
      <c r="C563" s="2187"/>
      <c r="D563" s="2187"/>
      <c r="E563" s="2187"/>
      <c r="F563" s="2187"/>
      <c r="G563" s="2187"/>
      <c r="H563" s="2190">
        <f>SUM(H562:O562)</f>
        <v>22.475000000000001</v>
      </c>
      <c r="I563" s="2190"/>
      <c r="J563" s="2190"/>
      <c r="K563" s="2190"/>
      <c r="L563" s="2190"/>
      <c r="M563" s="2190"/>
      <c r="N563" s="2190"/>
      <c r="O563" s="2191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50" s="88" customFormat="1" ht="20.100000000000001" hidden="1" customHeight="1" outlineLevel="2">
      <c r="A564" s="2183"/>
      <c r="B564" s="2184"/>
      <c r="C564" s="2184"/>
      <c r="D564" s="2184"/>
      <c r="E564" s="2184"/>
      <c r="F564" s="2184"/>
      <c r="G564" s="2184"/>
      <c r="H564" s="2184"/>
      <c r="I564" s="2184"/>
      <c r="J564" s="2184"/>
      <c r="K564" s="2184"/>
      <c r="L564" s="2184"/>
      <c r="M564" s="2184"/>
      <c r="N564" s="2184"/>
      <c r="O564" s="2185"/>
      <c r="P564" s="87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s="68" customFormat="1" ht="20.100000000000001" hidden="1" customHeight="1" outlineLevel="2">
      <c r="A565" s="277" t="s">
        <v>160</v>
      </c>
      <c r="B565" s="559"/>
      <c r="C565" s="69">
        <v>5.7</v>
      </c>
      <c r="D565" s="69">
        <v>1</v>
      </c>
      <c r="E565" s="69">
        <v>2</v>
      </c>
      <c r="F565" s="69">
        <v>2</v>
      </c>
      <c r="G565" s="69">
        <f>C565</f>
        <v>5.7</v>
      </c>
      <c r="H565" s="69"/>
      <c r="I565" s="69"/>
      <c r="J565" s="69">
        <f>C565*E565</f>
        <v>11.4</v>
      </c>
      <c r="K565" s="559"/>
      <c r="L565" s="559"/>
      <c r="M565" s="559"/>
      <c r="N565" s="559"/>
      <c r="O565" s="560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s="68" customFormat="1" ht="20.100000000000001" hidden="1" customHeight="1" outlineLevel="2">
      <c r="A566" s="558"/>
      <c r="B566" s="559"/>
      <c r="C566" s="69">
        <v>4.7</v>
      </c>
      <c r="D566" s="69">
        <v>1</v>
      </c>
      <c r="E566" s="69">
        <v>1</v>
      </c>
      <c r="F566" s="69">
        <v>1</v>
      </c>
      <c r="G566" s="69">
        <f>C566</f>
        <v>4.7</v>
      </c>
      <c r="H566" s="69"/>
      <c r="I566" s="69"/>
      <c r="J566" s="69">
        <f>C566*E566</f>
        <v>4.7</v>
      </c>
      <c r="K566" s="559"/>
      <c r="L566" s="559"/>
      <c r="M566" s="559"/>
      <c r="N566" s="559"/>
      <c r="O566" s="560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s="68" customFormat="1" ht="43.5" hidden="1" customHeight="1" outlineLevel="2">
      <c r="A567" s="309"/>
      <c r="B567" s="28"/>
      <c r="C567" s="51">
        <f>(0.55*2)+(0.15*2)+(0.05*2)</f>
        <v>1.5000000000000002</v>
      </c>
      <c r="D567" s="51">
        <v>1</v>
      </c>
      <c r="E567" s="51">
        <v>9</v>
      </c>
      <c r="F567" s="51">
        <f>E567</f>
        <v>9</v>
      </c>
      <c r="G567" s="51">
        <f>C567</f>
        <v>1.5000000000000002</v>
      </c>
      <c r="H567" s="51">
        <f>0.25*E567*C567</f>
        <v>3.3750000000000004</v>
      </c>
      <c r="I567" s="69"/>
      <c r="J567" s="69"/>
      <c r="K567" s="559"/>
      <c r="L567" s="559"/>
      <c r="M567" s="559"/>
      <c r="N567" s="559"/>
      <c r="O567" s="560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s="68" customFormat="1" ht="20.100000000000001" hidden="1" customHeight="1" outlineLevel="2">
      <c r="A568" s="2129" t="s">
        <v>196</v>
      </c>
      <c r="B568" s="2130"/>
      <c r="C568" s="2130"/>
      <c r="D568" s="2130"/>
      <c r="E568" s="2130"/>
      <c r="F568" s="2130"/>
      <c r="G568" s="2130"/>
      <c r="H568" s="555">
        <f>SUM(H565:H567)</f>
        <v>3.3750000000000004</v>
      </c>
      <c r="I568" s="555">
        <f t="shared" ref="I568:O568" si="64">SUM(I565:I567)</f>
        <v>0</v>
      </c>
      <c r="J568" s="555">
        <f t="shared" si="64"/>
        <v>16.100000000000001</v>
      </c>
      <c r="K568" s="555">
        <f t="shared" si="64"/>
        <v>0</v>
      </c>
      <c r="L568" s="555">
        <f t="shared" si="64"/>
        <v>0</v>
      </c>
      <c r="M568" s="555">
        <f t="shared" si="64"/>
        <v>0</v>
      </c>
      <c r="N568" s="555">
        <f t="shared" si="64"/>
        <v>0</v>
      </c>
      <c r="O568" s="563">
        <f t="shared" si="64"/>
        <v>0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s="68" customFormat="1" ht="20.100000000000001" hidden="1" customHeight="1" outlineLevel="2">
      <c r="A569" s="2186" t="s">
        <v>238</v>
      </c>
      <c r="B569" s="2187"/>
      <c r="C569" s="2187"/>
      <c r="D569" s="2187"/>
      <c r="E569" s="2187"/>
      <c r="F569" s="2187"/>
      <c r="G569" s="2187"/>
      <c r="H569" s="1965">
        <f>SUM(H568:O568)</f>
        <v>19.475000000000001</v>
      </c>
      <c r="I569" s="1965"/>
      <c r="J569" s="1965"/>
      <c r="K569" s="1965"/>
      <c r="L569" s="1965"/>
      <c r="M569" s="1965"/>
      <c r="N569" s="1965"/>
      <c r="O569" s="2210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s="86" customFormat="1" ht="20.100000000000001" hidden="1" customHeight="1" outlineLevel="2">
      <c r="A570" s="2183"/>
      <c r="B570" s="2184"/>
      <c r="C570" s="2184"/>
      <c r="D570" s="2184"/>
      <c r="E570" s="2184"/>
      <c r="F570" s="2184"/>
      <c r="G570" s="2184"/>
      <c r="H570" s="2184"/>
      <c r="I570" s="2184"/>
      <c r="J570" s="2184"/>
      <c r="K570" s="2184"/>
      <c r="L570" s="2184"/>
      <c r="M570" s="2184"/>
      <c r="N570" s="2184"/>
      <c r="O570" s="2185"/>
      <c r="P570" s="87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0.100000000000001" hidden="1" customHeight="1" outlineLevel="2">
      <c r="A571" s="277" t="s">
        <v>161</v>
      </c>
      <c r="B571" s="28"/>
      <c r="C571" s="51">
        <v>6.3</v>
      </c>
      <c r="D571" s="51">
        <v>1</v>
      </c>
      <c r="E571" s="51">
        <f>D571*F571</f>
        <v>2</v>
      </c>
      <c r="F571" s="51">
        <v>2</v>
      </c>
      <c r="G571" s="51">
        <v>6.3</v>
      </c>
      <c r="H571" s="51"/>
      <c r="I571" s="51"/>
      <c r="J571" s="51">
        <f>1*E571*C571</f>
        <v>12.6</v>
      </c>
      <c r="K571" s="51"/>
      <c r="L571" s="51"/>
      <c r="M571" s="51"/>
      <c r="N571" s="51"/>
      <c r="O571" s="290"/>
      <c r="P571" s="62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</row>
    <row r="572" spans="1:50" ht="20.100000000000001" hidden="1" customHeight="1" outlineLevel="2">
      <c r="A572" s="309"/>
      <c r="B572" s="53"/>
      <c r="C572" s="51">
        <v>5.9</v>
      </c>
      <c r="D572" s="51">
        <v>1</v>
      </c>
      <c r="E572" s="51">
        <f>D572*F572</f>
        <v>1</v>
      </c>
      <c r="F572" s="51">
        <v>1</v>
      </c>
      <c r="G572" s="51">
        <v>5.9</v>
      </c>
      <c r="H572" s="51"/>
      <c r="I572" s="51"/>
      <c r="J572" s="51"/>
      <c r="K572" s="51">
        <f>1.55*E572*C572</f>
        <v>9.1450000000000014</v>
      </c>
      <c r="L572" s="51"/>
      <c r="M572" s="51"/>
      <c r="N572" s="51"/>
      <c r="O572" s="290"/>
      <c r="P572" s="62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50" ht="45.75" hidden="1" customHeight="1" outlineLevel="2">
      <c r="A573" s="309"/>
      <c r="B573" s="53"/>
      <c r="C573" s="51">
        <f>(0.55*2)+(0.15*2)+(0.05*2)</f>
        <v>1.5000000000000002</v>
      </c>
      <c r="D573" s="51">
        <v>1</v>
      </c>
      <c r="E573" s="51">
        <v>14</v>
      </c>
      <c r="F573" s="51">
        <f>E573</f>
        <v>14</v>
      </c>
      <c r="G573" s="51">
        <f>C573</f>
        <v>1.5000000000000002</v>
      </c>
      <c r="H573" s="51">
        <f>0.25*E573*C573</f>
        <v>5.2500000000000009</v>
      </c>
      <c r="I573" s="51"/>
      <c r="J573" s="51"/>
      <c r="K573" s="51"/>
      <c r="L573" s="51"/>
      <c r="M573" s="51"/>
      <c r="N573" s="51"/>
      <c r="O573" s="290"/>
      <c r="P573" s="62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50" ht="20.100000000000001" hidden="1" customHeight="1" outlineLevel="2">
      <c r="A574" s="2129" t="s">
        <v>196</v>
      </c>
      <c r="B574" s="2130"/>
      <c r="C574" s="2130"/>
      <c r="D574" s="2130"/>
      <c r="E574" s="2130"/>
      <c r="F574" s="2130"/>
      <c r="G574" s="2130"/>
      <c r="H574" s="561">
        <f>SUM(H571:H573)</f>
        <v>5.2500000000000009</v>
      </c>
      <c r="I574" s="561">
        <f t="shared" ref="I574:O574" si="65">SUM(I571:I572)</f>
        <v>0</v>
      </c>
      <c r="J574" s="561">
        <f t="shared" si="65"/>
        <v>12.6</v>
      </c>
      <c r="K574" s="561">
        <f t="shared" si="65"/>
        <v>9.1450000000000014</v>
      </c>
      <c r="L574" s="561">
        <f t="shared" si="65"/>
        <v>0</v>
      </c>
      <c r="M574" s="561">
        <f t="shared" si="65"/>
        <v>0</v>
      </c>
      <c r="N574" s="561">
        <f t="shared" si="65"/>
        <v>0</v>
      </c>
      <c r="O574" s="562">
        <f t="shared" si="65"/>
        <v>0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50" ht="20.100000000000001" hidden="1" customHeight="1" outlineLevel="2">
      <c r="A575" s="2186" t="s">
        <v>239</v>
      </c>
      <c r="B575" s="2187"/>
      <c r="C575" s="2187"/>
      <c r="D575" s="2187"/>
      <c r="E575" s="2187"/>
      <c r="F575" s="2187"/>
      <c r="G575" s="2187"/>
      <c r="H575" s="2190">
        <f>SUM(H574:O574)</f>
        <v>26.995000000000005</v>
      </c>
      <c r="I575" s="2190"/>
      <c r="J575" s="2190"/>
      <c r="K575" s="2190"/>
      <c r="L575" s="2190"/>
      <c r="M575" s="2190"/>
      <c r="N575" s="2190"/>
      <c r="O575" s="2191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50" s="91" customFormat="1" ht="20.100000000000001" hidden="1" customHeight="1" outlineLevel="2">
      <c r="A576" s="2183"/>
      <c r="B576" s="2184"/>
      <c r="C576" s="2184"/>
      <c r="D576" s="2184"/>
      <c r="E576" s="2184"/>
      <c r="F576" s="2184"/>
      <c r="G576" s="2184"/>
      <c r="H576" s="2184"/>
      <c r="I576" s="2184"/>
      <c r="J576" s="2184"/>
      <c r="K576" s="2184"/>
      <c r="L576" s="2184"/>
      <c r="M576" s="2184"/>
      <c r="N576" s="2184"/>
      <c r="O576" s="2185"/>
      <c r="P576" s="87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0.100000000000001" hidden="1" customHeight="1" outlineLevel="2">
      <c r="A577" s="277" t="s">
        <v>162</v>
      </c>
      <c r="B577" s="53"/>
      <c r="C577" s="51">
        <v>3</v>
      </c>
      <c r="D577" s="51">
        <v>1</v>
      </c>
      <c r="E577" s="51">
        <f t="shared" ref="E577:E602" si="66">D577*F577</f>
        <v>1</v>
      </c>
      <c r="F577" s="51">
        <v>1</v>
      </c>
      <c r="G577" s="51">
        <v>3</v>
      </c>
      <c r="H577" s="51"/>
      <c r="I577" s="51"/>
      <c r="J577" s="51"/>
      <c r="K577" s="51"/>
      <c r="L577" s="51">
        <f>2.24*E577*C577</f>
        <v>6.7200000000000006</v>
      </c>
      <c r="M577" s="51"/>
      <c r="N577" s="51"/>
      <c r="O577" s="290"/>
      <c r="P577" s="62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</row>
    <row r="578" spans="1:50" ht="20.100000000000001" hidden="1" customHeight="1" outlineLevel="2">
      <c r="A578" s="311"/>
      <c r="B578" s="28"/>
      <c r="C578" s="51">
        <v>5.5</v>
      </c>
      <c r="D578" s="51">
        <v>1</v>
      </c>
      <c r="E578" s="51">
        <f t="shared" si="66"/>
        <v>2</v>
      </c>
      <c r="F578" s="51">
        <v>2</v>
      </c>
      <c r="G578" s="51">
        <v>5.5</v>
      </c>
      <c r="H578" s="51"/>
      <c r="I578" s="51"/>
      <c r="J578" s="51"/>
      <c r="K578" s="51">
        <f>1.55*E578*C578</f>
        <v>17.05</v>
      </c>
      <c r="L578" s="51"/>
      <c r="M578" s="51"/>
      <c r="N578" s="51"/>
      <c r="O578" s="290"/>
      <c r="P578" s="62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50" ht="20.100000000000001" hidden="1" customHeight="1" outlineLevel="2">
      <c r="A579" s="309"/>
      <c r="B579" s="28"/>
      <c r="C579" s="51">
        <v>4.5</v>
      </c>
      <c r="D579" s="51">
        <v>1</v>
      </c>
      <c r="E579" s="51">
        <f t="shared" si="66"/>
        <v>3</v>
      </c>
      <c r="F579" s="51">
        <v>3</v>
      </c>
      <c r="G579" s="51">
        <v>4.5</v>
      </c>
      <c r="H579" s="51"/>
      <c r="I579" s="51">
        <f>0.56*E579*C579</f>
        <v>7.5600000000000005</v>
      </c>
      <c r="J579" s="51"/>
      <c r="K579" s="51"/>
      <c r="L579" s="51"/>
      <c r="M579" s="51"/>
      <c r="N579" s="51"/>
      <c r="O579" s="290"/>
      <c r="P579" s="62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50" ht="20.100000000000001" hidden="1" customHeight="1" outlineLevel="2">
      <c r="A580" s="309"/>
      <c r="B580" s="28"/>
      <c r="C580" s="51">
        <v>8</v>
      </c>
      <c r="D580" s="51">
        <v>1</v>
      </c>
      <c r="E580" s="51">
        <f t="shared" si="66"/>
        <v>2</v>
      </c>
      <c r="F580" s="51">
        <v>2</v>
      </c>
      <c r="G580" s="51">
        <v>8</v>
      </c>
      <c r="H580" s="51"/>
      <c r="I580" s="51"/>
      <c r="J580" s="51"/>
      <c r="K580" s="51">
        <f>1.55*C580*E580</f>
        <v>24.8</v>
      </c>
      <c r="L580" s="51"/>
      <c r="M580" s="51"/>
      <c r="N580" s="51"/>
      <c r="O580" s="290"/>
      <c r="P580" s="62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50" ht="20.100000000000001" hidden="1" customHeight="1" outlineLevel="2">
      <c r="A581" s="309"/>
      <c r="B581" s="28"/>
      <c r="C581" s="51">
        <v>9.5</v>
      </c>
      <c r="D581" s="51">
        <v>1</v>
      </c>
      <c r="E581" s="51">
        <f t="shared" si="66"/>
        <v>2</v>
      </c>
      <c r="F581" s="51">
        <v>2</v>
      </c>
      <c r="G581" s="51">
        <v>9.5</v>
      </c>
      <c r="H581" s="51"/>
      <c r="I581" s="51"/>
      <c r="J581" s="51"/>
      <c r="K581" s="51">
        <f>1.55*C581*E581</f>
        <v>29.45</v>
      </c>
      <c r="L581" s="51"/>
      <c r="M581" s="51"/>
      <c r="N581" s="51"/>
      <c r="O581" s="290"/>
      <c r="P581" s="62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50" ht="20.100000000000001" hidden="1" customHeight="1" outlineLevel="2">
      <c r="A582" s="309"/>
      <c r="B582" s="28"/>
      <c r="C582" s="51">
        <v>9.5</v>
      </c>
      <c r="D582" s="51">
        <v>1</v>
      </c>
      <c r="E582" s="51">
        <f t="shared" si="66"/>
        <v>1</v>
      </c>
      <c r="F582" s="51">
        <v>1</v>
      </c>
      <c r="G582" s="51">
        <v>9.5</v>
      </c>
      <c r="H582" s="51"/>
      <c r="I582" s="51"/>
      <c r="J582" s="51">
        <f>1*E582*C582</f>
        <v>9.5</v>
      </c>
      <c r="K582" s="51"/>
      <c r="L582" s="51"/>
      <c r="M582" s="51"/>
      <c r="N582" s="51"/>
      <c r="O582" s="290"/>
      <c r="P582" s="62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50" ht="20.100000000000001" hidden="1" customHeight="1" outlineLevel="2">
      <c r="A583" s="309"/>
      <c r="B583" s="28"/>
      <c r="C583" s="51">
        <v>3</v>
      </c>
      <c r="D583" s="51">
        <v>1</v>
      </c>
      <c r="E583" s="51">
        <f t="shared" si="66"/>
        <v>2</v>
      </c>
      <c r="F583" s="51">
        <v>2</v>
      </c>
      <c r="G583" s="51">
        <v>3</v>
      </c>
      <c r="H583" s="51"/>
      <c r="I583" s="51"/>
      <c r="J583" s="51"/>
      <c r="K583" s="51"/>
      <c r="L583" s="51"/>
      <c r="M583" s="51">
        <f>3*E583*C583</f>
        <v>18</v>
      </c>
      <c r="N583" s="51"/>
      <c r="O583" s="290"/>
      <c r="P583" s="62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50" ht="20.100000000000001" hidden="1" customHeight="1" outlineLevel="2">
      <c r="A584" s="309"/>
      <c r="B584" s="28"/>
      <c r="C584" s="51">
        <v>6</v>
      </c>
      <c r="D584" s="51">
        <v>1</v>
      </c>
      <c r="E584" s="51">
        <f t="shared" si="66"/>
        <v>2</v>
      </c>
      <c r="F584" s="51">
        <v>2</v>
      </c>
      <c r="G584" s="51">
        <v>6</v>
      </c>
      <c r="H584" s="51"/>
      <c r="I584" s="51"/>
      <c r="J584" s="51"/>
      <c r="K584" s="51"/>
      <c r="L584" s="63"/>
      <c r="M584" s="51">
        <f>3*E584*C584</f>
        <v>36</v>
      </c>
      <c r="N584" s="51"/>
      <c r="O584" s="290"/>
      <c r="P584" s="62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50" ht="20.100000000000001" hidden="1" customHeight="1" outlineLevel="2">
      <c r="A585" s="309"/>
      <c r="B585" s="28"/>
      <c r="C585" s="51">
        <v>6</v>
      </c>
      <c r="D585" s="51">
        <v>1</v>
      </c>
      <c r="E585" s="51">
        <f t="shared" si="66"/>
        <v>1</v>
      </c>
      <c r="F585" s="51">
        <v>1</v>
      </c>
      <c r="G585" s="51">
        <v>6</v>
      </c>
      <c r="H585" s="51"/>
      <c r="I585" s="51"/>
      <c r="J585" s="51"/>
      <c r="K585" s="51"/>
      <c r="L585" s="51">
        <f>2.24*E585*C585</f>
        <v>13.440000000000001</v>
      </c>
      <c r="M585" s="51"/>
      <c r="N585" s="51"/>
      <c r="O585" s="290"/>
      <c r="P585" s="62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50" ht="20.100000000000001" hidden="1" customHeight="1" outlineLevel="2">
      <c r="A586" s="309"/>
      <c r="B586" s="28"/>
      <c r="C586" s="51">
        <v>8.1</v>
      </c>
      <c r="D586" s="51">
        <v>1</v>
      </c>
      <c r="E586" s="51">
        <f t="shared" si="66"/>
        <v>2</v>
      </c>
      <c r="F586" s="51">
        <v>2</v>
      </c>
      <c r="G586" s="51">
        <v>8.1</v>
      </c>
      <c r="H586" s="51"/>
      <c r="I586" s="51"/>
      <c r="J586" s="51"/>
      <c r="K586" s="51"/>
      <c r="L586" s="51"/>
      <c r="M586" s="51">
        <f>3*E586*C586</f>
        <v>48.599999999999994</v>
      </c>
      <c r="N586" s="51"/>
      <c r="O586" s="290"/>
      <c r="P586" s="62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50" ht="20.100000000000001" hidden="1" customHeight="1" outlineLevel="2">
      <c r="A587" s="309"/>
      <c r="B587" s="53"/>
      <c r="C587" s="51">
        <v>8.1</v>
      </c>
      <c r="D587" s="51">
        <v>1</v>
      </c>
      <c r="E587" s="51">
        <f t="shared" si="66"/>
        <v>2</v>
      </c>
      <c r="F587" s="51">
        <v>2</v>
      </c>
      <c r="G587" s="51">
        <v>8.1</v>
      </c>
      <c r="H587" s="51"/>
      <c r="I587" s="51"/>
      <c r="J587" s="51"/>
      <c r="K587" s="51"/>
      <c r="L587" s="51"/>
      <c r="M587" s="51">
        <f>3*E587*C587</f>
        <v>48.599999999999994</v>
      </c>
      <c r="N587" s="51"/>
      <c r="O587" s="290"/>
      <c r="P587" s="62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50" ht="20.100000000000001" hidden="1" customHeight="1" outlineLevel="2">
      <c r="A588" s="309"/>
      <c r="B588" s="53"/>
      <c r="C588" s="51">
        <v>8.1</v>
      </c>
      <c r="D588" s="51">
        <v>1</v>
      </c>
      <c r="E588" s="51">
        <f t="shared" si="66"/>
        <v>1</v>
      </c>
      <c r="F588" s="51">
        <v>1</v>
      </c>
      <c r="G588" s="51">
        <v>8.1</v>
      </c>
      <c r="H588" s="51"/>
      <c r="I588" s="51"/>
      <c r="J588" s="51"/>
      <c r="K588" s="51"/>
      <c r="L588" s="51">
        <f>2.24*E588*C588</f>
        <v>18.144000000000002</v>
      </c>
      <c r="M588" s="51"/>
      <c r="N588" s="51"/>
      <c r="O588" s="290"/>
      <c r="P588" s="62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50" ht="20.100000000000001" hidden="1" customHeight="1" outlineLevel="2">
      <c r="A589" s="309"/>
      <c r="B589" s="28"/>
      <c r="C589" s="51">
        <v>3</v>
      </c>
      <c r="D589" s="51">
        <v>1</v>
      </c>
      <c r="E589" s="51">
        <f t="shared" si="66"/>
        <v>2</v>
      </c>
      <c r="F589" s="51">
        <v>2</v>
      </c>
      <c r="G589" s="51">
        <v>3</v>
      </c>
      <c r="H589" s="51"/>
      <c r="I589" s="51"/>
      <c r="J589" s="51"/>
      <c r="K589" s="51"/>
      <c r="L589" s="51">
        <f>2.24*E589*C589</f>
        <v>13.440000000000001</v>
      </c>
      <c r="M589" s="51"/>
      <c r="N589" s="51"/>
      <c r="O589" s="290"/>
      <c r="P589" s="62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50" ht="20.100000000000001" hidden="1" customHeight="1" outlineLevel="2">
      <c r="A590" s="309"/>
      <c r="B590" s="28"/>
      <c r="C590" s="51">
        <v>5.5</v>
      </c>
      <c r="D590" s="51">
        <v>1</v>
      </c>
      <c r="E590" s="51">
        <f t="shared" si="66"/>
        <v>3</v>
      </c>
      <c r="F590" s="51">
        <v>3</v>
      </c>
      <c r="G590" s="51">
        <v>5.5</v>
      </c>
      <c r="H590" s="51"/>
      <c r="I590" s="51"/>
      <c r="J590" s="51"/>
      <c r="K590" s="51"/>
      <c r="L590" s="51">
        <f>2.24*E590*C590</f>
        <v>36.96</v>
      </c>
      <c r="M590" s="51"/>
      <c r="N590" s="51"/>
      <c r="O590" s="290"/>
      <c r="P590" s="62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50" ht="20.100000000000001" hidden="1" customHeight="1" outlineLevel="2">
      <c r="A591" s="309"/>
      <c r="B591" s="28"/>
      <c r="C591" s="51">
        <v>5.5</v>
      </c>
      <c r="D591" s="51">
        <v>1</v>
      </c>
      <c r="E591" s="51">
        <f t="shared" si="66"/>
        <v>2</v>
      </c>
      <c r="F591" s="51">
        <v>2</v>
      </c>
      <c r="G591" s="51">
        <v>5.5</v>
      </c>
      <c r="H591" s="51"/>
      <c r="I591" s="51"/>
      <c r="J591" s="51">
        <f>C591*E591</f>
        <v>11</v>
      </c>
      <c r="K591" s="51"/>
      <c r="L591" s="51"/>
      <c r="M591" s="51"/>
      <c r="N591" s="51"/>
      <c r="O591" s="290"/>
      <c r="P591" s="62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50" ht="20.100000000000001" hidden="1" customHeight="1" outlineLevel="2">
      <c r="A592" s="309"/>
      <c r="B592" s="28"/>
      <c r="C592" s="51">
        <v>5</v>
      </c>
      <c r="D592" s="51">
        <v>1</v>
      </c>
      <c r="E592" s="51">
        <f t="shared" si="66"/>
        <v>3</v>
      </c>
      <c r="F592" s="51">
        <v>3</v>
      </c>
      <c r="G592" s="51">
        <v>5</v>
      </c>
      <c r="H592" s="51"/>
      <c r="I592" s="51">
        <f>0.56*C592*E592</f>
        <v>8.4</v>
      </c>
      <c r="J592" s="51"/>
      <c r="K592" s="51"/>
      <c r="L592" s="51"/>
      <c r="M592" s="51"/>
      <c r="N592" s="51"/>
      <c r="O592" s="290"/>
      <c r="P592" s="62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</row>
    <row r="593" spans="1:50" ht="20.100000000000001" hidden="1" customHeight="1" outlineLevel="2">
      <c r="A593" s="309"/>
      <c r="B593" s="28"/>
      <c r="C593" s="51">
        <v>2.5</v>
      </c>
      <c r="D593" s="51">
        <v>1</v>
      </c>
      <c r="E593" s="51">
        <f t="shared" si="66"/>
        <v>1</v>
      </c>
      <c r="F593" s="51">
        <v>1</v>
      </c>
      <c r="G593" s="51">
        <v>2.5</v>
      </c>
      <c r="H593" s="51"/>
      <c r="I593" s="51"/>
      <c r="J593" s="51">
        <f>E593*C593</f>
        <v>2.5</v>
      </c>
      <c r="K593" s="51"/>
      <c r="L593" s="51"/>
      <c r="M593" s="51"/>
      <c r="N593" s="51"/>
      <c r="O593" s="290"/>
      <c r="P593" s="62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50" ht="20.100000000000001" hidden="1" customHeight="1" outlineLevel="2">
      <c r="A594" s="309"/>
      <c r="B594" s="28"/>
      <c r="C594" s="51">
        <v>2.5</v>
      </c>
      <c r="D594" s="51">
        <v>1</v>
      </c>
      <c r="E594" s="51">
        <f t="shared" si="66"/>
        <v>4</v>
      </c>
      <c r="F594" s="51">
        <v>4</v>
      </c>
      <c r="G594" s="51">
        <v>2.5</v>
      </c>
      <c r="H594" s="51"/>
      <c r="I594" s="51">
        <f>0.56*E594*C594</f>
        <v>5.6000000000000005</v>
      </c>
      <c r="J594" s="51"/>
      <c r="K594" s="51"/>
      <c r="L594" s="51"/>
      <c r="M594" s="51"/>
      <c r="N594" s="51"/>
      <c r="O594" s="290"/>
      <c r="P594" s="62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50" ht="20.100000000000001" hidden="1" customHeight="1" outlineLevel="2">
      <c r="A595" s="309"/>
      <c r="B595" s="28"/>
      <c r="C595" s="51">
        <v>5</v>
      </c>
      <c r="D595" s="51">
        <v>1</v>
      </c>
      <c r="E595" s="51">
        <f t="shared" si="66"/>
        <v>1</v>
      </c>
      <c r="F595" s="51">
        <v>1</v>
      </c>
      <c r="G595" s="51">
        <v>5</v>
      </c>
      <c r="H595" s="51"/>
      <c r="I595" s="51"/>
      <c r="J595" s="51">
        <f>E595*C595</f>
        <v>5</v>
      </c>
      <c r="K595" s="51"/>
      <c r="L595" s="51"/>
      <c r="M595" s="51"/>
      <c r="N595" s="51"/>
      <c r="O595" s="290"/>
      <c r="P595" s="62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50" ht="20.100000000000001" hidden="1" customHeight="1" outlineLevel="2">
      <c r="A596" s="309"/>
      <c r="B596" s="53"/>
      <c r="C596" s="51">
        <v>5</v>
      </c>
      <c r="D596" s="51">
        <v>1</v>
      </c>
      <c r="E596" s="51">
        <f t="shared" si="66"/>
        <v>1</v>
      </c>
      <c r="F596" s="51">
        <v>1</v>
      </c>
      <c r="G596" s="51">
        <v>5</v>
      </c>
      <c r="H596" s="51"/>
      <c r="I596" s="51">
        <f>0.56*E596*C596</f>
        <v>2.8000000000000003</v>
      </c>
      <c r="J596" s="51"/>
      <c r="K596" s="51"/>
      <c r="L596" s="51"/>
      <c r="M596" s="51"/>
      <c r="N596" s="51"/>
      <c r="O596" s="290"/>
      <c r="P596" s="62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50" ht="20.100000000000001" hidden="1" customHeight="1" outlineLevel="2">
      <c r="A597" s="309"/>
      <c r="B597" s="53"/>
      <c r="C597" s="51">
        <v>6</v>
      </c>
      <c r="D597" s="51">
        <v>1</v>
      </c>
      <c r="E597" s="51">
        <f t="shared" si="66"/>
        <v>3</v>
      </c>
      <c r="F597" s="51">
        <v>3</v>
      </c>
      <c r="G597" s="51">
        <v>6</v>
      </c>
      <c r="H597" s="51"/>
      <c r="I597" s="51">
        <f>0.56*E597*C597</f>
        <v>10.080000000000002</v>
      </c>
      <c r="J597" s="51"/>
      <c r="K597" s="51"/>
      <c r="L597" s="51"/>
      <c r="M597" s="51"/>
      <c r="N597" s="51"/>
      <c r="O597" s="290"/>
      <c r="P597" s="62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50" ht="20.100000000000001" hidden="1" customHeight="1" outlineLevel="2">
      <c r="A598" s="312"/>
      <c r="B598" s="55"/>
      <c r="C598" s="51">
        <v>3.5</v>
      </c>
      <c r="D598" s="51">
        <v>1</v>
      </c>
      <c r="E598" s="56">
        <f t="shared" si="66"/>
        <v>1</v>
      </c>
      <c r="F598" s="56">
        <v>1</v>
      </c>
      <c r="G598" s="51">
        <v>3.5</v>
      </c>
      <c r="H598" s="56"/>
      <c r="I598" s="56"/>
      <c r="J598" s="56"/>
      <c r="K598" s="56"/>
      <c r="L598" s="56"/>
      <c r="M598" s="56">
        <f>3*E598*C598</f>
        <v>10.5</v>
      </c>
      <c r="N598" s="56"/>
      <c r="O598" s="313"/>
      <c r="P598" s="9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</row>
    <row r="599" spans="1:50" ht="20.100000000000001" hidden="1" customHeight="1" outlineLevel="2">
      <c r="A599" s="309"/>
      <c r="B599" s="28"/>
      <c r="C599" s="51">
        <v>3.5</v>
      </c>
      <c r="D599" s="51">
        <v>1</v>
      </c>
      <c r="E599" s="51">
        <f t="shared" si="66"/>
        <v>1</v>
      </c>
      <c r="F599" s="51">
        <v>1</v>
      </c>
      <c r="G599" s="51">
        <v>3.5</v>
      </c>
      <c r="H599" s="51"/>
      <c r="I599" s="51"/>
      <c r="J599" s="51"/>
      <c r="K599" s="51"/>
      <c r="L599" s="51">
        <f>2.24*E599*C599</f>
        <v>7.8400000000000007</v>
      </c>
      <c r="M599" s="51"/>
      <c r="N599" s="51"/>
      <c r="O599" s="290"/>
      <c r="P599" s="62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50" ht="20.100000000000001" hidden="1" customHeight="1" outlineLevel="2">
      <c r="A600" s="309"/>
      <c r="B600" s="28"/>
      <c r="C600" s="51">
        <v>6.5</v>
      </c>
      <c r="D600" s="51">
        <v>1</v>
      </c>
      <c r="E600" s="51">
        <f t="shared" si="66"/>
        <v>3</v>
      </c>
      <c r="F600" s="51">
        <v>3</v>
      </c>
      <c r="G600" s="51">
        <v>6.5</v>
      </c>
      <c r="H600" s="51"/>
      <c r="I600" s="51"/>
      <c r="J600" s="51"/>
      <c r="K600" s="51"/>
      <c r="L600" s="51">
        <f>2.24*E600*C600</f>
        <v>43.680000000000007</v>
      </c>
      <c r="M600" s="51"/>
      <c r="N600" s="51"/>
      <c r="O600" s="290"/>
      <c r="P600" s="62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50" ht="20.100000000000001" hidden="1" customHeight="1" outlineLevel="2">
      <c r="A601" s="309"/>
      <c r="B601" s="28"/>
      <c r="C601" s="51">
        <v>10.1</v>
      </c>
      <c r="D601" s="51">
        <v>1</v>
      </c>
      <c r="E601" s="51">
        <f t="shared" si="66"/>
        <v>2</v>
      </c>
      <c r="F601" s="51">
        <v>2</v>
      </c>
      <c r="G601" s="51">
        <v>10.1</v>
      </c>
      <c r="H601" s="51"/>
      <c r="I601" s="51"/>
      <c r="J601" s="51"/>
      <c r="K601" s="51"/>
      <c r="L601" s="51"/>
      <c r="M601" s="51">
        <f>3*E601*C601</f>
        <v>60.599999999999994</v>
      </c>
      <c r="N601" s="51"/>
      <c r="O601" s="290"/>
      <c r="P601" s="62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50" ht="20.100000000000001" hidden="1" customHeight="1" outlineLevel="2">
      <c r="A602" s="309"/>
      <c r="B602" s="28"/>
      <c r="C602" s="51">
        <v>8.6</v>
      </c>
      <c r="D602" s="51">
        <v>1</v>
      </c>
      <c r="E602" s="51">
        <f t="shared" si="66"/>
        <v>3</v>
      </c>
      <c r="F602" s="51">
        <v>3</v>
      </c>
      <c r="G602" s="51">
        <v>8.6</v>
      </c>
      <c r="H602" s="51"/>
      <c r="I602" s="51"/>
      <c r="J602" s="51"/>
      <c r="K602" s="51"/>
      <c r="L602" s="51">
        <f>2.24*E602*C602</f>
        <v>57.792000000000002</v>
      </c>
      <c r="M602" s="51"/>
      <c r="N602" s="51"/>
      <c r="O602" s="290"/>
      <c r="P602" s="62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50" ht="45.75" hidden="1" customHeight="1" outlineLevel="2">
      <c r="A603" s="309"/>
      <c r="B603" s="53"/>
      <c r="C603" s="51">
        <f>(0.55*2)+(0.25*2)+(0.05*2)</f>
        <v>1.7000000000000002</v>
      </c>
      <c r="D603" s="51">
        <v>1</v>
      </c>
      <c r="E603" s="51">
        <v>81</v>
      </c>
      <c r="F603" s="51">
        <f>E603</f>
        <v>81</v>
      </c>
      <c r="G603" s="51">
        <f>C603</f>
        <v>1.7000000000000002</v>
      </c>
      <c r="H603" s="51">
        <f>0.25*E603*C603</f>
        <v>34.425000000000004</v>
      </c>
      <c r="I603" s="51"/>
      <c r="J603" s="51"/>
      <c r="K603" s="51"/>
      <c r="L603" s="51"/>
      <c r="M603" s="51"/>
      <c r="N603" s="51"/>
      <c r="O603" s="290"/>
      <c r="P603" s="62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50" ht="45.75" hidden="1" customHeight="1" outlineLevel="2">
      <c r="A604" s="309"/>
      <c r="B604" s="53"/>
      <c r="C604" s="51">
        <f>(0.55*2)+(0.25*2)+(0.05*2)</f>
        <v>1.7000000000000002</v>
      </c>
      <c r="D604" s="51">
        <v>1</v>
      </c>
      <c r="E604" s="51">
        <v>97</v>
      </c>
      <c r="F604" s="51">
        <f>E604</f>
        <v>97</v>
      </c>
      <c r="G604" s="51">
        <f>C604</f>
        <v>1.7000000000000002</v>
      </c>
      <c r="H604" s="51"/>
      <c r="I604" s="51">
        <f>0.56*C604*E604</f>
        <v>92.344000000000023</v>
      </c>
      <c r="J604" s="51"/>
      <c r="K604" s="51"/>
      <c r="L604" s="51"/>
      <c r="M604" s="51"/>
      <c r="N604" s="51"/>
      <c r="O604" s="290"/>
      <c r="P604" s="62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50" ht="20.100000000000001" hidden="1" customHeight="1" outlineLevel="2">
      <c r="A605" s="2129" t="s">
        <v>196</v>
      </c>
      <c r="B605" s="2130"/>
      <c r="C605" s="2130"/>
      <c r="D605" s="2130"/>
      <c r="E605" s="2130"/>
      <c r="F605" s="2130"/>
      <c r="G605" s="2130"/>
      <c r="H605" s="561">
        <f>SUM(H577:H604)</f>
        <v>34.425000000000004</v>
      </c>
      <c r="I605" s="561">
        <f>SUM(I577:I604)</f>
        <v>126.78400000000002</v>
      </c>
      <c r="J605" s="561">
        <f t="shared" ref="J605:O605" si="67">SUM(J577:J602)</f>
        <v>28</v>
      </c>
      <c r="K605" s="561">
        <f t="shared" si="67"/>
        <v>71.3</v>
      </c>
      <c r="L605" s="561">
        <f t="shared" si="67"/>
        <v>198.01600000000002</v>
      </c>
      <c r="M605" s="561">
        <f t="shared" si="67"/>
        <v>222.29999999999998</v>
      </c>
      <c r="N605" s="561">
        <f t="shared" si="67"/>
        <v>0</v>
      </c>
      <c r="O605" s="562">
        <f t="shared" si="67"/>
        <v>0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50" ht="20.100000000000001" hidden="1" customHeight="1" outlineLevel="2">
      <c r="A606" s="2186" t="s">
        <v>240</v>
      </c>
      <c r="B606" s="2187"/>
      <c r="C606" s="2187"/>
      <c r="D606" s="2187"/>
      <c r="E606" s="2187"/>
      <c r="F606" s="2187"/>
      <c r="G606" s="2187"/>
      <c r="H606" s="2190">
        <f>SUM(H605:O605)</f>
        <v>680.82500000000005</v>
      </c>
      <c r="I606" s="2190"/>
      <c r="J606" s="2190"/>
      <c r="K606" s="2190"/>
      <c r="L606" s="2190"/>
      <c r="M606" s="2190"/>
      <c r="N606" s="2190"/>
      <c r="O606" s="2191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50" s="91" customFormat="1" ht="20.100000000000001" hidden="1" customHeight="1" outlineLevel="2">
      <c r="A607" s="2183"/>
      <c r="B607" s="2184"/>
      <c r="C607" s="2184"/>
      <c r="D607" s="2184"/>
      <c r="E607" s="2184"/>
      <c r="F607" s="2184"/>
      <c r="G607" s="2184"/>
      <c r="H607" s="2184"/>
      <c r="I607" s="2184"/>
      <c r="J607" s="2184"/>
      <c r="K607" s="2184"/>
      <c r="L607" s="2184"/>
      <c r="M607" s="2184"/>
      <c r="N607" s="2184"/>
      <c r="O607" s="2185"/>
      <c r="P607" s="87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0.100000000000001" hidden="1" customHeight="1" outlineLevel="2">
      <c r="A608" s="277" t="s">
        <v>163</v>
      </c>
      <c r="B608" s="28"/>
      <c r="C608" s="51">
        <v>6.5</v>
      </c>
      <c r="D608" s="51">
        <v>1</v>
      </c>
      <c r="E608" s="51">
        <f>D608*F608</f>
        <v>2</v>
      </c>
      <c r="F608" s="51">
        <v>2</v>
      </c>
      <c r="G608" s="51">
        <v>6.5</v>
      </c>
      <c r="H608" s="51"/>
      <c r="I608" s="51"/>
      <c r="J608" s="51">
        <f>C608*E608</f>
        <v>13</v>
      </c>
      <c r="K608" s="51"/>
      <c r="L608" s="51"/>
      <c r="M608" s="51"/>
      <c r="N608" s="51"/>
      <c r="O608" s="290"/>
      <c r="P608" s="62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</row>
    <row r="609" spans="1:50" ht="20.100000000000001" hidden="1" customHeight="1" outlineLevel="2">
      <c r="A609" s="309"/>
      <c r="B609" s="28"/>
      <c r="C609" s="51">
        <v>5</v>
      </c>
      <c r="D609" s="51">
        <v>1</v>
      </c>
      <c r="E609" s="51">
        <f>D609*F609</f>
        <v>1</v>
      </c>
      <c r="F609" s="51">
        <v>1</v>
      </c>
      <c r="G609" s="51">
        <v>5</v>
      </c>
      <c r="H609" s="51"/>
      <c r="I609" s="51"/>
      <c r="J609" s="51">
        <f>C609*E609</f>
        <v>5</v>
      </c>
      <c r="K609" s="51"/>
      <c r="L609" s="51"/>
      <c r="M609" s="51"/>
      <c r="N609" s="51"/>
      <c r="O609" s="290"/>
      <c r="P609" s="62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50" ht="45" hidden="1" customHeight="1" outlineLevel="2">
      <c r="A610" s="309"/>
      <c r="B610" s="28"/>
      <c r="C610" s="51">
        <f>(0.55*2)+(0.15*2)+(0.05*2)</f>
        <v>1.5000000000000002</v>
      </c>
      <c r="D610" s="51">
        <v>1</v>
      </c>
      <c r="E610" s="51">
        <v>10</v>
      </c>
      <c r="F610" s="51">
        <f>E610</f>
        <v>10</v>
      </c>
      <c r="G610" s="51">
        <f>C610</f>
        <v>1.5000000000000002</v>
      </c>
      <c r="H610" s="51">
        <f>0.25*C610*E610</f>
        <v>3.7500000000000004</v>
      </c>
      <c r="I610" s="51"/>
      <c r="J610" s="51"/>
      <c r="K610" s="51"/>
      <c r="L610" s="51"/>
      <c r="M610" s="51"/>
      <c r="N610" s="51"/>
      <c r="O610" s="290"/>
      <c r="P610" s="62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50" ht="20.100000000000001" hidden="1" customHeight="1" outlineLevel="2">
      <c r="A611" s="2129" t="s">
        <v>196</v>
      </c>
      <c r="B611" s="2130"/>
      <c r="C611" s="2130"/>
      <c r="D611" s="2130"/>
      <c r="E611" s="2130"/>
      <c r="F611" s="2130"/>
      <c r="G611" s="2130"/>
      <c r="H611" s="561">
        <f>SUM(H608:H610)</f>
        <v>3.7500000000000004</v>
      </c>
      <c r="I611" s="561">
        <f t="shared" ref="I611:O611" si="68">SUM(I608:I609)</f>
        <v>0</v>
      </c>
      <c r="J611" s="561">
        <f t="shared" si="68"/>
        <v>18</v>
      </c>
      <c r="K611" s="561">
        <f t="shared" si="68"/>
        <v>0</v>
      </c>
      <c r="L611" s="561">
        <f t="shared" si="68"/>
        <v>0</v>
      </c>
      <c r="M611" s="561">
        <f t="shared" si="68"/>
        <v>0</v>
      </c>
      <c r="N611" s="561">
        <f t="shared" si="68"/>
        <v>0</v>
      </c>
      <c r="O611" s="562">
        <f t="shared" si="68"/>
        <v>0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50" ht="20.100000000000001" hidden="1" customHeight="1" outlineLevel="2">
      <c r="A612" s="2186" t="s">
        <v>241</v>
      </c>
      <c r="B612" s="2187"/>
      <c r="C612" s="2187"/>
      <c r="D612" s="2187"/>
      <c r="E612" s="2187"/>
      <c r="F612" s="2187"/>
      <c r="G612" s="2187"/>
      <c r="H612" s="2190">
        <f>SUM(H611:O611)</f>
        <v>21.75</v>
      </c>
      <c r="I612" s="2190"/>
      <c r="J612" s="2190"/>
      <c r="K612" s="2190"/>
      <c r="L612" s="2190"/>
      <c r="M612" s="2190"/>
      <c r="N612" s="2190"/>
      <c r="O612" s="2191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50" s="84" customFormat="1" ht="20.100000000000001" hidden="1" customHeight="1" outlineLevel="2">
      <c r="A613" s="2211"/>
      <c r="B613" s="2212"/>
      <c r="C613" s="2212"/>
      <c r="D613" s="2212"/>
      <c r="E613" s="2212"/>
      <c r="F613" s="2212"/>
      <c r="G613" s="2212"/>
      <c r="H613" s="2212"/>
      <c r="I613" s="2212"/>
      <c r="J613" s="2212"/>
      <c r="K613" s="2212"/>
      <c r="L613" s="2212"/>
      <c r="M613" s="2212"/>
      <c r="N613" s="2212"/>
      <c r="O613" s="2213"/>
      <c r="P613" s="8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0.100000000000001" hidden="1" customHeight="1" outlineLevel="2">
      <c r="A614" s="299" t="s">
        <v>121</v>
      </c>
      <c r="B614" s="34"/>
      <c r="C614" s="34">
        <v>4</v>
      </c>
      <c r="D614" s="34">
        <v>1</v>
      </c>
      <c r="E614" s="34">
        <v>3</v>
      </c>
      <c r="F614" s="43">
        <f>D614*E614</f>
        <v>3</v>
      </c>
      <c r="G614" s="34">
        <f>C614</f>
        <v>4</v>
      </c>
      <c r="H614" s="34"/>
      <c r="I614" s="34">
        <f>0.56*G614*F614</f>
        <v>6.7200000000000006</v>
      </c>
      <c r="J614" s="34"/>
      <c r="K614" s="34"/>
      <c r="L614" s="34"/>
      <c r="M614" s="34"/>
      <c r="N614" s="34"/>
      <c r="O614" s="295"/>
      <c r="P614" s="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</row>
    <row r="615" spans="1:50" ht="20.100000000000001" hidden="1" customHeight="1" outlineLevel="2">
      <c r="A615" s="296"/>
      <c r="B615" s="37"/>
      <c r="C615" s="34">
        <v>3</v>
      </c>
      <c r="D615" s="34">
        <v>1</v>
      </c>
      <c r="E615" s="34">
        <v>3</v>
      </c>
      <c r="F615" s="43">
        <f>D615*E615</f>
        <v>3</v>
      </c>
      <c r="G615" s="34">
        <f t="shared" ref="G615:G634" si="69">C615</f>
        <v>3</v>
      </c>
      <c r="H615" s="34"/>
      <c r="I615" s="34"/>
      <c r="J615" s="34"/>
      <c r="K615" s="34"/>
      <c r="L615" s="34"/>
      <c r="M615" s="34">
        <f>3*G615*F615</f>
        <v>27</v>
      </c>
      <c r="N615" s="34"/>
      <c r="O615" s="295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50" ht="20.100000000000001" hidden="1" customHeight="1" outlineLevel="2">
      <c r="A616" s="296"/>
      <c r="B616" s="37"/>
      <c r="C616" s="34">
        <v>6</v>
      </c>
      <c r="D616" s="34">
        <v>1</v>
      </c>
      <c r="E616" s="34">
        <v>4</v>
      </c>
      <c r="F616" s="43">
        <f t="shared" ref="F616:F634" si="70">D616*E616</f>
        <v>4</v>
      </c>
      <c r="G616" s="34">
        <f t="shared" si="69"/>
        <v>6</v>
      </c>
      <c r="H616" s="34"/>
      <c r="I616" s="34"/>
      <c r="J616" s="34"/>
      <c r="K616" s="34"/>
      <c r="L616" s="34">
        <f>2.24*G616*F616</f>
        <v>53.760000000000005</v>
      </c>
      <c r="M616" s="34"/>
      <c r="N616" s="34"/>
      <c r="O616" s="295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50" ht="20.100000000000001" hidden="1" customHeight="1" outlineLevel="2">
      <c r="A617" s="296"/>
      <c r="B617" s="34"/>
      <c r="C617" s="34">
        <v>6</v>
      </c>
      <c r="D617" s="34">
        <v>1</v>
      </c>
      <c r="E617" s="34">
        <v>2</v>
      </c>
      <c r="F617" s="43">
        <f t="shared" si="70"/>
        <v>2</v>
      </c>
      <c r="G617" s="34">
        <f t="shared" si="69"/>
        <v>6</v>
      </c>
      <c r="H617" s="34"/>
      <c r="I617" s="34"/>
      <c r="J617" s="34"/>
      <c r="K617" s="34"/>
      <c r="L617" s="34"/>
      <c r="M617" s="34">
        <f>3*G617*F617</f>
        <v>36</v>
      </c>
      <c r="N617" s="34"/>
      <c r="O617" s="295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50" ht="20.100000000000001" hidden="1" customHeight="1" outlineLevel="2">
      <c r="A618" s="296"/>
      <c r="B618" s="34"/>
      <c r="C618" s="34">
        <v>8.5</v>
      </c>
      <c r="D618" s="34">
        <v>1</v>
      </c>
      <c r="E618" s="34">
        <v>4</v>
      </c>
      <c r="F618" s="43">
        <f t="shared" si="70"/>
        <v>4</v>
      </c>
      <c r="G618" s="34">
        <f t="shared" si="69"/>
        <v>8.5</v>
      </c>
      <c r="H618" s="34"/>
      <c r="I618" s="34"/>
      <c r="J618" s="34"/>
      <c r="K618" s="34"/>
      <c r="L618" s="34">
        <f>2.24*G618*F618</f>
        <v>76.160000000000011</v>
      </c>
      <c r="M618" s="34"/>
      <c r="N618" s="34"/>
      <c r="O618" s="295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50" ht="20.100000000000001" hidden="1" customHeight="1" outlineLevel="2">
      <c r="A619" s="296"/>
      <c r="B619" s="34"/>
      <c r="C619" s="34">
        <v>9</v>
      </c>
      <c r="D619" s="34">
        <v>1</v>
      </c>
      <c r="E619" s="34">
        <v>3</v>
      </c>
      <c r="F619" s="43">
        <f t="shared" si="70"/>
        <v>3</v>
      </c>
      <c r="G619" s="34">
        <f t="shared" si="69"/>
        <v>9</v>
      </c>
      <c r="H619" s="34"/>
      <c r="I619" s="34"/>
      <c r="J619" s="34"/>
      <c r="K619" s="34">
        <f>1.55*G619*F619</f>
        <v>41.85</v>
      </c>
      <c r="L619" s="34"/>
      <c r="M619" s="34"/>
      <c r="N619" s="34"/>
      <c r="O619" s="295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50" ht="20.100000000000001" hidden="1" customHeight="1" outlineLevel="2">
      <c r="A620" s="296"/>
      <c r="B620" s="34"/>
      <c r="C620" s="34">
        <v>3</v>
      </c>
      <c r="D620" s="34">
        <v>1</v>
      </c>
      <c r="E620" s="34">
        <v>4</v>
      </c>
      <c r="F620" s="43">
        <f t="shared" si="70"/>
        <v>4</v>
      </c>
      <c r="G620" s="34">
        <f t="shared" si="69"/>
        <v>3</v>
      </c>
      <c r="H620" s="34"/>
      <c r="I620" s="34"/>
      <c r="J620" s="34"/>
      <c r="K620" s="34"/>
      <c r="L620" s="34">
        <f>2.24*G620*F620</f>
        <v>26.880000000000003</v>
      </c>
      <c r="M620" s="34"/>
      <c r="N620" s="34"/>
      <c r="O620" s="295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50" ht="20.100000000000001" hidden="1" customHeight="1" outlineLevel="2">
      <c r="A621" s="296"/>
      <c r="B621" s="34"/>
      <c r="C621" s="34">
        <v>3</v>
      </c>
      <c r="D621" s="34">
        <v>1</v>
      </c>
      <c r="E621" s="34">
        <v>2</v>
      </c>
      <c r="F621" s="43">
        <f t="shared" si="70"/>
        <v>2</v>
      </c>
      <c r="G621" s="34">
        <f t="shared" si="69"/>
        <v>3</v>
      </c>
      <c r="H621" s="34"/>
      <c r="I621" s="34"/>
      <c r="J621" s="34"/>
      <c r="K621" s="34">
        <f t="shared" ref="K621:K632" si="71">1.55*G621*F621</f>
        <v>9.3000000000000007</v>
      </c>
      <c r="L621" s="34"/>
      <c r="M621" s="34"/>
      <c r="N621" s="34"/>
      <c r="O621" s="295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50" ht="20.100000000000001" hidden="1" customHeight="1" outlineLevel="2">
      <c r="A622" s="296"/>
      <c r="B622" s="34"/>
      <c r="C622" s="34">
        <v>5.5</v>
      </c>
      <c r="D622" s="34">
        <v>1</v>
      </c>
      <c r="E622" s="34">
        <v>4</v>
      </c>
      <c r="F622" s="43">
        <f t="shared" si="70"/>
        <v>4</v>
      </c>
      <c r="G622" s="34">
        <f t="shared" si="69"/>
        <v>5.5</v>
      </c>
      <c r="H622" s="34"/>
      <c r="I622" s="34">
        <f>0.56*G622*F622</f>
        <v>12.32</v>
      </c>
      <c r="J622" s="34"/>
      <c r="K622" s="34"/>
      <c r="L622" s="34"/>
      <c r="M622" s="34"/>
      <c r="N622" s="34"/>
      <c r="O622" s="295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50" ht="20.100000000000001" hidden="1" customHeight="1" outlineLevel="2">
      <c r="A623" s="296"/>
      <c r="B623" s="34"/>
      <c r="C623" s="34">
        <v>5.5</v>
      </c>
      <c r="D623" s="34">
        <v>1</v>
      </c>
      <c r="E623" s="34">
        <v>1</v>
      </c>
      <c r="F623" s="43">
        <f t="shared" si="70"/>
        <v>1</v>
      </c>
      <c r="G623" s="34">
        <f t="shared" si="69"/>
        <v>5.5</v>
      </c>
      <c r="H623" s="34"/>
      <c r="I623" s="34"/>
      <c r="J623" s="34"/>
      <c r="K623" s="34"/>
      <c r="L623" s="34">
        <f>2.24*G623*F623</f>
        <v>12.32</v>
      </c>
      <c r="M623" s="34"/>
      <c r="N623" s="34"/>
      <c r="O623" s="295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50" ht="20.100000000000001" hidden="1" customHeight="1" outlineLevel="2">
      <c r="A624" s="296"/>
      <c r="B624" s="37"/>
      <c r="C624" s="34">
        <v>6</v>
      </c>
      <c r="D624" s="34">
        <v>1</v>
      </c>
      <c r="E624" s="34">
        <v>2</v>
      </c>
      <c r="F624" s="43">
        <f t="shared" si="70"/>
        <v>2</v>
      </c>
      <c r="G624" s="34">
        <f t="shared" si="69"/>
        <v>6</v>
      </c>
      <c r="H624" s="34"/>
      <c r="I624" s="34"/>
      <c r="J624" s="34"/>
      <c r="K624" s="34">
        <f t="shared" si="71"/>
        <v>18.600000000000001</v>
      </c>
      <c r="L624" s="34"/>
      <c r="M624" s="34"/>
      <c r="N624" s="34"/>
      <c r="O624" s="295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50" ht="20.100000000000001" hidden="1" customHeight="1" outlineLevel="2">
      <c r="A625" s="296"/>
      <c r="B625" s="37"/>
      <c r="C625" s="34">
        <v>5</v>
      </c>
      <c r="D625" s="34">
        <v>1</v>
      </c>
      <c r="E625" s="34">
        <v>4</v>
      </c>
      <c r="F625" s="43">
        <f t="shared" si="70"/>
        <v>4</v>
      </c>
      <c r="G625" s="34">
        <f t="shared" si="69"/>
        <v>5</v>
      </c>
      <c r="H625" s="34"/>
      <c r="I625" s="34">
        <f>0.56*G625*F625</f>
        <v>11.200000000000001</v>
      </c>
      <c r="J625" s="34"/>
      <c r="K625" s="34"/>
      <c r="L625" s="34"/>
      <c r="M625" s="34"/>
      <c r="N625" s="34"/>
      <c r="O625" s="295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</row>
    <row r="626" spans="1:50" ht="20.100000000000001" hidden="1" customHeight="1" outlineLevel="2">
      <c r="A626" s="296"/>
      <c r="B626" s="34"/>
      <c r="C626" s="34">
        <v>5.5</v>
      </c>
      <c r="D626" s="34">
        <v>1</v>
      </c>
      <c r="E626" s="34">
        <v>5</v>
      </c>
      <c r="F626" s="43">
        <f t="shared" si="70"/>
        <v>5</v>
      </c>
      <c r="G626" s="34">
        <f t="shared" si="69"/>
        <v>5.5</v>
      </c>
      <c r="H626" s="34"/>
      <c r="I626" s="34"/>
      <c r="J626" s="34"/>
      <c r="K626" s="34">
        <f t="shared" si="71"/>
        <v>42.625</v>
      </c>
      <c r="L626" s="34"/>
      <c r="M626" s="34"/>
      <c r="N626" s="34"/>
      <c r="O626" s="295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50" ht="20.100000000000001" hidden="1" customHeight="1" outlineLevel="2">
      <c r="A627" s="296"/>
      <c r="B627" s="34"/>
      <c r="C627" s="34">
        <v>2.5</v>
      </c>
      <c r="D627" s="34">
        <v>1</v>
      </c>
      <c r="E627" s="34">
        <v>4</v>
      </c>
      <c r="F627" s="43">
        <f t="shared" si="70"/>
        <v>4</v>
      </c>
      <c r="G627" s="34">
        <f t="shared" si="69"/>
        <v>2.5</v>
      </c>
      <c r="H627" s="34"/>
      <c r="I627" s="34">
        <f>0.56*G627*F627</f>
        <v>5.6000000000000005</v>
      </c>
      <c r="J627" s="34"/>
      <c r="K627" s="34"/>
      <c r="L627" s="34"/>
      <c r="M627" s="34"/>
      <c r="N627" s="34"/>
      <c r="O627" s="295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50" ht="20.100000000000001" hidden="1" customHeight="1" outlineLevel="2">
      <c r="A628" s="296"/>
      <c r="B628" s="34"/>
      <c r="C628" s="34">
        <v>8.6</v>
      </c>
      <c r="D628" s="34">
        <v>1</v>
      </c>
      <c r="E628" s="34">
        <v>2</v>
      </c>
      <c r="F628" s="43">
        <f t="shared" si="70"/>
        <v>2</v>
      </c>
      <c r="G628" s="34">
        <f t="shared" si="69"/>
        <v>8.6</v>
      </c>
      <c r="H628" s="34"/>
      <c r="I628" s="34"/>
      <c r="J628" s="34"/>
      <c r="K628" s="34">
        <f t="shared" si="71"/>
        <v>26.66</v>
      </c>
      <c r="L628" s="34"/>
      <c r="M628" s="34"/>
      <c r="N628" s="34"/>
      <c r="O628" s="295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50" ht="20.100000000000001" hidden="1" customHeight="1" outlineLevel="2">
      <c r="A629" s="296"/>
      <c r="B629" s="34"/>
      <c r="C629" s="34">
        <v>8.1</v>
      </c>
      <c r="D629" s="34">
        <v>1</v>
      </c>
      <c r="E629" s="34">
        <v>1</v>
      </c>
      <c r="F629" s="43">
        <f t="shared" si="70"/>
        <v>1</v>
      </c>
      <c r="G629" s="34">
        <f t="shared" si="69"/>
        <v>8.1</v>
      </c>
      <c r="H629" s="34"/>
      <c r="I629" s="34"/>
      <c r="J629" s="34"/>
      <c r="K629" s="34">
        <f t="shared" si="71"/>
        <v>12.555</v>
      </c>
      <c r="L629" s="34"/>
      <c r="M629" s="34"/>
      <c r="N629" s="34"/>
      <c r="O629" s="295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50" ht="20.100000000000001" hidden="1" customHeight="1" outlineLevel="2">
      <c r="A630" s="296"/>
      <c r="B630" s="34"/>
      <c r="C630" s="34">
        <v>8.1</v>
      </c>
      <c r="D630" s="34">
        <v>1</v>
      </c>
      <c r="E630" s="34">
        <v>2</v>
      </c>
      <c r="F630" s="43">
        <f t="shared" si="70"/>
        <v>2</v>
      </c>
      <c r="G630" s="34">
        <f t="shared" si="69"/>
        <v>8.1</v>
      </c>
      <c r="H630" s="34"/>
      <c r="I630" s="34"/>
      <c r="J630" s="34">
        <f>1*G630*F630</f>
        <v>16.2</v>
      </c>
      <c r="K630" s="34"/>
      <c r="L630" s="34"/>
      <c r="M630" s="34"/>
      <c r="N630" s="34"/>
      <c r="O630" s="295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50" ht="20.100000000000001" hidden="1" customHeight="1" outlineLevel="2">
      <c r="A631" s="296"/>
      <c r="B631" s="34"/>
      <c r="C631" s="34">
        <v>8.5</v>
      </c>
      <c r="D631" s="34">
        <v>1</v>
      </c>
      <c r="E631" s="34">
        <v>2</v>
      </c>
      <c r="F631" s="43">
        <f t="shared" si="70"/>
        <v>2</v>
      </c>
      <c r="G631" s="34">
        <f t="shared" si="69"/>
        <v>8.5</v>
      </c>
      <c r="H631" s="34"/>
      <c r="I631" s="34"/>
      <c r="J631" s="34"/>
      <c r="K631" s="34"/>
      <c r="L631" s="34">
        <f>2.24*G631*F631</f>
        <v>38.080000000000005</v>
      </c>
      <c r="M631" s="34"/>
      <c r="N631" s="34"/>
      <c r="O631" s="295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50" ht="20.100000000000001" hidden="1" customHeight="1" outlineLevel="2">
      <c r="A632" s="296"/>
      <c r="B632" s="34"/>
      <c r="C632" s="34">
        <v>8.5</v>
      </c>
      <c r="D632" s="34">
        <v>1</v>
      </c>
      <c r="E632" s="34">
        <v>3</v>
      </c>
      <c r="F632" s="43">
        <f t="shared" si="70"/>
        <v>3</v>
      </c>
      <c r="G632" s="34">
        <f t="shared" si="69"/>
        <v>8.5</v>
      </c>
      <c r="H632" s="34"/>
      <c r="I632" s="34"/>
      <c r="J632" s="34"/>
      <c r="K632" s="34">
        <f t="shared" si="71"/>
        <v>39.525000000000006</v>
      </c>
      <c r="L632" s="34"/>
      <c r="M632" s="34"/>
      <c r="N632" s="34"/>
      <c r="O632" s="295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50" ht="20.100000000000001" hidden="1" customHeight="1" outlineLevel="2">
      <c r="A633" s="296"/>
      <c r="B633" s="37"/>
      <c r="C633" s="34">
        <v>6.7</v>
      </c>
      <c r="D633" s="34">
        <v>1</v>
      </c>
      <c r="E633" s="34">
        <v>2</v>
      </c>
      <c r="F633" s="43">
        <f t="shared" si="70"/>
        <v>2</v>
      </c>
      <c r="G633" s="34">
        <f t="shared" si="69"/>
        <v>6.7</v>
      </c>
      <c r="H633" s="34"/>
      <c r="I633" s="34">
        <f>0.56*G633*F633</f>
        <v>7.5040000000000013</v>
      </c>
      <c r="J633" s="34"/>
      <c r="K633" s="34"/>
      <c r="L633" s="34"/>
      <c r="M633" s="34"/>
      <c r="N633" s="34"/>
      <c r="O633" s="295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50" ht="20.100000000000001" hidden="1" customHeight="1" outlineLevel="2">
      <c r="A634" s="296"/>
      <c r="B634" s="37"/>
      <c r="C634" s="34">
        <v>5.5</v>
      </c>
      <c r="D634" s="34">
        <v>1</v>
      </c>
      <c r="E634" s="34">
        <v>2</v>
      </c>
      <c r="F634" s="43">
        <f t="shared" si="70"/>
        <v>2</v>
      </c>
      <c r="G634" s="34">
        <f t="shared" si="69"/>
        <v>5.5</v>
      </c>
      <c r="H634" s="34"/>
      <c r="I634" s="34">
        <f>0.56*G634*F634</f>
        <v>6.16</v>
      </c>
      <c r="J634" s="34"/>
      <c r="K634" s="34"/>
      <c r="L634" s="34"/>
      <c r="M634" s="34"/>
      <c r="N634" s="34"/>
      <c r="O634" s="295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50" ht="44.25" hidden="1" customHeight="1" outlineLevel="2">
      <c r="A635" s="291"/>
      <c r="B635" s="52"/>
      <c r="C635" s="51">
        <f>(0.55*2)+(0.15*2)+(0.05*2)</f>
        <v>1.5000000000000002</v>
      </c>
      <c r="D635" s="59">
        <v>1</v>
      </c>
      <c r="E635" s="51">
        <v>11</v>
      </c>
      <c r="F635" s="51">
        <f>D635*E635</f>
        <v>11</v>
      </c>
      <c r="G635" s="34">
        <f>+C635</f>
        <v>1.5000000000000002</v>
      </c>
      <c r="H635" s="51">
        <f>0.25*G635*F635</f>
        <v>4.1250000000000009</v>
      </c>
      <c r="I635" s="51"/>
      <c r="J635" s="34"/>
      <c r="K635" s="34"/>
      <c r="L635" s="34"/>
      <c r="M635" s="34"/>
      <c r="N635" s="34"/>
      <c r="O635" s="295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50" ht="45" hidden="1" customHeight="1" outlineLevel="2">
      <c r="A636" s="291"/>
      <c r="B636" s="52"/>
      <c r="C636" s="51">
        <f>(0.55*2)+(0.25*2)+(0.05*2)</f>
        <v>1.7000000000000002</v>
      </c>
      <c r="D636" s="59">
        <v>1</v>
      </c>
      <c r="E636" s="51">
        <v>186</v>
      </c>
      <c r="F636" s="51">
        <f>D636*E636</f>
        <v>186</v>
      </c>
      <c r="G636" s="34">
        <f>+C636</f>
        <v>1.7000000000000002</v>
      </c>
      <c r="H636" s="51">
        <f>0.25*G636*F636</f>
        <v>79.050000000000011</v>
      </c>
      <c r="I636" s="51"/>
      <c r="J636" s="34"/>
      <c r="K636" s="34"/>
      <c r="L636" s="34"/>
      <c r="M636" s="34"/>
      <c r="N636" s="34"/>
      <c r="O636" s="295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</row>
    <row r="637" spans="1:50" ht="45" hidden="1" customHeight="1" outlineLevel="2">
      <c r="A637" s="291"/>
      <c r="B637" s="52"/>
      <c r="C637" s="51">
        <f>(0.55*2)+(0.25*2)+(0.05*2)</f>
        <v>1.7000000000000002</v>
      </c>
      <c r="D637" s="59">
        <v>1</v>
      </c>
      <c r="E637" s="51">
        <v>40</v>
      </c>
      <c r="F637" s="51">
        <f>D637*E637</f>
        <v>40</v>
      </c>
      <c r="G637" s="34">
        <f>+C637</f>
        <v>1.7000000000000002</v>
      </c>
      <c r="H637" s="51"/>
      <c r="I637" s="51">
        <f>0.56*G637*F637</f>
        <v>38.080000000000005</v>
      </c>
      <c r="J637" s="34"/>
      <c r="K637" s="34"/>
      <c r="L637" s="34"/>
      <c r="M637" s="34"/>
      <c r="N637" s="34"/>
      <c r="O637" s="29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50" ht="20.100000000000001" hidden="1" customHeight="1" outlineLevel="2">
      <c r="A638" s="2129" t="s">
        <v>196</v>
      </c>
      <c r="B638" s="2130"/>
      <c r="C638" s="2130"/>
      <c r="D638" s="2130"/>
      <c r="E638" s="2130"/>
      <c r="F638" s="2130"/>
      <c r="G638" s="2130"/>
      <c r="H638" s="65">
        <f>SUM(H614:H637)</f>
        <v>83.175000000000011</v>
      </c>
      <c r="I638" s="65">
        <f>SUM(I614:I637)</f>
        <v>87.584000000000003</v>
      </c>
      <c r="J638" s="65">
        <f t="shared" ref="J638:O638" si="72">SUM(J614:J634)</f>
        <v>16.2</v>
      </c>
      <c r="K638" s="65">
        <f>SUM(K614:K634)</f>
        <v>191.11500000000001</v>
      </c>
      <c r="L638" s="65">
        <f t="shared" si="72"/>
        <v>207.20000000000002</v>
      </c>
      <c r="M638" s="65">
        <f t="shared" si="72"/>
        <v>63</v>
      </c>
      <c r="N638" s="65">
        <f t="shared" si="72"/>
        <v>0</v>
      </c>
      <c r="O638" s="298">
        <f t="shared" si="72"/>
        <v>0</v>
      </c>
      <c r="P638" s="3"/>
    </row>
    <row r="639" spans="1:50" ht="20.100000000000001" hidden="1" customHeight="1" outlineLevel="2">
      <c r="A639" s="2186" t="s">
        <v>122</v>
      </c>
      <c r="B639" s="2187"/>
      <c r="C639" s="2187"/>
      <c r="D639" s="2187"/>
      <c r="E639" s="2187"/>
      <c r="F639" s="2187"/>
      <c r="G639" s="2187"/>
      <c r="H639" s="2188">
        <f>SUM(H638:O638)</f>
        <v>648.274</v>
      </c>
      <c r="I639" s="2188"/>
      <c r="J639" s="2188"/>
      <c r="K639" s="2188"/>
      <c r="L639" s="2188"/>
      <c r="M639" s="2188"/>
      <c r="N639" s="2188"/>
      <c r="O639" s="2189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50" s="37" customFormat="1" ht="20.100000000000001" hidden="1" customHeight="1" outlineLevel="2">
      <c r="A640" s="2206"/>
      <c r="B640" s="2207"/>
      <c r="C640" s="2207"/>
      <c r="D640" s="2207"/>
      <c r="E640" s="2207"/>
      <c r="F640" s="2207"/>
      <c r="G640" s="2207"/>
      <c r="H640" s="2207"/>
      <c r="I640" s="2207"/>
      <c r="J640" s="2207"/>
      <c r="K640" s="2207"/>
      <c r="L640" s="2207"/>
      <c r="M640" s="2207"/>
      <c r="N640" s="2207"/>
      <c r="O640" s="2208"/>
      <c r="P640" s="82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0.100000000000001" hidden="1" customHeight="1" outlineLevel="2">
      <c r="A641" s="299" t="s">
        <v>123</v>
      </c>
      <c r="B641" s="34"/>
      <c r="C641" s="34">
        <v>1.5</v>
      </c>
      <c r="D641" s="34">
        <v>1</v>
      </c>
      <c r="E641" s="34">
        <v>3</v>
      </c>
      <c r="F641" s="43">
        <f>+E641*D641</f>
        <v>3</v>
      </c>
      <c r="G641" s="34">
        <f>+C641</f>
        <v>1.5</v>
      </c>
      <c r="H641" s="34"/>
      <c r="I641" s="34">
        <f>0.56*G641*F641</f>
        <v>2.5200000000000005</v>
      </c>
      <c r="J641" s="34"/>
      <c r="K641" s="34"/>
      <c r="L641" s="34"/>
      <c r="M641" s="34"/>
      <c r="N641" s="34"/>
      <c r="O641" s="295"/>
      <c r="P641" s="3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5"/>
      <c r="AB641" s="37"/>
      <c r="AC641" s="37"/>
      <c r="AD641" s="37"/>
      <c r="AE641" s="37"/>
    </row>
    <row r="642" spans="1:50" ht="20.100000000000001" hidden="1" customHeight="1" outlineLevel="2">
      <c r="A642" s="296"/>
      <c r="B642" s="34"/>
      <c r="C642" s="34">
        <v>0.8</v>
      </c>
      <c r="D642" s="34">
        <v>1</v>
      </c>
      <c r="E642" s="34">
        <v>2</v>
      </c>
      <c r="F642" s="43">
        <f t="shared" ref="F642:F647" si="73">+E642*D642</f>
        <v>2</v>
      </c>
      <c r="G642" s="34">
        <f t="shared" ref="G642:G648" si="74">+C642</f>
        <v>0.8</v>
      </c>
      <c r="H642" s="34"/>
      <c r="I642" s="34">
        <f>0.56*G642*F642</f>
        <v>0.89600000000000013</v>
      </c>
      <c r="J642" s="34"/>
      <c r="K642" s="34"/>
      <c r="L642" s="34"/>
      <c r="M642" s="34"/>
      <c r="N642" s="34"/>
      <c r="O642" s="295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</row>
    <row r="643" spans="1:50" ht="20.100000000000001" hidden="1" customHeight="1" outlineLevel="2">
      <c r="A643" s="296"/>
      <c r="B643" s="34"/>
      <c r="C643" s="34">
        <v>3.5</v>
      </c>
      <c r="D643" s="34">
        <v>1</v>
      </c>
      <c r="E643" s="34">
        <v>1</v>
      </c>
      <c r="F643" s="43">
        <f t="shared" si="73"/>
        <v>1</v>
      </c>
      <c r="G643" s="34">
        <f t="shared" si="74"/>
        <v>3.5</v>
      </c>
      <c r="H643" s="34"/>
      <c r="I643" s="34">
        <f>0.56*G643*F643</f>
        <v>1.9600000000000002</v>
      </c>
      <c r="J643" s="34"/>
      <c r="K643" s="34"/>
      <c r="L643" s="34"/>
      <c r="M643" s="34"/>
      <c r="N643" s="34"/>
      <c r="O643" s="295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50" ht="20.100000000000001" hidden="1" customHeight="1" outlineLevel="2">
      <c r="A644" s="296"/>
      <c r="B644" s="34"/>
      <c r="C644" s="34">
        <v>3</v>
      </c>
      <c r="D644" s="34">
        <v>1</v>
      </c>
      <c r="E644" s="34">
        <v>1</v>
      </c>
      <c r="F644" s="43">
        <f t="shared" si="73"/>
        <v>1</v>
      </c>
      <c r="G644" s="34">
        <f t="shared" si="74"/>
        <v>3</v>
      </c>
      <c r="H644" s="34"/>
      <c r="I644" s="34"/>
      <c r="J644" s="34"/>
      <c r="K644" s="34"/>
      <c r="L644" s="34"/>
      <c r="M644" s="34">
        <f>3*G644*F644</f>
        <v>9</v>
      </c>
      <c r="N644" s="34"/>
      <c r="O644" s="295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50" ht="20.100000000000001" hidden="1" customHeight="1" outlineLevel="2">
      <c r="A645" s="296"/>
      <c r="B645" s="34"/>
      <c r="C645" s="34">
        <v>6</v>
      </c>
      <c r="D645" s="34">
        <v>1</v>
      </c>
      <c r="E645" s="34">
        <v>2</v>
      </c>
      <c r="F645" s="43">
        <f t="shared" si="73"/>
        <v>2</v>
      </c>
      <c r="G645" s="34">
        <f t="shared" si="74"/>
        <v>6</v>
      </c>
      <c r="H645" s="34"/>
      <c r="I645" s="34"/>
      <c r="J645" s="34"/>
      <c r="K645" s="34"/>
      <c r="L645" s="34"/>
      <c r="M645" s="34">
        <f>3*G645*F645</f>
        <v>36</v>
      </c>
      <c r="N645" s="34"/>
      <c r="O645" s="295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50" ht="20.100000000000001" hidden="1" customHeight="1" outlineLevel="2">
      <c r="A646" s="296"/>
      <c r="B646" s="34"/>
      <c r="C646" s="34">
        <v>10</v>
      </c>
      <c r="D646" s="34">
        <v>1</v>
      </c>
      <c r="E646" s="34">
        <v>1</v>
      </c>
      <c r="F646" s="43">
        <f t="shared" si="73"/>
        <v>1</v>
      </c>
      <c r="G646" s="34">
        <f t="shared" si="74"/>
        <v>10</v>
      </c>
      <c r="H646" s="34"/>
      <c r="I646" s="34"/>
      <c r="J646" s="34"/>
      <c r="K646" s="34"/>
      <c r="L646" s="34"/>
      <c r="M646" s="34">
        <f>3*G646*F646</f>
        <v>30</v>
      </c>
      <c r="N646" s="34"/>
      <c r="O646" s="295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50" ht="20.100000000000001" hidden="1" customHeight="1" outlineLevel="2">
      <c r="A647" s="296"/>
      <c r="B647" s="34"/>
      <c r="C647" s="34">
        <v>8.6999999999999993</v>
      </c>
      <c r="D647" s="34">
        <v>1</v>
      </c>
      <c r="E647" s="34">
        <v>2</v>
      </c>
      <c r="F647" s="43">
        <f t="shared" si="73"/>
        <v>2</v>
      </c>
      <c r="G647" s="34">
        <f t="shared" si="74"/>
        <v>8.6999999999999993</v>
      </c>
      <c r="H647" s="34"/>
      <c r="I647" s="34"/>
      <c r="J647" s="34"/>
      <c r="K647" s="34"/>
      <c r="L647" s="34">
        <f>2.24*G647*F647</f>
        <v>38.975999999999999</v>
      </c>
      <c r="M647" s="34"/>
      <c r="N647" s="34"/>
      <c r="O647" s="295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50" ht="44.25" hidden="1" customHeight="1" outlineLevel="2">
      <c r="A648" s="291"/>
      <c r="B648" s="52"/>
      <c r="C648" s="51">
        <f>(0.55*2)+(0.15*2)+(0.05*2)</f>
        <v>1.5000000000000002</v>
      </c>
      <c r="D648" s="59">
        <v>1</v>
      </c>
      <c r="E648" s="51">
        <v>55</v>
      </c>
      <c r="F648" s="51">
        <f>D648*E648</f>
        <v>55</v>
      </c>
      <c r="G648" s="34">
        <f t="shared" si="74"/>
        <v>1.5000000000000002</v>
      </c>
      <c r="H648" s="51">
        <f>0.25*G648*F648</f>
        <v>20.625000000000004</v>
      </c>
      <c r="I648" s="34"/>
      <c r="J648" s="34"/>
      <c r="K648" s="34"/>
      <c r="L648" s="34"/>
      <c r="M648" s="34"/>
      <c r="N648" s="34"/>
      <c r="O648" s="295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50" ht="20.100000000000001" hidden="1" customHeight="1" outlineLevel="2">
      <c r="A649" s="2129" t="s">
        <v>196</v>
      </c>
      <c r="B649" s="2130"/>
      <c r="C649" s="2130"/>
      <c r="D649" s="2130"/>
      <c r="E649" s="2130"/>
      <c r="F649" s="2130"/>
      <c r="G649" s="2130"/>
      <c r="H649" s="556">
        <f>SUM(H641:H648)</f>
        <v>20.625000000000004</v>
      </c>
      <c r="I649" s="556">
        <f t="shared" ref="I649:O649" si="75">SUM(I641:I647)</f>
        <v>5.3760000000000003</v>
      </c>
      <c r="J649" s="556">
        <f t="shared" si="75"/>
        <v>0</v>
      </c>
      <c r="K649" s="556">
        <f t="shared" si="75"/>
        <v>0</v>
      </c>
      <c r="L649" s="556">
        <f>SUM(L641:L647)</f>
        <v>38.975999999999999</v>
      </c>
      <c r="M649" s="556">
        <f t="shared" si="75"/>
        <v>75</v>
      </c>
      <c r="N649" s="556">
        <f t="shared" si="75"/>
        <v>0</v>
      </c>
      <c r="O649" s="557">
        <f t="shared" si="75"/>
        <v>0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50" ht="20.100000000000001" hidden="1" customHeight="1" outlineLevel="2">
      <c r="A650" s="2186" t="s">
        <v>124</v>
      </c>
      <c r="B650" s="2187"/>
      <c r="C650" s="2187"/>
      <c r="D650" s="2187"/>
      <c r="E650" s="2187"/>
      <c r="F650" s="2187"/>
      <c r="G650" s="2187"/>
      <c r="H650" s="2188">
        <f>SUM(H649:O649)</f>
        <v>139.977</v>
      </c>
      <c r="I650" s="2188"/>
      <c r="J650" s="2188"/>
      <c r="K650" s="2188"/>
      <c r="L650" s="2188"/>
      <c r="M650" s="2188"/>
      <c r="N650" s="2188"/>
      <c r="O650" s="2189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50" s="37" customFormat="1" ht="20.100000000000001" hidden="1" customHeight="1" outlineLevel="2">
      <c r="A651" s="2206"/>
      <c r="B651" s="2207"/>
      <c r="C651" s="2207"/>
      <c r="D651" s="2207"/>
      <c r="E651" s="2207"/>
      <c r="F651" s="2207"/>
      <c r="G651" s="2207"/>
      <c r="H651" s="2207"/>
      <c r="I651" s="2207"/>
      <c r="J651" s="2207"/>
      <c r="K651" s="2207"/>
      <c r="L651" s="2207"/>
      <c r="M651" s="2207"/>
      <c r="N651" s="2207"/>
      <c r="O651" s="2208"/>
      <c r="P651" s="82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0.100000000000001" hidden="1" customHeight="1" outlineLevel="2">
      <c r="A652" s="277" t="s">
        <v>128</v>
      </c>
      <c r="B652" s="34"/>
      <c r="C652" s="34">
        <v>2.5</v>
      </c>
      <c r="D652" s="34">
        <v>4</v>
      </c>
      <c r="E652" s="34">
        <v>1</v>
      </c>
      <c r="F652" s="43">
        <f>+E652*D652</f>
        <v>4</v>
      </c>
      <c r="G652" s="34">
        <f>+C652</f>
        <v>2.5</v>
      </c>
      <c r="H652" s="34"/>
      <c r="I652" s="34">
        <f>0.56*G652*F652</f>
        <v>5.6000000000000005</v>
      </c>
      <c r="J652" s="34"/>
      <c r="K652" s="34"/>
      <c r="L652" s="34"/>
      <c r="M652" s="34"/>
      <c r="N652" s="34"/>
      <c r="O652" s="295"/>
      <c r="P652" s="3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5"/>
      <c r="AB652" s="37"/>
      <c r="AC652" s="37"/>
      <c r="AD652" s="37"/>
      <c r="AE652" s="37"/>
    </row>
    <row r="653" spans="1:50" ht="20.100000000000001" hidden="1" customHeight="1" outlineLevel="2">
      <c r="A653" s="296"/>
      <c r="B653" s="34"/>
      <c r="C653" s="34">
        <v>2.2999999999999998</v>
      </c>
      <c r="D653" s="34">
        <v>4</v>
      </c>
      <c r="E653" s="34">
        <v>1</v>
      </c>
      <c r="F653" s="43">
        <f>+E653*D653</f>
        <v>4</v>
      </c>
      <c r="G653" s="34">
        <f>+C653</f>
        <v>2.2999999999999998</v>
      </c>
      <c r="H653" s="34"/>
      <c r="I653" s="34">
        <f>0.56*G653*F653</f>
        <v>5.1520000000000001</v>
      </c>
      <c r="J653" s="34"/>
      <c r="K653" s="34"/>
      <c r="L653" s="34"/>
      <c r="M653" s="34"/>
      <c r="N653" s="34"/>
      <c r="O653" s="295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50" ht="43.5" hidden="1" customHeight="1" outlineLevel="2">
      <c r="A654" s="291"/>
      <c r="B654" s="52"/>
      <c r="C654" s="51">
        <f>(0.55*2)+(0.1*2)+(0.05*2)</f>
        <v>1.4000000000000001</v>
      </c>
      <c r="D654" s="59">
        <v>4</v>
      </c>
      <c r="E654" s="51">
        <v>14</v>
      </c>
      <c r="F654" s="51">
        <f>D654*E654</f>
        <v>56</v>
      </c>
      <c r="G654" s="34">
        <f>+C654</f>
        <v>1.4000000000000001</v>
      </c>
      <c r="H654" s="51">
        <f>0.25*G654*F654</f>
        <v>19.600000000000001</v>
      </c>
      <c r="I654" s="51"/>
      <c r="J654" s="34"/>
      <c r="K654" s="51"/>
      <c r="L654" s="51"/>
      <c r="M654" s="51"/>
      <c r="N654" s="51"/>
      <c r="O654" s="290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50" ht="20.100000000000001" hidden="1" customHeight="1" outlineLevel="2">
      <c r="A655" s="2129" t="s">
        <v>196</v>
      </c>
      <c r="B655" s="2130"/>
      <c r="C655" s="2130"/>
      <c r="D655" s="2130"/>
      <c r="E655" s="2130"/>
      <c r="F655" s="2130"/>
      <c r="G655" s="2130"/>
      <c r="H655" s="561">
        <f>SUM(H652:H654)</f>
        <v>19.600000000000001</v>
      </c>
      <c r="I655" s="561">
        <f t="shared" ref="I655:O655" si="76">SUM(I652:I654)</f>
        <v>10.752000000000001</v>
      </c>
      <c r="J655" s="561">
        <f t="shared" si="76"/>
        <v>0</v>
      </c>
      <c r="K655" s="561">
        <f t="shared" si="76"/>
        <v>0</v>
      </c>
      <c r="L655" s="561">
        <f t="shared" si="76"/>
        <v>0</v>
      </c>
      <c r="M655" s="561">
        <f t="shared" si="76"/>
        <v>0</v>
      </c>
      <c r="N655" s="561">
        <f t="shared" si="76"/>
        <v>0</v>
      </c>
      <c r="O655" s="562">
        <f t="shared" si="76"/>
        <v>0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50" ht="20.100000000000001" hidden="1" customHeight="1" outlineLevel="2">
      <c r="A656" s="2209" t="s">
        <v>130</v>
      </c>
      <c r="B656" s="2130"/>
      <c r="C656" s="2130"/>
      <c r="D656" s="2130"/>
      <c r="E656" s="2130"/>
      <c r="F656" s="2130"/>
      <c r="G656" s="2130"/>
      <c r="H656" s="1965">
        <f>SUM(H655:O655)</f>
        <v>30.352000000000004</v>
      </c>
      <c r="I656" s="1965"/>
      <c r="J656" s="1965"/>
      <c r="K656" s="1965"/>
      <c r="L656" s="1965"/>
      <c r="M656" s="1965"/>
      <c r="N656" s="1965"/>
      <c r="O656" s="2210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50" s="37" customFormat="1" ht="20.100000000000001" hidden="1" customHeight="1" outlineLevel="2">
      <c r="A657" s="2206"/>
      <c r="B657" s="2207"/>
      <c r="C657" s="2207"/>
      <c r="D657" s="2207"/>
      <c r="E657" s="2207"/>
      <c r="F657" s="2207"/>
      <c r="G657" s="2207"/>
      <c r="H657" s="2207"/>
      <c r="I657" s="2207"/>
      <c r="J657" s="2207"/>
      <c r="K657" s="2207"/>
      <c r="L657" s="2207"/>
      <c r="M657" s="2207"/>
      <c r="N657" s="2207"/>
      <c r="O657" s="2208"/>
      <c r="P657" s="82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0.100000000000001" hidden="1" customHeight="1" outlineLevel="2">
      <c r="A658" s="299" t="s">
        <v>127</v>
      </c>
      <c r="B658" s="37"/>
      <c r="C658" s="34">
        <v>4.5</v>
      </c>
      <c r="D658" s="34">
        <v>1</v>
      </c>
      <c r="E658" s="34">
        <v>1</v>
      </c>
      <c r="F658" s="43">
        <f>+E658*D658</f>
        <v>1</v>
      </c>
      <c r="G658" s="34">
        <f>+C658</f>
        <v>4.5</v>
      </c>
      <c r="H658" s="34"/>
      <c r="I658" s="34">
        <f>0.56*G658*F658</f>
        <v>2.5200000000000005</v>
      </c>
      <c r="J658" s="34"/>
      <c r="K658" s="34"/>
      <c r="L658" s="34"/>
      <c r="M658" s="34"/>
      <c r="N658" s="34"/>
      <c r="O658" s="295"/>
      <c r="P658" s="3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5"/>
      <c r="AB658" s="37"/>
      <c r="AC658" s="37"/>
      <c r="AD658" s="37"/>
      <c r="AE658" s="37"/>
    </row>
    <row r="659" spans="1:50" ht="20.100000000000001" hidden="1" customHeight="1" outlineLevel="2">
      <c r="A659" s="296"/>
      <c r="B659" s="37"/>
      <c r="C659" s="34">
        <v>5.3</v>
      </c>
      <c r="D659" s="34">
        <v>1</v>
      </c>
      <c r="E659" s="34">
        <v>2</v>
      </c>
      <c r="F659" s="43">
        <f t="shared" ref="F659:F676" si="77">+E659*D659</f>
        <v>2</v>
      </c>
      <c r="G659" s="34">
        <f t="shared" ref="G659:G679" si="78">+C659</f>
        <v>5.3</v>
      </c>
      <c r="H659" s="34"/>
      <c r="I659" s="34">
        <f>0.56*G659*F659</f>
        <v>5.9359999999999999</v>
      </c>
      <c r="J659" s="34"/>
      <c r="K659" s="34"/>
      <c r="L659" s="34"/>
      <c r="M659" s="34"/>
      <c r="N659" s="34"/>
      <c r="O659" s="295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50" ht="20.100000000000001" hidden="1" customHeight="1" outlineLevel="2">
      <c r="A660" s="296"/>
      <c r="B660" s="34"/>
      <c r="C660" s="34">
        <v>3</v>
      </c>
      <c r="D660" s="34">
        <v>1</v>
      </c>
      <c r="E660" s="34">
        <v>2</v>
      </c>
      <c r="F660" s="43">
        <f t="shared" si="77"/>
        <v>2</v>
      </c>
      <c r="G660" s="34">
        <f t="shared" si="78"/>
        <v>3</v>
      </c>
      <c r="H660" s="34"/>
      <c r="I660" s="34"/>
      <c r="J660" s="34"/>
      <c r="K660" s="34"/>
      <c r="L660" s="34">
        <f>2.24*G660*F660</f>
        <v>13.440000000000001</v>
      </c>
      <c r="M660" s="34"/>
      <c r="N660" s="34"/>
      <c r="O660" s="295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50" ht="20.100000000000001" hidden="1" customHeight="1" outlineLevel="2">
      <c r="A661" s="296"/>
      <c r="B661" s="34"/>
      <c r="C661" s="34">
        <v>3</v>
      </c>
      <c r="D661" s="34">
        <v>1</v>
      </c>
      <c r="E661" s="34">
        <v>1</v>
      </c>
      <c r="F661" s="43">
        <f t="shared" si="77"/>
        <v>1</v>
      </c>
      <c r="G661" s="34">
        <f t="shared" si="78"/>
        <v>3</v>
      </c>
      <c r="H661" s="34"/>
      <c r="I661" s="34"/>
      <c r="J661" s="34"/>
      <c r="K661" s="34"/>
      <c r="L661" s="34"/>
      <c r="M661" s="34">
        <f>3*G661*F661</f>
        <v>9</v>
      </c>
      <c r="N661" s="34"/>
      <c r="O661" s="295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50" ht="20.100000000000001" hidden="1" customHeight="1" outlineLevel="2">
      <c r="A662" s="296"/>
      <c r="B662" s="34"/>
      <c r="C662" s="34">
        <v>3</v>
      </c>
      <c r="D662" s="34">
        <v>1</v>
      </c>
      <c r="E662" s="34">
        <v>1</v>
      </c>
      <c r="F662" s="43">
        <f t="shared" si="77"/>
        <v>1</v>
      </c>
      <c r="G662" s="34">
        <f t="shared" si="78"/>
        <v>3</v>
      </c>
      <c r="H662" s="34"/>
      <c r="I662" s="34"/>
      <c r="J662" s="34"/>
      <c r="K662" s="34"/>
      <c r="L662" s="34"/>
      <c r="M662" s="34"/>
      <c r="N662" s="34">
        <f>4*G662*F662</f>
        <v>12</v>
      </c>
      <c r="O662" s="295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50" ht="20.100000000000001" hidden="1" customHeight="1" outlineLevel="2">
      <c r="A663" s="296"/>
      <c r="B663" s="34"/>
      <c r="C663" s="34">
        <v>3.5</v>
      </c>
      <c r="D663" s="34">
        <v>1</v>
      </c>
      <c r="E663" s="34">
        <v>1</v>
      </c>
      <c r="F663" s="43">
        <f t="shared" si="77"/>
        <v>1</v>
      </c>
      <c r="G663" s="34">
        <f t="shared" si="78"/>
        <v>3.5</v>
      </c>
      <c r="H663" s="34"/>
      <c r="I663" s="34"/>
      <c r="J663" s="34"/>
      <c r="K663" s="34"/>
      <c r="L663" s="34"/>
      <c r="M663" s="34"/>
      <c r="N663" s="34"/>
      <c r="O663" s="295">
        <f>6.4*G663*F663</f>
        <v>22.400000000000002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50" ht="20.100000000000001" hidden="1" customHeight="1" outlineLevel="2">
      <c r="A664" s="296"/>
      <c r="B664" s="34"/>
      <c r="C664" s="34">
        <v>4</v>
      </c>
      <c r="D664" s="34">
        <v>1</v>
      </c>
      <c r="E664" s="34">
        <v>1</v>
      </c>
      <c r="F664" s="43">
        <f t="shared" si="77"/>
        <v>1</v>
      </c>
      <c r="G664" s="34">
        <f t="shared" si="78"/>
        <v>4</v>
      </c>
      <c r="H664" s="34"/>
      <c r="I664" s="34"/>
      <c r="J664" s="34"/>
      <c r="K664" s="34">
        <f>1.55*G664*F664</f>
        <v>6.2</v>
      </c>
      <c r="L664" s="34"/>
      <c r="M664" s="34"/>
      <c r="N664" s="34"/>
      <c r="O664" s="295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50" ht="20.100000000000001" hidden="1" customHeight="1" outlineLevel="2">
      <c r="A665" s="296"/>
      <c r="B665" s="34"/>
      <c r="C665" s="34">
        <v>5</v>
      </c>
      <c r="D665" s="34">
        <v>1</v>
      </c>
      <c r="E665" s="34">
        <v>4</v>
      </c>
      <c r="F665" s="43">
        <f t="shared" si="77"/>
        <v>4</v>
      </c>
      <c r="G665" s="34">
        <f t="shared" si="78"/>
        <v>5</v>
      </c>
      <c r="H665" s="34"/>
      <c r="I665" s="34"/>
      <c r="J665" s="34"/>
      <c r="K665" s="34"/>
      <c r="L665" s="34">
        <f t="shared" ref="L665:L671" si="79">2.24*G665*F665</f>
        <v>44.800000000000004</v>
      </c>
      <c r="M665" s="34"/>
      <c r="N665" s="34"/>
      <c r="O665" s="295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50" ht="20.100000000000001" hidden="1" customHeight="1" outlineLevel="2">
      <c r="A666" s="296"/>
      <c r="B666" s="34"/>
      <c r="C666" s="34">
        <v>5.5</v>
      </c>
      <c r="D666" s="34">
        <v>1</v>
      </c>
      <c r="E666" s="34">
        <v>2</v>
      </c>
      <c r="F666" s="43">
        <f t="shared" si="77"/>
        <v>2</v>
      </c>
      <c r="G666" s="34">
        <f t="shared" si="78"/>
        <v>5.5</v>
      </c>
      <c r="H666" s="34"/>
      <c r="I666" s="34"/>
      <c r="J666" s="34"/>
      <c r="K666" s="34"/>
      <c r="L666" s="34"/>
      <c r="M666" s="34">
        <f>3*G666*F666</f>
        <v>33</v>
      </c>
      <c r="N666" s="34"/>
      <c r="O666" s="295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50" ht="20.100000000000001" hidden="1" customHeight="1" outlineLevel="2">
      <c r="A667" s="296"/>
      <c r="B667" s="34"/>
      <c r="C667" s="34">
        <v>5.5</v>
      </c>
      <c r="D667" s="34">
        <v>1</v>
      </c>
      <c r="E667" s="34">
        <v>2</v>
      </c>
      <c r="F667" s="43">
        <f t="shared" si="77"/>
        <v>2</v>
      </c>
      <c r="G667" s="34">
        <f t="shared" si="78"/>
        <v>5.5</v>
      </c>
      <c r="H667" s="34"/>
      <c r="I667" s="34"/>
      <c r="J667" s="34"/>
      <c r="K667" s="34"/>
      <c r="L667" s="34"/>
      <c r="M667" s="34"/>
      <c r="N667" s="34">
        <f>4*G667*F667</f>
        <v>44</v>
      </c>
      <c r="O667" s="295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</row>
    <row r="668" spans="1:50" ht="20.100000000000001" hidden="1" customHeight="1" outlineLevel="2">
      <c r="A668" s="296"/>
      <c r="B668" s="37"/>
      <c r="C668" s="34">
        <v>8</v>
      </c>
      <c r="D668" s="34">
        <v>1</v>
      </c>
      <c r="E668" s="34">
        <v>1</v>
      </c>
      <c r="F668" s="43">
        <f t="shared" si="77"/>
        <v>1</v>
      </c>
      <c r="G668" s="34">
        <f t="shared" si="78"/>
        <v>8</v>
      </c>
      <c r="H668" s="34"/>
      <c r="I668" s="34"/>
      <c r="J668" s="34"/>
      <c r="K668" s="34"/>
      <c r="L668" s="34">
        <f t="shared" si="79"/>
        <v>17.920000000000002</v>
      </c>
      <c r="M668" s="34"/>
      <c r="N668" s="34"/>
      <c r="O668" s="295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50" ht="20.100000000000001" hidden="1" customHeight="1" outlineLevel="2">
      <c r="A669" s="296"/>
      <c r="B669" s="37"/>
      <c r="C669" s="34">
        <v>9</v>
      </c>
      <c r="D669" s="34">
        <v>1</v>
      </c>
      <c r="E669" s="34">
        <v>1</v>
      </c>
      <c r="F669" s="43">
        <f t="shared" si="77"/>
        <v>1</v>
      </c>
      <c r="G669" s="34">
        <f t="shared" si="78"/>
        <v>9</v>
      </c>
      <c r="H669" s="34"/>
      <c r="I669" s="34"/>
      <c r="J669" s="34"/>
      <c r="K669" s="34"/>
      <c r="L669" s="34">
        <f t="shared" si="79"/>
        <v>20.160000000000004</v>
      </c>
      <c r="M669" s="34"/>
      <c r="N669" s="34"/>
      <c r="O669" s="295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50" ht="20.100000000000001" hidden="1" customHeight="1" outlineLevel="2">
      <c r="A670" s="296"/>
      <c r="B670" s="34"/>
      <c r="C670" s="34">
        <v>9</v>
      </c>
      <c r="D670" s="34">
        <v>1</v>
      </c>
      <c r="E670" s="34">
        <v>1</v>
      </c>
      <c r="F670" s="43">
        <f t="shared" si="77"/>
        <v>1</v>
      </c>
      <c r="G670" s="34">
        <f t="shared" si="78"/>
        <v>9</v>
      </c>
      <c r="H670" s="34"/>
      <c r="I670" s="34"/>
      <c r="J670" s="34"/>
      <c r="K670" s="34">
        <f>1.55*G670*F670</f>
        <v>13.950000000000001</v>
      </c>
      <c r="L670" s="34"/>
      <c r="M670" s="34"/>
      <c r="N670" s="34"/>
      <c r="O670" s="295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50" ht="20.100000000000001" hidden="1" customHeight="1" outlineLevel="2">
      <c r="A671" s="296"/>
      <c r="B671" s="34"/>
      <c r="C671" s="34">
        <v>8.5</v>
      </c>
      <c r="D671" s="34">
        <v>1</v>
      </c>
      <c r="E671" s="34">
        <v>2</v>
      </c>
      <c r="F671" s="43">
        <f t="shared" si="77"/>
        <v>2</v>
      </c>
      <c r="G671" s="34">
        <f t="shared" si="78"/>
        <v>8.5</v>
      </c>
      <c r="H671" s="34"/>
      <c r="I671" s="34"/>
      <c r="J671" s="34"/>
      <c r="K671" s="34"/>
      <c r="L671" s="34">
        <f t="shared" si="79"/>
        <v>38.080000000000005</v>
      </c>
      <c r="M671" s="34"/>
      <c r="N671" s="34"/>
      <c r="O671" s="295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50" ht="20.100000000000001" hidden="1" customHeight="1" outlineLevel="2">
      <c r="A672" s="296"/>
      <c r="B672" s="34"/>
      <c r="C672" s="34">
        <v>8.5</v>
      </c>
      <c r="D672" s="34">
        <v>1</v>
      </c>
      <c r="E672" s="34">
        <v>4</v>
      </c>
      <c r="F672" s="43">
        <f t="shared" si="77"/>
        <v>4</v>
      </c>
      <c r="G672" s="34">
        <f t="shared" si="78"/>
        <v>8.5</v>
      </c>
      <c r="H672" s="34"/>
      <c r="I672" s="34"/>
      <c r="J672" s="34"/>
      <c r="K672" s="34">
        <f>1.55*G672*F672</f>
        <v>52.7</v>
      </c>
      <c r="L672" s="34"/>
      <c r="M672" s="34"/>
      <c r="N672" s="34"/>
      <c r="O672" s="295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50" ht="20.100000000000001" hidden="1" customHeight="1" outlineLevel="2">
      <c r="A673" s="296"/>
      <c r="B673" s="37"/>
      <c r="C673" s="34">
        <v>6.5</v>
      </c>
      <c r="D673" s="34">
        <v>1</v>
      </c>
      <c r="E673" s="34">
        <v>1</v>
      </c>
      <c r="F673" s="43">
        <f t="shared" si="77"/>
        <v>1</v>
      </c>
      <c r="G673" s="34">
        <f t="shared" si="78"/>
        <v>6.5</v>
      </c>
      <c r="H673" s="34"/>
      <c r="I673" s="34"/>
      <c r="J673" s="34"/>
      <c r="K673" s="34">
        <f>1.55*G673*F673</f>
        <v>10.075000000000001</v>
      </c>
      <c r="L673" s="34"/>
      <c r="M673" s="34"/>
      <c r="N673" s="34"/>
      <c r="O673" s="295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50" ht="20.100000000000001" hidden="1" customHeight="1" outlineLevel="2">
      <c r="A674" s="296"/>
      <c r="B674" s="37"/>
      <c r="C674" s="34">
        <v>6</v>
      </c>
      <c r="D674" s="34">
        <v>1</v>
      </c>
      <c r="E674" s="34">
        <v>1</v>
      </c>
      <c r="F674" s="43">
        <f t="shared" si="77"/>
        <v>1</v>
      </c>
      <c r="G674" s="34">
        <f t="shared" si="78"/>
        <v>6</v>
      </c>
      <c r="H674" s="34"/>
      <c r="I674" s="34"/>
      <c r="J674" s="34"/>
      <c r="K674" s="34">
        <f>1.55*G674*F674</f>
        <v>9.3000000000000007</v>
      </c>
      <c r="L674" s="34"/>
      <c r="M674" s="34"/>
      <c r="N674" s="34"/>
      <c r="O674" s="295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50" ht="20.100000000000001" hidden="1" customHeight="1" outlineLevel="2">
      <c r="A675" s="296"/>
      <c r="B675" s="34"/>
      <c r="C675" s="34">
        <v>6</v>
      </c>
      <c r="D675" s="34">
        <v>1</v>
      </c>
      <c r="E675" s="34">
        <v>1</v>
      </c>
      <c r="F675" s="43">
        <f t="shared" si="77"/>
        <v>1</v>
      </c>
      <c r="G675" s="34">
        <f t="shared" si="78"/>
        <v>6</v>
      </c>
      <c r="H675" s="34"/>
      <c r="I675" s="34"/>
      <c r="J675" s="34">
        <f>1*G675*F675</f>
        <v>6</v>
      </c>
      <c r="K675" s="34"/>
      <c r="L675" s="34"/>
      <c r="M675" s="34"/>
      <c r="N675" s="34"/>
      <c r="O675" s="295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</row>
    <row r="676" spans="1:50" ht="20.100000000000001" hidden="1" customHeight="1" outlineLevel="2">
      <c r="A676" s="296"/>
      <c r="B676" s="34"/>
      <c r="C676" s="34">
        <v>4.3</v>
      </c>
      <c r="D676" s="34">
        <v>1</v>
      </c>
      <c r="E676" s="34">
        <v>2</v>
      </c>
      <c r="F676" s="43">
        <f t="shared" si="77"/>
        <v>2</v>
      </c>
      <c r="G676" s="34">
        <f t="shared" si="78"/>
        <v>4.3</v>
      </c>
      <c r="H676" s="34"/>
      <c r="I676" s="34">
        <f>0.56*G676*F676</f>
        <v>4.8159999999999998</v>
      </c>
      <c r="J676" s="34"/>
      <c r="K676" s="34"/>
      <c r="L676" s="34"/>
      <c r="M676" s="34"/>
      <c r="N676" s="34"/>
      <c r="O676" s="295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50" ht="43.5" hidden="1" customHeight="1" outlineLevel="2">
      <c r="A677" s="291"/>
      <c r="B677" s="52"/>
      <c r="C677" s="51">
        <f>(0.55*2)+(0.15*2)+(0.05*2)</f>
        <v>1.5000000000000002</v>
      </c>
      <c r="D677" s="59">
        <v>1</v>
      </c>
      <c r="E677" s="51">
        <v>161</v>
      </c>
      <c r="F677" s="51">
        <f>D677*E677</f>
        <v>161</v>
      </c>
      <c r="G677" s="34">
        <f t="shared" si="78"/>
        <v>1.5000000000000002</v>
      </c>
      <c r="H677" s="51">
        <f>0.25*G677*F677</f>
        <v>60.375000000000007</v>
      </c>
      <c r="I677" s="51"/>
      <c r="J677" s="34"/>
      <c r="K677" s="34"/>
      <c r="L677" s="34"/>
      <c r="M677" s="34"/>
      <c r="N677" s="34"/>
      <c r="O677" s="295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50" ht="43.5" hidden="1" customHeight="1" outlineLevel="2">
      <c r="A678" s="291"/>
      <c r="B678" s="52"/>
      <c r="C678" s="51">
        <f>(0.55*2)+(0.15*2)+(0.05*2)</f>
        <v>1.5000000000000002</v>
      </c>
      <c r="D678" s="59">
        <v>1</v>
      </c>
      <c r="E678" s="51">
        <v>62</v>
      </c>
      <c r="F678" s="51">
        <f>D678*E678</f>
        <v>62</v>
      </c>
      <c r="G678" s="34">
        <f t="shared" si="78"/>
        <v>1.5000000000000002</v>
      </c>
      <c r="H678" s="51"/>
      <c r="I678" s="51">
        <f>0.56*G678*F678</f>
        <v>52.080000000000013</v>
      </c>
      <c r="J678" s="34"/>
      <c r="K678" s="34"/>
      <c r="L678" s="34"/>
      <c r="M678" s="34"/>
      <c r="N678" s="34"/>
      <c r="O678" s="295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50" ht="43.5" hidden="1" customHeight="1" outlineLevel="2">
      <c r="A679" s="291"/>
      <c r="B679" s="52"/>
      <c r="C679" s="51">
        <f>(0.55*2)+(0.1*2)+(0.05*2)</f>
        <v>1.4000000000000001</v>
      </c>
      <c r="D679" s="59">
        <v>1</v>
      </c>
      <c r="E679" s="51">
        <v>6</v>
      </c>
      <c r="F679" s="51">
        <f>D679*E679</f>
        <v>6</v>
      </c>
      <c r="G679" s="34">
        <f t="shared" si="78"/>
        <v>1.4000000000000001</v>
      </c>
      <c r="H679" s="51">
        <f>0.25*G679*F679</f>
        <v>2.1</v>
      </c>
      <c r="I679" s="51"/>
      <c r="J679" s="34"/>
      <c r="K679" s="34"/>
      <c r="L679" s="34"/>
      <c r="M679" s="34"/>
      <c r="N679" s="34"/>
      <c r="O679" s="295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50" ht="20.100000000000001" hidden="1" customHeight="1" outlineLevel="2">
      <c r="A680" s="2129" t="s">
        <v>196</v>
      </c>
      <c r="B680" s="2130"/>
      <c r="C680" s="2130"/>
      <c r="D680" s="2130"/>
      <c r="E680" s="2130"/>
      <c r="F680" s="2130"/>
      <c r="G680" s="2130"/>
      <c r="H680" s="556">
        <f>SUM(H658:H679)</f>
        <v>62.475000000000009</v>
      </c>
      <c r="I680" s="556">
        <f>SUM(I658:I679)</f>
        <v>65.352000000000004</v>
      </c>
      <c r="J680" s="556">
        <f t="shared" ref="J680:O680" si="80">SUM(J658:J676)</f>
        <v>6</v>
      </c>
      <c r="K680" s="556">
        <f>SUM(K658:K676)</f>
        <v>92.225000000000009</v>
      </c>
      <c r="L680" s="556">
        <f t="shared" si="80"/>
        <v>134.40000000000003</v>
      </c>
      <c r="M680" s="556">
        <f t="shared" si="80"/>
        <v>42</v>
      </c>
      <c r="N680" s="556">
        <f t="shared" si="80"/>
        <v>56</v>
      </c>
      <c r="O680" s="557">
        <f t="shared" si="80"/>
        <v>22.400000000000002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50" ht="20.100000000000001" hidden="1" customHeight="1" outlineLevel="2">
      <c r="A681" s="2186" t="s">
        <v>129</v>
      </c>
      <c r="B681" s="2187"/>
      <c r="C681" s="2187"/>
      <c r="D681" s="2187"/>
      <c r="E681" s="2187"/>
      <c r="F681" s="2187"/>
      <c r="G681" s="2187"/>
      <c r="H681" s="2188">
        <f>SUM(H680:O680)</f>
        <v>480.85200000000003</v>
      </c>
      <c r="I681" s="2188"/>
      <c r="J681" s="2188"/>
      <c r="K681" s="2188"/>
      <c r="L681" s="2188"/>
      <c r="M681" s="2188"/>
      <c r="N681" s="2188"/>
      <c r="O681" s="2189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50" s="81" customFormat="1" ht="20.100000000000001" hidden="1" customHeight="1" outlineLevel="2">
      <c r="A682" s="2206"/>
      <c r="B682" s="2207"/>
      <c r="C682" s="2207"/>
      <c r="D682" s="2207"/>
      <c r="E682" s="2207"/>
      <c r="F682" s="2207"/>
      <c r="G682" s="2207"/>
      <c r="H682" s="2207"/>
      <c r="I682" s="2207"/>
      <c r="J682" s="2207"/>
      <c r="K682" s="2207"/>
      <c r="L682" s="2207"/>
      <c r="M682" s="2207"/>
      <c r="N682" s="2207"/>
      <c r="O682" s="2208"/>
      <c r="P682" s="82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0.100000000000001" hidden="1" customHeight="1" outlineLevel="2">
      <c r="A683" s="299" t="s">
        <v>125</v>
      </c>
      <c r="B683" s="34"/>
      <c r="C683" s="34">
        <v>3.7</v>
      </c>
      <c r="D683" s="34">
        <v>1</v>
      </c>
      <c r="E683" s="34">
        <v>3</v>
      </c>
      <c r="F683" s="43">
        <f>+E683*D683</f>
        <v>3</v>
      </c>
      <c r="G683" s="34">
        <f>+C683</f>
        <v>3.7</v>
      </c>
      <c r="H683" s="34"/>
      <c r="I683" s="34">
        <f>0.56*G683*F683</f>
        <v>6.2160000000000011</v>
      </c>
      <c r="J683" s="34"/>
      <c r="K683" s="34"/>
      <c r="L683" s="34"/>
      <c r="M683" s="34"/>
      <c r="N683" s="34"/>
      <c r="O683" s="295"/>
      <c r="P683" s="3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1"/>
      <c r="AC683" s="81"/>
      <c r="AD683" s="81"/>
      <c r="AE683" s="81"/>
    </row>
    <row r="684" spans="1:50" ht="20.100000000000001" hidden="1" customHeight="1" outlineLevel="2">
      <c r="A684" s="296"/>
      <c r="B684" s="34"/>
      <c r="C684" s="34">
        <v>2</v>
      </c>
      <c r="D684" s="34">
        <v>1</v>
      </c>
      <c r="E684" s="34">
        <v>1</v>
      </c>
      <c r="F684" s="43">
        <f>+E684*D684</f>
        <v>1</v>
      </c>
      <c r="G684" s="34">
        <f>+C684</f>
        <v>2</v>
      </c>
      <c r="H684" s="34"/>
      <c r="I684" s="34">
        <f>0.56*G684*F684</f>
        <v>1.1200000000000001</v>
      </c>
      <c r="J684" s="34"/>
      <c r="K684" s="34"/>
      <c r="L684" s="34"/>
      <c r="M684" s="34"/>
      <c r="N684" s="34"/>
      <c r="O684" s="295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50" ht="20.100000000000001" hidden="1" customHeight="1" outlineLevel="2">
      <c r="A685" s="296"/>
      <c r="B685" s="34"/>
      <c r="C685" s="34">
        <v>3</v>
      </c>
      <c r="D685" s="34">
        <v>1</v>
      </c>
      <c r="E685" s="34">
        <v>2</v>
      </c>
      <c r="F685" s="43">
        <f>+E685*D685</f>
        <v>2</v>
      </c>
      <c r="G685" s="34">
        <f>+C685</f>
        <v>3</v>
      </c>
      <c r="H685" s="34"/>
      <c r="I685" s="34">
        <f>0.56*G685*F685</f>
        <v>3.3600000000000003</v>
      </c>
      <c r="J685" s="34"/>
      <c r="K685" s="34"/>
      <c r="L685" s="34"/>
      <c r="M685" s="34"/>
      <c r="N685" s="34"/>
      <c r="O685" s="295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50" ht="20.100000000000001" hidden="1" customHeight="1" outlineLevel="2">
      <c r="A686" s="296"/>
      <c r="B686" s="34"/>
      <c r="C686" s="34">
        <v>2.5</v>
      </c>
      <c r="D686" s="34">
        <v>1</v>
      </c>
      <c r="E686" s="34">
        <v>3</v>
      </c>
      <c r="F686" s="43">
        <f>+E686*D686</f>
        <v>3</v>
      </c>
      <c r="G686" s="34">
        <f>+C686</f>
        <v>2.5</v>
      </c>
      <c r="H686" s="34"/>
      <c r="I686" s="34">
        <f>0.56*G686*F686</f>
        <v>4.2</v>
      </c>
      <c r="J686" s="34"/>
      <c r="K686" s="34"/>
      <c r="L686" s="34"/>
      <c r="M686" s="34"/>
      <c r="N686" s="34"/>
      <c r="O686" s="295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50" ht="47.25" hidden="1" customHeight="1" outlineLevel="2">
      <c r="A687" s="296"/>
      <c r="B687" s="34"/>
      <c r="C687" s="34">
        <f>(0.55*2)+(0.15*2)+(0.05*2)</f>
        <v>1.5000000000000002</v>
      </c>
      <c r="D687" s="34">
        <v>1</v>
      </c>
      <c r="E687" s="34">
        <v>4</v>
      </c>
      <c r="F687" s="43">
        <f>+E687*D687</f>
        <v>4</v>
      </c>
      <c r="G687" s="34">
        <f>+C687</f>
        <v>1.5000000000000002</v>
      </c>
      <c r="H687" s="34">
        <f>0.25*C687*E687</f>
        <v>1.5000000000000002</v>
      </c>
      <c r="I687" s="34"/>
      <c r="J687" s="34"/>
      <c r="K687" s="34"/>
      <c r="L687" s="34"/>
      <c r="M687" s="34"/>
      <c r="N687" s="34"/>
      <c r="O687" s="295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50" ht="20.100000000000001" hidden="1" customHeight="1" outlineLevel="2">
      <c r="A688" s="2129" t="s">
        <v>196</v>
      </c>
      <c r="B688" s="2130"/>
      <c r="C688" s="2130"/>
      <c r="D688" s="2130"/>
      <c r="E688" s="2130"/>
      <c r="F688" s="2130"/>
      <c r="G688" s="2130"/>
      <c r="H688" s="556">
        <f>SUM(H683:H687)</f>
        <v>1.5000000000000002</v>
      </c>
      <c r="I688" s="556">
        <f t="shared" ref="I688:O688" si="81">SUM(I683:I686)</f>
        <v>14.896000000000001</v>
      </c>
      <c r="J688" s="556">
        <f t="shared" si="81"/>
        <v>0</v>
      </c>
      <c r="K688" s="556">
        <f t="shared" si="81"/>
        <v>0</v>
      </c>
      <c r="L688" s="556">
        <f t="shared" si="81"/>
        <v>0</v>
      </c>
      <c r="M688" s="556">
        <f t="shared" si="81"/>
        <v>0</v>
      </c>
      <c r="N688" s="556">
        <f t="shared" si="81"/>
        <v>0</v>
      </c>
      <c r="O688" s="557">
        <f t="shared" si="81"/>
        <v>0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50" ht="20.100000000000001" hidden="1" customHeight="1" outlineLevel="2">
      <c r="A689" s="2186" t="s">
        <v>126</v>
      </c>
      <c r="B689" s="2187"/>
      <c r="C689" s="2187"/>
      <c r="D689" s="2187"/>
      <c r="E689" s="2187"/>
      <c r="F689" s="2187"/>
      <c r="G689" s="2187"/>
      <c r="H689" s="2188">
        <f>SUM(H688:O688)</f>
        <v>16.396000000000001</v>
      </c>
      <c r="I689" s="2188"/>
      <c r="J689" s="2188"/>
      <c r="K689" s="2188"/>
      <c r="L689" s="2188"/>
      <c r="M689" s="2188"/>
      <c r="N689" s="2188"/>
      <c r="O689" s="2189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50" s="37" customFormat="1" ht="20.100000000000001" hidden="1" customHeight="1" outlineLevel="2">
      <c r="A690" s="2206"/>
      <c r="B690" s="2207"/>
      <c r="C690" s="2207"/>
      <c r="D690" s="2207"/>
      <c r="E690" s="2207"/>
      <c r="F690" s="2207"/>
      <c r="G690" s="2207"/>
      <c r="H690" s="2207"/>
      <c r="I690" s="2207"/>
      <c r="J690" s="2207"/>
      <c r="K690" s="2207"/>
      <c r="L690" s="2207"/>
      <c r="M690" s="2207"/>
      <c r="N690" s="2207"/>
      <c r="O690" s="2208"/>
      <c r="P690" s="82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0.100000000000001" hidden="1" customHeight="1" outlineLevel="2">
      <c r="A691" s="299" t="s">
        <v>165</v>
      </c>
      <c r="B691" s="34"/>
      <c r="C691" s="34">
        <v>4.5</v>
      </c>
      <c r="D691" s="34">
        <v>1</v>
      </c>
      <c r="E691" s="34">
        <v>1</v>
      </c>
      <c r="F691" s="43">
        <f>D691*E691</f>
        <v>1</v>
      </c>
      <c r="G691" s="34">
        <f>C691</f>
        <v>4.5</v>
      </c>
      <c r="H691" s="34"/>
      <c r="I691" s="34">
        <f>0.56*G691*F691</f>
        <v>2.5200000000000005</v>
      </c>
      <c r="J691" s="34"/>
      <c r="K691" s="34"/>
      <c r="L691" s="34"/>
      <c r="M691" s="34"/>
      <c r="N691" s="34"/>
      <c r="O691" s="295"/>
      <c r="P691" s="3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5"/>
      <c r="AB691" s="37"/>
      <c r="AC691" s="37"/>
      <c r="AD691" s="37"/>
      <c r="AE691" s="37"/>
    </row>
    <row r="692" spans="1:50" ht="20.100000000000001" hidden="1" customHeight="1" outlineLevel="2">
      <c r="A692" s="306"/>
      <c r="B692" s="34"/>
      <c r="C692" s="34">
        <v>5.0999999999999996</v>
      </c>
      <c r="D692" s="34">
        <v>1</v>
      </c>
      <c r="E692" s="34">
        <v>2</v>
      </c>
      <c r="F692" s="43">
        <f t="shared" ref="F692:F708" si="82">D692*E692</f>
        <v>2</v>
      </c>
      <c r="G692" s="34">
        <f t="shared" ref="G692:G708" si="83">C692</f>
        <v>5.0999999999999996</v>
      </c>
      <c r="H692" s="34"/>
      <c r="I692" s="34">
        <f>0.56*G692*F692</f>
        <v>5.7119999999999997</v>
      </c>
      <c r="J692" s="34"/>
      <c r="K692" s="34"/>
      <c r="L692" s="34"/>
      <c r="M692" s="34"/>
      <c r="N692" s="34"/>
      <c r="O692" s="295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50" ht="20.100000000000001" hidden="1" customHeight="1" outlineLevel="2">
      <c r="A693" s="296"/>
      <c r="B693" s="34"/>
      <c r="C693" s="34">
        <v>3</v>
      </c>
      <c r="D693" s="34">
        <v>1</v>
      </c>
      <c r="E693" s="34">
        <v>1</v>
      </c>
      <c r="F693" s="43">
        <f t="shared" si="82"/>
        <v>1</v>
      </c>
      <c r="G693" s="34">
        <f t="shared" si="83"/>
        <v>3</v>
      </c>
      <c r="H693" s="34"/>
      <c r="I693" s="34"/>
      <c r="J693" s="34"/>
      <c r="K693" s="34"/>
      <c r="L693" s="34">
        <f>2.24*G693*F693</f>
        <v>6.7200000000000006</v>
      </c>
      <c r="M693" s="34"/>
      <c r="N693" s="34"/>
      <c r="O693" s="295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50" ht="20.100000000000001" hidden="1" customHeight="1" outlineLevel="2">
      <c r="A694" s="296"/>
      <c r="B694" s="34"/>
      <c r="C694" s="34">
        <v>5</v>
      </c>
      <c r="D694" s="34">
        <v>1</v>
      </c>
      <c r="E694" s="34">
        <v>1</v>
      </c>
      <c r="F694" s="43">
        <f t="shared" si="82"/>
        <v>1</v>
      </c>
      <c r="G694" s="34">
        <f t="shared" si="83"/>
        <v>5</v>
      </c>
      <c r="H694" s="34"/>
      <c r="I694" s="34"/>
      <c r="J694" s="34"/>
      <c r="K694" s="34"/>
      <c r="L694" s="34">
        <f>2.24*G694*F694</f>
        <v>11.200000000000001</v>
      </c>
      <c r="M694" s="34"/>
      <c r="N694" s="34"/>
      <c r="O694" s="295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50" ht="20.100000000000001" hidden="1" customHeight="1" outlineLevel="2">
      <c r="A695" s="296"/>
      <c r="B695" s="34"/>
      <c r="C695" s="34">
        <v>5</v>
      </c>
      <c r="D695" s="34">
        <v>1</v>
      </c>
      <c r="E695" s="34">
        <v>1</v>
      </c>
      <c r="F695" s="43">
        <f t="shared" si="82"/>
        <v>1</v>
      </c>
      <c r="G695" s="34">
        <f t="shared" si="83"/>
        <v>5</v>
      </c>
      <c r="H695" s="34"/>
      <c r="I695" s="34"/>
      <c r="J695" s="34"/>
      <c r="K695" s="34">
        <f>1.55*G695*F695</f>
        <v>7.75</v>
      </c>
      <c r="L695" s="34"/>
      <c r="M695" s="34"/>
      <c r="N695" s="34"/>
      <c r="O695" s="295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50" ht="20.100000000000001" hidden="1" customHeight="1" outlineLevel="2">
      <c r="A696" s="296"/>
      <c r="B696" s="34"/>
      <c r="C696" s="34">
        <v>8</v>
      </c>
      <c r="D696" s="34">
        <v>1</v>
      </c>
      <c r="E696" s="34">
        <v>1</v>
      </c>
      <c r="F696" s="43">
        <f t="shared" si="82"/>
        <v>1</v>
      </c>
      <c r="G696" s="34">
        <f t="shared" si="83"/>
        <v>8</v>
      </c>
      <c r="H696" s="34"/>
      <c r="I696" s="34"/>
      <c r="J696" s="34"/>
      <c r="K696" s="34"/>
      <c r="L696" s="34">
        <f>2.24*G696*F696</f>
        <v>17.920000000000002</v>
      </c>
      <c r="M696" s="34"/>
      <c r="N696" s="34"/>
      <c r="O696" s="295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</row>
    <row r="697" spans="1:50" ht="20.100000000000001" hidden="1" customHeight="1" outlineLevel="2">
      <c r="A697" s="296"/>
      <c r="B697" s="34"/>
      <c r="C697" s="34">
        <v>9</v>
      </c>
      <c r="D697" s="34">
        <v>1</v>
      </c>
      <c r="E697" s="34">
        <v>1</v>
      </c>
      <c r="F697" s="43">
        <f t="shared" si="82"/>
        <v>1</v>
      </c>
      <c r="G697" s="34">
        <f t="shared" si="83"/>
        <v>9</v>
      </c>
      <c r="H697" s="34"/>
      <c r="I697" s="34"/>
      <c r="J697" s="34"/>
      <c r="K697" s="34"/>
      <c r="L697" s="34">
        <f>2.24*G697*F697</f>
        <v>20.160000000000004</v>
      </c>
      <c r="M697" s="34"/>
      <c r="N697" s="34"/>
      <c r="O697" s="295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50" ht="20.100000000000001" hidden="1" customHeight="1" outlineLevel="2">
      <c r="A698" s="296"/>
      <c r="B698" s="34"/>
      <c r="C698" s="34">
        <v>9</v>
      </c>
      <c r="D698" s="34">
        <v>1</v>
      </c>
      <c r="E698" s="34">
        <v>1</v>
      </c>
      <c r="F698" s="43">
        <f t="shared" si="82"/>
        <v>1</v>
      </c>
      <c r="G698" s="34">
        <f t="shared" si="83"/>
        <v>9</v>
      </c>
      <c r="H698" s="34"/>
      <c r="I698" s="34"/>
      <c r="J698" s="34"/>
      <c r="K698" s="34">
        <f>1.55*G698*F698</f>
        <v>13.950000000000001</v>
      </c>
      <c r="L698" s="34"/>
      <c r="M698" s="34"/>
      <c r="N698" s="34"/>
      <c r="O698" s="295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50" ht="20.100000000000001" hidden="1" customHeight="1" outlineLevel="2">
      <c r="A699" s="296"/>
      <c r="B699" s="34"/>
      <c r="C699" s="34">
        <v>3</v>
      </c>
      <c r="D699" s="34">
        <v>1</v>
      </c>
      <c r="E699" s="34">
        <v>2</v>
      </c>
      <c r="F699" s="43">
        <f t="shared" si="82"/>
        <v>2</v>
      </c>
      <c r="G699" s="34">
        <f t="shared" si="83"/>
        <v>3</v>
      </c>
      <c r="H699" s="34"/>
      <c r="I699" s="34"/>
      <c r="J699" s="34"/>
      <c r="K699" s="34"/>
      <c r="L699" s="34"/>
      <c r="M699" s="34"/>
      <c r="N699" s="34">
        <f>4*G699*F699</f>
        <v>24</v>
      </c>
      <c r="O699" s="295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50" ht="20.100000000000001" hidden="1" customHeight="1" outlineLevel="2">
      <c r="A700" s="302"/>
      <c r="B700" s="34"/>
      <c r="C700" s="38">
        <v>5.5</v>
      </c>
      <c r="D700" s="34">
        <v>1</v>
      </c>
      <c r="E700" s="38">
        <v>4</v>
      </c>
      <c r="F700" s="43">
        <f t="shared" si="82"/>
        <v>4</v>
      </c>
      <c r="G700" s="34">
        <f t="shared" si="83"/>
        <v>5.5</v>
      </c>
      <c r="H700" s="38"/>
      <c r="I700" s="34"/>
      <c r="J700" s="38"/>
      <c r="K700" s="34"/>
      <c r="L700" s="34"/>
      <c r="M700" s="38">
        <f>3*G700*F700</f>
        <v>66</v>
      </c>
      <c r="N700" s="38"/>
      <c r="O700" s="31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50" ht="20.100000000000001" hidden="1" customHeight="1" outlineLevel="2">
      <c r="A701" s="296"/>
      <c r="B701" s="34"/>
      <c r="C701" s="34">
        <v>8.5</v>
      </c>
      <c r="D701" s="34">
        <v>1</v>
      </c>
      <c r="E701" s="34">
        <v>3</v>
      </c>
      <c r="F701" s="43">
        <f t="shared" si="82"/>
        <v>3</v>
      </c>
      <c r="G701" s="34">
        <f t="shared" si="83"/>
        <v>8.5</v>
      </c>
      <c r="H701" s="34"/>
      <c r="I701" s="34"/>
      <c r="J701" s="34"/>
      <c r="K701" s="34">
        <f>1.55*G701*F701</f>
        <v>39.525000000000006</v>
      </c>
      <c r="L701" s="34"/>
      <c r="M701" s="34"/>
      <c r="N701" s="34"/>
      <c r="O701" s="295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50" ht="20.100000000000001" hidden="1" customHeight="1" outlineLevel="2">
      <c r="A702" s="296"/>
      <c r="B702" s="34"/>
      <c r="C702" s="34">
        <v>8.5</v>
      </c>
      <c r="D702" s="34">
        <v>1</v>
      </c>
      <c r="E702" s="34">
        <v>1</v>
      </c>
      <c r="F702" s="43">
        <f t="shared" si="82"/>
        <v>1</v>
      </c>
      <c r="G702" s="34">
        <f t="shared" si="83"/>
        <v>8.5</v>
      </c>
      <c r="H702" s="34"/>
      <c r="I702" s="34"/>
      <c r="J702" s="34"/>
      <c r="K702" s="34"/>
      <c r="L702" s="34">
        <f>2.24*G702*F702</f>
        <v>19.040000000000003</v>
      </c>
      <c r="M702" s="34"/>
      <c r="N702" s="34"/>
      <c r="O702" s="295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50" ht="20.100000000000001" hidden="1" customHeight="1" outlineLevel="2">
      <c r="A703" s="296"/>
      <c r="B703" s="34"/>
      <c r="C703" s="34">
        <v>8</v>
      </c>
      <c r="D703" s="34">
        <v>1</v>
      </c>
      <c r="E703" s="34">
        <v>2</v>
      </c>
      <c r="F703" s="43">
        <f t="shared" si="82"/>
        <v>2</v>
      </c>
      <c r="G703" s="34">
        <f t="shared" si="83"/>
        <v>8</v>
      </c>
      <c r="H703" s="34"/>
      <c r="I703" s="34"/>
      <c r="J703" s="34"/>
      <c r="K703" s="34">
        <f>1.55*G703*F703</f>
        <v>24.8</v>
      </c>
      <c r="L703" s="34"/>
      <c r="M703" s="34"/>
      <c r="N703" s="34"/>
      <c r="O703" s="295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50" ht="20.100000000000001" hidden="1" customHeight="1" outlineLevel="2">
      <c r="A704" s="296"/>
      <c r="B704" s="34"/>
      <c r="C704" s="34">
        <v>3</v>
      </c>
      <c r="D704" s="34">
        <v>1</v>
      </c>
      <c r="E704" s="34">
        <v>1</v>
      </c>
      <c r="F704" s="43">
        <f t="shared" si="82"/>
        <v>1</v>
      </c>
      <c r="G704" s="34">
        <f t="shared" si="83"/>
        <v>3</v>
      </c>
      <c r="H704" s="34"/>
      <c r="I704" s="34"/>
      <c r="J704" s="34"/>
      <c r="K704" s="34"/>
      <c r="L704" s="34">
        <f>2.24*G704*F704</f>
        <v>6.7200000000000006</v>
      </c>
      <c r="M704" s="34"/>
      <c r="N704" s="34"/>
      <c r="O704" s="295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</row>
    <row r="705" spans="1:50" ht="20.100000000000001" hidden="1" customHeight="1" outlineLevel="2">
      <c r="A705" s="296"/>
      <c r="B705" s="34"/>
      <c r="C705" s="34">
        <v>5.5</v>
      </c>
      <c r="D705" s="34">
        <v>1</v>
      </c>
      <c r="E705" s="34">
        <v>1</v>
      </c>
      <c r="F705" s="43">
        <f t="shared" si="82"/>
        <v>1</v>
      </c>
      <c r="G705" s="34">
        <f t="shared" si="83"/>
        <v>5.5</v>
      </c>
      <c r="H705" s="34"/>
      <c r="I705" s="34"/>
      <c r="J705" s="34"/>
      <c r="K705" s="34"/>
      <c r="L705" s="34">
        <f>2.24*G705*F705</f>
        <v>12.32</v>
      </c>
      <c r="M705" s="34"/>
      <c r="N705" s="34"/>
      <c r="O705" s="295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50" ht="20.100000000000001" hidden="1" customHeight="1" outlineLevel="2">
      <c r="A706" s="296"/>
      <c r="B706" s="34"/>
      <c r="C706" s="34">
        <v>5.5</v>
      </c>
      <c r="D706" s="34">
        <v>1</v>
      </c>
      <c r="E706" s="34">
        <v>1</v>
      </c>
      <c r="F706" s="43">
        <f>D706*E706</f>
        <v>1</v>
      </c>
      <c r="G706" s="34">
        <f t="shared" si="83"/>
        <v>5.5</v>
      </c>
      <c r="H706" s="34"/>
      <c r="I706" s="34"/>
      <c r="J706" s="34"/>
      <c r="K706" s="34">
        <f>1.55*G706*F706</f>
        <v>8.5250000000000004</v>
      </c>
      <c r="L706" s="34"/>
      <c r="M706" s="34"/>
      <c r="N706" s="34"/>
      <c r="O706" s="295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50" ht="20.100000000000001" hidden="1" customHeight="1" outlineLevel="2">
      <c r="A707" s="296"/>
      <c r="B707" s="34"/>
      <c r="C707" s="34">
        <v>3.2</v>
      </c>
      <c r="D707" s="34">
        <v>1</v>
      </c>
      <c r="E707" s="34">
        <v>1</v>
      </c>
      <c r="F707" s="43">
        <f t="shared" si="82"/>
        <v>1</v>
      </c>
      <c r="G707" s="34">
        <f t="shared" si="83"/>
        <v>3.2</v>
      </c>
      <c r="H707" s="34"/>
      <c r="I707" s="34">
        <f>0.56*G707*F707</f>
        <v>1.7920000000000003</v>
      </c>
      <c r="J707" s="34"/>
      <c r="K707" s="34"/>
      <c r="L707" s="34"/>
      <c r="M707" s="34"/>
      <c r="N707" s="34"/>
      <c r="O707" s="295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50" ht="44.25" hidden="1" customHeight="1" outlineLevel="2">
      <c r="A708" s="296"/>
      <c r="B708" s="52"/>
      <c r="C708" s="34">
        <f>(0.55*2)+(0.15*2)+(0.05*2)</f>
        <v>1.5000000000000002</v>
      </c>
      <c r="D708" s="34">
        <v>1</v>
      </c>
      <c r="E708" s="34">
        <f>14+21+5+5+38+30+5+97</f>
        <v>215</v>
      </c>
      <c r="F708" s="43">
        <f t="shared" si="82"/>
        <v>215</v>
      </c>
      <c r="G708" s="34">
        <f t="shared" si="83"/>
        <v>1.5000000000000002</v>
      </c>
      <c r="H708" s="34">
        <f>0.25*G708*F708</f>
        <v>80.625000000000014</v>
      </c>
      <c r="I708" s="34"/>
      <c r="J708" s="34"/>
      <c r="K708" s="34"/>
      <c r="L708" s="34"/>
      <c r="M708" s="34"/>
      <c r="N708" s="34"/>
      <c r="O708" s="295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50" ht="20.100000000000001" hidden="1" customHeight="1" outlineLevel="2">
      <c r="A709" s="2129" t="s">
        <v>196</v>
      </c>
      <c r="B709" s="2130"/>
      <c r="C709" s="2130"/>
      <c r="D709" s="2130"/>
      <c r="E709" s="2130"/>
      <c r="F709" s="2130"/>
      <c r="G709" s="2130"/>
      <c r="H709" s="556">
        <f>+SUM(H691:H708)</f>
        <v>80.625000000000014</v>
      </c>
      <c r="I709" s="556">
        <f t="shared" ref="I709:O709" si="84">+SUM(I691:I708)</f>
        <v>10.023999999999999</v>
      </c>
      <c r="J709" s="556">
        <f t="shared" si="84"/>
        <v>0</v>
      </c>
      <c r="K709" s="556">
        <f t="shared" si="84"/>
        <v>94.550000000000011</v>
      </c>
      <c r="L709" s="556">
        <f t="shared" si="84"/>
        <v>94.080000000000013</v>
      </c>
      <c r="M709" s="556">
        <f t="shared" si="84"/>
        <v>66</v>
      </c>
      <c r="N709" s="556">
        <f t="shared" si="84"/>
        <v>24</v>
      </c>
      <c r="O709" s="557">
        <f t="shared" si="84"/>
        <v>0</v>
      </c>
      <c r="P709" s="3"/>
    </row>
    <row r="710" spans="1:50" ht="20.100000000000001" hidden="1" customHeight="1" outlineLevel="2">
      <c r="A710" s="2186" t="s">
        <v>187</v>
      </c>
      <c r="B710" s="2187"/>
      <c r="C710" s="2187"/>
      <c r="D710" s="2187"/>
      <c r="E710" s="2187"/>
      <c r="F710" s="2187"/>
      <c r="G710" s="2187"/>
      <c r="H710" s="2188">
        <f>SUM(H709:O709)</f>
        <v>369.279</v>
      </c>
      <c r="I710" s="2188"/>
      <c r="J710" s="2188"/>
      <c r="K710" s="2188"/>
      <c r="L710" s="2188"/>
      <c r="M710" s="2188"/>
      <c r="N710" s="2188"/>
      <c r="O710" s="2189"/>
      <c r="P710" s="3"/>
      <c r="Q710" s="3"/>
      <c r="R710" s="3"/>
      <c r="S710" s="3"/>
      <c r="T710" s="3"/>
      <c r="U710" s="3"/>
      <c r="V710" s="3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</row>
    <row r="711" spans="1:50" s="37" customFormat="1" ht="20.100000000000001" hidden="1" customHeight="1" outlineLevel="2">
      <c r="A711" s="2206"/>
      <c r="B711" s="2207"/>
      <c r="C711" s="2207"/>
      <c r="D711" s="2207"/>
      <c r="E711" s="2207"/>
      <c r="F711" s="2207"/>
      <c r="G711" s="2207"/>
      <c r="H711" s="2207"/>
      <c r="I711" s="2207"/>
      <c r="J711" s="2207"/>
      <c r="K711" s="2207"/>
      <c r="L711" s="2207"/>
      <c r="M711" s="2207"/>
      <c r="N711" s="2207"/>
      <c r="O711" s="2208"/>
      <c r="P711" s="82"/>
      <c r="Q711" s="3"/>
      <c r="R711" s="3"/>
      <c r="S711" s="3"/>
      <c r="T711" s="3"/>
      <c r="U711" s="3"/>
      <c r="V711" s="3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0.100000000000001" hidden="1" customHeight="1" outlineLevel="2">
      <c r="A712" s="299" t="s">
        <v>166</v>
      </c>
      <c r="B712" s="34"/>
      <c r="C712" s="34">
        <v>3.6</v>
      </c>
      <c r="D712" s="34">
        <v>1</v>
      </c>
      <c r="E712" s="34">
        <v>3</v>
      </c>
      <c r="F712" s="43">
        <f>D712*E712</f>
        <v>3</v>
      </c>
      <c r="G712" s="34">
        <f>C712</f>
        <v>3.6</v>
      </c>
      <c r="H712" s="34"/>
      <c r="I712" s="34">
        <f>0.56*F712*G712</f>
        <v>6.0480000000000009</v>
      </c>
      <c r="J712" s="34"/>
      <c r="K712" s="34"/>
      <c r="L712" s="34"/>
      <c r="M712" s="34"/>
      <c r="N712" s="34"/>
      <c r="O712" s="295"/>
      <c r="P712" s="3"/>
      <c r="Q712" s="82"/>
      <c r="R712" s="82"/>
      <c r="S712" s="82"/>
      <c r="T712" s="82"/>
      <c r="U712" s="82"/>
      <c r="V712" s="82"/>
      <c r="W712" s="85"/>
      <c r="X712" s="37"/>
      <c r="Y712" s="37"/>
      <c r="Z712" s="37"/>
      <c r="AA712" s="37"/>
      <c r="AB712" s="37"/>
      <c r="AC712" s="37"/>
      <c r="AD712" s="37"/>
      <c r="AE712" s="37"/>
    </row>
    <row r="713" spans="1:50" ht="20.100000000000001" hidden="1" customHeight="1" outlineLevel="2">
      <c r="A713" s="306"/>
      <c r="B713" s="34"/>
      <c r="C713" s="34">
        <v>2</v>
      </c>
      <c r="D713" s="34">
        <v>1</v>
      </c>
      <c r="E713" s="34">
        <v>1</v>
      </c>
      <c r="F713" s="43">
        <f>D713*E713</f>
        <v>1</v>
      </c>
      <c r="G713" s="34">
        <f>C713</f>
        <v>2</v>
      </c>
      <c r="H713" s="34"/>
      <c r="I713" s="34">
        <f>0.56*F713*G713</f>
        <v>1.1200000000000001</v>
      </c>
      <c r="J713" s="34"/>
      <c r="K713" s="34"/>
      <c r="L713" s="34"/>
      <c r="M713" s="34"/>
      <c r="N713" s="34"/>
      <c r="O713" s="295"/>
      <c r="P713" s="3"/>
      <c r="Q713" s="3"/>
      <c r="R713" s="3"/>
      <c r="S713" s="3"/>
      <c r="T713" s="3"/>
      <c r="U713" s="3"/>
      <c r="V713" s="3"/>
    </row>
    <row r="714" spans="1:50" ht="20.100000000000001" hidden="1" customHeight="1" outlineLevel="2">
      <c r="A714" s="296"/>
      <c r="B714" s="34"/>
      <c r="C714" s="34">
        <v>3</v>
      </c>
      <c r="D714" s="34">
        <v>1</v>
      </c>
      <c r="E714" s="34">
        <v>2</v>
      </c>
      <c r="F714" s="43">
        <f>D714*E714</f>
        <v>2</v>
      </c>
      <c r="G714" s="34">
        <f>C714</f>
        <v>3</v>
      </c>
      <c r="H714" s="34"/>
      <c r="I714" s="34">
        <f>0.56*F714*G714</f>
        <v>3.3600000000000003</v>
      </c>
      <c r="J714" s="34"/>
      <c r="K714" s="34"/>
      <c r="L714" s="34"/>
      <c r="M714" s="34"/>
      <c r="N714" s="34"/>
      <c r="O714" s="295"/>
      <c r="P714" s="3"/>
      <c r="Q714" s="3"/>
      <c r="R714" s="3"/>
      <c r="S714" s="3"/>
      <c r="T714" s="3"/>
      <c r="U714" s="3"/>
      <c r="V714" s="3"/>
    </row>
    <row r="715" spans="1:50" ht="20.100000000000001" hidden="1" customHeight="1" outlineLevel="2">
      <c r="A715" s="296"/>
      <c r="B715" s="34"/>
      <c r="C715" s="34">
        <v>2.7</v>
      </c>
      <c r="D715" s="34">
        <v>1</v>
      </c>
      <c r="E715" s="34">
        <v>3</v>
      </c>
      <c r="F715" s="43">
        <f>D715*E715</f>
        <v>3</v>
      </c>
      <c r="G715" s="34">
        <f>C715</f>
        <v>2.7</v>
      </c>
      <c r="H715" s="34"/>
      <c r="I715" s="34">
        <f>0.56*F715*G715</f>
        <v>4.5360000000000005</v>
      </c>
      <c r="J715" s="34"/>
      <c r="K715" s="34"/>
      <c r="L715" s="34"/>
      <c r="M715" s="34"/>
      <c r="N715" s="34"/>
      <c r="O715" s="295"/>
      <c r="P715" s="3"/>
      <c r="Q715" s="3"/>
      <c r="R715" s="3"/>
      <c r="S715" s="3"/>
      <c r="T715" s="3"/>
      <c r="U715" s="3"/>
      <c r="V715" s="3"/>
    </row>
    <row r="716" spans="1:50" ht="42.75" hidden="1" customHeight="1" outlineLevel="2">
      <c r="A716" s="296"/>
      <c r="B716" s="52"/>
      <c r="C716" s="34">
        <f>(0.55*2)+(0.15*2)+(0.05*2)</f>
        <v>1.5000000000000002</v>
      </c>
      <c r="D716" s="34">
        <v>1</v>
      </c>
      <c r="E716" s="34">
        <v>9</v>
      </c>
      <c r="F716" s="43">
        <f>D716*E716</f>
        <v>9</v>
      </c>
      <c r="G716" s="34">
        <f>C716</f>
        <v>1.5000000000000002</v>
      </c>
      <c r="H716" s="34">
        <f>0.25*G716*F716</f>
        <v>3.3750000000000004</v>
      </c>
      <c r="I716" s="34"/>
      <c r="J716" s="34"/>
      <c r="K716" s="34"/>
      <c r="L716" s="34"/>
      <c r="M716" s="34"/>
      <c r="N716" s="34"/>
      <c r="O716" s="295"/>
      <c r="Q716" s="3"/>
      <c r="R716" s="3"/>
      <c r="S716" s="3"/>
      <c r="T716" s="3"/>
      <c r="U716" s="3"/>
      <c r="V716" s="3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</row>
    <row r="717" spans="1:50" ht="20.100000000000001" hidden="1" customHeight="1" outlineLevel="2">
      <c r="A717" s="2129" t="s">
        <v>196</v>
      </c>
      <c r="B717" s="2130"/>
      <c r="C717" s="2130"/>
      <c r="D717" s="2130"/>
      <c r="E717" s="2130"/>
      <c r="F717" s="2130"/>
      <c r="G717" s="2130"/>
      <c r="H717" s="556">
        <f>SUM(H712:H716)</f>
        <v>3.3750000000000004</v>
      </c>
      <c r="I717" s="556">
        <f t="shared" ref="I717:O717" si="85">SUM(I712:I716)</f>
        <v>15.064000000000004</v>
      </c>
      <c r="J717" s="556">
        <f t="shared" si="85"/>
        <v>0</v>
      </c>
      <c r="K717" s="556">
        <f t="shared" si="85"/>
        <v>0</v>
      </c>
      <c r="L717" s="556">
        <f t="shared" si="85"/>
        <v>0</v>
      </c>
      <c r="M717" s="556">
        <f t="shared" si="85"/>
        <v>0</v>
      </c>
      <c r="N717" s="556">
        <f t="shared" si="85"/>
        <v>0</v>
      </c>
      <c r="O717" s="557">
        <f t="shared" si="85"/>
        <v>0</v>
      </c>
      <c r="P717" s="3"/>
    </row>
    <row r="718" spans="1:50" ht="20.100000000000001" hidden="1" customHeight="1" outlineLevel="2">
      <c r="A718" s="2186" t="s">
        <v>188</v>
      </c>
      <c r="B718" s="2187"/>
      <c r="C718" s="2187"/>
      <c r="D718" s="2187"/>
      <c r="E718" s="2187"/>
      <c r="F718" s="2187"/>
      <c r="G718" s="2187"/>
      <c r="H718" s="2188">
        <f>SUM(H717:O717)</f>
        <v>18.439000000000004</v>
      </c>
      <c r="I718" s="2188"/>
      <c r="J718" s="2188"/>
      <c r="K718" s="2188"/>
      <c r="L718" s="2188"/>
      <c r="M718" s="2188"/>
      <c r="N718" s="2188"/>
      <c r="O718" s="2189"/>
      <c r="P718" s="3"/>
      <c r="Q718" s="3"/>
      <c r="R718" s="3"/>
      <c r="S718" s="3"/>
      <c r="T718" s="3"/>
      <c r="U718" s="3"/>
      <c r="V718" s="3"/>
    </row>
    <row r="719" spans="1:50" s="76" customFormat="1" ht="20.100000000000001" hidden="1" customHeight="1" outlineLevel="2">
      <c r="A719" s="2214"/>
      <c r="B719" s="2215"/>
      <c r="C719" s="2215"/>
      <c r="D719" s="2215"/>
      <c r="E719" s="2215"/>
      <c r="F719" s="2215"/>
      <c r="G719" s="2215"/>
      <c r="H719" s="2215"/>
      <c r="I719" s="2215"/>
      <c r="J719" s="2215"/>
      <c r="K719" s="2215"/>
      <c r="L719" s="2215"/>
      <c r="M719" s="2215"/>
      <c r="N719" s="2215"/>
      <c r="O719" s="2216"/>
      <c r="P719" s="74"/>
      <c r="Q719" s="3"/>
      <c r="R719" s="3"/>
      <c r="S719" s="3"/>
      <c r="T719" s="3"/>
      <c r="U719" s="3"/>
      <c r="V719" s="3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0.100000000000001" hidden="1" customHeight="1" outlineLevel="2">
      <c r="A720" s="299" t="s">
        <v>167</v>
      </c>
      <c r="B720" s="34"/>
      <c r="C720" s="34">
        <v>2.5</v>
      </c>
      <c r="D720" s="34">
        <v>1</v>
      </c>
      <c r="E720" s="34">
        <v>2</v>
      </c>
      <c r="F720" s="43">
        <f>D720*E720</f>
        <v>2</v>
      </c>
      <c r="G720" s="34">
        <f>C720</f>
        <v>2.5</v>
      </c>
      <c r="H720" s="34"/>
      <c r="I720" s="34">
        <f>0.56*G720*F720</f>
        <v>2.8000000000000003</v>
      </c>
      <c r="J720" s="34"/>
      <c r="K720" s="34"/>
      <c r="L720" s="34"/>
      <c r="M720" s="34"/>
      <c r="N720" s="34"/>
      <c r="O720" s="295"/>
      <c r="P720" s="3"/>
      <c r="Q720" s="74"/>
      <c r="R720" s="74"/>
      <c r="S720" s="74"/>
      <c r="T720" s="74"/>
      <c r="U720" s="74"/>
      <c r="V720" s="74"/>
      <c r="W720" s="78"/>
      <c r="X720" s="76"/>
      <c r="Y720" s="76"/>
      <c r="Z720" s="76"/>
      <c r="AA720" s="76"/>
      <c r="AB720" s="76"/>
      <c r="AC720" s="76"/>
      <c r="AD720" s="76"/>
      <c r="AE720" s="76"/>
    </row>
    <row r="721" spans="1:50" ht="20.100000000000001" hidden="1" customHeight="1" outlineLevel="2">
      <c r="A721" s="306"/>
      <c r="B721" s="34"/>
      <c r="C721" s="34">
        <v>2.2999999999999998</v>
      </c>
      <c r="D721" s="34">
        <v>1</v>
      </c>
      <c r="E721" s="34">
        <v>1</v>
      </c>
      <c r="F721" s="43">
        <f>D721*E721</f>
        <v>1</v>
      </c>
      <c r="G721" s="34">
        <f>C721</f>
        <v>2.2999999999999998</v>
      </c>
      <c r="H721" s="34"/>
      <c r="I721" s="34">
        <f>0.56*G721*F721</f>
        <v>1.288</v>
      </c>
      <c r="J721" s="34"/>
      <c r="K721" s="34"/>
      <c r="L721" s="34"/>
      <c r="M721" s="34"/>
      <c r="N721" s="34"/>
      <c r="O721" s="295"/>
      <c r="P721" s="3"/>
      <c r="Q721" s="3"/>
      <c r="R721" s="3"/>
      <c r="S721" s="3"/>
      <c r="T721" s="3"/>
      <c r="U721" s="3"/>
      <c r="V721" s="3"/>
    </row>
    <row r="722" spans="1:50" ht="41.25" hidden="1" customHeight="1" outlineLevel="2">
      <c r="A722" s="296"/>
      <c r="B722" s="52"/>
      <c r="C722" s="34">
        <f>(0.55*2)+(0.15*2)+(0.05*2)</f>
        <v>1.5000000000000002</v>
      </c>
      <c r="D722" s="34">
        <v>1</v>
      </c>
      <c r="E722" s="34">
        <v>14</v>
      </c>
      <c r="F722" s="43">
        <f>D722*E722</f>
        <v>14</v>
      </c>
      <c r="G722" s="34">
        <f>C722</f>
        <v>1.5000000000000002</v>
      </c>
      <c r="H722" s="34">
        <f>0.25*G722*F722</f>
        <v>5.2500000000000009</v>
      </c>
      <c r="I722" s="34"/>
      <c r="J722" s="34"/>
      <c r="K722" s="34"/>
      <c r="L722" s="34"/>
      <c r="M722" s="34"/>
      <c r="N722" s="34"/>
      <c r="O722" s="295"/>
      <c r="Q722" s="3"/>
      <c r="R722" s="3"/>
      <c r="S722" s="3"/>
      <c r="T722" s="3"/>
      <c r="U722" s="3"/>
      <c r="V722" s="3"/>
    </row>
    <row r="723" spans="1:50" ht="20.100000000000001" hidden="1" customHeight="1" outlineLevel="2">
      <c r="A723" s="2129" t="s">
        <v>196</v>
      </c>
      <c r="B723" s="2130"/>
      <c r="C723" s="2130"/>
      <c r="D723" s="2130"/>
      <c r="E723" s="2130"/>
      <c r="F723" s="2130"/>
      <c r="G723" s="2130"/>
      <c r="H723" s="556">
        <f>SUM(H720:H722)</f>
        <v>5.2500000000000009</v>
      </c>
      <c r="I723" s="556">
        <f t="shared" ref="I723:O723" si="86">SUM(I720:I722)</f>
        <v>4.0880000000000001</v>
      </c>
      <c r="J723" s="556">
        <f t="shared" si="86"/>
        <v>0</v>
      </c>
      <c r="K723" s="556">
        <f t="shared" si="86"/>
        <v>0</v>
      </c>
      <c r="L723" s="556">
        <f t="shared" si="86"/>
        <v>0</v>
      </c>
      <c r="M723" s="556">
        <f t="shared" si="86"/>
        <v>0</v>
      </c>
      <c r="N723" s="556">
        <f t="shared" si="86"/>
        <v>0</v>
      </c>
      <c r="O723" s="557">
        <f t="shared" si="86"/>
        <v>0</v>
      </c>
      <c r="P723" s="3"/>
    </row>
    <row r="724" spans="1:50" ht="20.100000000000001" hidden="1" customHeight="1" outlineLevel="2">
      <c r="A724" s="2186" t="s">
        <v>189</v>
      </c>
      <c r="B724" s="2187"/>
      <c r="C724" s="2187"/>
      <c r="D724" s="2187"/>
      <c r="E724" s="2187"/>
      <c r="F724" s="2187"/>
      <c r="G724" s="2187"/>
      <c r="H724" s="2188">
        <f>SUM(H723:O723)</f>
        <v>9.338000000000001</v>
      </c>
      <c r="I724" s="2188"/>
      <c r="J724" s="2188"/>
      <c r="K724" s="2188"/>
      <c r="L724" s="2188"/>
      <c r="M724" s="2188"/>
      <c r="N724" s="2188"/>
      <c r="O724" s="2189"/>
      <c r="P724" s="3"/>
      <c r="Q724" s="3"/>
      <c r="R724" s="3"/>
      <c r="S724" s="3"/>
      <c r="T724" s="3"/>
      <c r="U724" s="3"/>
      <c r="V724" s="3"/>
    </row>
    <row r="725" spans="1:50" s="37" customFormat="1" ht="20.100000000000001" hidden="1" customHeight="1" outlineLevel="2">
      <c r="A725" s="2206"/>
      <c r="B725" s="2207"/>
      <c r="C725" s="2207"/>
      <c r="D725" s="2207"/>
      <c r="E725" s="2207"/>
      <c r="F725" s="2207"/>
      <c r="G725" s="2207"/>
      <c r="H725" s="2207"/>
      <c r="I725" s="2207"/>
      <c r="J725" s="2207"/>
      <c r="K725" s="2207"/>
      <c r="L725" s="2207"/>
      <c r="M725" s="2207"/>
      <c r="N725" s="2207"/>
      <c r="O725" s="2208"/>
      <c r="P725" s="82"/>
      <c r="Q725" s="3"/>
      <c r="R725" s="3"/>
      <c r="S725" s="3"/>
      <c r="T725" s="3"/>
      <c r="U725" s="3"/>
      <c r="V725" s="3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0.100000000000001" hidden="1" customHeight="1" outlineLevel="2">
      <c r="A726" s="299" t="s">
        <v>168</v>
      </c>
      <c r="B726" s="34"/>
      <c r="C726" s="34">
        <v>6.3</v>
      </c>
      <c r="D726" s="34">
        <v>1</v>
      </c>
      <c r="E726" s="34">
        <v>2</v>
      </c>
      <c r="F726" s="43">
        <f>D726*E726</f>
        <v>2</v>
      </c>
      <c r="G726" s="34">
        <f>C726</f>
        <v>6.3</v>
      </c>
      <c r="H726" s="34"/>
      <c r="I726" s="34"/>
      <c r="J726" s="34"/>
      <c r="K726" s="34"/>
      <c r="L726" s="34"/>
      <c r="M726" s="34">
        <f>3*G726*F726</f>
        <v>37.799999999999997</v>
      </c>
      <c r="N726" s="34"/>
      <c r="O726" s="295"/>
      <c r="P726" s="3"/>
      <c r="Q726" s="82"/>
      <c r="R726" s="82"/>
      <c r="S726" s="82"/>
      <c r="T726" s="82"/>
      <c r="U726" s="82"/>
      <c r="V726" s="82"/>
      <c r="W726" s="85"/>
      <c r="X726" s="37"/>
      <c r="Y726" s="37"/>
      <c r="Z726" s="37"/>
      <c r="AA726" s="37"/>
      <c r="AB726" s="37"/>
      <c r="AC726" s="37"/>
      <c r="AD726" s="37"/>
      <c r="AE726" s="37"/>
    </row>
    <row r="727" spans="1:50" ht="20.100000000000001" hidden="1" customHeight="1" outlineLevel="2">
      <c r="A727" s="306"/>
      <c r="B727" s="34"/>
      <c r="C727" s="34">
        <v>4.5</v>
      </c>
      <c r="D727" s="34">
        <v>1</v>
      </c>
      <c r="E727" s="34">
        <v>1</v>
      </c>
      <c r="F727" s="43">
        <f>D727*E727</f>
        <v>1</v>
      </c>
      <c r="G727" s="34">
        <f>C727</f>
        <v>4.5</v>
      </c>
      <c r="H727" s="34"/>
      <c r="I727" s="34"/>
      <c r="J727" s="34"/>
      <c r="K727" s="34"/>
      <c r="L727" s="34"/>
      <c r="M727" s="34">
        <f>3*G727*F727</f>
        <v>13.5</v>
      </c>
      <c r="N727" s="34"/>
      <c r="O727" s="295"/>
      <c r="P727" s="3"/>
      <c r="Q727" s="3"/>
      <c r="R727" s="3"/>
      <c r="S727" s="3"/>
      <c r="T727" s="3"/>
      <c r="U727" s="3"/>
      <c r="V727" s="3"/>
    </row>
    <row r="728" spans="1:50" ht="42" hidden="1" customHeight="1" outlineLevel="2">
      <c r="A728" s="296"/>
      <c r="B728" s="52"/>
      <c r="C728" s="34">
        <f>(0.55*2)+(0.15*2)+(0.05*2)</f>
        <v>1.5000000000000002</v>
      </c>
      <c r="D728" s="34">
        <v>1</v>
      </c>
      <c r="E728" s="34">
        <v>16</v>
      </c>
      <c r="F728" s="43">
        <f>D728*E728</f>
        <v>16</v>
      </c>
      <c r="G728" s="34">
        <f>C728</f>
        <v>1.5000000000000002</v>
      </c>
      <c r="H728" s="34">
        <f>0.25*G728*F728</f>
        <v>6.0000000000000009</v>
      </c>
      <c r="I728" s="34"/>
      <c r="J728" s="34"/>
      <c r="K728" s="34"/>
      <c r="L728" s="34"/>
      <c r="M728" s="34"/>
      <c r="N728" s="34"/>
      <c r="O728" s="295"/>
      <c r="Q728" s="3"/>
      <c r="R728" s="3"/>
      <c r="S728" s="3"/>
      <c r="T728" s="3"/>
      <c r="U728" s="3"/>
      <c r="V728" s="3"/>
    </row>
    <row r="729" spans="1:50" ht="20.100000000000001" hidden="1" customHeight="1" outlineLevel="2">
      <c r="A729" s="2129" t="s">
        <v>196</v>
      </c>
      <c r="B729" s="2130"/>
      <c r="C729" s="2130"/>
      <c r="D729" s="2130"/>
      <c r="E729" s="2130"/>
      <c r="F729" s="2130"/>
      <c r="G729" s="2130"/>
      <c r="H729" s="65">
        <f>SUM(H726:H728)</f>
        <v>6.0000000000000009</v>
      </c>
      <c r="I729" s="65">
        <f t="shared" ref="I729:O729" si="87">SUM(I726:I728)</f>
        <v>0</v>
      </c>
      <c r="J729" s="65">
        <f t="shared" si="87"/>
        <v>0</v>
      </c>
      <c r="K729" s="65">
        <f t="shared" si="87"/>
        <v>0</v>
      </c>
      <c r="L729" s="65">
        <f t="shared" si="87"/>
        <v>0</v>
      </c>
      <c r="M729" s="65">
        <f t="shared" si="87"/>
        <v>51.3</v>
      </c>
      <c r="N729" s="65">
        <f t="shared" si="87"/>
        <v>0</v>
      </c>
      <c r="O729" s="298">
        <f t="shared" si="87"/>
        <v>0</v>
      </c>
      <c r="P729" s="3"/>
    </row>
    <row r="730" spans="1:50" ht="20.100000000000001" hidden="1" customHeight="1" outlineLevel="2">
      <c r="A730" s="2186" t="s">
        <v>190</v>
      </c>
      <c r="B730" s="2187"/>
      <c r="C730" s="2187"/>
      <c r="D730" s="2187"/>
      <c r="E730" s="2187"/>
      <c r="F730" s="2187"/>
      <c r="G730" s="2187"/>
      <c r="H730" s="2188">
        <f>SUM(H729:O729)</f>
        <v>57.3</v>
      </c>
      <c r="I730" s="2188"/>
      <c r="J730" s="2188"/>
      <c r="K730" s="2188"/>
      <c r="L730" s="2188"/>
      <c r="M730" s="2188"/>
      <c r="N730" s="2188"/>
      <c r="O730" s="2189"/>
      <c r="P730" s="3"/>
      <c r="Q730" s="3"/>
      <c r="R730" s="3"/>
      <c r="S730" s="3"/>
      <c r="T730" s="3"/>
      <c r="U730" s="3"/>
      <c r="V730" s="3"/>
    </row>
    <row r="731" spans="1:50" s="76" customFormat="1" ht="20.100000000000001" hidden="1" customHeight="1" outlineLevel="2">
      <c r="A731" s="2214"/>
      <c r="B731" s="2215"/>
      <c r="C731" s="2215"/>
      <c r="D731" s="2215"/>
      <c r="E731" s="2215"/>
      <c r="F731" s="2215"/>
      <c r="G731" s="2215"/>
      <c r="H731" s="2215"/>
      <c r="I731" s="2215"/>
      <c r="J731" s="2215"/>
      <c r="K731" s="2215"/>
      <c r="L731" s="2215"/>
      <c r="M731" s="2215"/>
      <c r="N731" s="2215"/>
      <c r="O731" s="2216"/>
      <c r="P731" s="74"/>
      <c r="Q731" s="3"/>
      <c r="R731" s="3"/>
      <c r="S731" s="3"/>
      <c r="T731" s="3"/>
      <c r="U731" s="3"/>
      <c r="V731" s="3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0.100000000000001" hidden="1" customHeight="1" outlineLevel="2">
      <c r="A732" s="277" t="s">
        <v>169</v>
      </c>
      <c r="B732" s="28"/>
      <c r="C732" s="51">
        <v>8.5</v>
      </c>
      <c r="D732" s="51">
        <v>1</v>
      </c>
      <c r="E732" s="51">
        <f t="shared" ref="E732:E756" si="88">D732*F732</f>
        <v>1</v>
      </c>
      <c r="F732" s="51">
        <v>1</v>
      </c>
      <c r="G732" s="51">
        <v>8.5</v>
      </c>
      <c r="H732" s="51"/>
      <c r="I732" s="51"/>
      <c r="J732" s="51"/>
      <c r="K732" s="51"/>
      <c r="L732" s="51">
        <f>2.24*E732*C732</f>
        <v>19.040000000000003</v>
      </c>
      <c r="M732" s="51"/>
      <c r="N732" s="51"/>
      <c r="O732" s="290"/>
      <c r="P732" s="62"/>
      <c r="Q732" s="74"/>
      <c r="R732" s="74"/>
      <c r="S732" s="74"/>
      <c r="T732" s="74"/>
      <c r="U732" s="74"/>
      <c r="V732" s="74"/>
      <c r="W732" s="78"/>
      <c r="X732" s="76"/>
      <c r="Y732" s="76"/>
      <c r="Z732" s="76"/>
      <c r="AA732" s="76"/>
      <c r="AB732" s="76"/>
      <c r="AC732" s="76"/>
      <c r="AD732" s="76"/>
      <c r="AE732" s="76"/>
    </row>
    <row r="733" spans="1:50" ht="20.100000000000001" hidden="1" customHeight="1" outlineLevel="2">
      <c r="A733" s="311"/>
      <c r="B733" s="28"/>
      <c r="C733" s="51">
        <v>8.5</v>
      </c>
      <c r="D733" s="51">
        <v>1</v>
      </c>
      <c r="E733" s="51">
        <f t="shared" si="88"/>
        <v>1</v>
      </c>
      <c r="F733" s="51">
        <v>1</v>
      </c>
      <c r="G733" s="51">
        <v>8.5</v>
      </c>
      <c r="H733" s="51"/>
      <c r="I733" s="51"/>
      <c r="J733" s="51"/>
      <c r="K733" s="51">
        <f>1.55*C733*E733</f>
        <v>13.175000000000001</v>
      </c>
      <c r="L733" s="51"/>
      <c r="M733" s="51"/>
      <c r="N733" s="51"/>
      <c r="O733" s="290"/>
      <c r="P733" s="62"/>
      <c r="Q733" s="3"/>
      <c r="R733" s="3"/>
      <c r="S733" s="3"/>
      <c r="T733" s="3"/>
      <c r="U733" s="3"/>
      <c r="V733" s="3"/>
    </row>
    <row r="734" spans="1:50" ht="20.100000000000001" hidden="1" customHeight="1" outlineLevel="2">
      <c r="A734" s="309"/>
      <c r="B734" s="28"/>
      <c r="C734" s="51">
        <v>10.7</v>
      </c>
      <c r="D734" s="51">
        <v>1</v>
      </c>
      <c r="E734" s="51">
        <f t="shared" si="88"/>
        <v>3</v>
      </c>
      <c r="F734" s="51">
        <v>3</v>
      </c>
      <c r="G734" s="51">
        <v>10.7</v>
      </c>
      <c r="H734" s="51"/>
      <c r="I734" s="51"/>
      <c r="J734" s="51"/>
      <c r="K734" s="51">
        <f>1.55*C734*E734</f>
        <v>49.755000000000003</v>
      </c>
      <c r="L734" s="51"/>
      <c r="M734" s="51"/>
      <c r="N734" s="51"/>
      <c r="O734" s="290"/>
      <c r="P734" s="62"/>
      <c r="Q734" s="3"/>
      <c r="R734" s="3"/>
      <c r="S734" s="3"/>
      <c r="T734" s="3"/>
      <c r="U734" s="3"/>
      <c r="V734" s="3"/>
    </row>
    <row r="735" spans="1:50" ht="20.100000000000001" hidden="1" customHeight="1" outlineLevel="2">
      <c r="A735" s="309"/>
      <c r="B735" s="28"/>
      <c r="C735" s="51">
        <v>3.5</v>
      </c>
      <c r="D735" s="51">
        <v>1</v>
      </c>
      <c r="E735" s="51">
        <f t="shared" si="88"/>
        <v>2</v>
      </c>
      <c r="F735" s="51">
        <v>2</v>
      </c>
      <c r="G735" s="51">
        <v>3.5</v>
      </c>
      <c r="H735" s="51"/>
      <c r="I735" s="51"/>
      <c r="J735" s="51"/>
      <c r="K735" s="51"/>
      <c r="L735" s="51">
        <f>2.24*E735*C735</f>
        <v>15.680000000000001</v>
      </c>
      <c r="M735" s="51"/>
      <c r="N735" s="51"/>
      <c r="O735" s="290"/>
      <c r="P735" s="62"/>
      <c r="Q735" s="3"/>
      <c r="R735" s="3"/>
      <c r="S735" s="3"/>
      <c r="T735" s="3"/>
      <c r="U735" s="3"/>
      <c r="V735" s="3"/>
    </row>
    <row r="736" spans="1:50" ht="20.100000000000001" hidden="1" customHeight="1" outlineLevel="2">
      <c r="A736" s="309"/>
      <c r="B736" s="28"/>
      <c r="C736" s="51">
        <v>6</v>
      </c>
      <c r="D736" s="51">
        <v>1</v>
      </c>
      <c r="E736" s="51">
        <f t="shared" si="88"/>
        <v>1</v>
      </c>
      <c r="F736" s="51">
        <v>1</v>
      </c>
      <c r="G736" s="51">
        <v>6</v>
      </c>
      <c r="H736" s="51"/>
      <c r="I736" s="51"/>
      <c r="J736" s="51"/>
      <c r="K736" s="51"/>
      <c r="L736" s="51">
        <f>2.24*E736*C736</f>
        <v>13.440000000000001</v>
      </c>
      <c r="M736" s="51"/>
      <c r="N736" s="51"/>
      <c r="O736" s="290"/>
      <c r="P736" s="62"/>
      <c r="Q736" s="3"/>
      <c r="R736" s="3"/>
      <c r="S736" s="3"/>
      <c r="T736" s="3"/>
      <c r="U736" s="3"/>
      <c r="V736" s="3"/>
    </row>
    <row r="737" spans="1:50" ht="20.100000000000001" hidden="1" customHeight="1" outlineLevel="2">
      <c r="A737" s="309"/>
      <c r="B737" s="28"/>
      <c r="C737" s="51">
        <v>6</v>
      </c>
      <c r="D737" s="51">
        <v>1</v>
      </c>
      <c r="E737" s="51">
        <f t="shared" si="88"/>
        <v>2</v>
      </c>
      <c r="F737" s="51">
        <v>2</v>
      </c>
      <c r="G737" s="51">
        <v>6</v>
      </c>
      <c r="H737" s="51"/>
      <c r="I737" s="51"/>
      <c r="J737" s="51"/>
      <c r="K737" s="51">
        <f>1.55*E737*C737</f>
        <v>18.600000000000001</v>
      </c>
      <c r="L737" s="51"/>
      <c r="M737" s="51"/>
      <c r="N737" s="51"/>
      <c r="O737" s="290"/>
      <c r="P737" s="62"/>
      <c r="Q737" s="3"/>
      <c r="R737" s="3"/>
      <c r="S737" s="3"/>
      <c r="T737" s="3"/>
      <c r="U737" s="3"/>
      <c r="V737" s="3"/>
    </row>
    <row r="738" spans="1:50" ht="20.100000000000001" hidden="1" customHeight="1" outlineLevel="2">
      <c r="A738" s="309"/>
      <c r="B738" s="28"/>
      <c r="C738" s="51">
        <v>8.5</v>
      </c>
      <c r="D738" s="51">
        <v>1</v>
      </c>
      <c r="E738" s="51">
        <f t="shared" si="88"/>
        <v>2</v>
      </c>
      <c r="F738" s="51">
        <v>2</v>
      </c>
      <c r="G738" s="51">
        <v>8.5</v>
      </c>
      <c r="H738" s="51"/>
      <c r="I738" s="51"/>
      <c r="J738" s="51">
        <f>E738*C738</f>
        <v>17</v>
      </c>
      <c r="K738" s="51"/>
      <c r="L738" s="51"/>
      <c r="M738" s="51"/>
      <c r="N738" s="51"/>
      <c r="O738" s="290"/>
      <c r="P738" s="62"/>
      <c r="Q738" s="3"/>
      <c r="R738" s="3"/>
      <c r="S738" s="3"/>
      <c r="T738" s="3"/>
      <c r="U738" s="3"/>
      <c r="V738" s="3"/>
    </row>
    <row r="739" spans="1:50" ht="20.100000000000001" hidden="1" customHeight="1" outlineLevel="2">
      <c r="A739" s="309"/>
      <c r="B739" s="28"/>
      <c r="C739" s="51">
        <v>8.5</v>
      </c>
      <c r="D739" s="51">
        <v>1</v>
      </c>
      <c r="E739" s="51">
        <f t="shared" si="88"/>
        <v>1</v>
      </c>
      <c r="F739" s="51">
        <v>1</v>
      </c>
      <c r="G739" s="51">
        <v>8.5</v>
      </c>
      <c r="H739" s="51"/>
      <c r="I739" s="51"/>
      <c r="J739" s="51">
        <f>C739*E739</f>
        <v>8.5</v>
      </c>
      <c r="K739" s="51"/>
      <c r="L739" s="51"/>
      <c r="M739" s="51"/>
      <c r="N739" s="51"/>
      <c r="O739" s="290"/>
      <c r="P739" s="62"/>
      <c r="Q739" s="3"/>
      <c r="R739" s="3"/>
      <c r="S739" s="3"/>
      <c r="T739" s="3"/>
      <c r="U739" s="3"/>
      <c r="V739" s="3"/>
    </row>
    <row r="740" spans="1:50" ht="20.100000000000001" hidden="1" customHeight="1" outlineLevel="2">
      <c r="A740" s="309"/>
      <c r="B740" s="28"/>
      <c r="C740" s="51">
        <v>8.5</v>
      </c>
      <c r="D740" s="51">
        <v>1</v>
      </c>
      <c r="E740" s="51">
        <f t="shared" si="88"/>
        <v>2</v>
      </c>
      <c r="F740" s="51">
        <v>2</v>
      </c>
      <c r="G740" s="51">
        <v>8.5</v>
      </c>
      <c r="H740" s="51"/>
      <c r="I740" s="51">
        <f>0.56*E740*C740</f>
        <v>9.5200000000000014</v>
      </c>
      <c r="J740" s="51"/>
      <c r="K740" s="51"/>
      <c r="L740" s="51"/>
      <c r="M740" s="51"/>
      <c r="N740" s="51"/>
      <c r="O740" s="290"/>
      <c r="P740" s="62"/>
      <c r="Q740" s="3"/>
      <c r="R740" s="3"/>
      <c r="S740" s="3"/>
      <c r="T740" s="3"/>
      <c r="U740" s="3"/>
      <c r="V740" s="3"/>
    </row>
    <row r="741" spans="1:50" ht="20.100000000000001" hidden="1" customHeight="1" outlineLevel="2">
      <c r="A741" s="309"/>
      <c r="B741" s="28"/>
      <c r="C741" s="51">
        <v>3.5</v>
      </c>
      <c r="D741" s="51">
        <v>1</v>
      </c>
      <c r="E741" s="51">
        <f t="shared" si="88"/>
        <v>2</v>
      </c>
      <c r="F741" s="51">
        <v>2</v>
      </c>
      <c r="G741" s="51">
        <v>3.5</v>
      </c>
      <c r="H741" s="51"/>
      <c r="I741" s="51"/>
      <c r="J741" s="51"/>
      <c r="K741" s="51">
        <f>1.55*C741*E741</f>
        <v>10.85</v>
      </c>
      <c r="L741" s="51"/>
      <c r="M741" s="51"/>
      <c r="N741" s="51"/>
      <c r="O741" s="290"/>
      <c r="P741" s="62"/>
      <c r="Q741" s="3"/>
      <c r="R741" s="3"/>
      <c r="S741" s="3"/>
      <c r="T741" s="3"/>
      <c r="U741" s="3"/>
      <c r="V741" s="3"/>
    </row>
    <row r="742" spans="1:50" ht="20.100000000000001" hidden="1" customHeight="1" outlineLevel="2">
      <c r="A742" s="309"/>
      <c r="B742" s="53"/>
      <c r="C742" s="51">
        <v>5</v>
      </c>
      <c r="D742" s="51">
        <v>1</v>
      </c>
      <c r="E742" s="51">
        <f t="shared" si="88"/>
        <v>3</v>
      </c>
      <c r="F742" s="51">
        <v>3</v>
      </c>
      <c r="G742" s="51">
        <v>5</v>
      </c>
      <c r="H742" s="51"/>
      <c r="I742" s="51"/>
      <c r="J742" s="51">
        <f>E742*C742</f>
        <v>15</v>
      </c>
      <c r="K742" s="51"/>
      <c r="L742" s="51"/>
      <c r="M742" s="51"/>
      <c r="N742" s="51"/>
      <c r="O742" s="290"/>
      <c r="P742" s="62"/>
      <c r="Q742" s="3"/>
      <c r="R742" s="3"/>
      <c r="S742" s="3"/>
      <c r="T742" s="3"/>
      <c r="U742" s="3"/>
      <c r="V742" s="3"/>
    </row>
    <row r="743" spans="1:50" ht="20.100000000000001" hidden="1" customHeight="1" outlineLevel="2">
      <c r="A743" s="309"/>
      <c r="B743" s="53"/>
      <c r="C743" s="51">
        <v>9</v>
      </c>
      <c r="D743" s="51">
        <v>1</v>
      </c>
      <c r="E743" s="51">
        <f t="shared" si="88"/>
        <v>2</v>
      </c>
      <c r="F743" s="51">
        <v>2</v>
      </c>
      <c r="G743" s="51">
        <v>9</v>
      </c>
      <c r="H743" s="51"/>
      <c r="I743" s="51"/>
      <c r="J743" s="51"/>
      <c r="K743" s="51">
        <f>1.55*E743*C743</f>
        <v>27.900000000000002</v>
      </c>
      <c r="L743" s="51"/>
      <c r="M743" s="51"/>
      <c r="N743" s="51"/>
      <c r="O743" s="290"/>
      <c r="P743" s="62"/>
      <c r="Q743" s="3"/>
      <c r="R743" s="3"/>
      <c r="S743" s="3"/>
      <c r="T743" s="3"/>
      <c r="U743" s="3"/>
      <c r="V743" s="3"/>
    </row>
    <row r="744" spans="1:50" ht="20.100000000000001" hidden="1" customHeight="1" outlineLevel="2">
      <c r="A744" s="309"/>
      <c r="B744" s="28"/>
      <c r="C744" s="51">
        <v>8.5</v>
      </c>
      <c r="D744" s="51">
        <v>1</v>
      </c>
      <c r="E744" s="51">
        <f t="shared" si="88"/>
        <v>1</v>
      </c>
      <c r="F744" s="51">
        <v>1</v>
      </c>
      <c r="G744" s="51">
        <v>8.5</v>
      </c>
      <c r="H744" s="51"/>
      <c r="I744" s="51"/>
      <c r="J744" s="51"/>
      <c r="K744" s="51">
        <f>1.55*E744*C744</f>
        <v>13.175000000000001</v>
      </c>
      <c r="L744" s="51"/>
      <c r="M744" s="51"/>
      <c r="N744" s="51"/>
      <c r="O744" s="290"/>
      <c r="P744" s="62"/>
      <c r="Q744" s="3"/>
      <c r="R744" s="3"/>
      <c r="S744" s="3"/>
      <c r="T744" s="3"/>
      <c r="U744" s="3"/>
      <c r="V744" s="3"/>
    </row>
    <row r="745" spans="1:50" ht="20.100000000000001" hidden="1" customHeight="1" outlineLevel="2">
      <c r="A745" s="309"/>
      <c r="B745" s="28"/>
      <c r="C745" s="51">
        <v>8.5</v>
      </c>
      <c r="D745" s="51">
        <v>1</v>
      </c>
      <c r="E745" s="51">
        <f t="shared" si="88"/>
        <v>2</v>
      </c>
      <c r="F745" s="51">
        <v>2</v>
      </c>
      <c r="G745" s="51">
        <v>8.5</v>
      </c>
      <c r="H745" s="51"/>
      <c r="I745" s="51"/>
      <c r="J745" s="51">
        <f>E745*C745</f>
        <v>17</v>
      </c>
      <c r="K745" s="51"/>
      <c r="L745" s="51"/>
      <c r="M745" s="51"/>
      <c r="N745" s="51"/>
      <c r="O745" s="290"/>
      <c r="P745" s="62"/>
      <c r="Q745" s="3"/>
      <c r="R745" s="3"/>
      <c r="S745" s="3"/>
      <c r="T745" s="3"/>
      <c r="U745" s="3"/>
      <c r="V745" s="3"/>
    </row>
    <row r="746" spans="1:50" ht="20.100000000000001" hidden="1" customHeight="1" outlineLevel="2">
      <c r="A746" s="309"/>
      <c r="B746" s="28"/>
      <c r="C746" s="51">
        <v>3</v>
      </c>
      <c r="D746" s="51">
        <v>1</v>
      </c>
      <c r="E746" s="51">
        <f t="shared" si="88"/>
        <v>2</v>
      </c>
      <c r="F746" s="51">
        <v>2</v>
      </c>
      <c r="G746" s="51">
        <v>3</v>
      </c>
      <c r="H746" s="51"/>
      <c r="I746" s="51"/>
      <c r="J746" s="51">
        <f>C746*E746</f>
        <v>6</v>
      </c>
      <c r="K746" s="51"/>
      <c r="L746" s="51"/>
      <c r="M746" s="51"/>
      <c r="N746" s="51"/>
      <c r="O746" s="290"/>
      <c r="P746" s="62"/>
      <c r="Q746" s="3"/>
      <c r="R746" s="3"/>
      <c r="S746" s="3"/>
      <c r="T746" s="3"/>
      <c r="U746" s="3"/>
      <c r="V746" s="3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</row>
    <row r="747" spans="1:50" ht="20.100000000000001" hidden="1" customHeight="1" outlineLevel="2">
      <c r="A747" s="309"/>
      <c r="B747" s="28"/>
      <c r="C747" s="51">
        <v>5</v>
      </c>
      <c r="D747" s="51">
        <v>1</v>
      </c>
      <c r="E747" s="51">
        <f t="shared" si="88"/>
        <v>3</v>
      </c>
      <c r="F747" s="51">
        <v>3</v>
      </c>
      <c r="G747" s="51">
        <v>5</v>
      </c>
      <c r="H747" s="51"/>
      <c r="I747" s="51"/>
      <c r="J747" s="51">
        <f>C747*E747</f>
        <v>15</v>
      </c>
      <c r="K747" s="51"/>
      <c r="L747" s="51"/>
      <c r="M747" s="51"/>
      <c r="N747" s="51"/>
      <c r="O747" s="290"/>
      <c r="P747" s="62"/>
      <c r="Q747" s="3"/>
      <c r="R747" s="3"/>
      <c r="S747" s="3"/>
      <c r="T747" s="3"/>
      <c r="U747" s="3"/>
      <c r="V747" s="3"/>
    </row>
    <row r="748" spans="1:50" ht="20.100000000000001" hidden="1" customHeight="1" outlineLevel="2">
      <c r="A748" s="309"/>
      <c r="B748" s="53"/>
      <c r="C748" s="51">
        <v>8</v>
      </c>
      <c r="D748" s="51">
        <v>1</v>
      </c>
      <c r="E748" s="51">
        <f t="shared" si="88"/>
        <v>2</v>
      </c>
      <c r="F748" s="51">
        <v>2</v>
      </c>
      <c r="G748" s="51">
        <v>8</v>
      </c>
      <c r="H748" s="51"/>
      <c r="I748" s="51">
        <f>0.56*E748*C748</f>
        <v>8.9600000000000009</v>
      </c>
      <c r="J748" s="51"/>
      <c r="K748" s="51"/>
      <c r="L748" s="51"/>
      <c r="M748" s="51"/>
      <c r="N748" s="51"/>
      <c r="O748" s="290"/>
      <c r="P748" s="62"/>
      <c r="Q748" s="3"/>
      <c r="R748" s="3"/>
      <c r="S748" s="3"/>
      <c r="T748" s="3"/>
      <c r="U748" s="3"/>
      <c r="V748" s="3"/>
    </row>
    <row r="749" spans="1:50" ht="20.100000000000001" hidden="1" customHeight="1" outlineLevel="2">
      <c r="A749" s="309"/>
      <c r="B749" s="53"/>
      <c r="C749" s="51">
        <v>8.5</v>
      </c>
      <c r="D749" s="51">
        <v>1</v>
      </c>
      <c r="E749" s="51">
        <f t="shared" si="88"/>
        <v>3</v>
      </c>
      <c r="F749" s="51">
        <v>3</v>
      </c>
      <c r="G749" s="51">
        <v>8.5</v>
      </c>
      <c r="H749" s="51"/>
      <c r="I749" s="51">
        <f>0.56*E749*C749</f>
        <v>14.280000000000001</v>
      </c>
      <c r="J749" s="51"/>
      <c r="K749" s="51"/>
      <c r="L749" s="51"/>
      <c r="M749" s="51"/>
      <c r="N749" s="51"/>
      <c r="O749" s="290"/>
      <c r="P749" s="62"/>
      <c r="Q749" s="3"/>
      <c r="R749" s="3"/>
      <c r="S749" s="3"/>
      <c r="T749" s="3"/>
      <c r="U749" s="3"/>
      <c r="V749" s="3"/>
    </row>
    <row r="750" spans="1:50" ht="20.100000000000001" hidden="1" customHeight="1" outlineLevel="2">
      <c r="A750" s="309"/>
      <c r="B750" s="28"/>
      <c r="C750" s="51">
        <v>3.5</v>
      </c>
      <c r="D750" s="51">
        <v>1</v>
      </c>
      <c r="E750" s="51">
        <f t="shared" si="88"/>
        <v>1</v>
      </c>
      <c r="F750" s="51">
        <v>1</v>
      </c>
      <c r="G750" s="51">
        <v>3.5</v>
      </c>
      <c r="H750" s="51"/>
      <c r="I750" s="51"/>
      <c r="J750" s="51"/>
      <c r="K750" s="51"/>
      <c r="L750" s="51"/>
      <c r="M750" s="51"/>
      <c r="N750" s="51">
        <f>4*E750*C750</f>
        <v>14</v>
      </c>
      <c r="O750" s="290"/>
      <c r="P750" s="62"/>
      <c r="Q750" s="3"/>
      <c r="R750" s="3"/>
      <c r="S750" s="3"/>
      <c r="T750" s="3"/>
      <c r="U750" s="3"/>
      <c r="V750" s="3"/>
    </row>
    <row r="751" spans="1:50" ht="20.100000000000001" hidden="1" customHeight="1" outlineLevel="2">
      <c r="A751" s="309"/>
      <c r="B751" s="28"/>
      <c r="C751" s="51">
        <v>3.5</v>
      </c>
      <c r="D751" s="51">
        <v>1</v>
      </c>
      <c r="E751" s="51">
        <f t="shared" si="88"/>
        <v>1</v>
      </c>
      <c r="F751" s="51">
        <v>1</v>
      </c>
      <c r="G751" s="51">
        <v>3.5</v>
      </c>
      <c r="H751" s="51"/>
      <c r="I751" s="51"/>
      <c r="J751" s="51"/>
      <c r="K751" s="51"/>
      <c r="L751" s="51"/>
      <c r="M751" s="51">
        <f>3*E751*C751</f>
        <v>10.5</v>
      </c>
      <c r="N751" s="51"/>
      <c r="O751" s="290"/>
      <c r="P751" s="62"/>
      <c r="Q751" s="3"/>
      <c r="R751" s="3"/>
      <c r="S751" s="3"/>
      <c r="T751" s="3"/>
      <c r="U751" s="3"/>
      <c r="V751" s="3"/>
    </row>
    <row r="752" spans="1:50" ht="20.100000000000001" hidden="1" customHeight="1" outlineLevel="2">
      <c r="A752" s="309"/>
      <c r="B752" s="28"/>
      <c r="C752" s="51">
        <v>7.5</v>
      </c>
      <c r="D752" s="51">
        <v>1</v>
      </c>
      <c r="E752" s="51">
        <f t="shared" si="88"/>
        <v>3</v>
      </c>
      <c r="F752" s="51">
        <v>3</v>
      </c>
      <c r="G752" s="51">
        <v>7.5</v>
      </c>
      <c r="H752" s="51"/>
      <c r="I752" s="51"/>
      <c r="J752" s="51"/>
      <c r="K752" s="51"/>
      <c r="L752" s="51"/>
      <c r="M752" s="51">
        <f>3*E752*C752</f>
        <v>67.5</v>
      </c>
      <c r="N752" s="51"/>
      <c r="O752" s="290"/>
      <c r="P752" s="62"/>
      <c r="Q752" s="3"/>
      <c r="R752" s="3"/>
      <c r="S752" s="3"/>
      <c r="T752" s="3"/>
      <c r="U752" s="3"/>
      <c r="V752" s="3"/>
    </row>
    <row r="753" spans="1:50" ht="20.100000000000001" hidden="1" customHeight="1" outlineLevel="2">
      <c r="A753" s="309"/>
      <c r="B753" s="28"/>
      <c r="C753" s="51">
        <v>10.1</v>
      </c>
      <c r="D753" s="51">
        <v>1</v>
      </c>
      <c r="E753" s="51">
        <f t="shared" si="88"/>
        <v>1</v>
      </c>
      <c r="F753" s="51">
        <v>1</v>
      </c>
      <c r="G753" s="51">
        <v>10.1</v>
      </c>
      <c r="H753" s="51"/>
      <c r="I753" s="51"/>
      <c r="J753" s="51"/>
      <c r="K753" s="51"/>
      <c r="L753" s="51"/>
      <c r="M753" s="51"/>
      <c r="N753" s="51">
        <f>4*E753*C753</f>
        <v>40.4</v>
      </c>
      <c r="O753" s="290"/>
      <c r="P753" s="62"/>
      <c r="Q753" s="3"/>
      <c r="R753" s="3"/>
      <c r="S753" s="3"/>
      <c r="T753" s="3"/>
      <c r="U753" s="3"/>
      <c r="V753" s="3"/>
    </row>
    <row r="754" spans="1:50" ht="20.100000000000001" hidden="1" customHeight="1" outlineLevel="2">
      <c r="A754" s="309"/>
      <c r="B754" s="28"/>
      <c r="C754" s="51">
        <v>10.1</v>
      </c>
      <c r="D754" s="51">
        <v>1</v>
      </c>
      <c r="E754" s="51">
        <f t="shared" si="88"/>
        <v>2</v>
      </c>
      <c r="F754" s="51">
        <v>2</v>
      </c>
      <c r="G754" s="51">
        <v>10.1</v>
      </c>
      <c r="H754" s="51"/>
      <c r="I754" s="51"/>
      <c r="J754" s="51"/>
      <c r="K754" s="51"/>
      <c r="L754" s="51"/>
      <c r="M754" s="51">
        <f>3*E754*C754</f>
        <v>60.599999999999994</v>
      </c>
      <c r="N754" s="51"/>
      <c r="O754" s="290"/>
      <c r="P754" s="62"/>
      <c r="Q754" s="3"/>
      <c r="R754" s="3"/>
      <c r="S754" s="3"/>
      <c r="T754" s="3"/>
      <c r="U754" s="3"/>
      <c r="V754" s="3"/>
    </row>
    <row r="755" spans="1:50" ht="20.100000000000001" hidden="1" customHeight="1" outlineLevel="2">
      <c r="A755" s="309"/>
      <c r="B755" s="28"/>
      <c r="C755" s="51">
        <v>9.1</v>
      </c>
      <c r="D755" s="51">
        <v>1</v>
      </c>
      <c r="E755" s="51">
        <f t="shared" si="88"/>
        <v>3</v>
      </c>
      <c r="F755" s="51">
        <v>3</v>
      </c>
      <c r="G755" s="51">
        <v>9.1</v>
      </c>
      <c r="H755" s="51"/>
      <c r="I755" s="51"/>
      <c r="J755" s="51"/>
      <c r="K755" s="51"/>
      <c r="L755" s="51"/>
      <c r="M755" s="51">
        <f>3*E755*C755</f>
        <v>81.899999999999991</v>
      </c>
      <c r="N755" s="51"/>
      <c r="O755" s="290"/>
      <c r="P755" s="62"/>
      <c r="Q755" s="3"/>
      <c r="R755" s="3"/>
      <c r="S755" s="3"/>
      <c r="T755" s="3"/>
      <c r="U755" s="3"/>
      <c r="V755" s="3"/>
    </row>
    <row r="756" spans="1:50" ht="45" hidden="1" customHeight="1" outlineLevel="2">
      <c r="A756" s="309"/>
      <c r="B756" s="28"/>
      <c r="C756" s="51">
        <f>(0.55*2)+(0.25*2)+(0.05*2)</f>
        <v>1.7000000000000002</v>
      </c>
      <c r="D756" s="51">
        <v>1</v>
      </c>
      <c r="E756" s="51">
        <f t="shared" si="88"/>
        <v>104</v>
      </c>
      <c r="F756" s="51">
        <v>104</v>
      </c>
      <c r="G756" s="51">
        <f>C756</f>
        <v>1.7000000000000002</v>
      </c>
      <c r="H756" s="51">
        <f>0.25*E756*C756</f>
        <v>44.2</v>
      </c>
      <c r="I756" s="51"/>
      <c r="J756" s="51"/>
      <c r="K756" s="51"/>
      <c r="L756" s="51"/>
      <c r="M756" s="51"/>
      <c r="N756" s="51"/>
      <c r="O756" s="290"/>
      <c r="P756" s="62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50" ht="45" hidden="1" customHeight="1" outlineLevel="2">
      <c r="A757" s="309"/>
      <c r="B757" s="28"/>
      <c r="C757" s="51">
        <f>(0.55*2)+(0.35*2)+(0.05*2)</f>
        <v>1.9000000000000001</v>
      </c>
      <c r="D757" s="51">
        <v>1</v>
      </c>
      <c r="E757" s="51">
        <v>22</v>
      </c>
      <c r="F757" s="51">
        <f>E757</f>
        <v>22</v>
      </c>
      <c r="G757" s="51">
        <f>C757</f>
        <v>1.9000000000000001</v>
      </c>
      <c r="H757" s="51">
        <f>0.25*E757*C757</f>
        <v>10.450000000000001</v>
      </c>
      <c r="I757" s="51"/>
      <c r="J757" s="51"/>
      <c r="K757" s="51"/>
      <c r="L757" s="51"/>
      <c r="M757" s="51"/>
      <c r="N757" s="51"/>
      <c r="O757" s="290"/>
      <c r="P757" s="62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50" ht="45" hidden="1" customHeight="1" outlineLevel="2">
      <c r="A758" s="309"/>
      <c r="B758" s="28"/>
      <c r="C758" s="51">
        <f>(0.55*2)+(0.35*2)+(0.05*2)</f>
        <v>1.9000000000000001</v>
      </c>
      <c r="D758" s="51">
        <v>1</v>
      </c>
      <c r="E758" s="51">
        <v>55</v>
      </c>
      <c r="F758" s="51">
        <v>55</v>
      </c>
      <c r="G758" s="51">
        <f>C758</f>
        <v>1.9000000000000001</v>
      </c>
      <c r="H758" s="51"/>
      <c r="I758" s="51">
        <f>0.56*E758*C758</f>
        <v>58.52000000000001</v>
      </c>
      <c r="J758" s="51"/>
      <c r="K758" s="51"/>
      <c r="L758" s="51"/>
      <c r="M758" s="51"/>
      <c r="N758" s="51"/>
      <c r="O758" s="290"/>
      <c r="P758" s="62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50" ht="20.100000000000001" hidden="1" customHeight="1" outlineLevel="2">
      <c r="A759" s="2129" t="s">
        <v>196</v>
      </c>
      <c r="B759" s="2130"/>
      <c r="C759" s="2130"/>
      <c r="D759" s="2130"/>
      <c r="E759" s="2130"/>
      <c r="F759" s="2130"/>
      <c r="G759" s="2130"/>
      <c r="H759" s="561">
        <f>SUM(H732:H758)</f>
        <v>54.650000000000006</v>
      </c>
      <c r="I759" s="561">
        <f>SUM(I732:I758)</f>
        <v>91.280000000000015</v>
      </c>
      <c r="J759" s="561">
        <f>SUM(J732:J758)</f>
        <v>78.5</v>
      </c>
      <c r="K759" s="561">
        <f>SUM(K732:K758)</f>
        <v>133.45500000000001</v>
      </c>
      <c r="L759" s="561">
        <f>SUM(L732:L758)</f>
        <v>48.160000000000011</v>
      </c>
      <c r="M759" s="561">
        <f>SUM(M732:M755)</f>
        <v>220.5</v>
      </c>
      <c r="N759" s="561">
        <f>SUM(N732:N755)</f>
        <v>54.4</v>
      </c>
      <c r="O759" s="562">
        <f>SUM(O732:O755)</f>
        <v>0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50" ht="20.100000000000001" hidden="1" customHeight="1" outlineLevel="2">
      <c r="A760" s="2186" t="s">
        <v>242</v>
      </c>
      <c r="B760" s="2187"/>
      <c r="C760" s="2187"/>
      <c r="D760" s="2187"/>
      <c r="E760" s="2187"/>
      <c r="F760" s="2187"/>
      <c r="G760" s="2187"/>
      <c r="H760" s="2190">
        <f>SUM(H759:O759)</f>
        <v>680.94500000000005</v>
      </c>
      <c r="I760" s="2190"/>
      <c r="J760" s="2190"/>
      <c r="K760" s="2190"/>
      <c r="L760" s="2190"/>
      <c r="M760" s="2190"/>
      <c r="N760" s="2190"/>
      <c r="O760" s="2191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50" s="88" customFormat="1" ht="20.100000000000001" hidden="1" customHeight="1" outlineLevel="2">
      <c r="A761" s="2183"/>
      <c r="B761" s="2184"/>
      <c r="C761" s="2184"/>
      <c r="D761" s="2184"/>
      <c r="E761" s="2184"/>
      <c r="F761" s="2184"/>
      <c r="G761" s="2184"/>
      <c r="H761" s="2184"/>
      <c r="I761" s="2184"/>
      <c r="J761" s="2184"/>
      <c r="K761" s="2184"/>
      <c r="L761" s="2184"/>
      <c r="M761" s="2184"/>
      <c r="N761" s="2184"/>
      <c r="O761" s="2185"/>
      <c r="P761" s="87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0.100000000000001" hidden="1" customHeight="1" outlineLevel="2">
      <c r="A762" s="299" t="s">
        <v>131</v>
      </c>
      <c r="B762" s="34"/>
      <c r="C762" s="34">
        <v>5.8</v>
      </c>
      <c r="D762" s="34">
        <v>1</v>
      </c>
      <c r="E762" s="34">
        <v>2</v>
      </c>
      <c r="F762" s="43">
        <f>+E762*D762</f>
        <v>2</v>
      </c>
      <c r="G762" s="34">
        <f>+C762</f>
        <v>5.8</v>
      </c>
      <c r="H762" s="34"/>
      <c r="I762" s="34"/>
      <c r="J762" s="34"/>
      <c r="K762" s="34">
        <f>1.55*G762*F762</f>
        <v>17.98</v>
      </c>
      <c r="L762" s="34"/>
      <c r="M762" s="34"/>
      <c r="N762" s="34"/>
      <c r="O762" s="295"/>
      <c r="P762" s="3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9"/>
      <c r="AD762" s="88"/>
      <c r="AE762" s="88"/>
    </row>
    <row r="763" spans="1:50" ht="20.100000000000001" hidden="1" customHeight="1" outlineLevel="2">
      <c r="A763" s="296"/>
      <c r="B763" s="34"/>
      <c r="C763" s="34">
        <v>3.5</v>
      </c>
      <c r="D763" s="34">
        <v>1</v>
      </c>
      <c r="E763" s="34">
        <v>3</v>
      </c>
      <c r="F763" s="43">
        <f t="shared" ref="F763:F776" si="89">+E763*D763</f>
        <v>3</v>
      </c>
      <c r="G763" s="34">
        <f t="shared" ref="G763:G777" si="90">+C763</f>
        <v>3.5</v>
      </c>
      <c r="H763" s="34"/>
      <c r="I763" s="34">
        <f>0.56*G763*F763</f>
        <v>5.8800000000000008</v>
      </c>
      <c r="J763" s="34"/>
      <c r="K763" s="34"/>
      <c r="L763" s="34"/>
      <c r="M763" s="34"/>
      <c r="N763" s="34"/>
      <c r="O763" s="295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50" ht="20.100000000000001" hidden="1" customHeight="1" outlineLevel="2">
      <c r="A764" s="296"/>
      <c r="B764" s="34"/>
      <c r="C764" s="34">
        <v>3</v>
      </c>
      <c r="D764" s="34">
        <v>1</v>
      </c>
      <c r="E764" s="34">
        <v>2</v>
      </c>
      <c r="F764" s="43">
        <f t="shared" si="89"/>
        <v>2</v>
      </c>
      <c r="G764" s="34">
        <f t="shared" si="90"/>
        <v>3</v>
      </c>
      <c r="H764" s="34"/>
      <c r="I764" s="34"/>
      <c r="J764" s="34"/>
      <c r="K764" s="34">
        <f t="shared" ref="K764:K775" si="91">1.55*G764*F764</f>
        <v>9.3000000000000007</v>
      </c>
      <c r="L764" s="34"/>
      <c r="M764" s="34"/>
      <c r="N764" s="34"/>
      <c r="O764" s="295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50" ht="20.100000000000001" hidden="1" customHeight="1" outlineLevel="2">
      <c r="A765" s="296"/>
      <c r="B765" s="34"/>
      <c r="C765" s="34">
        <v>3</v>
      </c>
      <c r="D765" s="34">
        <v>1</v>
      </c>
      <c r="E765" s="34">
        <v>1</v>
      </c>
      <c r="F765" s="43">
        <f t="shared" si="89"/>
        <v>1</v>
      </c>
      <c r="G765" s="34">
        <f t="shared" si="90"/>
        <v>3</v>
      </c>
      <c r="H765" s="34"/>
      <c r="I765" s="34"/>
      <c r="J765" s="34"/>
      <c r="K765" s="34"/>
      <c r="L765" s="34"/>
      <c r="M765" s="34">
        <f>3*G765*F765</f>
        <v>9</v>
      </c>
      <c r="N765" s="34"/>
      <c r="O765" s="295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</row>
    <row r="766" spans="1:50" ht="20.100000000000001" hidden="1" customHeight="1" outlineLevel="2">
      <c r="A766" s="296"/>
      <c r="B766" s="34"/>
      <c r="C766" s="34">
        <v>3</v>
      </c>
      <c r="D766" s="34">
        <v>1</v>
      </c>
      <c r="E766" s="34">
        <v>2</v>
      </c>
      <c r="F766" s="43">
        <f t="shared" si="89"/>
        <v>2</v>
      </c>
      <c r="G766" s="34">
        <f t="shared" si="90"/>
        <v>3</v>
      </c>
      <c r="H766" s="34"/>
      <c r="I766" s="34"/>
      <c r="J766" s="34"/>
      <c r="K766" s="34"/>
      <c r="L766" s="34">
        <f>2.24*G766*F766</f>
        <v>13.440000000000001</v>
      </c>
      <c r="M766" s="34"/>
      <c r="N766" s="34"/>
      <c r="O766" s="295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50" ht="20.100000000000001" hidden="1" customHeight="1" outlineLevel="2">
      <c r="A767" s="296"/>
      <c r="B767" s="34"/>
      <c r="C767" s="34">
        <v>5.8</v>
      </c>
      <c r="D767" s="34">
        <v>1</v>
      </c>
      <c r="E767" s="34">
        <v>2</v>
      </c>
      <c r="F767" s="43">
        <f t="shared" si="89"/>
        <v>2</v>
      </c>
      <c r="G767" s="34">
        <f t="shared" si="90"/>
        <v>5.8</v>
      </c>
      <c r="H767" s="34"/>
      <c r="I767" s="34"/>
      <c r="J767" s="34"/>
      <c r="K767" s="34">
        <f t="shared" si="91"/>
        <v>17.98</v>
      </c>
      <c r="L767" s="34"/>
      <c r="M767" s="34"/>
      <c r="N767" s="34"/>
      <c r="O767" s="295"/>
      <c r="P767" s="3"/>
      <c r="Q767" s="3"/>
      <c r="R767" s="3"/>
      <c r="S767" s="3"/>
      <c r="T767" s="3"/>
      <c r="U767" s="3"/>
      <c r="V767" s="3"/>
    </row>
    <row r="768" spans="1:50" ht="20.100000000000001" hidden="1" customHeight="1" outlineLevel="2">
      <c r="A768" s="296"/>
      <c r="B768" s="37"/>
      <c r="C768" s="34">
        <v>6</v>
      </c>
      <c r="D768" s="34">
        <v>1</v>
      </c>
      <c r="E768" s="34">
        <v>2</v>
      </c>
      <c r="F768" s="43">
        <f t="shared" si="89"/>
        <v>2</v>
      </c>
      <c r="G768" s="34">
        <f t="shared" si="90"/>
        <v>6</v>
      </c>
      <c r="H768" s="34"/>
      <c r="I768" s="34"/>
      <c r="J768" s="34"/>
      <c r="K768" s="34"/>
      <c r="L768" s="34">
        <f>2.24*G768*F768</f>
        <v>26.880000000000003</v>
      </c>
      <c r="M768" s="34"/>
      <c r="N768" s="34"/>
      <c r="O768" s="295"/>
      <c r="P768" s="3"/>
      <c r="Q768" s="3"/>
      <c r="R768" s="3"/>
      <c r="S768" s="3"/>
      <c r="T768" s="3"/>
      <c r="U768" s="3"/>
      <c r="V768" s="3"/>
    </row>
    <row r="769" spans="1:50" ht="20.100000000000001" hidden="1" customHeight="1" outlineLevel="2">
      <c r="A769" s="296"/>
      <c r="B769" s="37"/>
      <c r="C769" s="34">
        <v>5.5</v>
      </c>
      <c r="D769" s="34">
        <v>1</v>
      </c>
      <c r="E769" s="34">
        <v>3</v>
      </c>
      <c r="F769" s="43">
        <f t="shared" si="89"/>
        <v>3</v>
      </c>
      <c r="G769" s="34">
        <f t="shared" si="90"/>
        <v>5.5</v>
      </c>
      <c r="H769" s="34"/>
      <c r="I769" s="34"/>
      <c r="J769" s="34"/>
      <c r="K769" s="34"/>
      <c r="L769" s="34">
        <f>2.24*G769*F769</f>
        <v>36.96</v>
      </c>
      <c r="M769" s="34"/>
      <c r="N769" s="34"/>
      <c r="O769" s="295"/>
      <c r="P769" s="3"/>
      <c r="Q769" s="3"/>
      <c r="R769" s="3"/>
      <c r="S769" s="3"/>
      <c r="T769" s="3"/>
      <c r="U769" s="3"/>
      <c r="V769" s="3"/>
    </row>
    <row r="770" spans="1:50" ht="20.100000000000001" hidden="1" customHeight="1" outlineLevel="2">
      <c r="A770" s="302"/>
      <c r="B770" s="38"/>
      <c r="C770" s="38">
        <v>5.5</v>
      </c>
      <c r="D770" s="34">
        <v>1</v>
      </c>
      <c r="E770" s="38">
        <v>3</v>
      </c>
      <c r="F770" s="43">
        <f t="shared" si="89"/>
        <v>3</v>
      </c>
      <c r="G770" s="34">
        <f t="shared" si="90"/>
        <v>5.5</v>
      </c>
      <c r="H770" s="38"/>
      <c r="I770" s="34"/>
      <c r="J770" s="38"/>
      <c r="K770" s="34">
        <f t="shared" si="91"/>
        <v>25.575000000000003</v>
      </c>
      <c r="L770" s="34"/>
      <c r="M770" s="38"/>
      <c r="N770" s="38"/>
      <c r="O770" s="314"/>
      <c r="P770" s="3"/>
      <c r="Q770" s="3"/>
      <c r="R770" s="3"/>
      <c r="S770" s="3"/>
      <c r="T770" s="3"/>
      <c r="U770" s="3"/>
      <c r="V770" s="3"/>
    </row>
    <row r="771" spans="1:50" ht="20.100000000000001" hidden="1" customHeight="1" outlineLevel="2">
      <c r="A771" s="296"/>
      <c r="B771" s="34"/>
      <c r="C771" s="34">
        <v>8.5</v>
      </c>
      <c r="D771" s="34">
        <v>1</v>
      </c>
      <c r="E771" s="34">
        <v>1</v>
      </c>
      <c r="F771" s="43">
        <f t="shared" si="89"/>
        <v>1</v>
      </c>
      <c r="G771" s="34">
        <f t="shared" si="90"/>
        <v>8.5</v>
      </c>
      <c r="H771" s="34"/>
      <c r="I771" s="34"/>
      <c r="J771" s="34"/>
      <c r="K771" s="34"/>
      <c r="L771" s="34">
        <f>2.24*G771*F771</f>
        <v>19.040000000000003</v>
      </c>
      <c r="M771" s="34"/>
      <c r="N771" s="34"/>
      <c r="O771" s="295"/>
      <c r="P771" s="3"/>
      <c r="Q771" s="3"/>
      <c r="R771" s="3"/>
      <c r="S771" s="3"/>
      <c r="T771" s="3"/>
      <c r="U771" s="3"/>
      <c r="V771" s="3"/>
    </row>
    <row r="772" spans="1:50" ht="20.100000000000001" hidden="1" customHeight="1" outlineLevel="2">
      <c r="A772" s="296"/>
      <c r="B772" s="34"/>
      <c r="C772" s="34">
        <v>8.5</v>
      </c>
      <c r="D772" s="34">
        <v>1</v>
      </c>
      <c r="E772" s="34">
        <v>6</v>
      </c>
      <c r="F772" s="43">
        <f t="shared" si="89"/>
        <v>6</v>
      </c>
      <c r="G772" s="34">
        <f t="shared" si="90"/>
        <v>8.5</v>
      </c>
      <c r="H772" s="34"/>
      <c r="I772" s="34"/>
      <c r="J772" s="34"/>
      <c r="K772" s="34">
        <f t="shared" si="91"/>
        <v>79.050000000000011</v>
      </c>
      <c r="L772" s="34"/>
      <c r="M772" s="34"/>
      <c r="N772" s="34"/>
      <c r="O772" s="295"/>
      <c r="P772" s="3"/>
      <c r="Q772" s="3"/>
      <c r="R772" s="3"/>
      <c r="S772" s="3"/>
      <c r="T772" s="3"/>
      <c r="U772" s="3"/>
      <c r="V772" s="3"/>
    </row>
    <row r="773" spans="1:50" ht="20.100000000000001" hidden="1" customHeight="1" outlineLevel="2">
      <c r="A773" s="296"/>
      <c r="B773" s="34"/>
      <c r="C773" s="34">
        <v>8.5</v>
      </c>
      <c r="D773" s="34">
        <v>1</v>
      </c>
      <c r="E773" s="34">
        <v>3</v>
      </c>
      <c r="F773" s="43">
        <f t="shared" si="89"/>
        <v>3</v>
      </c>
      <c r="G773" s="34">
        <f t="shared" si="90"/>
        <v>8.5</v>
      </c>
      <c r="H773" s="34"/>
      <c r="I773" s="34"/>
      <c r="J773" s="34">
        <f>1*G773*F773</f>
        <v>25.5</v>
      </c>
      <c r="K773" s="34"/>
      <c r="L773" s="34"/>
      <c r="M773" s="34"/>
      <c r="N773" s="34"/>
      <c r="O773" s="295"/>
      <c r="P773" s="3"/>
      <c r="Q773" s="3"/>
      <c r="R773" s="3"/>
      <c r="S773" s="3"/>
      <c r="T773" s="3"/>
      <c r="U773" s="3"/>
      <c r="V773" s="3"/>
    </row>
    <row r="774" spans="1:50" ht="20.100000000000001" hidden="1" customHeight="1" outlineLevel="2">
      <c r="A774" s="296"/>
      <c r="B774" s="34"/>
      <c r="C774" s="34">
        <v>9</v>
      </c>
      <c r="D774" s="34">
        <v>1</v>
      </c>
      <c r="E774" s="34">
        <v>2</v>
      </c>
      <c r="F774" s="43">
        <f t="shared" si="89"/>
        <v>2</v>
      </c>
      <c r="G774" s="34">
        <f t="shared" si="90"/>
        <v>9</v>
      </c>
      <c r="H774" s="34"/>
      <c r="I774" s="34"/>
      <c r="J774" s="34"/>
      <c r="K774" s="34">
        <f t="shared" si="91"/>
        <v>27.900000000000002</v>
      </c>
      <c r="L774" s="34"/>
      <c r="M774" s="34"/>
      <c r="N774" s="34"/>
      <c r="O774" s="295"/>
      <c r="P774" s="3"/>
      <c r="Q774" s="3"/>
      <c r="R774" s="3"/>
      <c r="S774" s="3"/>
      <c r="T774" s="3"/>
      <c r="U774" s="3"/>
      <c r="V774" s="3"/>
    </row>
    <row r="775" spans="1:50" ht="20.100000000000001" hidden="1" customHeight="1" outlineLevel="2">
      <c r="A775" s="296"/>
      <c r="B775" s="34"/>
      <c r="C775" s="34">
        <v>5.5</v>
      </c>
      <c r="D775" s="34">
        <v>1</v>
      </c>
      <c r="E775" s="34">
        <v>2</v>
      </c>
      <c r="F775" s="43">
        <f t="shared" si="89"/>
        <v>2</v>
      </c>
      <c r="G775" s="34">
        <f t="shared" si="90"/>
        <v>5.5</v>
      </c>
      <c r="H775" s="34"/>
      <c r="I775" s="34"/>
      <c r="J775" s="34"/>
      <c r="K775" s="34">
        <f t="shared" si="91"/>
        <v>17.05</v>
      </c>
      <c r="L775" s="34"/>
      <c r="M775" s="34"/>
      <c r="N775" s="34"/>
      <c r="O775" s="295"/>
      <c r="P775" s="3"/>
      <c r="Q775" s="3"/>
      <c r="R775" s="3"/>
      <c r="S775" s="3"/>
      <c r="T775" s="3"/>
      <c r="U775" s="3"/>
      <c r="V775" s="3"/>
    </row>
    <row r="776" spans="1:50" ht="20.100000000000001" hidden="1" customHeight="1" outlineLevel="2">
      <c r="A776" s="296"/>
      <c r="B776" s="34"/>
      <c r="C776" s="34">
        <v>3.25</v>
      </c>
      <c r="D776" s="34">
        <v>1</v>
      </c>
      <c r="E776" s="34">
        <v>1</v>
      </c>
      <c r="F776" s="43">
        <f t="shared" si="89"/>
        <v>1</v>
      </c>
      <c r="G776" s="34">
        <f t="shared" si="90"/>
        <v>3.25</v>
      </c>
      <c r="H776" s="34"/>
      <c r="I776" s="34">
        <f>0.56*G776*F776</f>
        <v>1.8200000000000003</v>
      </c>
      <c r="J776" s="34"/>
      <c r="K776" s="34"/>
      <c r="L776" s="34"/>
      <c r="M776" s="34"/>
      <c r="N776" s="34"/>
      <c r="O776" s="295"/>
      <c r="P776" s="3"/>
      <c r="Q776" s="3"/>
      <c r="R776" s="3"/>
      <c r="S776" s="3"/>
      <c r="T776" s="3"/>
      <c r="U776" s="3"/>
      <c r="V776" s="3"/>
    </row>
    <row r="777" spans="1:50" ht="45" hidden="1" customHeight="1" outlineLevel="2">
      <c r="A777" s="291"/>
      <c r="B777" s="52"/>
      <c r="C777" s="51">
        <f>(0.55*2)+(0.15*2)+(0.05*2)</f>
        <v>1.5000000000000002</v>
      </c>
      <c r="D777" s="59">
        <v>1</v>
      </c>
      <c r="E777" s="51">
        <v>141</v>
      </c>
      <c r="F777" s="51">
        <f>D777*E777</f>
        <v>141</v>
      </c>
      <c r="G777" s="34">
        <f t="shared" si="90"/>
        <v>1.5000000000000002</v>
      </c>
      <c r="H777" s="51">
        <f>0.25*G777*F777</f>
        <v>52.875000000000007</v>
      </c>
      <c r="I777" s="34"/>
      <c r="J777" s="34"/>
      <c r="K777" s="34"/>
      <c r="L777" s="34"/>
      <c r="M777" s="34"/>
      <c r="N777" s="34"/>
      <c r="O777" s="295"/>
      <c r="P777" s="3"/>
      <c r="Q777" s="3"/>
      <c r="R777" s="3"/>
      <c r="S777" s="3"/>
      <c r="T777" s="3"/>
      <c r="U777" s="3"/>
      <c r="V777" s="3"/>
    </row>
    <row r="778" spans="1:50" ht="20.100000000000001" hidden="1" customHeight="1" outlineLevel="2">
      <c r="A778" s="2129" t="s">
        <v>196</v>
      </c>
      <c r="B778" s="2130"/>
      <c r="C778" s="2130"/>
      <c r="D778" s="2130"/>
      <c r="E778" s="2130"/>
      <c r="F778" s="2130"/>
      <c r="G778" s="2130"/>
      <c r="H778" s="556">
        <f>SUM(H762:H777)</f>
        <v>52.875000000000007</v>
      </c>
      <c r="I778" s="556">
        <f t="shared" ref="I778:O778" si="92">SUM(I762:I776)</f>
        <v>7.7000000000000011</v>
      </c>
      <c r="J778" s="556">
        <f t="shared" si="92"/>
        <v>25.5</v>
      </c>
      <c r="K778" s="556">
        <f t="shared" si="92"/>
        <v>194.83500000000004</v>
      </c>
      <c r="L778" s="556">
        <f t="shared" si="92"/>
        <v>96.320000000000007</v>
      </c>
      <c r="M778" s="556">
        <f t="shared" si="92"/>
        <v>9</v>
      </c>
      <c r="N778" s="556">
        <f t="shared" si="92"/>
        <v>0</v>
      </c>
      <c r="O778" s="557">
        <f t="shared" si="92"/>
        <v>0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50" ht="20.100000000000001" hidden="1" customHeight="1" outlineLevel="2">
      <c r="A779" s="2186" t="s">
        <v>132</v>
      </c>
      <c r="B779" s="2187"/>
      <c r="C779" s="2187"/>
      <c r="D779" s="2187"/>
      <c r="E779" s="2187"/>
      <c r="F779" s="2187"/>
      <c r="G779" s="2187"/>
      <c r="H779" s="2188">
        <f>SUM(H778:O778)</f>
        <v>386.23000000000008</v>
      </c>
      <c r="I779" s="2188"/>
      <c r="J779" s="2188"/>
      <c r="K779" s="2188"/>
      <c r="L779" s="2188"/>
      <c r="M779" s="2188"/>
      <c r="N779" s="2188"/>
      <c r="O779" s="2189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</row>
    <row r="780" spans="1:50" s="84" customFormat="1" ht="20.100000000000001" hidden="1" customHeight="1" outlineLevel="2">
      <c r="A780" s="2211"/>
      <c r="B780" s="2212"/>
      <c r="C780" s="2212"/>
      <c r="D780" s="2212"/>
      <c r="E780" s="2212"/>
      <c r="F780" s="2212"/>
      <c r="G780" s="2212"/>
      <c r="H780" s="2212"/>
      <c r="I780" s="2212"/>
      <c r="J780" s="2212"/>
      <c r="K780" s="2212"/>
      <c r="L780" s="2212"/>
      <c r="M780" s="2212"/>
      <c r="N780" s="2212"/>
      <c r="O780" s="2213"/>
      <c r="P780" s="8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0.100000000000001" hidden="1" customHeight="1" outlineLevel="2">
      <c r="A781" s="299" t="s">
        <v>170</v>
      </c>
      <c r="B781" s="34"/>
      <c r="C781" s="34">
        <v>3.5</v>
      </c>
      <c r="D781" s="34">
        <v>1</v>
      </c>
      <c r="E781" s="34">
        <v>1</v>
      </c>
      <c r="F781" s="43">
        <f>D781*E781</f>
        <v>1</v>
      </c>
      <c r="G781" s="34">
        <f>C781</f>
        <v>3.5</v>
      </c>
      <c r="H781" s="34"/>
      <c r="I781" s="34"/>
      <c r="J781" s="34"/>
      <c r="K781" s="34"/>
      <c r="L781" s="34"/>
      <c r="M781" s="34"/>
      <c r="N781" s="34"/>
      <c r="O781" s="295">
        <f>6.4*G781*F781</f>
        <v>22.400000000000002</v>
      </c>
      <c r="P781" s="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</row>
    <row r="782" spans="1:50" ht="20.100000000000001" hidden="1" customHeight="1" outlineLevel="2">
      <c r="A782" s="306"/>
      <c r="B782" s="34"/>
      <c r="C782" s="34">
        <v>3.5</v>
      </c>
      <c r="D782" s="34">
        <v>1</v>
      </c>
      <c r="E782" s="34">
        <v>1</v>
      </c>
      <c r="F782" s="43">
        <f>D782*E782</f>
        <v>1</v>
      </c>
      <c r="G782" s="34">
        <f>C782</f>
        <v>3.5</v>
      </c>
      <c r="H782" s="34"/>
      <c r="I782" s="34"/>
      <c r="J782" s="34"/>
      <c r="K782" s="34"/>
      <c r="L782" s="34"/>
      <c r="M782" s="34"/>
      <c r="N782" s="34">
        <f>4*G782*F782</f>
        <v>14</v>
      </c>
      <c r="O782" s="295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50" ht="20.100000000000001" hidden="1" customHeight="1" outlineLevel="2">
      <c r="A783" s="296"/>
      <c r="B783" s="34"/>
      <c r="C783" s="34">
        <v>8.4</v>
      </c>
      <c r="D783" s="34">
        <v>1</v>
      </c>
      <c r="E783" s="34">
        <v>2</v>
      </c>
      <c r="F783" s="43">
        <f t="shared" ref="F783:F791" si="93">D783*E783</f>
        <v>2</v>
      </c>
      <c r="G783" s="34">
        <f t="shared" ref="G783:G791" si="94">C783</f>
        <v>8.4</v>
      </c>
      <c r="H783" s="34"/>
      <c r="I783" s="34"/>
      <c r="J783" s="34"/>
      <c r="K783" s="34"/>
      <c r="L783" s="34">
        <f>2.24*G783*F783</f>
        <v>37.632000000000005</v>
      </c>
      <c r="M783" s="34"/>
      <c r="N783" s="34"/>
      <c r="O783" s="295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50" ht="20.100000000000001" hidden="1" customHeight="1" outlineLevel="2">
      <c r="A784" s="296"/>
      <c r="B784" s="34"/>
      <c r="C784" s="34">
        <v>8.4</v>
      </c>
      <c r="D784" s="34">
        <v>1</v>
      </c>
      <c r="E784" s="34">
        <v>1</v>
      </c>
      <c r="F784" s="43">
        <f t="shared" si="93"/>
        <v>1</v>
      </c>
      <c r="G784" s="34">
        <f t="shared" si="94"/>
        <v>8.4</v>
      </c>
      <c r="H784" s="34"/>
      <c r="I784" s="34"/>
      <c r="J784" s="34"/>
      <c r="K784" s="34">
        <f>1.55*G784*F784</f>
        <v>13.020000000000001</v>
      </c>
      <c r="L784" s="34"/>
      <c r="M784" s="34"/>
      <c r="N784" s="34"/>
      <c r="O784" s="295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50" ht="20.100000000000001" hidden="1" customHeight="1" outlineLevel="2">
      <c r="A785" s="296"/>
      <c r="B785" s="34"/>
      <c r="C785" s="34">
        <v>3.5</v>
      </c>
      <c r="D785" s="34">
        <v>1</v>
      </c>
      <c r="E785" s="34">
        <v>1</v>
      </c>
      <c r="F785" s="43">
        <f t="shared" si="93"/>
        <v>1</v>
      </c>
      <c r="G785" s="34">
        <f t="shared" si="94"/>
        <v>3.5</v>
      </c>
      <c r="H785" s="34"/>
      <c r="I785" s="34"/>
      <c r="J785" s="34"/>
      <c r="K785" s="34"/>
      <c r="L785" s="34"/>
      <c r="M785" s="34"/>
      <c r="N785" s="34"/>
      <c r="O785" s="295">
        <f>6.4*G785*F785</f>
        <v>22.400000000000002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50" ht="20.100000000000001" hidden="1" customHeight="1" outlineLevel="2">
      <c r="A786" s="296"/>
      <c r="B786" s="34"/>
      <c r="C786" s="34">
        <v>3.5</v>
      </c>
      <c r="D786" s="34">
        <v>1</v>
      </c>
      <c r="E786" s="34">
        <v>1</v>
      </c>
      <c r="F786" s="43">
        <f t="shared" si="93"/>
        <v>1</v>
      </c>
      <c r="G786" s="34">
        <f t="shared" si="94"/>
        <v>3.5</v>
      </c>
      <c r="H786" s="34"/>
      <c r="I786" s="34"/>
      <c r="J786" s="34"/>
      <c r="K786" s="34"/>
      <c r="L786" s="34"/>
      <c r="M786" s="34"/>
      <c r="N786" s="34">
        <f>4*G786*F786</f>
        <v>14</v>
      </c>
      <c r="O786" s="295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50" ht="20.100000000000001" hidden="1" customHeight="1" outlineLevel="2">
      <c r="A787" s="296"/>
      <c r="B787" s="34"/>
      <c r="C787" s="34">
        <v>3.5</v>
      </c>
      <c r="D787" s="34">
        <v>1</v>
      </c>
      <c r="E787" s="34">
        <v>3</v>
      </c>
      <c r="F787" s="43">
        <f t="shared" si="93"/>
        <v>3</v>
      </c>
      <c r="G787" s="34">
        <f t="shared" si="94"/>
        <v>3.5</v>
      </c>
      <c r="H787" s="34"/>
      <c r="I787" s="34"/>
      <c r="J787" s="34"/>
      <c r="K787" s="34">
        <f>1.55*F787*G787</f>
        <v>16.275000000000002</v>
      </c>
      <c r="L787" s="34"/>
      <c r="M787" s="34"/>
      <c r="N787" s="34"/>
      <c r="O787" s="295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50" ht="20.100000000000001" hidden="1" customHeight="1" outlineLevel="2">
      <c r="A788" s="296"/>
      <c r="B788" s="34"/>
      <c r="C788" s="34">
        <v>8.5</v>
      </c>
      <c r="D788" s="34">
        <v>1</v>
      </c>
      <c r="E788" s="34">
        <v>2</v>
      </c>
      <c r="F788" s="43">
        <f t="shared" si="93"/>
        <v>2</v>
      </c>
      <c r="G788" s="34">
        <f t="shared" si="94"/>
        <v>8.5</v>
      </c>
      <c r="H788" s="34"/>
      <c r="I788" s="34"/>
      <c r="J788" s="34"/>
      <c r="K788" s="34"/>
      <c r="L788" s="34"/>
      <c r="M788" s="34">
        <f>3*G788*F788</f>
        <v>51</v>
      </c>
      <c r="N788" s="34"/>
      <c r="O788" s="295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</row>
    <row r="789" spans="1:50" ht="20.100000000000001" hidden="1" customHeight="1" outlineLevel="2">
      <c r="A789" s="296"/>
      <c r="B789" s="34"/>
      <c r="C789" s="34">
        <v>8.5</v>
      </c>
      <c r="D789" s="34">
        <v>1</v>
      </c>
      <c r="E789" s="34">
        <v>2</v>
      </c>
      <c r="F789" s="43">
        <f t="shared" si="93"/>
        <v>2</v>
      </c>
      <c r="G789" s="34">
        <f t="shared" si="94"/>
        <v>8.5</v>
      </c>
      <c r="H789" s="34"/>
      <c r="I789" s="34"/>
      <c r="J789" s="34"/>
      <c r="K789" s="34"/>
      <c r="L789" s="34">
        <f>2.24*G789*F789</f>
        <v>38.080000000000005</v>
      </c>
      <c r="M789" s="34"/>
      <c r="N789" s="34"/>
      <c r="O789" s="295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50" ht="20.100000000000001" hidden="1" customHeight="1" outlineLevel="2">
      <c r="A790" s="296"/>
      <c r="B790" s="34"/>
      <c r="C790" s="34">
        <v>3.5</v>
      </c>
      <c r="D790" s="34">
        <v>1</v>
      </c>
      <c r="E790" s="34">
        <v>3</v>
      </c>
      <c r="F790" s="43">
        <f t="shared" si="93"/>
        <v>3</v>
      </c>
      <c r="G790" s="34">
        <f t="shared" si="94"/>
        <v>3.5</v>
      </c>
      <c r="H790" s="34"/>
      <c r="I790" s="34"/>
      <c r="J790" s="34"/>
      <c r="K790" s="34">
        <f>1.55*G790*F790</f>
        <v>16.274999999999999</v>
      </c>
      <c r="L790" s="34"/>
      <c r="M790" s="34"/>
      <c r="N790" s="34"/>
      <c r="O790" s="295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50" ht="44.25" hidden="1" customHeight="1" outlineLevel="2">
      <c r="A791" s="315"/>
      <c r="B791" s="52"/>
      <c r="C791" s="59">
        <f>(0.55*2)+(0.35*2)+(0.05*2)</f>
        <v>1.9000000000000001</v>
      </c>
      <c r="D791" s="34">
        <v>1</v>
      </c>
      <c r="E791" s="34">
        <f>9+9+15</f>
        <v>33</v>
      </c>
      <c r="F791" s="43">
        <f t="shared" si="93"/>
        <v>33</v>
      </c>
      <c r="G791" s="34">
        <f t="shared" si="94"/>
        <v>1.9000000000000001</v>
      </c>
      <c r="H791" s="34"/>
      <c r="I791" s="34">
        <f>0.56*G791*F791</f>
        <v>35.112000000000009</v>
      </c>
      <c r="J791" s="34"/>
      <c r="K791" s="34"/>
      <c r="L791" s="34"/>
      <c r="M791" s="34"/>
      <c r="N791" s="34"/>
      <c r="O791" s="29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50" ht="20.100000000000001" hidden="1" customHeight="1" outlineLevel="2">
      <c r="A792" s="2129" t="s">
        <v>196</v>
      </c>
      <c r="B792" s="2130"/>
      <c r="C792" s="2130"/>
      <c r="D792" s="2130"/>
      <c r="E792" s="2130"/>
      <c r="F792" s="2130"/>
      <c r="G792" s="2130"/>
      <c r="H792" s="556">
        <f>SUM(H781:H791)</f>
        <v>0</v>
      </c>
      <c r="I792" s="556">
        <f t="shared" ref="I792:O792" si="95">SUM(I781:I791)</f>
        <v>35.112000000000009</v>
      </c>
      <c r="J792" s="556">
        <f t="shared" si="95"/>
        <v>0</v>
      </c>
      <c r="K792" s="556">
        <f t="shared" si="95"/>
        <v>45.57</v>
      </c>
      <c r="L792" s="556">
        <f t="shared" si="95"/>
        <v>75.712000000000018</v>
      </c>
      <c r="M792" s="556">
        <f t="shared" si="95"/>
        <v>51</v>
      </c>
      <c r="N792" s="556">
        <f t="shared" si="95"/>
        <v>28</v>
      </c>
      <c r="O792" s="557">
        <f t="shared" si="95"/>
        <v>44.800000000000004</v>
      </c>
      <c r="P792" s="3"/>
    </row>
    <row r="793" spans="1:50" ht="20.100000000000001" hidden="1" customHeight="1" outlineLevel="2">
      <c r="A793" s="2186" t="s">
        <v>251</v>
      </c>
      <c r="B793" s="2187"/>
      <c r="C793" s="2187"/>
      <c r="D793" s="2187"/>
      <c r="E793" s="2187"/>
      <c r="F793" s="2187"/>
      <c r="G793" s="2187"/>
      <c r="H793" s="2188">
        <f>SUM(H792:O792)</f>
        <v>280.19400000000002</v>
      </c>
      <c r="I793" s="2188"/>
      <c r="J793" s="2188"/>
      <c r="K793" s="2188"/>
      <c r="L793" s="2188"/>
      <c r="M793" s="2188"/>
      <c r="N793" s="2188"/>
      <c r="O793" s="2189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50" s="37" customFormat="1" ht="20.100000000000001" hidden="1" customHeight="1" outlineLevel="2">
      <c r="A794" s="2206"/>
      <c r="B794" s="2207"/>
      <c r="C794" s="2207"/>
      <c r="D794" s="2207"/>
      <c r="E794" s="2207"/>
      <c r="F794" s="2207"/>
      <c r="G794" s="2207"/>
      <c r="H794" s="2207"/>
      <c r="I794" s="2207"/>
      <c r="J794" s="2207"/>
      <c r="K794" s="2207"/>
      <c r="L794" s="2207"/>
      <c r="M794" s="2207"/>
      <c r="N794" s="2207"/>
      <c r="O794" s="2208"/>
      <c r="P794" s="82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0.100000000000001" hidden="1" customHeight="1" outlineLevel="2">
      <c r="A795" s="299" t="s">
        <v>171</v>
      </c>
      <c r="B795" s="34"/>
      <c r="C795" s="34">
        <v>6</v>
      </c>
      <c r="D795" s="34">
        <v>1</v>
      </c>
      <c r="E795" s="34">
        <v>2</v>
      </c>
      <c r="F795" s="43">
        <f t="shared" ref="F795:F800" si="96">D795*E795</f>
        <v>2</v>
      </c>
      <c r="G795" s="34">
        <f t="shared" ref="G795:G800" si="97">C795</f>
        <v>6</v>
      </c>
      <c r="H795" s="34"/>
      <c r="I795" s="34"/>
      <c r="J795" s="34"/>
      <c r="K795" s="34">
        <f>1.55*G795*F795</f>
        <v>18.600000000000001</v>
      </c>
      <c r="L795" s="34"/>
      <c r="M795" s="34"/>
      <c r="N795" s="34"/>
      <c r="O795" s="295"/>
      <c r="P795" s="3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</row>
    <row r="796" spans="1:50" ht="20.100000000000001" hidden="1" customHeight="1" outlineLevel="2">
      <c r="A796" s="306"/>
      <c r="B796" s="34"/>
      <c r="C796" s="34">
        <v>3.5</v>
      </c>
      <c r="D796" s="34">
        <v>1</v>
      </c>
      <c r="E796" s="34">
        <v>1</v>
      </c>
      <c r="F796" s="43">
        <f t="shared" si="96"/>
        <v>1</v>
      </c>
      <c r="G796" s="34">
        <f t="shared" si="97"/>
        <v>3.5</v>
      </c>
      <c r="H796" s="34"/>
      <c r="I796" s="34"/>
      <c r="J796" s="34"/>
      <c r="K796" s="34"/>
      <c r="L796" s="34">
        <f>2.24*G796*F796</f>
        <v>7.8400000000000007</v>
      </c>
      <c r="M796" s="34"/>
      <c r="N796" s="34"/>
      <c r="O796" s="295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50" ht="20.100000000000001" hidden="1" customHeight="1" outlineLevel="2">
      <c r="A797" s="296"/>
      <c r="B797" s="34"/>
      <c r="C797" s="34">
        <v>3.1</v>
      </c>
      <c r="D797" s="34">
        <v>1</v>
      </c>
      <c r="E797" s="34">
        <v>2</v>
      </c>
      <c r="F797" s="43">
        <f t="shared" si="96"/>
        <v>2</v>
      </c>
      <c r="G797" s="34">
        <f t="shared" si="97"/>
        <v>3.1</v>
      </c>
      <c r="H797" s="34"/>
      <c r="I797" s="34">
        <f>0.56*G797*F797</f>
        <v>3.4720000000000004</v>
      </c>
      <c r="J797" s="34"/>
      <c r="K797" s="34"/>
      <c r="L797" s="34"/>
      <c r="M797" s="34"/>
      <c r="N797" s="34"/>
      <c r="O797" s="295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50" ht="20.100000000000001" hidden="1" customHeight="1" outlineLevel="2">
      <c r="A798" s="296"/>
      <c r="B798" s="34"/>
      <c r="C798" s="34">
        <v>8.4</v>
      </c>
      <c r="D798" s="34">
        <v>1</v>
      </c>
      <c r="E798" s="34">
        <v>2</v>
      </c>
      <c r="F798" s="43">
        <f t="shared" si="96"/>
        <v>2</v>
      </c>
      <c r="G798" s="34">
        <f t="shared" si="97"/>
        <v>8.4</v>
      </c>
      <c r="H798" s="34"/>
      <c r="I798" s="34"/>
      <c r="J798" s="34">
        <f>1*G798*F798</f>
        <v>16.8</v>
      </c>
      <c r="K798" s="34"/>
      <c r="L798" s="34"/>
      <c r="M798" s="34"/>
      <c r="N798" s="34"/>
      <c r="O798" s="295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50" ht="20.100000000000001" hidden="1" customHeight="1" outlineLevel="2">
      <c r="A799" s="296"/>
      <c r="B799" s="34"/>
      <c r="C799" s="34">
        <v>6</v>
      </c>
      <c r="D799" s="34">
        <v>1</v>
      </c>
      <c r="E799" s="34">
        <v>1</v>
      </c>
      <c r="F799" s="43">
        <f t="shared" si="96"/>
        <v>1</v>
      </c>
      <c r="G799" s="34">
        <f t="shared" si="97"/>
        <v>6</v>
      </c>
      <c r="H799" s="34"/>
      <c r="I799" s="34"/>
      <c r="J799" s="34">
        <f>1*G799*F799</f>
        <v>6</v>
      </c>
      <c r="K799" s="34"/>
      <c r="L799" s="34"/>
      <c r="M799" s="34"/>
      <c r="N799" s="34"/>
      <c r="O799" s="295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50" ht="44.25" hidden="1" customHeight="1" outlineLevel="2">
      <c r="A800" s="315"/>
      <c r="B800" s="52"/>
      <c r="C800" s="59">
        <f>(0.55*2)+(0.15*2)+(0.05*2)</f>
        <v>1.5000000000000002</v>
      </c>
      <c r="D800" s="34">
        <v>1</v>
      </c>
      <c r="E800" s="34">
        <f>13+8</f>
        <v>21</v>
      </c>
      <c r="F800" s="43">
        <f t="shared" si="96"/>
        <v>21</v>
      </c>
      <c r="G800" s="34">
        <f t="shared" si="97"/>
        <v>1.5000000000000002</v>
      </c>
      <c r="H800" s="34">
        <f>0.25*G800*F800</f>
        <v>7.8750000000000009</v>
      </c>
      <c r="I800" s="34"/>
      <c r="J800" s="34"/>
      <c r="K800" s="34"/>
      <c r="L800" s="34"/>
      <c r="M800" s="34"/>
      <c r="N800" s="34"/>
      <c r="O800" s="29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</row>
    <row r="801" spans="1:50" ht="20.100000000000001" hidden="1" customHeight="1" outlineLevel="2">
      <c r="A801" s="2129" t="s">
        <v>196</v>
      </c>
      <c r="B801" s="2130"/>
      <c r="C801" s="2130"/>
      <c r="D801" s="2130"/>
      <c r="E801" s="2130"/>
      <c r="F801" s="2130"/>
      <c r="G801" s="2130"/>
      <c r="H801" s="556">
        <f>SUM(H795:H800)</f>
        <v>7.8750000000000009</v>
      </c>
      <c r="I801" s="556">
        <f>SUM(I795:I800)</f>
        <v>3.4720000000000004</v>
      </c>
      <c r="J801" s="556">
        <f t="shared" ref="J801:O801" si="98">SUM(J795:J800)</f>
        <v>22.8</v>
      </c>
      <c r="K801" s="556">
        <f t="shared" si="98"/>
        <v>18.600000000000001</v>
      </c>
      <c r="L801" s="556">
        <f t="shared" si="98"/>
        <v>7.8400000000000007</v>
      </c>
      <c r="M801" s="556">
        <f t="shared" si="98"/>
        <v>0</v>
      </c>
      <c r="N801" s="556">
        <f t="shared" si="98"/>
        <v>0</v>
      </c>
      <c r="O801" s="557">
        <f t="shared" si="98"/>
        <v>0</v>
      </c>
      <c r="P801" s="3"/>
    </row>
    <row r="802" spans="1:50" ht="20.100000000000001" hidden="1" customHeight="1" outlineLevel="2">
      <c r="A802" s="2186" t="s">
        <v>252</v>
      </c>
      <c r="B802" s="2187"/>
      <c r="C802" s="2187"/>
      <c r="D802" s="2187"/>
      <c r="E802" s="2187"/>
      <c r="F802" s="2187"/>
      <c r="G802" s="2187"/>
      <c r="H802" s="2188">
        <f>SUM(H801:O801)</f>
        <v>60.58700000000001</v>
      </c>
      <c r="I802" s="2188"/>
      <c r="J802" s="2188"/>
      <c r="K802" s="2188"/>
      <c r="L802" s="2188"/>
      <c r="M802" s="2188"/>
      <c r="N802" s="2188"/>
      <c r="O802" s="2189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50" s="37" customFormat="1" ht="20.100000000000001" hidden="1" customHeight="1" outlineLevel="2">
      <c r="A803" s="2206"/>
      <c r="B803" s="2207"/>
      <c r="C803" s="2207"/>
      <c r="D803" s="2207"/>
      <c r="E803" s="2207"/>
      <c r="F803" s="2207"/>
      <c r="G803" s="2207"/>
      <c r="H803" s="2207"/>
      <c r="I803" s="2207"/>
      <c r="J803" s="2207"/>
      <c r="K803" s="2207"/>
      <c r="L803" s="2207"/>
      <c r="M803" s="2207"/>
      <c r="N803" s="2207"/>
      <c r="O803" s="2208"/>
      <c r="P803" s="82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0.100000000000001" hidden="1" customHeight="1" outlineLevel="2">
      <c r="A804" s="299" t="s">
        <v>172</v>
      </c>
      <c r="B804" s="34"/>
      <c r="C804" s="34">
        <v>4.5</v>
      </c>
      <c r="D804" s="34">
        <v>1</v>
      </c>
      <c r="E804" s="34">
        <v>2</v>
      </c>
      <c r="F804" s="43">
        <f>D804*E804</f>
        <v>2</v>
      </c>
      <c r="G804" s="34">
        <f>C804</f>
        <v>4.5</v>
      </c>
      <c r="H804" s="34"/>
      <c r="I804" s="34"/>
      <c r="J804" s="34">
        <f>1*G804*F804</f>
        <v>9</v>
      </c>
      <c r="K804" s="34"/>
      <c r="L804" s="34"/>
      <c r="M804" s="34"/>
      <c r="N804" s="34"/>
      <c r="O804" s="295"/>
      <c r="P804" s="3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</row>
    <row r="805" spans="1:50" ht="20.100000000000001" hidden="1" customHeight="1" outlineLevel="2">
      <c r="A805" s="306"/>
      <c r="B805" s="34"/>
      <c r="C805" s="34">
        <v>3</v>
      </c>
      <c r="D805" s="34">
        <v>1</v>
      </c>
      <c r="E805" s="34">
        <v>1</v>
      </c>
      <c r="F805" s="43">
        <f t="shared" ref="F805:F812" si="99">D805*E805</f>
        <v>1</v>
      </c>
      <c r="G805" s="34">
        <f t="shared" ref="G805:G812" si="100">C805</f>
        <v>3</v>
      </c>
      <c r="H805" s="34"/>
      <c r="I805" s="34"/>
      <c r="J805" s="34"/>
      <c r="K805" s="34">
        <f>1.55*G805*F805</f>
        <v>4.6500000000000004</v>
      </c>
      <c r="L805" s="34"/>
      <c r="M805" s="34"/>
      <c r="N805" s="34"/>
      <c r="O805" s="295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50" ht="20.100000000000001" hidden="1" customHeight="1" outlineLevel="2">
      <c r="A806" s="306"/>
      <c r="B806" s="34"/>
      <c r="C806" s="34">
        <v>2.25</v>
      </c>
      <c r="D806" s="34">
        <v>1</v>
      </c>
      <c r="E806" s="34">
        <v>1</v>
      </c>
      <c r="F806" s="43">
        <f t="shared" si="99"/>
        <v>1</v>
      </c>
      <c r="G806" s="34">
        <f t="shared" si="100"/>
        <v>2.25</v>
      </c>
      <c r="H806" s="34"/>
      <c r="I806" s="34"/>
      <c r="J806" s="34">
        <f>1*G806*F806</f>
        <v>2.25</v>
      </c>
      <c r="K806" s="34"/>
      <c r="L806" s="34"/>
      <c r="M806" s="34"/>
      <c r="N806" s="34"/>
      <c r="O806" s="295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</row>
    <row r="807" spans="1:50" ht="20.100000000000001" hidden="1" customHeight="1" outlineLevel="2">
      <c r="A807" s="306"/>
      <c r="B807" s="34"/>
      <c r="C807" s="34">
        <v>5</v>
      </c>
      <c r="D807" s="34">
        <v>1</v>
      </c>
      <c r="E807" s="34">
        <v>2</v>
      </c>
      <c r="F807" s="43">
        <f t="shared" si="99"/>
        <v>2</v>
      </c>
      <c r="G807" s="34">
        <f t="shared" si="100"/>
        <v>5</v>
      </c>
      <c r="H807" s="34"/>
      <c r="I807" s="34"/>
      <c r="J807" s="34">
        <f>1*G807*F807</f>
        <v>10</v>
      </c>
      <c r="K807" s="34"/>
      <c r="L807" s="34"/>
      <c r="M807" s="34"/>
      <c r="N807" s="34"/>
      <c r="O807" s="295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50" ht="20.100000000000001" hidden="1" customHeight="1" outlineLevel="2">
      <c r="A808" s="296"/>
      <c r="B808" s="34"/>
      <c r="C808" s="34">
        <v>2.1</v>
      </c>
      <c r="D808" s="34">
        <v>1</v>
      </c>
      <c r="E808" s="34">
        <v>2</v>
      </c>
      <c r="F808" s="43">
        <f t="shared" si="99"/>
        <v>2</v>
      </c>
      <c r="G808" s="34">
        <f t="shared" si="100"/>
        <v>2.1</v>
      </c>
      <c r="H808" s="34"/>
      <c r="I808" s="34">
        <f>0.56*G808*F808</f>
        <v>2.3520000000000003</v>
      </c>
      <c r="J808" s="34"/>
      <c r="K808" s="34"/>
      <c r="L808" s="34"/>
      <c r="M808" s="34"/>
      <c r="N808" s="34"/>
      <c r="O808" s="295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50" ht="20.100000000000001" hidden="1" customHeight="1" outlineLevel="2">
      <c r="A809" s="296"/>
      <c r="B809" s="34"/>
      <c r="C809" s="34">
        <v>6.7</v>
      </c>
      <c r="D809" s="34">
        <v>1</v>
      </c>
      <c r="E809" s="34">
        <v>2</v>
      </c>
      <c r="F809" s="43">
        <f t="shared" si="99"/>
        <v>2</v>
      </c>
      <c r="G809" s="34">
        <f t="shared" si="100"/>
        <v>6.7</v>
      </c>
      <c r="H809" s="34"/>
      <c r="I809" s="34"/>
      <c r="J809" s="34">
        <f>1*G809*F809</f>
        <v>13.4</v>
      </c>
      <c r="K809" s="34"/>
      <c r="L809" s="34"/>
      <c r="M809" s="34"/>
      <c r="N809" s="34"/>
      <c r="O809" s="295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50" ht="20.100000000000001" hidden="1" customHeight="1" outlineLevel="2">
      <c r="A810" s="296"/>
      <c r="B810" s="34"/>
      <c r="C810" s="34">
        <v>4.5</v>
      </c>
      <c r="D810" s="34">
        <v>1</v>
      </c>
      <c r="E810" s="34">
        <v>1</v>
      </c>
      <c r="F810" s="43">
        <f t="shared" si="99"/>
        <v>1</v>
      </c>
      <c r="G810" s="34">
        <f t="shared" si="100"/>
        <v>4.5</v>
      </c>
      <c r="H810" s="34"/>
      <c r="I810" s="34"/>
      <c r="J810" s="34">
        <f>1*G810*F810</f>
        <v>4.5</v>
      </c>
      <c r="K810" s="34"/>
      <c r="L810" s="34"/>
      <c r="M810" s="34"/>
      <c r="N810" s="34"/>
      <c r="O810" s="295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50" ht="20.100000000000001" hidden="1" customHeight="1" outlineLevel="2">
      <c r="A811" s="296"/>
      <c r="B811" s="34"/>
      <c r="C811" s="34">
        <v>2.9</v>
      </c>
      <c r="D811" s="34">
        <v>1</v>
      </c>
      <c r="E811" s="34">
        <v>2</v>
      </c>
      <c r="F811" s="43">
        <f t="shared" si="99"/>
        <v>2</v>
      </c>
      <c r="G811" s="34">
        <f t="shared" si="100"/>
        <v>2.9</v>
      </c>
      <c r="H811" s="34"/>
      <c r="I811" s="34">
        <f>0.56*G811*F811</f>
        <v>3.2480000000000002</v>
      </c>
      <c r="J811" s="34"/>
      <c r="K811" s="34"/>
      <c r="L811" s="34"/>
      <c r="M811" s="34"/>
      <c r="N811" s="34"/>
      <c r="O811" s="295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50" ht="44.25" hidden="1" customHeight="1" outlineLevel="2">
      <c r="A812" s="315"/>
      <c r="B812" s="52"/>
      <c r="C812" s="59">
        <f>(0.55*2)+(0.15*2)+(0.05*2)</f>
        <v>1.5000000000000002</v>
      </c>
      <c r="D812" s="34">
        <v>1</v>
      </c>
      <c r="E812" s="34">
        <f>27</f>
        <v>27</v>
      </c>
      <c r="F812" s="43">
        <f t="shared" si="99"/>
        <v>27</v>
      </c>
      <c r="G812" s="34">
        <f t="shared" si="100"/>
        <v>1.5000000000000002</v>
      </c>
      <c r="H812" s="34">
        <f>0.25*G812*F812</f>
        <v>10.125000000000002</v>
      </c>
      <c r="I812" s="34"/>
      <c r="J812" s="34"/>
      <c r="K812" s="34"/>
      <c r="L812" s="34"/>
      <c r="M812" s="34"/>
      <c r="N812" s="34"/>
      <c r="O812" s="29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</row>
    <row r="813" spans="1:50" ht="20.100000000000001" hidden="1" customHeight="1" outlineLevel="2">
      <c r="A813" s="2129" t="s">
        <v>196</v>
      </c>
      <c r="B813" s="2130"/>
      <c r="C813" s="2130"/>
      <c r="D813" s="2130"/>
      <c r="E813" s="2130"/>
      <c r="F813" s="2130"/>
      <c r="G813" s="2130"/>
      <c r="H813" s="556">
        <f>SUM(H804:H812)</f>
        <v>10.125000000000002</v>
      </c>
      <c r="I813" s="556">
        <f t="shared" ref="I813:O813" si="101">SUM(I804:I812)</f>
        <v>5.6000000000000005</v>
      </c>
      <c r="J813" s="556">
        <f t="shared" si="101"/>
        <v>39.15</v>
      </c>
      <c r="K813" s="556">
        <f t="shared" si="101"/>
        <v>4.6500000000000004</v>
      </c>
      <c r="L813" s="556">
        <f t="shared" si="101"/>
        <v>0</v>
      </c>
      <c r="M813" s="556">
        <f t="shared" si="101"/>
        <v>0</v>
      </c>
      <c r="N813" s="556">
        <f t="shared" si="101"/>
        <v>0</v>
      </c>
      <c r="O813" s="557">
        <f t="shared" si="101"/>
        <v>0</v>
      </c>
      <c r="P813" s="3"/>
    </row>
    <row r="814" spans="1:50" ht="20.100000000000001" hidden="1" customHeight="1" outlineLevel="2">
      <c r="A814" s="2186" t="s">
        <v>253</v>
      </c>
      <c r="B814" s="2187"/>
      <c r="C814" s="2187"/>
      <c r="D814" s="2187"/>
      <c r="E814" s="2187"/>
      <c r="F814" s="2187"/>
      <c r="G814" s="2187"/>
      <c r="H814" s="2188">
        <f>SUM(H813:O813)</f>
        <v>59.524999999999999</v>
      </c>
      <c r="I814" s="2188"/>
      <c r="J814" s="2188"/>
      <c r="K814" s="2188"/>
      <c r="L814" s="2188"/>
      <c r="M814" s="2188"/>
      <c r="N814" s="2188"/>
      <c r="O814" s="2189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50" s="84" customFormat="1" ht="20.100000000000001" hidden="1" customHeight="1" outlineLevel="2">
      <c r="A815" s="2211"/>
      <c r="B815" s="2212"/>
      <c r="C815" s="2212"/>
      <c r="D815" s="2212"/>
      <c r="E815" s="2212"/>
      <c r="F815" s="2212"/>
      <c r="G815" s="2212"/>
      <c r="H815" s="2212"/>
      <c r="I815" s="2212"/>
      <c r="J815" s="2212"/>
      <c r="K815" s="2212"/>
      <c r="L815" s="2212"/>
      <c r="M815" s="2212"/>
      <c r="N815" s="2212"/>
      <c r="O815" s="2213"/>
      <c r="P815" s="8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0.100000000000001" hidden="1" customHeight="1" outlineLevel="2">
      <c r="A816" s="299" t="s">
        <v>173</v>
      </c>
      <c r="B816" s="34"/>
      <c r="C816" s="34">
        <v>6.7</v>
      </c>
      <c r="D816" s="34">
        <v>1</v>
      </c>
      <c r="E816" s="34">
        <v>2</v>
      </c>
      <c r="F816" s="43">
        <f>D816*E816</f>
        <v>2</v>
      </c>
      <c r="G816" s="34">
        <f>C816</f>
        <v>6.7</v>
      </c>
      <c r="H816" s="34"/>
      <c r="I816" s="34"/>
      <c r="J816" s="34"/>
      <c r="K816" s="34">
        <f>1.55*G816*F816</f>
        <v>20.77</v>
      </c>
      <c r="L816" s="34"/>
      <c r="M816" s="34"/>
      <c r="N816" s="34"/>
      <c r="O816" s="295"/>
      <c r="P816" s="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</row>
    <row r="817" spans="1:50" ht="20.100000000000001" hidden="1" customHeight="1" outlineLevel="2">
      <c r="A817" s="306"/>
      <c r="B817" s="34"/>
      <c r="C817" s="34">
        <v>5.5</v>
      </c>
      <c r="D817" s="34">
        <v>1</v>
      </c>
      <c r="E817" s="34">
        <v>1</v>
      </c>
      <c r="F817" s="43">
        <f>D817*E817</f>
        <v>1</v>
      </c>
      <c r="G817" s="34">
        <f>C817</f>
        <v>5.5</v>
      </c>
      <c r="H817" s="34"/>
      <c r="I817" s="34"/>
      <c r="J817" s="34"/>
      <c r="K817" s="34"/>
      <c r="L817" s="34">
        <f>2.24*G817*F817</f>
        <v>12.32</v>
      </c>
      <c r="M817" s="34"/>
      <c r="N817" s="34"/>
      <c r="O817" s="295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50" ht="44.25" hidden="1" customHeight="1" outlineLevel="2">
      <c r="A818" s="315"/>
      <c r="B818" s="52"/>
      <c r="C818" s="59">
        <f>(0.55*2)+(0.15*2)+(0.05*2)</f>
        <v>1.5000000000000002</v>
      </c>
      <c r="D818" s="34">
        <v>1</v>
      </c>
      <c r="E818" s="34">
        <v>15</v>
      </c>
      <c r="F818" s="43">
        <f>D818*E818</f>
        <v>15</v>
      </c>
      <c r="G818" s="34">
        <f>C818</f>
        <v>1.5000000000000002</v>
      </c>
      <c r="H818" s="34">
        <f>0.25*G818*F818</f>
        <v>5.6250000000000009</v>
      </c>
      <c r="I818" s="34"/>
      <c r="J818" s="34"/>
      <c r="K818" s="34"/>
      <c r="L818" s="34"/>
      <c r="M818" s="34"/>
      <c r="N818" s="34"/>
      <c r="O818" s="29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50" ht="15.75" hidden="1" outlineLevel="2">
      <c r="A819" s="2192" t="s">
        <v>196</v>
      </c>
      <c r="B819" s="2193"/>
      <c r="C819" s="2193"/>
      <c r="D819" s="2193"/>
      <c r="E819" s="2193"/>
      <c r="F819" s="2193"/>
      <c r="G819" s="2194"/>
      <c r="H819" s="556">
        <f>SUM(H816:H818)</f>
        <v>5.6250000000000009</v>
      </c>
      <c r="I819" s="556">
        <f t="shared" ref="I819:O819" si="102">SUM(I816:I818)</f>
        <v>0</v>
      </c>
      <c r="J819" s="556">
        <f t="shared" si="102"/>
        <v>0</v>
      </c>
      <c r="K819" s="556">
        <f t="shared" si="102"/>
        <v>20.77</v>
      </c>
      <c r="L819" s="556">
        <f t="shared" si="102"/>
        <v>12.32</v>
      </c>
      <c r="M819" s="556">
        <f t="shared" si="102"/>
        <v>0</v>
      </c>
      <c r="N819" s="556">
        <f t="shared" si="102"/>
        <v>0</v>
      </c>
      <c r="O819" s="557">
        <f t="shared" si="102"/>
        <v>0</v>
      </c>
      <c r="P819" s="3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</row>
    <row r="820" spans="1:50" ht="20.100000000000001" hidden="1" customHeight="1" outlineLevel="2">
      <c r="A820" s="2186" t="s">
        <v>254</v>
      </c>
      <c r="B820" s="2187"/>
      <c r="C820" s="2187"/>
      <c r="D820" s="2187"/>
      <c r="E820" s="2187"/>
      <c r="F820" s="2187"/>
      <c r="G820" s="2187"/>
      <c r="H820" s="2188">
        <f>SUM(H819:O819)</f>
        <v>38.715000000000003</v>
      </c>
      <c r="I820" s="2188"/>
      <c r="J820" s="2188"/>
      <c r="K820" s="2188"/>
      <c r="L820" s="2188"/>
      <c r="M820" s="2188"/>
      <c r="N820" s="2188"/>
      <c r="O820" s="2189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50" s="37" customFormat="1" ht="20.100000000000001" hidden="1" customHeight="1" outlineLevel="2">
      <c r="A821" s="2206"/>
      <c r="B821" s="2207"/>
      <c r="C821" s="2207"/>
      <c r="D821" s="2207"/>
      <c r="E821" s="2207"/>
      <c r="F821" s="2207"/>
      <c r="G821" s="2207"/>
      <c r="H821" s="2207"/>
      <c r="I821" s="2207"/>
      <c r="J821" s="2207"/>
      <c r="K821" s="2207"/>
      <c r="L821" s="2207"/>
      <c r="M821" s="2207"/>
      <c r="N821" s="2207"/>
      <c r="O821" s="2208"/>
      <c r="P821" s="82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0.100000000000001" hidden="1" customHeight="1" outlineLevel="2">
      <c r="A822" s="299" t="s">
        <v>174</v>
      </c>
      <c r="B822" s="34"/>
      <c r="C822" s="34">
        <v>6.8</v>
      </c>
      <c r="D822" s="34">
        <v>1</v>
      </c>
      <c r="E822" s="34">
        <v>1</v>
      </c>
      <c r="F822" s="43">
        <f>D822*E822</f>
        <v>1</v>
      </c>
      <c r="G822" s="34">
        <f>C822</f>
        <v>6.8</v>
      </c>
      <c r="H822" s="34"/>
      <c r="I822" s="34"/>
      <c r="J822" s="34"/>
      <c r="K822" s="34"/>
      <c r="L822" s="34">
        <f>2.24*G822*F822</f>
        <v>15.232000000000001</v>
      </c>
      <c r="M822" s="34"/>
      <c r="N822" s="34"/>
      <c r="O822" s="295"/>
      <c r="P822" s="3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</row>
    <row r="823" spans="1:50" ht="20.100000000000001" hidden="1" customHeight="1" outlineLevel="2">
      <c r="A823" s="306"/>
      <c r="B823" s="34"/>
      <c r="C823" s="34">
        <v>6</v>
      </c>
      <c r="D823" s="34">
        <v>1</v>
      </c>
      <c r="E823" s="34">
        <v>1</v>
      </c>
      <c r="F823" s="43">
        <f>D823*E823</f>
        <v>1</v>
      </c>
      <c r="G823" s="34">
        <f>C823</f>
        <v>6</v>
      </c>
      <c r="H823" s="34"/>
      <c r="I823" s="34"/>
      <c r="J823" s="34"/>
      <c r="K823" s="34"/>
      <c r="L823" s="34">
        <f>2.24*G823*F823</f>
        <v>13.440000000000001</v>
      </c>
      <c r="M823" s="34"/>
      <c r="N823" s="34"/>
      <c r="O823" s="295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50" ht="44.25" hidden="1" customHeight="1" outlineLevel="2">
      <c r="A824" s="315"/>
      <c r="B824" s="52"/>
      <c r="C824" s="59">
        <f>(0.55*2)+(0.15*2)+(0.05*2)</f>
        <v>1.5000000000000002</v>
      </c>
      <c r="D824" s="34">
        <v>1</v>
      </c>
      <c r="E824" s="34">
        <v>4</v>
      </c>
      <c r="F824" s="43">
        <f>D824*E824</f>
        <v>4</v>
      </c>
      <c r="G824" s="34">
        <f>C824</f>
        <v>1.5000000000000002</v>
      </c>
      <c r="H824" s="34">
        <f>0.25*G824*F824</f>
        <v>1.5000000000000002</v>
      </c>
      <c r="I824" s="34"/>
      <c r="J824" s="34"/>
      <c r="K824" s="34"/>
      <c r="L824" s="34"/>
      <c r="M824" s="34"/>
      <c r="N824" s="34"/>
      <c r="O824" s="29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50" ht="20.100000000000001" hidden="1" customHeight="1" outlineLevel="2">
      <c r="A825" s="2129" t="s">
        <v>196</v>
      </c>
      <c r="B825" s="2130"/>
      <c r="C825" s="2130"/>
      <c r="D825" s="2130"/>
      <c r="E825" s="2130"/>
      <c r="F825" s="2130"/>
      <c r="G825" s="2130"/>
      <c r="H825" s="556">
        <f>SUM(H822:H824)</f>
        <v>1.5000000000000002</v>
      </c>
      <c r="I825" s="556">
        <f t="shared" ref="I825:O825" si="103">SUM(I822:I824)</f>
        <v>0</v>
      </c>
      <c r="J825" s="556">
        <f t="shared" si="103"/>
        <v>0</v>
      </c>
      <c r="K825" s="556">
        <f t="shared" si="103"/>
        <v>0</v>
      </c>
      <c r="L825" s="556">
        <f t="shared" si="103"/>
        <v>28.672000000000004</v>
      </c>
      <c r="M825" s="556">
        <f t="shared" si="103"/>
        <v>0</v>
      </c>
      <c r="N825" s="556">
        <f t="shared" si="103"/>
        <v>0</v>
      </c>
      <c r="O825" s="557">
        <f t="shared" si="103"/>
        <v>0</v>
      </c>
      <c r="P825" s="3"/>
    </row>
    <row r="826" spans="1:50" ht="20.100000000000001" hidden="1" customHeight="1" outlineLevel="2">
      <c r="A826" s="2186" t="s">
        <v>255</v>
      </c>
      <c r="B826" s="2187"/>
      <c r="C826" s="2187"/>
      <c r="D826" s="2187"/>
      <c r="E826" s="2187"/>
      <c r="F826" s="2187"/>
      <c r="G826" s="2187"/>
      <c r="H826" s="2188">
        <f>SUM(H825:O825)</f>
        <v>30.172000000000004</v>
      </c>
      <c r="I826" s="2188"/>
      <c r="J826" s="2188"/>
      <c r="K826" s="2188"/>
      <c r="L826" s="2188"/>
      <c r="M826" s="2188"/>
      <c r="N826" s="2188"/>
      <c r="O826" s="2189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50" s="37" customFormat="1" ht="20.100000000000001" hidden="1" customHeight="1" outlineLevel="2">
      <c r="A827" s="2206"/>
      <c r="B827" s="2207"/>
      <c r="C827" s="2207"/>
      <c r="D827" s="2207"/>
      <c r="E827" s="2207"/>
      <c r="F827" s="2207"/>
      <c r="G827" s="2207"/>
      <c r="H827" s="2207"/>
      <c r="I827" s="2207"/>
      <c r="J827" s="2207"/>
      <c r="K827" s="2207"/>
      <c r="L827" s="2207"/>
      <c r="M827" s="2207"/>
      <c r="N827" s="2207"/>
      <c r="O827" s="2208"/>
      <c r="P827" s="82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0.100000000000001" hidden="1" customHeight="1" outlineLevel="2">
      <c r="A828" s="299" t="s">
        <v>175</v>
      </c>
      <c r="B828" s="34"/>
      <c r="C828" s="34">
        <v>6.2</v>
      </c>
      <c r="D828" s="34">
        <v>1</v>
      </c>
      <c r="E828" s="34">
        <v>3</v>
      </c>
      <c r="F828" s="43">
        <f>D828*E828</f>
        <v>3</v>
      </c>
      <c r="G828" s="34">
        <f>C828</f>
        <v>6.2</v>
      </c>
      <c r="H828" s="34"/>
      <c r="I828" s="34"/>
      <c r="J828" s="34"/>
      <c r="K828" s="34"/>
      <c r="L828" s="34">
        <f>2.24*G828*F828</f>
        <v>41.664000000000001</v>
      </c>
      <c r="M828" s="34"/>
      <c r="N828" s="34"/>
      <c r="O828" s="295"/>
      <c r="P828" s="3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</row>
    <row r="829" spans="1:50" ht="20.100000000000001" hidden="1" customHeight="1" outlineLevel="2">
      <c r="A829" s="306"/>
      <c r="B829" s="34"/>
      <c r="C829" s="34">
        <v>4.5</v>
      </c>
      <c r="D829" s="34">
        <v>1</v>
      </c>
      <c r="E829" s="34">
        <v>1</v>
      </c>
      <c r="F829" s="43">
        <f>D829*E829</f>
        <v>1</v>
      </c>
      <c r="G829" s="34">
        <f>C829</f>
        <v>4.5</v>
      </c>
      <c r="H829" s="34"/>
      <c r="I829" s="34"/>
      <c r="J829" s="34"/>
      <c r="K829" s="34"/>
      <c r="L829" s="34"/>
      <c r="M829" s="34">
        <f>3*G829*F829</f>
        <v>13.5</v>
      </c>
      <c r="N829" s="34"/>
      <c r="O829" s="295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</row>
    <row r="830" spans="1:50" ht="20.100000000000001" hidden="1" customHeight="1" outlineLevel="2">
      <c r="A830" s="296"/>
      <c r="B830" s="34"/>
      <c r="C830" s="34">
        <v>4.5</v>
      </c>
      <c r="D830" s="34">
        <v>1</v>
      </c>
      <c r="E830" s="34">
        <v>1</v>
      </c>
      <c r="F830" s="43">
        <f>D830*E830</f>
        <v>1</v>
      </c>
      <c r="G830" s="34">
        <f>C830</f>
        <v>4.5</v>
      </c>
      <c r="H830" s="34"/>
      <c r="I830" s="34"/>
      <c r="J830" s="34"/>
      <c r="K830" s="34"/>
      <c r="L830" s="34">
        <f>2.24*G830*F830</f>
        <v>10.080000000000002</v>
      </c>
      <c r="M830" s="34"/>
      <c r="N830" s="34"/>
      <c r="O830" s="295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50" ht="44.25" hidden="1" customHeight="1" outlineLevel="2">
      <c r="A831" s="315"/>
      <c r="B831" s="52"/>
      <c r="C831" s="59">
        <f>(0.55*2)+(0.15*2)+(0.05*2)</f>
        <v>1.5000000000000002</v>
      </c>
      <c r="D831" s="34">
        <v>1</v>
      </c>
      <c r="E831" s="34">
        <v>29</v>
      </c>
      <c r="F831" s="43">
        <f>D831*E831</f>
        <v>29</v>
      </c>
      <c r="G831" s="34">
        <f>C831</f>
        <v>1.5000000000000002</v>
      </c>
      <c r="H831" s="34">
        <f>0.25*G831*F831</f>
        <v>10.875000000000002</v>
      </c>
      <c r="I831" s="34"/>
      <c r="J831" s="34"/>
      <c r="K831" s="34"/>
      <c r="L831" s="34"/>
      <c r="M831" s="34"/>
      <c r="N831" s="34"/>
      <c r="O831" s="29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50" ht="20.100000000000001" hidden="1" customHeight="1" outlineLevel="2">
      <c r="A832" s="2129" t="s">
        <v>196</v>
      </c>
      <c r="B832" s="2130"/>
      <c r="C832" s="2130"/>
      <c r="D832" s="2130"/>
      <c r="E832" s="2130"/>
      <c r="F832" s="2130"/>
      <c r="G832" s="2130"/>
      <c r="H832" s="556">
        <f>SUM(H828:H831)</f>
        <v>10.875000000000002</v>
      </c>
      <c r="I832" s="556">
        <f t="shared" ref="I832:O832" si="104">SUM(I828:I831)</f>
        <v>0</v>
      </c>
      <c r="J832" s="556">
        <f t="shared" si="104"/>
        <v>0</v>
      </c>
      <c r="K832" s="556">
        <f t="shared" si="104"/>
        <v>0</v>
      </c>
      <c r="L832" s="556">
        <f t="shared" si="104"/>
        <v>51.744</v>
      </c>
      <c r="M832" s="556">
        <f t="shared" si="104"/>
        <v>13.5</v>
      </c>
      <c r="N832" s="556">
        <f t="shared" si="104"/>
        <v>0</v>
      </c>
      <c r="O832" s="557">
        <f t="shared" si="104"/>
        <v>0</v>
      </c>
      <c r="P832" s="3"/>
    </row>
    <row r="833" spans="1:31" ht="20.100000000000001" hidden="1" customHeight="1" outlineLevel="2">
      <c r="A833" s="2186" t="s">
        <v>256</v>
      </c>
      <c r="B833" s="2187"/>
      <c r="C833" s="2187"/>
      <c r="D833" s="2187"/>
      <c r="E833" s="2187"/>
      <c r="F833" s="2187"/>
      <c r="G833" s="2187"/>
      <c r="H833" s="2188">
        <f>SUM(H832:O832)</f>
        <v>76.119</v>
      </c>
      <c r="I833" s="2188"/>
      <c r="J833" s="2188"/>
      <c r="K833" s="2188"/>
      <c r="L833" s="2188"/>
      <c r="M833" s="2188"/>
      <c r="N833" s="2188"/>
      <c r="O833" s="2189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s="37" customFormat="1" ht="20.100000000000001" hidden="1" customHeight="1" outlineLevel="2">
      <c r="A834" s="2206"/>
      <c r="B834" s="2207"/>
      <c r="C834" s="2207"/>
      <c r="D834" s="2207"/>
      <c r="E834" s="2207"/>
      <c r="F834" s="2207"/>
      <c r="G834" s="2207"/>
      <c r="H834" s="2207"/>
      <c r="I834" s="2207"/>
      <c r="J834" s="2207"/>
      <c r="K834" s="2207"/>
      <c r="L834" s="2207"/>
      <c r="M834" s="2207"/>
      <c r="N834" s="2207"/>
      <c r="O834" s="2208"/>
      <c r="P834" s="82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20.100000000000001" hidden="1" customHeight="1" outlineLevel="2">
      <c r="A835" s="299" t="s">
        <v>176</v>
      </c>
      <c r="B835" s="34"/>
      <c r="C835" s="34">
        <v>6.5</v>
      </c>
      <c r="D835" s="34">
        <v>1</v>
      </c>
      <c r="E835" s="34">
        <v>2</v>
      </c>
      <c r="F835" s="43">
        <f t="shared" ref="F835:F840" si="105">E835*D835</f>
        <v>2</v>
      </c>
      <c r="G835" s="34">
        <f t="shared" ref="G835:G841" si="106">C835</f>
        <v>6.5</v>
      </c>
      <c r="H835" s="34"/>
      <c r="I835" s="34"/>
      <c r="J835" s="34"/>
      <c r="K835" s="34"/>
      <c r="L835" s="34"/>
      <c r="M835" s="34">
        <f>3*G835*F835</f>
        <v>39</v>
      </c>
      <c r="N835" s="34"/>
      <c r="O835" s="295"/>
      <c r="P835" s="3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</row>
    <row r="836" spans="1:31" ht="20.100000000000001" hidden="1" customHeight="1" outlineLevel="2">
      <c r="A836" s="306"/>
      <c r="B836" s="34"/>
      <c r="C836" s="34">
        <v>3</v>
      </c>
      <c r="D836" s="34">
        <v>1</v>
      </c>
      <c r="E836" s="34">
        <v>1</v>
      </c>
      <c r="F836" s="43">
        <f t="shared" si="105"/>
        <v>1</v>
      </c>
      <c r="G836" s="34">
        <f t="shared" si="106"/>
        <v>3</v>
      </c>
      <c r="H836" s="34"/>
      <c r="I836" s="34"/>
      <c r="J836" s="34"/>
      <c r="K836" s="34"/>
      <c r="L836" s="34"/>
      <c r="M836" s="34">
        <f>3*G836*F836</f>
        <v>9</v>
      </c>
      <c r="N836" s="34"/>
      <c r="O836" s="295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20.100000000000001" hidden="1" customHeight="1" outlineLevel="2">
      <c r="A837" s="296"/>
      <c r="B837" s="34"/>
      <c r="C837" s="34">
        <v>3.1</v>
      </c>
      <c r="D837" s="34">
        <v>1</v>
      </c>
      <c r="E837" s="34">
        <v>2</v>
      </c>
      <c r="F837" s="43">
        <f t="shared" si="105"/>
        <v>2</v>
      </c>
      <c r="G837" s="34">
        <f t="shared" si="106"/>
        <v>3.1</v>
      </c>
      <c r="H837" s="34"/>
      <c r="I837" s="34"/>
      <c r="J837" s="34">
        <f>1*F837*G837</f>
        <v>6.2</v>
      </c>
      <c r="K837" s="34"/>
      <c r="L837" s="34"/>
      <c r="M837" s="34"/>
      <c r="N837" s="34"/>
      <c r="O837" s="295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20.100000000000001" hidden="1" customHeight="1" outlineLevel="2">
      <c r="A838" s="296"/>
      <c r="B838" s="34"/>
      <c r="C838" s="34">
        <v>9</v>
      </c>
      <c r="D838" s="34">
        <v>1</v>
      </c>
      <c r="E838" s="34">
        <v>2</v>
      </c>
      <c r="F838" s="43">
        <f t="shared" si="105"/>
        <v>2</v>
      </c>
      <c r="G838" s="34">
        <f t="shared" si="106"/>
        <v>9</v>
      </c>
      <c r="H838" s="34"/>
      <c r="I838" s="34"/>
      <c r="J838" s="34"/>
      <c r="K838" s="34"/>
      <c r="L838" s="34">
        <f>2.24+G838*F838</f>
        <v>20.240000000000002</v>
      </c>
      <c r="M838" s="34"/>
      <c r="N838" s="34"/>
      <c r="O838" s="295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20.100000000000001" hidden="1" customHeight="1" outlineLevel="2">
      <c r="A839" s="296"/>
      <c r="B839" s="34"/>
      <c r="C839" s="34">
        <v>9</v>
      </c>
      <c r="D839" s="34">
        <v>1</v>
      </c>
      <c r="E839" s="34">
        <v>1</v>
      </c>
      <c r="F839" s="43">
        <f t="shared" si="105"/>
        <v>1</v>
      </c>
      <c r="G839" s="34">
        <f t="shared" si="106"/>
        <v>9</v>
      </c>
      <c r="H839" s="34"/>
      <c r="I839" s="34"/>
      <c r="J839" s="34">
        <f>1*F839*G839</f>
        <v>9</v>
      </c>
      <c r="K839" s="34"/>
      <c r="L839" s="34"/>
      <c r="M839" s="34"/>
      <c r="N839" s="34"/>
      <c r="O839" s="295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20.100000000000001" hidden="1" customHeight="1" outlineLevel="2">
      <c r="A840" s="296"/>
      <c r="B840" s="34"/>
      <c r="C840" s="34">
        <v>6</v>
      </c>
      <c r="D840" s="34">
        <v>1</v>
      </c>
      <c r="E840" s="34">
        <v>1</v>
      </c>
      <c r="F840" s="43">
        <f t="shared" si="105"/>
        <v>1</v>
      </c>
      <c r="G840" s="34">
        <f t="shared" si="106"/>
        <v>6</v>
      </c>
      <c r="H840" s="34"/>
      <c r="I840" s="34"/>
      <c r="J840" s="34"/>
      <c r="K840" s="34"/>
      <c r="L840" s="34"/>
      <c r="M840" s="34">
        <f>3*G840*F840</f>
        <v>18</v>
      </c>
      <c r="N840" s="34"/>
      <c r="O840" s="295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44.25" hidden="1" customHeight="1" outlineLevel="2">
      <c r="A841" s="315"/>
      <c r="B841" s="52"/>
      <c r="C841" s="59">
        <f>(0.55*2)+(0.15*2)+(0.05*2)</f>
        <v>1.5000000000000002</v>
      </c>
      <c r="D841" s="34">
        <v>1</v>
      </c>
      <c r="E841" s="34">
        <f>13+19+11+12</f>
        <v>55</v>
      </c>
      <c r="F841" s="43">
        <f>D841*E841</f>
        <v>55</v>
      </c>
      <c r="G841" s="34">
        <f t="shared" si="106"/>
        <v>1.5000000000000002</v>
      </c>
      <c r="H841" s="34">
        <f>0.25*G841*F841</f>
        <v>20.625000000000004</v>
      </c>
      <c r="I841" s="34"/>
      <c r="J841" s="34"/>
      <c r="K841" s="34"/>
      <c r="L841" s="34"/>
      <c r="M841" s="34"/>
      <c r="N841" s="34"/>
      <c r="O841" s="29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20.100000000000001" hidden="1" customHeight="1" outlineLevel="2">
      <c r="A842" s="2129" t="s">
        <v>196</v>
      </c>
      <c r="B842" s="2130"/>
      <c r="C842" s="2130"/>
      <c r="D842" s="2130"/>
      <c r="E842" s="2130"/>
      <c r="F842" s="2130"/>
      <c r="G842" s="2130"/>
      <c r="H842" s="556">
        <f>SUM(H835:H841)</f>
        <v>20.625000000000004</v>
      </c>
      <c r="I842" s="556">
        <f t="shared" ref="I842:O842" si="107">SUM(I835:I841)</f>
        <v>0</v>
      </c>
      <c r="J842" s="556">
        <f t="shared" si="107"/>
        <v>15.2</v>
      </c>
      <c r="K842" s="556">
        <f t="shared" si="107"/>
        <v>0</v>
      </c>
      <c r="L842" s="556">
        <f t="shared" si="107"/>
        <v>20.240000000000002</v>
      </c>
      <c r="M842" s="556">
        <f t="shared" si="107"/>
        <v>66</v>
      </c>
      <c r="N842" s="556">
        <f t="shared" si="107"/>
        <v>0</v>
      </c>
      <c r="O842" s="557">
        <f t="shared" si="107"/>
        <v>0</v>
      </c>
      <c r="P842" s="3"/>
    </row>
    <row r="843" spans="1:31" ht="20.100000000000001" hidden="1" customHeight="1" outlineLevel="2">
      <c r="A843" s="2186" t="s">
        <v>257</v>
      </c>
      <c r="B843" s="2187"/>
      <c r="C843" s="2187"/>
      <c r="D843" s="2187"/>
      <c r="E843" s="2187"/>
      <c r="F843" s="2187"/>
      <c r="G843" s="2187"/>
      <c r="H843" s="2188">
        <f>SUM(H842:O842)</f>
        <v>122.065</v>
      </c>
      <c r="I843" s="2188"/>
      <c r="J843" s="2188"/>
      <c r="K843" s="2188"/>
      <c r="L843" s="2188"/>
      <c r="M843" s="2188"/>
      <c r="N843" s="2188"/>
      <c r="O843" s="2189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s="37" customFormat="1" ht="20.100000000000001" hidden="1" customHeight="1" outlineLevel="2">
      <c r="A844" s="2206"/>
      <c r="B844" s="2207"/>
      <c r="C844" s="2207"/>
      <c r="D844" s="2207"/>
      <c r="E844" s="2207"/>
      <c r="F844" s="2207"/>
      <c r="G844" s="2207"/>
      <c r="H844" s="2207"/>
      <c r="I844" s="2207"/>
      <c r="J844" s="2207"/>
      <c r="K844" s="2207"/>
      <c r="L844" s="2207"/>
      <c r="M844" s="2207"/>
      <c r="N844" s="2207"/>
      <c r="O844" s="2208"/>
      <c r="P844" s="82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20.100000000000001" hidden="1" customHeight="1" outlineLevel="2">
      <c r="A845" s="299" t="s">
        <v>177</v>
      </c>
      <c r="B845" s="34"/>
      <c r="C845" s="34">
        <v>2.4</v>
      </c>
      <c r="D845" s="34">
        <v>1</v>
      </c>
      <c r="E845" s="34">
        <v>2</v>
      </c>
      <c r="F845" s="43">
        <f>D845*E845</f>
        <v>2</v>
      </c>
      <c r="G845" s="34">
        <f>C845</f>
        <v>2.4</v>
      </c>
      <c r="H845" s="34"/>
      <c r="I845" s="34">
        <f>0.56*G845*F845</f>
        <v>2.6880000000000002</v>
      </c>
      <c r="J845" s="34"/>
      <c r="K845" s="34"/>
      <c r="L845" s="34"/>
      <c r="M845" s="34"/>
      <c r="N845" s="34"/>
      <c r="O845" s="295"/>
      <c r="P845" s="3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</row>
    <row r="846" spans="1:31" ht="20.100000000000001" hidden="1" customHeight="1" outlineLevel="2">
      <c r="A846" s="306"/>
      <c r="B846" s="34"/>
      <c r="C846" s="34">
        <v>2.1</v>
      </c>
      <c r="D846" s="34">
        <v>1</v>
      </c>
      <c r="E846" s="34">
        <v>1</v>
      </c>
      <c r="F846" s="43">
        <f>D846*E846</f>
        <v>1</v>
      </c>
      <c r="G846" s="34">
        <f>C846</f>
        <v>2.1</v>
      </c>
      <c r="H846" s="34"/>
      <c r="I846" s="34">
        <f>0.56*G846*F846</f>
        <v>1.1760000000000002</v>
      </c>
      <c r="J846" s="34"/>
      <c r="K846" s="34"/>
      <c r="L846" s="34"/>
      <c r="M846" s="34"/>
      <c r="N846" s="34"/>
      <c r="O846" s="295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20.100000000000001" hidden="1" customHeight="1" outlineLevel="2">
      <c r="A847" s="2129" t="s">
        <v>196</v>
      </c>
      <c r="B847" s="2130"/>
      <c r="C847" s="2130"/>
      <c r="D847" s="2130"/>
      <c r="E847" s="2130"/>
      <c r="F847" s="2130"/>
      <c r="G847" s="2130"/>
      <c r="H847" s="556">
        <f>SUM(H845:H846)</f>
        <v>0</v>
      </c>
      <c r="I847" s="556">
        <f t="shared" ref="I847:O847" si="108">SUM(I845:I846)</f>
        <v>3.8640000000000003</v>
      </c>
      <c r="J847" s="556">
        <f t="shared" si="108"/>
        <v>0</v>
      </c>
      <c r="K847" s="556">
        <f t="shared" si="108"/>
        <v>0</v>
      </c>
      <c r="L847" s="556">
        <f t="shared" si="108"/>
        <v>0</v>
      </c>
      <c r="M847" s="556">
        <f t="shared" si="108"/>
        <v>0</v>
      </c>
      <c r="N847" s="556">
        <f t="shared" si="108"/>
        <v>0</v>
      </c>
      <c r="O847" s="557">
        <f t="shared" si="108"/>
        <v>0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20.100000000000001" hidden="1" customHeight="1" outlineLevel="2">
      <c r="A848" s="2186" t="s">
        <v>258</v>
      </c>
      <c r="B848" s="2187"/>
      <c r="C848" s="2187"/>
      <c r="D848" s="2187"/>
      <c r="E848" s="2187"/>
      <c r="F848" s="2187"/>
      <c r="G848" s="2187"/>
      <c r="H848" s="2188">
        <f>SUM(H847:O847)</f>
        <v>3.8640000000000003</v>
      </c>
      <c r="I848" s="2188"/>
      <c r="J848" s="2188"/>
      <c r="K848" s="2188"/>
      <c r="L848" s="2188"/>
      <c r="M848" s="2188"/>
      <c r="N848" s="2188"/>
      <c r="O848" s="2189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50" s="37" customFormat="1" ht="20.100000000000001" hidden="1" customHeight="1" outlineLevel="2">
      <c r="A849" s="2206"/>
      <c r="B849" s="2207"/>
      <c r="C849" s="2207"/>
      <c r="D849" s="2207"/>
      <c r="E849" s="2207"/>
      <c r="F849" s="2207"/>
      <c r="G849" s="2207"/>
      <c r="H849" s="2207"/>
      <c r="I849" s="2207"/>
      <c r="J849" s="2207"/>
      <c r="K849" s="2207"/>
      <c r="L849" s="2207"/>
      <c r="M849" s="2207"/>
      <c r="N849" s="2207"/>
      <c r="O849" s="2208"/>
      <c r="P849" s="8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0.100000000000001" hidden="1" customHeight="1" outlineLevel="2">
      <c r="A850" s="299" t="s">
        <v>178</v>
      </c>
      <c r="B850" s="34"/>
      <c r="C850" s="34">
        <v>4.5</v>
      </c>
      <c r="D850" s="34">
        <v>1</v>
      </c>
      <c r="E850" s="34">
        <v>1</v>
      </c>
      <c r="F850" s="43">
        <f t="shared" ref="F850:F856" si="109">D850*E850</f>
        <v>1</v>
      </c>
      <c r="G850" s="34">
        <f t="shared" ref="G850:G856" si="110">C850</f>
        <v>4.5</v>
      </c>
      <c r="H850" s="34"/>
      <c r="I850" s="34">
        <f t="shared" ref="I850:I855" si="111">0.56*G850*F850</f>
        <v>2.5200000000000005</v>
      </c>
      <c r="J850" s="34"/>
      <c r="K850" s="34"/>
      <c r="L850" s="34"/>
      <c r="M850" s="34"/>
      <c r="N850" s="34"/>
      <c r="O850" s="295"/>
      <c r="P850" s="3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</row>
    <row r="851" spans="1:50" ht="20.100000000000001" hidden="1" customHeight="1" outlineLevel="2">
      <c r="A851" s="306"/>
      <c r="B851" s="34"/>
      <c r="C851" s="34">
        <v>5</v>
      </c>
      <c r="D851" s="34">
        <v>1</v>
      </c>
      <c r="E851" s="34">
        <v>2</v>
      </c>
      <c r="F851" s="43">
        <f t="shared" si="109"/>
        <v>2</v>
      </c>
      <c r="G851" s="34">
        <f t="shared" si="110"/>
        <v>5</v>
      </c>
      <c r="H851" s="34"/>
      <c r="I851" s="34">
        <f t="shared" si="111"/>
        <v>5.6000000000000005</v>
      </c>
      <c r="J851" s="34"/>
      <c r="K851" s="34"/>
      <c r="L851" s="34"/>
      <c r="M851" s="34"/>
      <c r="N851" s="34"/>
      <c r="O851" s="295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50" ht="20.100000000000001" hidden="1" customHeight="1" outlineLevel="2">
      <c r="A852" s="296"/>
      <c r="B852" s="34"/>
      <c r="C852" s="34">
        <v>4</v>
      </c>
      <c r="D852" s="34">
        <v>1</v>
      </c>
      <c r="E852" s="34">
        <v>1</v>
      </c>
      <c r="F852" s="43">
        <f t="shared" si="109"/>
        <v>1</v>
      </c>
      <c r="G852" s="34">
        <f t="shared" si="110"/>
        <v>4</v>
      </c>
      <c r="H852" s="34"/>
      <c r="I852" s="34">
        <f t="shared" si="111"/>
        <v>2.2400000000000002</v>
      </c>
      <c r="J852" s="34"/>
      <c r="K852" s="34"/>
      <c r="L852" s="34"/>
      <c r="M852" s="34"/>
      <c r="N852" s="34"/>
      <c r="O852" s="295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50" ht="20.100000000000001" hidden="1" customHeight="1" outlineLevel="2">
      <c r="A853" s="296"/>
      <c r="B853" s="34"/>
      <c r="C853" s="34">
        <v>4.5</v>
      </c>
      <c r="D853" s="34">
        <v>1</v>
      </c>
      <c r="E853" s="34">
        <v>2</v>
      </c>
      <c r="F853" s="43">
        <f t="shared" si="109"/>
        <v>2</v>
      </c>
      <c r="G853" s="34">
        <f t="shared" si="110"/>
        <v>4.5</v>
      </c>
      <c r="H853" s="34"/>
      <c r="I853" s="34">
        <f t="shared" si="111"/>
        <v>5.0400000000000009</v>
      </c>
      <c r="J853" s="34"/>
      <c r="K853" s="34"/>
      <c r="L853" s="34"/>
      <c r="M853" s="34"/>
      <c r="N853" s="34"/>
      <c r="O853" s="295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50" ht="20.100000000000001" hidden="1" customHeight="1" outlineLevel="2">
      <c r="A854" s="306"/>
      <c r="B854" s="34"/>
      <c r="C854" s="34">
        <v>2.4</v>
      </c>
      <c r="D854" s="34">
        <v>1</v>
      </c>
      <c r="E854" s="34">
        <v>3</v>
      </c>
      <c r="F854" s="43">
        <f t="shared" si="109"/>
        <v>3</v>
      </c>
      <c r="G854" s="34">
        <f t="shared" si="110"/>
        <v>2.4</v>
      </c>
      <c r="H854" s="34"/>
      <c r="I854" s="34">
        <f t="shared" si="111"/>
        <v>4.032</v>
      </c>
      <c r="J854" s="36"/>
      <c r="K854" s="34"/>
      <c r="L854" s="34"/>
      <c r="M854" s="34"/>
      <c r="N854" s="34"/>
      <c r="O854" s="31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50" ht="20.100000000000001" hidden="1" customHeight="1" outlineLevel="2">
      <c r="A855" s="296"/>
      <c r="B855" s="34"/>
      <c r="C855" s="34">
        <v>2.5</v>
      </c>
      <c r="D855" s="34">
        <v>1</v>
      </c>
      <c r="E855" s="34">
        <v>3</v>
      </c>
      <c r="F855" s="43">
        <f t="shared" si="109"/>
        <v>3</v>
      </c>
      <c r="G855" s="34">
        <f t="shared" si="110"/>
        <v>2.5</v>
      </c>
      <c r="H855" s="34"/>
      <c r="I855" s="34">
        <f t="shared" si="111"/>
        <v>4.2</v>
      </c>
      <c r="J855" s="34"/>
      <c r="K855" s="34"/>
      <c r="L855" s="34"/>
      <c r="M855" s="34"/>
      <c r="N855" s="34"/>
      <c r="O855" s="31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50" ht="20.100000000000001" hidden="1" customHeight="1" outlineLevel="2">
      <c r="A856" s="296"/>
      <c r="B856" s="34"/>
      <c r="C856" s="34">
        <v>2</v>
      </c>
      <c r="D856" s="34">
        <v>1</v>
      </c>
      <c r="E856" s="34">
        <v>2</v>
      </c>
      <c r="F856" s="43">
        <f t="shared" si="109"/>
        <v>2</v>
      </c>
      <c r="G856" s="34">
        <f t="shared" si="110"/>
        <v>2</v>
      </c>
      <c r="H856" s="34"/>
      <c r="I856" s="34"/>
      <c r="J856" s="34"/>
      <c r="K856" s="34">
        <f>G856*F856*1.55</f>
        <v>6.2</v>
      </c>
      <c r="L856" s="34"/>
      <c r="M856" s="34"/>
      <c r="N856" s="34"/>
      <c r="O856" s="31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50" ht="20.100000000000001" hidden="1" customHeight="1" outlineLevel="2">
      <c r="A857" s="2129" t="s">
        <v>196</v>
      </c>
      <c r="B857" s="2130"/>
      <c r="C857" s="2130"/>
      <c r="D857" s="2130"/>
      <c r="E857" s="2130"/>
      <c r="F857" s="2130"/>
      <c r="G857" s="2130"/>
      <c r="H857" s="556">
        <f>SUM(H855:H856)</f>
        <v>0</v>
      </c>
      <c r="I857" s="556">
        <f>SUM(I850:I856)</f>
        <v>23.632000000000001</v>
      </c>
      <c r="J857" s="556">
        <f t="shared" ref="J857:O857" si="112">SUM(J850:J856)</f>
        <v>0</v>
      </c>
      <c r="K857" s="556">
        <f>SUM(K850:K856)</f>
        <v>6.2</v>
      </c>
      <c r="L857" s="556">
        <f t="shared" si="112"/>
        <v>0</v>
      </c>
      <c r="M857" s="556">
        <f t="shared" si="112"/>
        <v>0</v>
      </c>
      <c r="N857" s="556">
        <f t="shared" si="112"/>
        <v>0</v>
      </c>
      <c r="O857" s="317">
        <f t="shared" si="112"/>
        <v>0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50" ht="20.100000000000001" hidden="1" customHeight="1" outlineLevel="2">
      <c r="A858" s="2186" t="s">
        <v>259</v>
      </c>
      <c r="B858" s="2187"/>
      <c r="C858" s="2187"/>
      <c r="D858" s="2187"/>
      <c r="E858" s="2187"/>
      <c r="F858" s="2187"/>
      <c r="G858" s="2187"/>
      <c r="H858" s="2188">
        <f>SUM(H857:O857)</f>
        <v>29.832000000000001</v>
      </c>
      <c r="I858" s="2188"/>
      <c r="J858" s="2188"/>
      <c r="K858" s="2188"/>
      <c r="L858" s="2188"/>
      <c r="M858" s="2188"/>
      <c r="N858" s="2188"/>
      <c r="O858" s="2189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50" s="37" customFormat="1" ht="20.100000000000001" hidden="1" customHeight="1" outlineLevel="2">
      <c r="A859" s="2206"/>
      <c r="B859" s="2207"/>
      <c r="C859" s="2207"/>
      <c r="D859" s="2207"/>
      <c r="E859" s="2207"/>
      <c r="F859" s="2207"/>
      <c r="G859" s="2207"/>
      <c r="H859" s="2207"/>
      <c r="I859" s="2207"/>
      <c r="J859" s="2207"/>
      <c r="K859" s="2207"/>
      <c r="L859" s="2207"/>
      <c r="M859" s="2207"/>
      <c r="N859" s="2207"/>
      <c r="O859" s="2208"/>
      <c r="P859" s="8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0.100000000000001" hidden="1" customHeight="1" outlineLevel="2">
      <c r="A860" s="299" t="s">
        <v>179</v>
      </c>
      <c r="B860" s="34"/>
      <c r="C860" s="34">
        <v>7.2</v>
      </c>
      <c r="D860" s="34">
        <v>1</v>
      </c>
      <c r="E860" s="34">
        <v>1</v>
      </c>
      <c r="F860" s="43">
        <f>D860*E860</f>
        <v>1</v>
      </c>
      <c r="G860" s="34">
        <f>C860</f>
        <v>7.2</v>
      </c>
      <c r="H860" s="34"/>
      <c r="I860" s="34"/>
      <c r="J860" s="34"/>
      <c r="K860" s="34"/>
      <c r="L860" s="34"/>
      <c r="M860" s="34">
        <f>3*G860*F860</f>
        <v>21.6</v>
      </c>
      <c r="N860" s="34"/>
      <c r="O860" s="295"/>
      <c r="P860" s="3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</row>
    <row r="861" spans="1:50" ht="20.100000000000001" hidden="1" customHeight="1" outlineLevel="2">
      <c r="A861" s="306"/>
      <c r="B861" s="34"/>
      <c r="C861" s="34">
        <v>6.5</v>
      </c>
      <c r="D861" s="34">
        <v>1</v>
      </c>
      <c r="E861" s="34">
        <v>1</v>
      </c>
      <c r="F861" s="43">
        <f>D861*E861</f>
        <v>1</v>
      </c>
      <c r="G861" s="34">
        <f>C861</f>
        <v>6.5</v>
      </c>
      <c r="H861" s="34"/>
      <c r="I861" s="34"/>
      <c r="J861" s="34"/>
      <c r="K861" s="34"/>
      <c r="L861" s="34"/>
      <c r="M861" s="34"/>
      <c r="N861" s="34">
        <f>4*G861*F861</f>
        <v>26</v>
      </c>
      <c r="O861" s="295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50" ht="44.25" hidden="1" customHeight="1" outlineLevel="2">
      <c r="A862" s="315"/>
      <c r="B862" s="52"/>
      <c r="C862" s="59">
        <f>(0.55*2)+(0.15*2)+(0.05*2)</f>
        <v>1.5000000000000002</v>
      </c>
      <c r="D862" s="34">
        <v>1</v>
      </c>
      <c r="E862" s="34">
        <f>5+6+14</f>
        <v>25</v>
      </c>
      <c r="F862" s="43">
        <f>D862*E862</f>
        <v>25</v>
      </c>
      <c r="G862" s="34">
        <f>C862</f>
        <v>1.5000000000000002</v>
      </c>
      <c r="H862" s="34">
        <f>0.25*G862*F862</f>
        <v>9.3750000000000018</v>
      </c>
      <c r="I862" s="34"/>
      <c r="J862" s="34"/>
      <c r="K862" s="34"/>
      <c r="L862" s="34"/>
      <c r="M862" s="34"/>
      <c r="N862" s="34"/>
      <c r="O862" s="29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50" ht="20.100000000000001" hidden="1" customHeight="1" outlineLevel="2">
      <c r="A863" s="2129" t="s">
        <v>196</v>
      </c>
      <c r="B863" s="2130"/>
      <c r="C863" s="2130"/>
      <c r="D863" s="2130"/>
      <c r="E863" s="2130"/>
      <c r="F863" s="2130"/>
      <c r="G863" s="2130"/>
      <c r="H863" s="556">
        <f>SUM(H860:H862)</f>
        <v>9.3750000000000018</v>
      </c>
      <c r="I863" s="556">
        <f t="shared" ref="I863:O863" si="113">SUM(I860:I862)</f>
        <v>0</v>
      </c>
      <c r="J863" s="556">
        <f t="shared" si="113"/>
        <v>0</v>
      </c>
      <c r="K863" s="556">
        <f t="shared" si="113"/>
        <v>0</v>
      </c>
      <c r="L863" s="556">
        <f t="shared" si="113"/>
        <v>0</v>
      </c>
      <c r="M863" s="556">
        <f t="shared" si="113"/>
        <v>21.6</v>
      </c>
      <c r="N863" s="556">
        <f t="shared" si="113"/>
        <v>26</v>
      </c>
      <c r="O863" s="557">
        <f t="shared" si="113"/>
        <v>0</v>
      </c>
      <c r="P863" s="3"/>
    </row>
    <row r="864" spans="1:50" ht="20.100000000000001" hidden="1" customHeight="1" outlineLevel="2">
      <c r="A864" s="2186" t="s">
        <v>260</v>
      </c>
      <c r="B864" s="2187"/>
      <c r="C864" s="2187"/>
      <c r="D864" s="2187"/>
      <c r="E864" s="2187"/>
      <c r="F864" s="2187"/>
      <c r="G864" s="2187"/>
      <c r="H864" s="2188">
        <f>SUM(H863:O863)</f>
        <v>56.975000000000001</v>
      </c>
      <c r="I864" s="2188"/>
      <c r="J864" s="2188"/>
      <c r="K864" s="2188"/>
      <c r="L864" s="2188"/>
      <c r="M864" s="2188"/>
      <c r="N864" s="2188"/>
      <c r="O864" s="2189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50" s="37" customFormat="1" ht="20.100000000000001" hidden="1" customHeight="1" outlineLevel="2">
      <c r="A865" s="2206"/>
      <c r="B865" s="2207"/>
      <c r="C865" s="2207"/>
      <c r="D865" s="2207"/>
      <c r="E865" s="2207"/>
      <c r="F865" s="2207"/>
      <c r="G865" s="2207"/>
      <c r="H865" s="2207"/>
      <c r="I865" s="2207"/>
      <c r="J865" s="2207"/>
      <c r="K865" s="2207"/>
      <c r="L865" s="2207"/>
      <c r="M865" s="2207"/>
      <c r="N865" s="2207"/>
      <c r="O865" s="2208"/>
      <c r="P865" s="82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0.100000000000001" hidden="1" customHeight="1" outlineLevel="2">
      <c r="A866" s="299" t="s">
        <v>180</v>
      </c>
      <c r="B866" s="34"/>
      <c r="C866" s="34">
        <v>6.7</v>
      </c>
      <c r="D866" s="34">
        <v>1</v>
      </c>
      <c r="E866" s="34">
        <v>2</v>
      </c>
      <c r="F866" s="43">
        <f>D866*E866</f>
        <v>2</v>
      </c>
      <c r="G866" s="34">
        <f>C866</f>
        <v>6.7</v>
      </c>
      <c r="H866" s="34"/>
      <c r="I866" s="34"/>
      <c r="J866" s="34">
        <f>1*G866*F866</f>
        <v>13.4</v>
      </c>
      <c r="K866" s="34"/>
      <c r="L866" s="34"/>
      <c r="M866" s="34"/>
      <c r="N866" s="34"/>
      <c r="O866" s="295"/>
      <c r="P866" s="3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</row>
    <row r="867" spans="1:50" ht="20.100000000000001" hidden="1" customHeight="1" outlineLevel="2">
      <c r="A867" s="306"/>
      <c r="B867" s="34"/>
      <c r="C867" s="34">
        <v>6</v>
      </c>
      <c r="D867" s="34">
        <v>1</v>
      </c>
      <c r="E867" s="34">
        <v>1</v>
      </c>
      <c r="F867" s="43">
        <f>D867*E867</f>
        <v>1</v>
      </c>
      <c r="G867" s="34">
        <f>C867</f>
        <v>6</v>
      </c>
      <c r="H867" s="34"/>
      <c r="I867" s="34"/>
      <c r="J867" s="34"/>
      <c r="K867" s="34">
        <f>1.55*G867*F867</f>
        <v>9.3000000000000007</v>
      </c>
      <c r="L867" s="34"/>
      <c r="M867" s="34"/>
      <c r="N867" s="34"/>
      <c r="O867" s="295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50" ht="20.100000000000001" hidden="1" customHeight="1" outlineLevel="2">
      <c r="A868" s="2129" t="s">
        <v>196</v>
      </c>
      <c r="B868" s="2130"/>
      <c r="C868" s="2130"/>
      <c r="D868" s="2130"/>
      <c r="E868" s="2130"/>
      <c r="F868" s="2130"/>
      <c r="G868" s="2130"/>
      <c r="H868" s="556">
        <f t="shared" ref="H868:O868" si="114">SUM(H866:H867)</f>
        <v>0</v>
      </c>
      <c r="I868" s="556">
        <f t="shared" si="114"/>
        <v>0</v>
      </c>
      <c r="J868" s="556">
        <f t="shared" si="114"/>
        <v>13.4</v>
      </c>
      <c r="K868" s="556">
        <f t="shared" si="114"/>
        <v>9.3000000000000007</v>
      </c>
      <c r="L868" s="556">
        <f t="shared" si="114"/>
        <v>0</v>
      </c>
      <c r="M868" s="556">
        <f t="shared" si="114"/>
        <v>0</v>
      </c>
      <c r="N868" s="556">
        <f t="shared" si="114"/>
        <v>0</v>
      </c>
      <c r="O868" s="557">
        <f t="shared" si="114"/>
        <v>0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50" ht="20.100000000000001" hidden="1" customHeight="1" outlineLevel="2">
      <c r="A869" s="2238" t="s">
        <v>261</v>
      </c>
      <c r="B869" s="2239"/>
      <c r="C869" s="2239"/>
      <c r="D869" s="2239"/>
      <c r="E869" s="2239"/>
      <c r="F869" s="2239"/>
      <c r="G869" s="2239"/>
      <c r="H869" s="2240">
        <f>SUM(H868:O868)</f>
        <v>22.700000000000003</v>
      </c>
      <c r="I869" s="2240"/>
      <c r="J869" s="2240"/>
      <c r="K869" s="2240"/>
      <c r="L869" s="2240"/>
      <c r="M869" s="2240"/>
      <c r="N869" s="2240"/>
      <c r="O869" s="2241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50" s="31" customFormat="1" ht="20.100000000000001" hidden="1" customHeight="1" outlineLevel="2">
      <c r="A870" s="340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41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</row>
    <row r="871" spans="1:50" s="31" customFormat="1" ht="20.100000000000001" hidden="1" customHeight="1" outlineLevel="2" thickBot="1">
      <c r="A871" s="340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41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</row>
    <row r="872" spans="1:50" ht="20.100000000000001" hidden="1" customHeight="1" outlineLevel="1" collapsed="1">
      <c r="A872" s="2180" t="s">
        <v>1216</v>
      </c>
      <c r="B872" s="2181"/>
      <c r="C872" s="2181"/>
      <c r="D872" s="2181"/>
      <c r="E872" s="2181"/>
      <c r="F872" s="2181"/>
      <c r="G872" s="2182"/>
      <c r="H872" s="595">
        <f t="shared" ref="H872:O872" si="115">H868+H863+H857+H847+H842+H832+H825+H819+H813+H801+H792+H778+H759+H729+H723+H717+H709+H688+H680+H655+H649+H638+H611+H605+H574+H568+H562+H556+H550+H544+H539+H533</f>
        <v>573.72500000000014</v>
      </c>
      <c r="I872" s="595">
        <f t="shared" si="115"/>
        <v>536.06000000000006</v>
      </c>
      <c r="J872" s="595">
        <f t="shared" si="115"/>
        <v>322.70000000000005</v>
      </c>
      <c r="K872" s="595">
        <f t="shared" si="115"/>
        <v>973.09</v>
      </c>
      <c r="L872" s="595">
        <f t="shared" si="115"/>
        <v>1013.6800000000001</v>
      </c>
      <c r="M872" s="595">
        <f t="shared" si="115"/>
        <v>1144.8000000000002</v>
      </c>
      <c r="N872" s="595">
        <f t="shared" si="115"/>
        <v>246.8</v>
      </c>
      <c r="O872" s="596">
        <f t="shared" si="115"/>
        <v>67.2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50" ht="20.100000000000001" hidden="1" customHeight="1" outlineLevel="1" thickBot="1">
      <c r="A873" s="2175" t="s">
        <v>1217</v>
      </c>
      <c r="B873" s="2176"/>
      <c r="C873" s="2176"/>
      <c r="D873" s="2176"/>
      <c r="E873" s="2176"/>
      <c r="F873" s="2176"/>
      <c r="G873" s="2177"/>
      <c r="H873" s="2178">
        <f>SUM(H872:O872)</f>
        <v>4878.0550000000003</v>
      </c>
      <c r="I873" s="2176"/>
      <c r="J873" s="2176"/>
      <c r="K873" s="2176"/>
      <c r="L873" s="2176"/>
      <c r="M873" s="2176"/>
      <c r="N873" s="2176"/>
      <c r="O873" s="2179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50" ht="20.100000000000001" hidden="1" customHeight="1" outlineLevel="1" thickBot="1">
      <c r="A874" s="340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41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50" ht="20.100000000000001" hidden="1" customHeight="1" outlineLevel="1" thickBot="1">
      <c r="A875" s="2195" t="s">
        <v>495</v>
      </c>
      <c r="B875" s="2196"/>
      <c r="C875" s="2196"/>
      <c r="D875" s="2196"/>
      <c r="E875" s="2196"/>
      <c r="F875" s="2196"/>
      <c r="G875" s="2196"/>
      <c r="H875" s="2196"/>
      <c r="I875" s="2196"/>
      <c r="J875" s="2196"/>
      <c r="K875" s="2196"/>
      <c r="L875" s="2196"/>
      <c r="M875" s="2196"/>
      <c r="N875" s="2196"/>
      <c r="O875" s="2197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50" ht="20.100000000000001" hidden="1" customHeight="1" outlineLevel="2">
      <c r="A876" s="332" t="s">
        <v>262</v>
      </c>
      <c r="B876" s="275"/>
      <c r="C876" s="275">
        <v>21.5</v>
      </c>
      <c r="D876" s="275">
        <v>1</v>
      </c>
      <c r="E876" s="275">
        <v>16</v>
      </c>
      <c r="F876" s="276">
        <f>+E876*D876</f>
        <v>16</v>
      </c>
      <c r="G876" s="275">
        <f>+C876</f>
        <v>21.5</v>
      </c>
      <c r="H876" s="275">
        <f>+G876+F876+0.25</f>
        <v>37.75</v>
      </c>
      <c r="I876" s="275"/>
      <c r="J876" s="275"/>
      <c r="K876" s="275"/>
      <c r="L876" s="275"/>
      <c r="M876" s="275"/>
      <c r="N876" s="275"/>
      <c r="O876" s="333"/>
    </row>
    <row r="877" spans="1:50" ht="20.100000000000001" hidden="1" customHeight="1" outlineLevel="2">
      <c r="A877" s="286"/>
      <c r="B877" s="32"/>
      <c r="C877" s="32">
        <v>15.8</v>
      </c>
      <c r="D877" s="32">
        <v>1</v>
      </c>
      <c r="E877" s="32">
        <v>14</v>
      </c>
      <c r="F877" s="46">
        <f>+E877*D877</f>
        <v>14</v>
      </c>
      <c r="G877" s="32">
        <f>+C877</f>
        <v>15.8</v>
      </c>
      <c r="H877" s="32">
        <f>+G877+F877+0.25</f>
        <v>30.05</v>
      </c>
      <c r="I877" s="32"/>
      <c r="J877" s="32"/>
      <c r="K877" s="32"/>
      <c r="L877" s="32"/>
      <c r="M877" s="32"/>
      <c r="N877" s="32"/>
      <c r="O877" s="284"/>
    </row>
    <row r="878" spans="1:50" ht="20.100000000000001" hidden="1" customHeight="1" outlineLevel="2">
      <c r="A878" s="2192"/>
      <c r="B878" s="2193"/>
      <c r="C878" s="2193"/>
      <c r="D878" s="2193"/>
      <c r="E878" s="2193"/>
      <c r="F878" s="2193"/>
      <c r="G878" s="2194"/>
      <c r="H878" s="561">
        <f t="shared" ref="H878:O878" si="116">SUM(H876:H877)</f>
        <v>67.8</v>
      </c>
      <c r="I878" s="561">
        <f t="shared" si="116"/>
        <v>0</v>
      </c>
      <c r="J878" s="561">
        <f t="shared" si="116"/>
        <v>0</v>
      </c>
      <c r="K878" s="561">
        <f t="shared" si="116"/>
        <v>0</v>
      </c>
      <c r="L878" s="561">
        <f t="shared" si="116"/>
        <v>0</v>
      </c>
      <c r="M878" s="561">
        <f t="shared" si="116"/>
        <v>0</v>
      </c>
      <c r="N878" s="561">
        <f t="shared" si="116"/>
        <v>0</v>
      </c>
      <c r="O878" s="562">
        <f t="shared" si="116"/>
        <v>0</v>
      </c>
    </row>
    <row r="879" spans="1:50" ht="20.100000000000001" hidden="1" customHeight="1" outlineLevel="2">
      <c r="A879" s="2198" t="s">
        <v>263</v>
      </c>
      <c r="B879" s="2199"/>
      <c r="C879" s="2199"/>
      <c r="D879" s="2199"/>
      <c r="E879" s="2199"/>
      <c r="F879" s="2199"/>
      <c r="G879" s="2200"/>
      <c r="H879" s="2201">
        <f>SUM(H878:O878)</f>
        <v>67.8</v>
      </c>
      <c r="I879" s="2199"/>
      <c r="J879" s="2199"/>
      <c r="K879" s="2199"/>
      <c r="L879" s="2199"/>
      <c r="M879" s="2199"/>
      <c r="N879" s="2200"/>
      <c r="O879" s="597"/>
    </row>
    <row r="880" spans="1:50" s="31" customFormat="1" ht="20.100000000000001" hidden="1" customHeight="1" outlineLevel="2">
      <c r="A880" s="59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599"/>
    </row>
    <row r="881" spans="1:15" s="31" customFormat="1" ht="20.100000000000001" hidden="1" customHeight="1" outlineLevel="2" thickBot="1">
      <c r="A881" s="59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599"/>
    </row>
    <row r="882" spans="1:15" ht="20.100000000000001" hidden="1" customHeight="1" outlineLevel="1" collapsed="1">
      <c r="A882" s="2180" t="s">
        <v>1220</v>
      </c>
      <c r="B882" s="2181"/>
      <c r="C882" s="2181"/>
      <c r="D882" s="2181"/>
      <c r="E882" s="2181"/>
      <c r="F882" s="2181"/>
      <c r="G882" s="2182"/>
      <c r="H882" s="595">
        <f t="shared" ref="H882:O882" si="117">H878</f>
        <v>67.8</v>
      </c>
      <c r="I882" s="595">
        <f t="shared" si="117"/>
        <v>0</v>
      </c>
      <c r="J882" s="595">
        <f t="shared" si="117"/>
        <v>0</v>
      </c>
      <c r="K882" s="595">
        <f t="shared" si="117"/>
        <v>0</v>
      </c>
      <c r="L882" s="595">
        <f t="shared" si="117"/>
        <v>0</v>
      </c>
      <c r="M882" s="595">
        <f t="shared" si="117"/>
        <v>0</v>
      </c>
      <c r="N882" s="595">
        <f t="shared" si="117"/>
        <v>0</v>
      </c>
      <c r="O882" s="596">
        <f t="shared" si="117"/>
        <v>0</v>
      </c>
    </row>
    <row r="883" spans="1:15" ht="20.100000000000001" hidden="1" customHeight="1" outlineLevel="1" thickBot="1">
      <c r="A883" s="2175" t="s">
        <v>1221</v>
      </c>
      <c r="B883" s="2176"/>
      <c r="C883" s="2176"/>
      <c r="D883" s="2176"/>
      <c r="E883" s="2176"/>
      <c r="F883" s="2176"/>
      <c r="G883" s="2177"/>
      <c r="H883" s="2178">
        <f>SUM(H882:O882)</f>
        <v>67.8</v>
      </c>
      <c r="I883" s="2176"/>
      <c r="J883" s="2176"/>
      <c r="K883" s="2176"/>
      <c r="L883" s="2176"/>
      <c r="M883" s="2176"/>
      <c r="N883" s="2176"/>
      <c r="O883" s="2179"/>
    </row>
    <row r="884" spans="1:15" ht="20.100000000000001" hidden="1" customHeight="1" outlineLevel="1" thickBot="1">
      <c r="A884" s="60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604"/>
    </row>
    <row r="885" spans="1:15" ht="20.100000000000001" hidden="1" customHeight="1" outlineLevel="1" thickBot="1">
      <c r="A885" s="2195" t="s">
        <v>498</v>
      </c>
      <c r="B885" s="2196"/>
      <c r="C885" s="2196"/>
      <c r="D885" s="2196"/>
      <c r="E885" s="2196"/>
      <c r="F885" s="2196"/>
      <c r="G885" s="2196"/>
      <c r="H885" s="2196"/>
      <c r="I885" s="2196"/>
      <c r="J885" s="2196"/>
      <c r="K885" s="2196"/>
      <c r="L885" s="2196"/>
      <c r="M885" s="2196"/>
      <c r="N885" s="2196"/>
      <c r="O885" s="2197"/>
    </row>
    <row r="886" spans="1:15" ht="20.100000000000001" hidden="1" customHeight="1" outlineLevel="2">
      <c r="A886" s="277" t="s">
        <v>264</v>
      </c>
      <c r="B886" s="32"/>
      <c r="C886" s="32">
        <v>3.16</v>
      </c>
      <c r="D886" s="32">
        <v>1</v>
      </c>
      <c r="E886" s="32">
        <v>14</v>
      </c>
      <c r="F886" s="46">
        <f>+E886*D886</f>
        <v>14</v>
      </c>
      <c r="G886" s="32">
        <f>+C886</f>
        <v>3.16</v>
      </c>
      <c r="H886" s="32"/>
      <c r="I886" s="32">
        <f>0.56*G886*F886</f>
        <v>24.774400000000004</v>
      </c>
      <c r="J886" s="32"/>
      <c r="K886" s="32"/>
      <c r="L886" s="32"/>
      <c r="M886" s="32"/>
      <c r="N886" s="32"/>
      <c r="O886" s="284"/>
    </row>
    <row r="887" spans="1:15" ht="20.100000000000001" hidden="1" customHeight="1" outlineLevel="2">
      <c r="A887" s="286"/>
      <c r="B887" s="32"/>
      <c r="C887" s="32">
        <v>3.5</v>
      </c>
      <c r="D887" s="32">
        <v>1</v>
      </c>
      <c r="E887" s="32">
        <v>36</v>
      </c>
      <c r="F887" s="46">
        <f>+E887*D887</f>
        <v>36</v>
      </c>
      <c r="G887" s="32">
        <f>+C887</f>
        <v>3.5</v>
      </c>
      <c r="H887" s="32"/>
      <c r="I887" s="32">
        <f t="shared" ref="I887:I899" si="118">0.56*G887*F887</f>
        <v>70.56</v>
      </c>
      <c r="J887" s="32"/>
      <c r="K887" s="32"/>
      <c r="L887" s="32"/>
      <c r="M887" s="32"/>
      <c r="N887" s="32"/>
      <c r="O887" s="284"/>
    </row>
    <row r="888" spans="1:15" ht="20.100000000000001" hidden="1" customHeight="1" outlineLevel="2">
      <c r="A888" s="286"/>
      <c r="B888" s="32"/>
      <c r="C888" s="32">
        <v>1.8</v>
      </c>
      <c r="D888" s="32">
        <v>1</v>
      </c>
      <c r="E888" s="32">
        <v>191</v>
      </c>
      <c r="F888" s="46">
        <f t="shared" ref="F888:F899" si="119">+E888*D888</f>
        <v>191</v>
      </c>
      <c r="G888" s="32">
        <f t="shared" ref="G888:G899" si="120">+C888</f>
        <v>1.8</v>
      </c>
      <c r="H888" s="32"/>
      <c r="I888" s="32">
        <f t="shared" si="118"/>
        <v>192.52800000000005</v>
      </c>
      <c r="J888" s="32"/>
      <c r="K888" s="32"/>
      <c r="L888" s="32"/>
      <c r="M888" s="32"/>
      <c r="N888" s="32"/>
      <c r="O888" s="284"/>
    </row>
    <row r="889" spans="1:15" ht="20.100000000000001" hidden="1" customHeight="1" outlineLevel="2">
      <c r="A889" s="286"/>
      <c r="B889" s="32"/>
      <c r="C889" s="32">
        <v>2</v>
      </c>
      <c r="D889" s="32">
        <v>1</v>
      </c>
      <c r="E889" s="32">
        <v>483</v>
      </c>
      <c r="F889" s="46">
        <f t="shared" si="119"/>
        <v>483</v>
      </c>
      <c r="G889" s="32">
        <f t="shared" si="120"/>
        <v>2</v>
      </c>
      <c r="H889" s="32"/>
      <c r="I889" s="32">
        <f t="shared" si="118"/>
        <v>540.96</v>
      </c>
      <c r="J889" s="32"/>
      <c r="K889" s="32"/>
      <c r="L889" s="32"/>
      <c r="M889" s="32"/>
      <c r="N889" s="32"/>
      <c r="O889" s="284"/>
    </row>
    <row r="890" spans="1:15" ht="20.100000000000001" hidden="1" customHeight="1" outlineLevel="2">
      <c r="A890" s="286"/>
      <c r="B890" s="32"/>
      <c r="C890" s="32">
        <v>1.5</v>
      </c>
      <c r="D890" s="32">
        <v>1</v>
      </c>
      <c r="E890" s="32">
        <v>19</v>
      </c>
      <c r="F890" s="46">
        <f t="shared" si="119"/>
        <v>19</v>
      </c>
      <c r="G890" s="32">
        <f t="shared" si="120"/>
        <v>1.5</v>
      </c>
      <c r="H890" s="32"/>
      <c r="I890" s="32">
        <f t="shared" si="118"/>
        <v>15.96</v>
      </c>
      <c r="J890" s="32"/>
      <c r="K890" s="32"/>
      <c r="L890" s="32"/>
      <c r="M890" s="32"/>
      <c r="N890" s="32"/>
      <c r="O890" s="284"/>
    </row>
    <row r="891" spans="1:15" ht="20.100000000000001" hidden="1" customHeight="1" outlineLevel="2">
      <c r="A891" s="286"/>
      <c r="B891" s="32"/>
      <c r="C891" s="32">
        <v>4</v>
      </c>
      <c r="D891" s="32">
        <v>1</v>
      </c>
      <c r="E891" s="32">
        <v>72</v>
      </c>
      <c r="F891" s="46">
        <f t="shared" si="119"/>
        <v>72</v>
      </c>
      <c r="G891" s="32">
        <f t="shared" si="120"/>
        <v>4</v>
      </c>
      <c r="H891" s="32"/>
      <c r="I891" s="32">
        <f t="shared" si="118"/>
        <v>161.28000000000003</v>
      </c>
      <c r="J891" s="32"/>
      <c r="K891" s="32"/>
      <c r="L891" s="32"/>
      <c r="M891" s="32"/>
      <c r="N891" s="32"/>
      <c r="O891" s="284"/>
    </row>
    <row r="892" spans="1:15" ht="20.100000000000001" hidden="1" customHeight="1" outlineLevel="2">
      <c r="A892" s="286"/>
      <c r="B892" s="32"/>
      <c r="C892" s="32">
        <v>2.5</v>
      </c>
      <c r="D892" s="32">
        <v>1</v>
      </c>
      <c r="E892" s="32">
        <v>8</v>
      </c>
      <c r="F892" s="46">
        <f t="shared" si="119"/>
        <v>8</v>
      </c>
      <c r="G892" s="32">
        <f t="shared" si="120"/>
        <v>2.5</v>
      </c>
      <c r="H892" s="32"/>
      <c r="I892" s="32">
        <f t="shared" si="118"/>
        <v>11.200000000000001</v>
      </c>
      <c r="J892" s="32"/>
      <c r="K892" s="32"/>
      <c r="L892" s="32"/>
      <c r="M892" s="32"/>
      <c r="N892" s="32"/>
      <c r="O892" s="284"/>
    </row>
    <row r="893" spans="1:15" ht="20.100000000000001" hidden="1" customHeight="1" outlineLevel="2">
      <c r="A893" s="277" t="s">
        <v>265</v>
      </c>
      <c r="B893" s="32"/>
      <c r="C893" s="32">
        <v>1.8</v>
      </c>
      <c r="D893" s="32">
        <v>1</v>
      </c>
      <c r="E893" s="32">
        <v>39</v>
      </c>
      <c r="F893" s="46">
        <f t="shared" si="119"/>
        <v>39</v>
      </c>
      <c r="G893" s="32">
        <f t="shared" si="120"/>
        <v>1.8</v>
      </c>
      <c r="H893" s="32"/>
      <c r="I893" s="32">
        <f t="shared" si="118"/>
        <v>39.312000000000012</v>
      </c>
      <c r="J893" s="32"/>
      <c r="K893" s="32"/>
      <c r="L893" s="32"/>
      <c r="M893" s="32"/>
      <c r="N893" s="32"/>
      <c r="O893" s="284"/>
    </row>
    <row r="894" spans="1:15" ht="20.100000000000001" hidden="1" customHeight="1" outlineLevel="2">
      <c r="A894" s="286"/>
      <c r="B894" s="32"/>
      <c r="C894" s="32">
        <v>3</v>
      </c>
      <c r="D894" s="32">
        <v>1</v>
      </c>
      <c r="E894" s="32">
        <v>38</v>
      </c>
      <c r="F894" s="46">
        <f t="shared" si="119"/>
        <v>38</v>
      </c>
      <c r="G894" s="32">
        <f t="shared" si="120"/>
        <v>3</v>
      </c>
      <c r="H894" s="32"/>
      <c r="I894" s="32">
        <f t="shared" si="118"/>
        <v>63.84</v>
      </c>
      <c r="J894" s="32"/>
      <c r="K894" s="32"/>
      <c r="L894" s="32"/>
      <c r="M894" s="32"/>
      <c r="N894" s="32"/>
      <c r="O894" s="284"/>
    </row>
    <row r="895" spans="1:15" ht="20.100000000000001" hidden="1" customHeight="1" outlineLevel="2">
      <c r="A895" s="286"/>
      <c r="B895" s="32"/>
      <c r="C895" s="32">
        <v>3.1</v>
      </c>
      <c r="D895" s="32">
        <v>1</v>
      </c>
      <c r="E895" s="32">
        <v>28</v>
      </c>
      <c r="F895" s="46">
        <f t="shared" si="119"/>
        <v>28</v>
      </c>
      <c r="G895" s="32">
        <f t="shared" si="120"/>
        <v>3.1</v>
      </c>
      <c r="H895" s="32"/>
      <c r="I895" s="32">
        <f t="shared" si="118"/>
        <v>48.608000000000004</v>
      </c>
      <c r="J895" s="32"/>
      <c r="K895" s="32"/>
      <c r="L895" s="32"/>
      <c r="M895" s="32"/>
      <c r="N895" s="32"/>
      <c r="O895" s="284"/>
    </row>
    <row r="896" spans="1:15" ht="20.100000000000001" hidden="1" customHeight="1" outlineLevel="2">
      <c r="A896" s="286"/>
      <c r="B896" s="32"/>
      <c r="C896" s="32">
        <v>4.1100000000000003</v>
      </c>
      <c r="D896" s="32">
        <v>1</v>
      </c>
      <c r="E896" s="32">
        <v>63</v>
      </c>
      <c r="F896" s="46">
        <f t="shared" si="119"/>
        <v>63</v>
      </c>
      <c r="G896" s="32">
        <f t="shared" si="120"/>
        <v>4.1100000000000003</v>
      </c>
      <c r="H896" s="32"/>
      <c r="I896" s="32">
        <f t="shared" si="118"/>
        <v>145.00080000000003</v>
      </c>
      <c r="J896" s="32"/>
      <c r="K896" s="32"/>
      <c r="L896" s="32"/>
      <c r="M896" s="32"/>
      <c r="N896" s="32"/>
      <c r="O896" s="284"/>
    </row>
    <row r="897" spans="1:15" ht="20.100000000000001" hidden="1" customHeight="1" outlineLevel="2">
      <c r="A897" s="286"/>
      <c r="B897" s="32"/>
      <c r="C897" s="32">
        <v>1.5</v>
      </c>
      <c r="D897" s="32">
        <v>1</v>
      </c>
      <c r="E897" s="32">
        <v>27</v>
      </c>
      <c r="F897" s="46">
        <f t="shared" si="119"/>
        <v>27</v>
      </c>
      <c r="G897" s="32">
        <f t="shared" si="120"/>
        <v>1.5</v>
      </c>
      <c r="H897" s="32"/>
      <c r="I897" s="32">
        <f t="shared" si="118"/>
        <v>22.680000000000003</v>
      </c>
      <c r="J897" s="32"/>
      <c r="K897" s="32"/>
      <c r="L897" s="32"/>
      <c r="M897" s="32"/>
      <c r="N897" s="32"/>
      <c r="O897" s="284"/>
    </row>
    <row r="898" spans="1:15" ht="20.100000000000001" hidden="1" customHeight="1" outlineLevel="2">
      <c r="A898" s="286"/>
      <c r="B898" s="32"/>
      <c r="C898" s="32">
        <v>3.5</v>
      </c>
      <c r="D898" s="32">
        <v>1</v>
      </c>
      <c r="E898" s="32">
        <v>12</v>
      </c>
      <c r="F898" s="46">
        <f t="shared" si="119"/>
        <v>12</v>
      </c>
      <c r="G898" s="32">
        <f t="shared" si="120"/>
        <v>3.5</v>
      </c>
      <c r="H898" s="32"/>
      <c r="I898" s="32">
        <f t="shared" si="118"/>
        <v>23.520000000000003</v>
      </c>
      <c r="J898" s="32"/>
      <c r="K898" s="32"/>
      <c r="L898" s="32"/>
      <c r="M898" s="32"/>
      <c r="N898" s="32"/>
      <c r="O898" s="284"/>
    </row>
    <row r="899" spans="1:15" ht="20.100000000000001" hidden="1" customHeight="1" outlineLevel="2">
      <c r="A899" s="286"/>
      <c r="B899" s="32"/>
      <c r="C899" s="32">
        <v>4.5</v>
      </c>
      <c r="D899" s="32">
        <v>1</v>
      </c>
      <c r="E899" s="32">
        <v>5</v>
      </c>
      <c r="F899" s="46">
        <f t="shared" si="119"/>
        <v>5</v>
      </c>
      <c r="G899" s="32">
        <f t="shared" si="120"/>
        <v>4.5</v>
      </c>
      <c r="H899" s="32"/>
      <c r="I899" s="32">
        <f t="shared" si="118"/>
        <v>12.600000000000001</v>
      </c>
      <c r="J899" s="32"/>
      <c r="K899" s="32"/>
      <c r="L899" s="32"/>
      <c r="M899" s="32"/>
      <c r="N899" s="32"/>
      <c r="O899" s="284"/>
    </row>
    <row r="900" spans="1:15" ht="20.100000000000001" hidden="1" customHeight="1" outlineLevel="2">
      <c r="A900" s="2192"/>
      <c r="B900" s="2193"/>
      <c r="C900" s="2193"/>
      <c r="D900" s="2193"/>
      <c r="E900" s="2193"/>
      <c r="F900" s="2193"/>
      <c r="G900" s="2194"/>
      <c r="H900" s="561">
        <f>SUM(H886:H899)</f>
        <v>0</v>
      </c>
      <c r="I900" s="561">
        <f>SUM(I886:I899)</f>
        <v>1372.8231999999998</v>
      </c>
      <c r="J900" s="561">
        <f t="shared" ref="J900:O900" si="121">SUM(J886:J899)</f>
        <v>0</v>
      </c>
      <c r="K900" s="561">
        <f t="shared" si="121"/>
        <v>0</v>
      </c>
      <c r="L900" s="561">
        <f t="shared" si="121"/>
        <v>0</v>
      </c>
      <c r="M900" s="561">
        <f t="shared" si="121"/>
        <v>0</v>
      </c>
      <c r="N900" s="561">
        <f t="shared" si="121"/>
        <v>0</v>
      </c>
      <c r="O900" s="562">
        <f t="shared" si="121"/>
        <v>0</v>
      </c>
    </row>
    <row r="901" spans="1:15" ht="20.100000000000001" hidden="1" customHeight="1" outlineLevel="2">
      <c r="A901" s="2198" t="s">
        <v>266</v>
      </c>
      <c r="B901" s="2199"/>
      <c r="C901" s="2199"/>
      <c r="D901" s="2199"/>
      <c r="E901" s="2199"/>
      <c r="F901" s="2199"/>
      <c r="G901" s="2200"/>
      <c r="H901" s="2201">
        <f>SUM(H900:O900)</f>
        <v>1372.8231999999998</v>
      </c>
      <c r="I901" s="2199"/>
      <c r="J901" s="2199"/>
      <c r="K901" s="2199"/>
      <c r="L901" s="2199"/>
      <c r="M901" s="2199"/>
      <c r="N901" s="2199"/>
      <c r="O901" s="2244"/>
    </row>
    <row r="902" spans="1:15" ht="20.100000000000001" hidden="1" customHeight="1" outlineLevel="2" thickBot="1">
      <c r="A902" s="59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599"/>
    </row>
    <row r="903" spans="1:15" ht="19.5" hidden="1" customHeight="1" outlineLevel="1" collapsed="1">
      <c r="A903" s="2180" t="s">
        <v>1218</v>
      </c>
      <c r="B903" s="2181"/>
      <c r="C903" s="2181"/>
      <c r="D903" s="2181"/>
      <c r="E903" s="2181"/>
      <c r="F903" s="2181"/>
      <c r="G903" s="2182"/>
      <c r="H903" s="595">
        <f t="shared" ref="H903:O903" si="122">H900</f>
        <v>0</v>
      </c>
      <c r="I903" s="595">
        <f t="shared" si="122"/>
        <v>1372.8231999999998</v>
      </c>
      <c r="J903" s="595">
        <f t="shared" si="122"/>
        <v>0</v>
      </c>
      <c r="K903" s="595">
        <f t="shared" si="122"/>
        <v>0</v>
      </c>
      <c r="L903" s="595">
        <f t="shared" si="122"/>
        <v>0</v>
      </c>
      <c r="M903" s="595">
        <f t="shared" si="122"/>
        <v>0</v>
      </c>
      <c r="N903" s="595">
        <f t="shared" si="122"/>
        <v>0</v>
      </c>
      <c r="O903" s="596">
        <f t="shared" si="122"/>
        <v>0</v>
      </c>
    </row>
    <row r="904" spans="1:15" ht="19.5" hidden="1" customHeight="1" outlineLevel="1" thickBot="1">
      <c r="A904" s="2175" t="s">
        <v>1219</v>
      </c>
      <c r="B904" s="2176"/>
      <c r="C904" s="2176"/>
      <c r="D904" s="2176"/>
      <c r="E904" s="2176"/>
      <c r="F904" s="2176"/>
      <c r="G904" s="2177"/>
      <c r="H904" s="2178">
        <f>SUM(H903:O903)</f>
        <v>1372.8231999999998</v>
      </c>
      <c r="I904" s="2176"/>
      <c r="J904" s="2176"/>
      <c r="K904" s="2176"/>
      <c r="L904" s="2176"/>
      <c r="M904" s="2176"/>
      <c r="N904" s="2176"/>
      <c r="O904" s="2179"/>
    </row>
    <row r="905" spans="1:15" ht="19.5" hidden="1" customHeight="1" outlineLevel="1" thickBot="1">
      <c r="A905" s="60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604"/>
    </row>
    <row r="906" spans="1:15" ht="20.100000000000001" customHeight="1" collapsed="1">
      <c r="A906" s="2136" t="s">
        <v>1222</v>
      </c>
      <c r="B906" s="2137"/>
      <c r="C906" s="2137"/>
      <c r="D906" s="2137"/>
      <c r="E906" s="2137"/>
      <c r="F906" s="2137"/>
      <c r="G906" s="2138"/>
      <c r="H906" s="593">
        <f>H514+H872+H882+H903</f>
        <v>641.52500000000009</v>
      </c>
      <c r="I906" s="593">
        <f t="shared" ref="I906:O906" si="123">I514+I872+I882+I903</f>
        <v>3547.2752</v>
      </c>
      <c r="J906" s="593">
        <f t="shared" si="123"/>
        <v>1794.2120000000002</v>
      </c>
      <c r="K906" s="593">
        <f t="shared" si="123"/>
        <v>2946.4050000000002</v>
      </c>
      <c r="L906" s="593">
        <f t="shared" si="123"/>
        <v>2091.8110000000006</v>
      </c>
      <c r="M906" s="593">
        <f t="shared" si="123"/>
        <v>1650.3000000000002</v>
      </c>
      <c r="N906" s="593">
        <f t="shared" si="123"/>
        <v>5671.2</v>
      </c>
      <c r="O906" s="594">
        <f t="shared" si="123"/>
        <v>16993.085999999999</v>
      </c>
    </row>
    <row r="907" spans="1:15" ht="20.100000000000001" customHeight="1" thickBot="1">
      <c r="A907" s="2139" t="s">
        <v>1223</v>
      </c>
      <c r="B907" s="2140"/>
      <c r="C907" s="2140"/>
      <c r="D907" s="2140"/>
      <c r="E907" s="2140"/>
      <c r="F907" s="2140"/>
      <c r="G907" s="2141"/>
      <c r="H907" s="2133">
        <f>SUM(H906:O906)</f>
        <v>35335.814200000001</v>
      </c>
      <c r="I907" s="2134"/>
      <c r="J907" s="2134"/>
      <c r="K907" s="2134"/>
      <c r="L907" s="2134"/>
      <c r="M907" s="2134"/>
      <c r="N907" s="2134"/>
      <c r="O907" s="2135"/>
    </row>
    <row r="908" spans="1:15" s="31" customFormat="1" ht="20.100000000000001" customHeight="1" thickBo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</row>
    <row r="909" spans="1:15" ht="19.5" customHeight="1" thickBot="1">
      <c r="A909" s="2123" t="s">
        <v>1254</v>
      </c>
      <c r="B909" s="2124"/>
      <c r="C909" s="2124"/>
      <c r="D909" s="2124"/>
      <c r="E909" s="2124"/>
      <c r="F909" s="2124"/>
      <c r="G909" s="2124"/>
      <c r="H909" s="2124"/>
      <c r="I909" s="2124"/>
      <c r="J909" s="2124"/>
      <c r="K909" s="2124"/>
      <c r="L909" s="2124"/>
      <c r="M909" s="2124"/>
      <c r="N909" s="2124"/>
      <c r="O909" s="2125"/>
    </row>
    <row r="910" spans="1:15" ht="20.100000000000001" hidden="1" customHeight="1" outlineLevel="1">
      <c r="A910" s="2231" t="s">
        <v>0</v>
      </c>
      <c r="B910" s="2229" t="s">
        <v>5</v>
      </c>
      <c r="C910" s="2229" t="s">
        <v>110</v>
      </c>
      <c r="D910" s="2229" t="s">
        <v>2</v>
      </c>
      <c r="E910" s="2229" t="s">
        <v>1</v>
      </c>
      <c r="F910" s="2229" t="s">
        <v>3</v>
      </c>
      <c r="G910" s="2229" t="s">
        <v>4</v>
      </c>
      <c r="H910" s="2233" t="s">
        <v>6</v>
      </c>
      <c r="I910" s="2233"/>
      <c r="J910" s="2233"/>
      <c r="K910" s="2233"/>
      <c r="L910" s="2233"/>
      <c r="M910" s="2233"/>
      <c r="N910" s="2233"/>
      <c r="O910" s="2234"/>
    </row>
    <row r="911" spans="1:15" ht="20.100000000000001" hidden="1" customHeight="1" outlineLevel="1" thickBot="1">
      <c r="A911" s="2232"/>
      <c r="B911" s="2230"/>
      <c r="C911" s="2230"/>
      <c r="D911" s="2230"/>
      <c r="E911" s="2230"/>
      <c r="F911" s="2230"/>
      <c r="G911" s="2230"/>
      <c r="H911" s="335" t="s">
        <v>7</v>
      </c>
      <c r="I911" s="335" t="s">
        <v>8</v>
      </c>
      <c r="J911" s="335" t="s">
        <v>9</v>
      </c>
      <c r="K911" s="335" t="s">
        <v>10</v>
      </c>
      <c r="L911" s="335" t="s">
        <v>11</v>
      </c>
      <c r="M911" s="335" t="s">
        <v>12</v>
      </c>
      <c r="N911" s="335" t="s">
        <v>13</v>
      </c>
      <c r="O911" s="336" t="s">
        <v>18</v>
      </c>
    </row>
    <row r="912" spans="1:15" ht="20.100000000000001" hidden="1" customHeight="1" outlineLevel="1" thickBot="1">
      <c r="A912" s="2195" t="s">
        <v>403</v>
      </c>
      <c r="B912" s="2196"/>
      <c r="C912" s="2196"/>
      <c r="D912" s="2196"/>
      <c r="E912" s="2196"/>
      <c r="F912" s="2196"/>
      <c r="G912" s="2196"/>
      <c r="H912" s="2196"/>
      <c r="I912" s="2196"/>
      <c r="J912" s="2196"/>
      <c r="K912" s="2196"/>
      <c r="L912" s="2196"/>
      <c r="M912" s="2196"/>
      <c r="N912" s="2196"/>
      <c r="O912" s="2197"/>
    </row>
    <row r="913" spans="1:15" ht="20.100000000000001" hidden="1" customHeight="1" outlineLevel="2">
      <c r="A913" s="332" t="s">
        <v>404</v>
      </c>
      <c r="B913" s="253"/>
      <c r="C913" s="253">
        <v>7.5</v>
      </c>
      <c r="D913" s="253">
        <v>1</v>
      </c>
      <c r="E913" s="253">
        <v>3</v>
      </c>
      <c r="F913" s="253">
        <f t="shared" ref="F913:F922" si="124">+E913*D913</f>
        <v>3</v>
      </c>
      <c r="G913" s="253">
        <f t="shared" ref="G913:G922" si="125">+C913</f>
        <v>7.5</v>
      </c>
      <c r="H913" s="253"/>
      <c r="I913" s="253"/>
      <c r="J913" s="253"/>
      <c r="K913" s="253"/>
      <c r="L913" s="253"/>
      <c r="M913" s="253"/>
      <c r="N913" s="253">
        <f>4*G913*F913</f>
        <v>90</v>
      </c>
      <c r="O913" s="334"/>
    </row>
    <row r="914" spans="1:15" ht="20.100000000000001" hidden="1" customHeight="1" outlineLevel="2">
      <c r="A914" s="145"/>
      <c r="B914" s="5"/>
      <c r="C914" s="5">
        <v>4.5</v>
      </c>
      <c r="D914" s="5">
        <v>1</v>
      </c>
      <c r="E914" s="5">
        <v>3</v>
      </c>
      <c r="F914" s="5">
        <f t="shared" si="124"/>
        <v>3</v>
      </c>
      <c r="G914" s="5">
        <f t="shared" si="125"/>
        <v>4.5</v>
      </c>
      <c r="H914" s="5"/>
      <c r="I914" s="5"/>
      <c r="J914" s="5"/>
      <c r="K914" s="5">
        <f>1.55*G914*F914</f>
        <v>20.925000000000001</v>
      </c>
      <c r="L914" s="5"/>
      <c r="M914" s="5"/>
      <c r="N914" s="5"/>
      <c r="O914" s="278"/>
    </row>
    <row r="915" spans="1:15" ht="20.100000000000001" hidden="1" customHeight="1" outlineLevel="2">
      <c r="A915" s="145"/>
      <c r="B915" s="5"/>
      <c r="C915" s="5">
        <v>10</v>
      </c>
      <c r="D915" s="5">
        <v>1</v>
      </c>
      <c r="E915" s="5">
        <v>3</v>
      </c>
      <c r="F915" s="5">
        <f t="shared" si="124"/>
        <v>3</v>
      </c>
      <c r="G915" s="5">
        <f t="shared" si="125"/>
        <v>10</v>
      </c>
      <c r="H915" s="5"/>
      <c r="I915" s="5"/>
      <c r="J915" s="5"/>
      <c r="K915" s="5"/>
      <c r="L915" s="5"/>
      <c r="M915" s="5"/>
      <c r="N915" s="5">
        <f>4*G915*F915</f>
        <v>120</v>
      </c>
      <c r="O915" s="278"/>
    </row>
    <row r="916" spans="1:15" ht="20.100000000000001" hidden="1" customHeight="1" outlineLevel="2">
      <c r="A916" s="145"/>
      <c r="B916" s="5"/>
      <c r="C916" s="5">
        <v>4</v>
      </c>
      <c r="D916" s="5">
        <v>1</v>
      </c>
      <c r="E916" s="5">
        <v>2</v>
      </c>
      <c r="F916" s="5">
        <f t="shared" si="124"/>
        <v>2</v>
      </c>
      <c r="G916" s="5">
        <f t="shared" si="125"/>
        <v>4</v>
      </c>
      <c r="H916" s="5"/>
      <c r="I916" s="5"/>
      <c r="J916" s="5"/>
      <c r="K916" s="5"/>
      <c r="L916" s="5"/>
      <c r="M916" s="5"/>
      <c r="N916" s="5"/>
      <c r="O916" s="278">
        <f>6.4*G916*F916</f>
        <v>51.2</v>
      </c>
    </row>
    <row r="917" spans="1:15" ht="20.100000000000001" hidden="1" customHeight="1" outlineLevel="2">
      <c r="A917" s="145"/>
      <c r="B917" s="5"/>
      <c r="C917" s="5">
        <v>4</v>
      </c>
      <c r="D917" s="5">
        <v>1</v>
      </c>
      <c r="E917" s="5">
        <v>1</v>
      </c>
      <c r="F917" s="5">
        <f t="shared" si="124"/>
        <v>1</v>
      </c>
      <c r="G917" s="5">
        <f t="shared" si="125"/>
        <v>4</v>
      </c>
      <c r="H917" s="5"/>
      <c r="I917" s="5"/>
      <c r="J917" s="5"/>
      <c r="K917" s="5"/>
      <c r="L917" s="5"/>
      <c r="M917" s="5"/>
      <c r="N917" s="5">
        <f>4*G917*F917</f>
        <v>16</v>
      </c>
      <c r="O917" s="278"/>
    </row>
    <row r="918" spans="1:15" ht="20.100000000000001" hidden="1" customHeight="1" outlineLevel="2">
      <c r="A918" s="145"/>
      <c r="B918" s="5"/>
      <c r="C918" s="5">
        <v>7</v>
      </c>
      <c r="D918" s="5">
        <v>1</v>
      </c>
      <c r="E918" s="5">
        <v>2</v>
      </c>
      <c r="F918" s="5">
        <f t="shared" si="124"/>
        <v>2</v>
      </c>
      <c r="G918" s="5">
        <f t="shared" si="125"/>
        <v>7</v>
      </c>
      <c r="H918" s="5"/>
      <c r="I918" s="5"/>
      <c r="J918" s="5"/>
      <c r="K918" s="5"/>
      <c r="L918" s="5"/>
      <c r="M918" s="5"/>
      <c r="N918" s="5">
        <f>4*G918*F918</f>
        <v>56</v>
      </c>
      <c r="O918" s="278"/>
    </row>
    <row r="919" spans="1:15" ht="20.100000000000001" hidden="1" customHeight="1" outlineLevel="2">
      <c r="A919" s="145"/>
      <c r="B919" s="5"/>
      <c r="C919" s="5">
        <v>7</v>
      </c>
      <c r="D919" s="5">
        <v>1</v>
      </c>
      <c r="E919" s="5">
        <v>1</v>
      </c>
      <c r="F919" s="5">
        <f t="shared" si="124"/>
        <v>1</v>
      </c>
      <c r="G919" s="5">
        <f t="shared" si="125"/>
        <v>7</v>
      </c>
      <c r="H919" s="5"/>
      <c r="I919" s="5"/>
      <c r="J919" s="5"/>
      <c r="K919" s="5"/>
      <c r="L919" s="5"/>
      <c r="M919" s="5"/>
      <c r="N919" s="5"/>
      <c r="O919" s="278">
        <f>6.4*G919*F919</f>
        <v>44.800000000000004</v>
      </c>
    </row>
    <row r="920" spans="1:15" ht="20.100000000000001" hidden="1" customHeight="1" outlineLevel="2">
      <c r="A920" s="145"/>
      <c r="B920" s="5"/>
      <c r="C920" s="5">
        <f>(0.55*2)+(0.35*2)+(0.05*2)</f>
        <v>1.9000000000000001</v>
      </c>
      <c r="D920" s="5">
        <v>1</v>
      </c>
      <c r="E920" s="5">
        <v>21</v>
      </c>
      <c r="F920" s="5">
        <f t="shared" si="124"/>
        <v>21</v>
      </c>
      <c r="G920" s="5">
        <f t="shared" si="125"/>
        <v>1.9000000000000001</v>
      </c>
      <c r="H920" s="5"/>
      <c r="I920" s="5">
        <f>0.56*G920*F920</f>
        <v>22.344000000000005</v>
      </c>
      <c r="J920" s="5"/>
      <c r="K920" s="5"/>
      <c r="L920" s="5"/>
      <c r="M920" s="5"/>
      <c r="N920" s="5"/>
      <c r="O920" s="278"/>
    </row>
    <row r="921" spans="1:15" ht="20.100000000000001" hidden="1" customHeight="1" outlineLevel="2">
      <c r="A921" s="145"/>
      <c r="B921" s="5"/>
      <c r="C921" s="5">
        <f>(0.55*2)+(0.35*2)+(0.05*2)</f>
        <v>1.9000000000000001</v>
      </c>
      <c r="D921" s="5">
        <v>1</v>
      </c>
      <c r="E921" s="5">
        <v>29</v>
      </c>
      <c r="F921" s="5">
        <f t="shared" si="124"/>
        <v>29</v>
      </c>
      <c r="G921" s="5">
        <f t="shared" si="125"/>
        <v>1.9000000000000001</v>
      </c>
      <c r="H921" s="5"/>
      <c r="I921" s="5"/>
      <c r="J921" s="5">
        <f>+G921*F921</f>
        <v>55.1</v>
      </c>
      <c r="K921" s="5"/>
      <c r="L921" s="5"/>
      <c r="M921" s="5"/>
      <c r="N921" s="5"/>
      <c r="O921" s="278"/>
    </row>
    <row r="922" spans="1:15" ht="20.100000000000001" hidden="1" customHeight="1" outlineLevel="2">
      <c r="A922" s="145"/>
      <c r="B922" s="5"/>
      <c r="C922" s="5">
        <f>(0.55*2)+(0.35*2)+(0.05*2)</f>
        <v>1.9000000000000001</v>
      </c>
      <c r="D922" s="5">
        <v>1</v>
      </c>
      <c r="E922" s="5">
        <v>59</v>
      </c>
      <c r="F922" s="5">
        <f t="shared" si="124"/>
        <v>59</v>
      </c>
      <c r="G922" s="5">
        <f t="shared" si="125"/>
        <v>1.9000000000000001</v>
      </c>
      <c r="H922" s="5">
        <f>0.25*G922*F922</f>
        <v>28.025000000000002</v>
      </c>
      <c r="I922" s="5"/>
      <c r="J922" s="5"/>
      <c r="K922" s="5"/>
      <c r="L922" s="5"/>
      <c r="M922" s="5"/>
      <c r="N922" s="5"/>
      <c r="O922" s="278"/>
    </row>
    <row r="923" spans="1:15" ht="20.100000000000001" hidden="1" customHeight="1" outlineLevel="2">
      <c r="A923" s="2192"/>
      <c r="B923" s="2193"/>
      <c r="C923" s="2193"/>
      <c r="D923" s="2193"/>
      <c r="E923" s="2193"/>
      <c r="F923" s="2193"/>
      <c r="G923" s="2194"/>
      <c r="H923" s="205">
        <f t="shared" ref="H923:O923" si="126">SUM(H913:H922)</f>
        <v>28.025000000000002</v>
      </c>
      <c r="I923" s="205">
        <f>SUM(I913:I922)</f>
        <v>22.344000000000005</v>
      </c>
      <c r="J923" s="205">
        <f t="shared" si="126"/>
        <v>55.1</v>
      </c>
      <c r="K923" s="205">
        <f t="shared" si="126"/>
        <v>20.925000000000001</v>
      </c>
      <c r="L923" s="205">
        <f t="shared" si="126"/>
        <v>0</v>
      </c>
      <c r="M923" s="205">
        <f t="shared" si="126"/>
        <v>0</v>
      </c>
      <c r="N923" s="205">
        <f t="shared" si="126"/>
        <v>282</v>
      </c>
      <c r="O923" s="279">
        <f t="shared" si="126"/>
        <v>96</v>
      </c>
    </row>
    <row r="924" spans="1:15" ht="20.100000000000001" hidden="1" customHeight="1" outlineLevel="2">
      <c r="A924" s="2192"/>
      <c r="B924" s="2193"/>
      <c r="C924" s="2193"/>
      <c r="D924" s="2193"/>
      <c r="E924" s="2193"/>
      <c r="F924" s="2193"/>
      <c r="G924" s="2194"/>
      <c r="H924" s="2242">
        <f>SUM(H923:O923)</f>
        <v>504.39400000000001</v>
      </c>
      <c r="I924" s="2193"/>
      <c r="J924" s="2193"/>
      <c r="K924" s="2193"/>
      <c r="L924" s="2193"/>
      <c r="M924" s="2193"/>
      <c r="N924" s="2193"/>
      <c r="O924" s="2243"/>
    </row>
    <row r="925" spans="1:15" ht="20.100000000000001" hidden="1" customHeight="1" outlineLevel="2">
      <c r="A925" s="14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278"/>
    </row>
    <row r="926" spans="1:15" ht="20.100000000000001" hidden="1" customHeight="1" outlineLevel="2">
      <c r="A926" s="277" t="s">
        <v>405</v>
      </c>
      <c r="B926" s="5"/>
      <c r="C926" s="5">
        <v>3</v>
      </c>
      <c r="D926" s="5">
        <v>1</v>
      </c>
      <c r="E926" s="5">
        <v>3</v>
      </c>
      <c r="F926" s="5">
        <f t="shared" ref="F926:F948" si="127">+E926*D926</f>
        <v>3</v>
      </c>
      <c r="G926" s="5">
        <f t="shared" ref="G926:G948" si="128">+C926</f>
        <v>3</v>
      </c>
      <c r="H926" s="5"/>
      <c r="I926" s="5"/>
      <c r="J926" s="5"/>
      <c r="K926" s="5"/>
      <c r="L926" s="5"/>
      <c r="M926" s="5"/>
      <c r="N926" s="5"/>
      <c r="O926" s="278">
        <f>6.4*G926*F926</f>
        <v>57.600000000000009</v>
      </c>
    </row>
    <row r="927" spans="1:15" ht="20.100000000000001" hidden="1" customHeight="1" outlineLevel="2">
      <c r="A927" s="145"/>
      <c r="B927" s="5"/>
      <c r="C927" s="5">
        <v>7.5</v>
      </c>
      <c r="D927" s="5">
        <v>1</v>
      </c>
      <c r="E927" s="5">
        <v>3</v>
      </c>
      <c r="F927" s="5">
        <f t="shared" si="127"/>
        <v>3</v>
      </c>
      <c r="G927" s="5">
        <f t="shared" si="128"/>
        <v>7.5</v>
      </c>
      <c r="H927" s="5"/>
      <c r="I927" s="5"/>
      <c r="J927" s="5"/>
      <c r="K927" s="5"/>
      <c r="L927" s="5"/>
      <c r="M927" s="5"/>
      <c r="N927" s="5"/>
      <c r="O927" s="278">
        <f>6.4*G927*F927</f>
        <v>144</v>
      </c>
    </row>
    <row r="928" spans="1:15" ht="20.100000000000001" hidden="1" customHeight="1" outlineLevel="2">
      <c r="A928" s="145"/>
      <c r="B928" s="5"/>
      <c r="C928" s="5">
        <v>3.7</v>
      </c>
      <c r="D928" s="5">
        <v>1</v>
      </c>
      <c r="E928" s="5">
        <v>3</v>
      </c>
      <c r="F928" s="5">
        <f t="shared" si="127"/>
        <v>3</v>
      </c>
      <c r="G928" s="5">
        <f t="shared" si="128"/>
        <v>3.7</v>
      </c>
      <c r="H928" s="5"/>
      <c r="I928" s="5"/>
      <c r="J928" s="5">
        <f>+G928*F928</f>
        <v>11.100000000000001</v>
      </c>
      <c r="K928" s="5"/>
      <c r="L928" s="5"/>
      <c r="M928" s="5"/>
      <c r="N928" s="5"/>
      <c r="O928" s="278"/>
    </row>
    <row r="929" spans="1:15" ht="20.100000000000001" hidden="1" customHeight="1" outlineLevel="2">
      <c r="A929" s="145"/>
      <c r="B929" s="5"/>
      <c r="C929" s="5">
        <v>4</v>
      </c>
      <c r="D929" s="5">
        <v>1</v>
      </c>
      <c r="E929" s="5">
        <v>2</v>
      </c>
      <c r="F929" s="5">
        <f t="shared" si="127"/>
        <v>2</v>
      </c>
      <c r="G929" s="5">
        <f t="shared" si="128"/>
        <v>4</v>
      </c>
      <c r="H929" s="5"/>
      <c r="I929" s="5"/>
      <c r="J929" s="5"/>
      <c r="K929" s="5"/>
      <c r="L929" s="5"/>
      <c r="M929" s="5"/>
      <c r="N929" s="5"/>
      <c r="O929" s="278">
        <f>6.4*G929*F929</f>
        <v>51.2</v>
      </c>
    </row>
    <row r="930" spans="1:15" ht="20.100000000000001" hidden="1" customHeight="1" outlineLevel="2">
      <c r="A930" s="145"/>
      <c r="B930" s="5"/>
      <c r="C930" s="5">
        <v>9.6</v>
      </c>
      <c r="D930" s="5">
        <v>1</v>
      </c>
      <c r="E930" s="5">
        <v>2</v>
      </c>
      <c r="F930" s="5">
        <f t="shared" si="127"/>
        <v>2</v>
      </c>
      <c r="G930" s="5">
        <f t="shared" si="128"/>
        <v>9.6</v>
      </c>
      <c r="H930" s="5"/>
      <c r="I930" s="5"/>
      <c r="J930" s="5"/>
      <c r="K930" s="5"/>
      <c r="L930" s="5"/>
      <c r="M930" s="5"/>
      <c r="N930" s="5"/>
      <c r="O930" s="278">
        <f>6.4*G930*F930</f>
        <v>122.88</v>
      </c>
    </row>
    <row r="931" spans="1:15" ht="20.100000000000001" hidden="1" customHeight="1" outlineLevel="2">
      <c r="A931" s="145"/>
      <c r="B931" s="5"/>
      <c r="C931" s="5">
        <v>4.5</v>
      </c>
      <c r="D931" s="5">
        <v>1</v>
      </c>
      <c r="E931" s="5">
        <v>2</v>
      </c>
      <c r="F931" s="5">
        <f t="shared" si="127"/>
        <v>2</v>
      </c>
      <c r="G931" s="5">
        <f t="shared" si="128"/>
        <v>4.5</v>
      </c>
      <c r="H931" s="5"/>
      <c r="I931" s="5"/>
      <c r="J931" s="5"/>
      <c r="K931" s="5"/>
      <c r="L931" s="5"/>
      <c r="M931" s="5"/>
      <c r="N931" s="5"/>
      <c r="O931" s="278">
        <f>6.4*G931*F931</f>
        <v>57.6</v>
      </c>
    </row>
    <row r="932" spans="1:15" ht="20.100000000000001" hidden="1" customHeight="1" outlineLevel="2">
      <c r="A932" s="145"/>
      <c r="B932" s="5"/>
      <c r="C932" s="5">
        <v>5</v>
      </c>
      <c r="D932" s="5">
        <v>1</v>
      </c>
      <c r="E932" s="5">
        <v>3</v>
      </c>
      <c r="F932" s="5">
        <f t="shared" si="127"/>
        <v>3</v>
      </c>
      <c r="G932" s="5">
        <f t="shared" si="128"/>
        <v>5</v>
      </c>
      <c r="H932" s="5"/>
      <c r="I932" s="5"/>
      <c r="J932" s="5"/>
      <c r="K932" s="5"/>
      <c r="L932" s="5"/>
      <c r="M932" s="5">
        <f>3*G932*F932</f>
        <v>45</v>
      </c>
      <c r="N932" s="5"/>
      <c r="O932" s="278"/>
    </row>
    <row r="933" spans="1:15" ht="20.100000000000001" hidden="1" customHeight="1" outlineLevel="2">
      <c r="A933" s="145"/>
      <c r="B933" s="5"/>
      <c r="C933" s="5">
        <v>12</v>
      </c>
      <c r="D933" s="5">
        <v>1</v>
      </c>
      <c r="E933" s="5">
        <v>2</v>
      </c>
      <c r="F933" s="5">
        <f t="shared" si="127"/>
        <v>2</v>
      </c>
      <c r="G933" s="5">
        <f t="shared" si="128"/>
        <v>12</v>
      </c>
      <c r="H933" s="5"/>
      <c r="I933" s="5"/>
      <c r="J933" s="5"/>
      <c r="K933" s="5"/>
      <c r="L933" s="5"/>
      <c r="M933" s="5"/>
      <c r="N933" s="5"/>
      <c r="O933" s="278">
        <f>6.4*G933*F933</f>
        <v>153.60000000000002</v>
      </c>
    </row>
    <row r="934" spans="1:15" ht="20.100000000000001" hidden="1" customHeight="1" outlineLevel="2">
      <c r="A934" s="145"/>
      <c r="B934" s="5"/>
      <c r="C934" s="5">
        <v>6</v>
      </c>
      <c r="D934" s="5">
        <v>1</v>
      </c>
      <c r="E934" s="5">
        <v>2</v>
      </c>
      <c r="F934" s="5">
        <f t="shared" si="127"/>
        <v>2</v>
      </c>
      <c r="G934" s="5">
        <f t="shared" si="128"/>
        <v>6</v>
      </c>
      <c r="H934" s="5"/>
      <c r="I934" s="5"/>
      <c r="J934" s="5"/>
      <c r="K934" s="5"/>
      <c r="L934" s="5"/>
      <c r="M934" s="5"/>
      <c r="N934" s="5"/>
      <c r="O934" s="278">
        <f>6.4*G934*F934</f>
        <v>76.800000000000011</v>
      </c>
    </row>
    <row r="935" spans="1:15" ht="20.100000000000001" hidden="1" customHeight="1" outlineLevel="2">
      <c r="A935" s="145"/>
      <c r="B935" s="5"/>
      <c r="C935" s="5">
        <v>6</v>
      </c>
      <c r="D935" s="5">
        <v>1</v>
      </c>
      <c r="E935" s="5">
        <v>2</v>
      </c>
      <c r="F935" s="5">
        <f t="shared" si="127"/>
        <v>2</v>
      </c>
      <c r="G935" s="5">
        <f t="shared" si="128"/>
        <v>6</v>
      </c>
      <c r="H935" s="5"/>
      <c r="I935" s="5"/>
      <c r="J935" s="5"/>
      <c r="K935" s="5"/>
      <c r="L935" s="5"/>
      <c r="M935" s="5"/>
      <c r="N935" s="5">
        <f>4*G935*F935</f>
        <v>48</v>
      </c>
      <c r="O935" s="278"/>
    </row>
    <row r="936" spans="1:15" ht="20.100000000000001" hidden="1" customHeight="1" outlineLevel="2">
      <c r="A936" s="145"/>
      <c r="B936" s="5"/>
      <c r="C936" s="5">
        <v>7</v>
      </c>
      <c r="D936" s="5">
        <v>1</v>
      </c>
      <c r="E936" s="5">
        <v>3</v>
      </c>
      <c r="F936" s="5">
        <f t="shared" si="127"/>
        <v>3</v>
      </c>
      <c r="G936" s="5">
        <f t="shared" si="128"/>
        <v>7</v>
      </c>
      <c r="H936" s="5"/>
      <c r="I936" s="5"/>
      <c r="J936" s="5"/>
      <c r="K936" s="5"/>
      <c r="L936" s="5"/>
      <c r="M936" s="5"/>
      <c r="N936" s="5"/>
      <c r="O936" s="278">
        <f>6.4*G936*F936</f>
        <v>134.4</v>
      </c>
    </row>
    <row r="937" spans="1:15" ht="20.100000000000001" hidden="1" customHeight="1" outlineLevel="2">
      <c r="A937" s="145"/>
      <c r="B937" s="5"/>
      <c r="C937" s="5">
        <v>10.5</v>
      </c>
      <c r="D937" s="5">
        <v>1</v>
      </c>
      <c r="E937" s="5">
        <v>2</v>
      </c>
      <c r="F937" s="5">
        <f t="shared" si="127"/>
        <v>2</v>
      </c>
      <c r="G937" s="5">
        <f t="shared" si="128"/>
        <v>10.5</v>
      </c>
      <c r="H937" s="5"/>
      <c r="I937" s="5"/>
      <c r="J937" s="5"/>
      <c r="K937" s="5"/>
      <c r="L937" s="5"/>
      <c r="M937" s="5"/>
      <c r="N937" s="5"/>
      <c r="O937" s="278">
        <f>6.4*G937*F937</f>
        <v>134.4</v>
      </c>
    </row>
    <row r="938" spans="1:15" ht="20.100000000000001" hidden="1" customHeight="1" outlineLevel="2">
      <c r="A938" s="145"/>
      <c r="B938" s="5"/>
      <c r="C938" s="5">
        <v>3</v>
      </c>
      <c r="D938" s="5">
        <v>1</v>
      </c>
      <c r="E938" s="5">
        <v>4</v>
      </c>
      <c r="F938" s="5">
        <f t="shared" si="127"/>
        <v>4</v>
      </c>
      <c r="G938" s="5">
        <f t="shared" si="128"/>
        <v>3</v>
      </c>
      <c r="H938" s="5"/>
      <c r="I938" s="5"/>
      <c r="J938" s="5"/>
      <c r="K938" s="5"/>
      <c r="L938" s="5"/>
      <c r="M938" s="5"/>
      <c r="N938" s="5"/>
      <c r="O938" s="278">
        <f>6.4*G938*F938</f>
        <v>76.800000000000011</v>
      </c>
    </row>
    <row r="939" spans="1:15" ht="20.100000000000001" hidden="1" customHeight="1" outlineLevel="2">
      <c r="A939" s="145"/>
      <c r="B939" s="5"/>
      <c r="C939" s="5">
        <v>3</v>
      </c>
      <c r="D939" s="5">
        <v>1</v>
      </c>
      <c r="E939" s="5">
        <v>3</v>
      </c>
      <c r="F939" s="5">
        <f t="shared" si="127"/>
        <v>3</v>
      </c>
      <c r="G939" s="5">
        <f t="shared" si="128"/>
        <v>3</v>
      </c>
      <c r="H939" s="5"/>
      <c r="I939" s="5"/>
      <c r="J939" s="5"/>
      <c r="K939" s="5">
        <f>1.55*G939*F939</f>
        <v>13.950000000000001</v>
      </c>
      <c r="L939" s="5"/>
      <c r="M939" s="5"/>
      <c r="N939" s="5"/>
      <c r="O939" s="278"/>
    </row>
    <row r="940" spans="1:15" ht="20.100000000000001" hidden="1" customHeight="1" outlineLevel="2">
      <c r="A940" s="145"/>
      <c r="B940" s="5"/>
      <c r="C940" s="5">
        <v>9</v>
      </c>
      <c r="D940" s="5">
        <v>1</v>
      </c>
      <c r="E940" s="5">
        <v>2</v>
      </c>
      <c r="F940" s="5">
        <f t="shared" si="127"/>
        <v>2</v>
      </c>
      <c r="G940" s="5">
        <f t="shared" si="128"/>
        <v>9</v>
      </c>
      <c r="H940" s="5"/>
      <c r="I940" s="5"/>
      <c r="J940" s="5"/>
      <c r="K940" s="5"/>
      <c r="L940" s="5">
        <f>2.24*G940*F940</f>
        <v>40.320000000000007</v>
      </c>
      <c r="M940" s="5"/>
      <c r="N940" s="5"/>
      <c r="O940" s="278"/>
    </row>
    <row r="941" spans="1:15" ht="20.100000000000001" hidden="1" customHeight="1" outlineLevel="2">
      <c r="A941" s="145"/>
      <c r="B941" s="5"/>
      <c r="C941" s="5">
        <v>9</v>
      </c>
      <c r="D941" s="5">
        <v>1</v>
      </c>
      <c r="E941" s="5">
        <v>1</v>
      </c>
      <c r="F941" s="5">
        <f t="shared" si="127"/>
        <v>1</v>
      </c>
      <c r="G941" s="5">
        <f t="shared" si="128"/>
        <v>9</v>
      </c>
      <c r="H941" s="5"/>
      <c r="I941" s="5"/>
      <c r="J941" s="5"/>
      <c r="K941" s="5">
        <f>1.55*G941*F941</f>
        <v>13.950000000000001</v>
      </c>
      <c r="L941" s="5"/>
      <c r="M941" s="5"/>
      <c r="N941" s="5"/>
      <c r="O941" s="278"/>
    </row>
    <row r="942" spans="1:15" ht="20.100000000000001" hidden="1" customHeight="1" outlineLevel="2">
      <c r="A942" s="145"/>
      <c r="B942" s="5"/>
      <c r="C942" s="5">
        <v>8.6</v>
      </c>
      <c r="D942" s="5">
        <v>1</v>
      </c>
      <c r="E942" s="5">
        <v>2</v>
      </c>
      <c r="F942" s="5">
        <f t="shared" si="127"/>
        <v>2</v>
      </c>
      <c r="G942" s="5">
        <f t="shared" si="128"/>
        <v>8.6</v>
      </c>
      <c r="H942" s="5"/>
      <c r="I942" s="5"/>
      <c r="J942" s="5"/>
      <c r="K942" s="5"/>
      <c r="L942" s="5">
        <f>2.24*G942*F942</f>
        <v>38.527999999999999</v>
      </c>
      <c r="M942" s="5"/>
      <c r="N942" s="5"/>
      <c r="O942" s="278"/>
    </row>
    <row r="943" spans="1:15" ht="20.100000000000001" hidden="1" customHeight="1" outlineLevel="2">
      <c r="A943" s="145"/>
      <c r="B943" s="5"/>
      <c r="C943" s="5">
        <v>4</v>
      </c>
      <c r="D943" s="5">
        <v>1</v>
      </c>
      <c r="E943" s="5">
        <v>2</v>
      </c>
      <c r="F943" s="5">
        <f t="shared" si="127"/>
        <v>2</v>
      </c>
      <c r="G943" s="5">
        <f t="shared" si="128"/>
        <v>4</v>
      </c>
      <c r="H943" s="5"/>
      <c r="I943" s="5"/>
      <c r="J943" s="5"/>
      <c r="K943" s="5"/>
      <c r="L943" s="5">
        <f>2.24*G943*F943</f>
        <v>17.920000000000002</v>
      </c>
      <c r="M943" s="5"/>
      <c r="N943" s="5"/>
      <c r="O943" s="278"/>
    </row>
    <row r="944" spans="1:15" ht="20.100000000000001" hidden="1" customHeight="1" outlineLevel="2">
      <c r="A944" s="145"/>
      <c r="B944" s="5"/>
      <c r="C944" s="5">
        <f>(0.55*2)+(0.35*2)+(0.05*2)</f>
        <v>1.9000000000000001</v>
      </c>
      <c r="D944" s="5">
        <v>1</v>
      </c>
      <c r="E944" s="5">
        <v>54</v>
      </c>
      <c r="F944" s="5">
        <f t="shared" si="127"/>
        <v>54</v>
      </c>
      <c r="G944" s="5">
        <f t="shared" si="128"/>
        <v>1.9000000000000001</v>
      </c>
      <c r="H944" s="5"/>
      <c r="I944" s="5">
        <f>0.56*G944*F944</f>
        <v>57.456000000000017</v>
      </c>
      <c r="J944" s="5"/>
      <c r="K944" s="5"/>
      <c r="L944" s="5"/>
      <c r="M944" s="5"/>
      <c r="N944" s="5"/>
      <c r="O944" s="278"/>
    </row>
    <row r="945" spans="1:15" ht="20.100000000000001" hidden="1" customHeight="1" outlineLevel="2">
      <c r="A945" s="145"/>
      <c r="B945" s="5"/>
      <c r="C945" s="5">
        <f>(0.55*2)+(0.45*2)+(0.05*2)</f>
        <v>2.1</v>
      </c>
      <c r="D945" s="5">
        <v>1</v>
      </c>
      <c r="E945" s="5">
        <v>43</v>
      </c>
      <c r="F945" s="5">
        <f t="shared" si="127"/>
        <v>43</v>
      </c>
      <c r="G945" s="5">
        <f t="shared" si="128"/>
        <v>2.1</v>
      </c>
      <c r="H945" s="5"/>
      <c r="I945" s="5"/>
      <c r="J945" s="5">
        <f>+G945*F945</f>
        <v>90.3</v>
      </c>
      <c r="K945" s="5"/>
      <c r="L945" s="5"/>
      <c r="M945" s="5"/>
      <c r="N945" s="5"/>
      <c r="O945" s="278"/>
    </row>
    <row r="946" spans="1:15" ht="20.100000000000001" hidden="1" customHeight="1" outlineLevel="2">
      <c r="A946" s="145"/>
      <c r="B946" s="5"/>
      <c r="C946" s="5">
        <f>(0.55*2)+(0.45*2)+(0.05*2)</f>
        <v>2.1</v>
      </c>
      <c r="D946" s="5">
        <v>1</v>
      </c>
      <c r="E946" s="5">
        <v>35</v>
      </c>
      <c r="F946" s="5">
        <f t="shared" si="127"/>
        <v>35</v>
      </c>
      <c r="G946" s="5">
        <f t="shared" si="128"/>
        <v>2.1</v>
      </c>
      <c r="H946" s="5"/>
      <c r="I946" s="5"/>
      <c r="J946" s="5"/>
      <c r="K946" s="5">
        <f>1.55*G946*F946</f>
        <v>113.92500000000001</v>
      </c>
      <c r="L946" s="5"/>
      <c r="M946" s="5"/>
      <c r="N946" s="5"/>
      <c r="O946" s="278"/>
    </row>
    <row r="947" spans="1:15" ht="20.100000000000001" hidden="1" customHeight="1" outlineLevel="2">
      <c r="A947" s="145"/>
      <c r="B947" s="5"/>
      <c r="C947" s="5">
        <f>0.55+(0.05*2)</f>
        <v>0.65</v>
      </c>
      <c r="D947" s="5">
        <v>1</v>
      </c>
      <c r="E947" s="5">
        <v>43</v>
      </c>
      <c r="F947" s="5">
        <f t="shared" si="127"/>
        <v>43</v>
      </c>
      <c r="G947" s="5">
        <f t="shared" si="128"/>
        <v>0.65</v>
      </c>
      <c r="H947" s="5"/>
      <c r="I947" s="5"/>
      <c r="J947" s="5">
        <f>+G947*F947</f>
        <v>27.95</v>
      </c>
      <c r="K947" s="5"/>
      <c r="L947" s="5"/>
      <c r="M947" s="5"/>
      <c r="N947" s="5"/>
      <c r="O947" s="278"/>
    </row>
    <row r="948" spans="1:15" ht="20.100000000000001" hidden="1" customHeight="1" outlineLevel="2">
      <c r="A948" s="145"/>
      <c r="B948" s="5"/>
      <c r="C948" s="5">
        <f>0.55+(0.05*2)</f>
        <v>0.65</v>
      </c>
      <c r="D948" s="5">
        <v>1</v>
      </c>
      <c r="E948" s="5">
        <v>35</v>
      </c>
      <c r="F948" s="5">
        <f t="shared" si="127"/>
        <v>35</v>
      </c>
      <c r="G948" s="5">
        <f t="shared" si="128"/>
        <v>0.65</v>
      </c>
      <c r="H948" s="5"/>
      <c r="I948" s="5"/>
      <c r="J948" s="5"/>
      <c r="K948" s="5">
        <f>1.55*G948*F948</f>
        <v>35.262500000000003</v>
      </c>
      <c r="L948" s="5"/>
      <c r="M948" s="5"/>
      <c r="N948" s="5"/>
      <c r="O948" s="278"/>
    </row>
    <row r="949" spans="1:15" ht="20.100000000000001" hidden="1" customHeight="1" outlineLevel="2">
      <c r="A949" s="2192"/>
      <c r="B949" s="2193"/>
      <c r="C949" s="2193"/>
      <c r="D949" s="2193"/>
      <c r="E949" s="2193"/>
      <c r="F949" s="2193"/>
      <c r="G949" s="2194"/>
      <c r="H949" s="205">
        <f t="shared" ref="H949:O949" si="129">SUM(H926:H948)</f>
        <v>0</v>
      </c>
      <c r="I949" s="205">
        <f t="shared" si="129"/>
        <v>57.456000000000017</v>
      </c>
      <c r="J949" s="205">
        <f t="shared" si="129"/>
        <v>129.35</v>
      </c>
      <c r="K949" s="205">
        <f t="shared" si="129"/>
        <v>177.08750000000003</v>
      </c>
      <c r="L949" s="205">
        <f t="shared" si="129"/>
        <v>96.768000000000015</v>
      </c>
      <c r="M949" s="205">
        <f t="shared" si="129"/>
        <v>45</v>
      </c>
      <c r="N949" s="205">
        <f t="shared" si="129"/>
        <v>48</v>
      </c>
      <c r="O949" s="279">
        <f t="shared" si="129"/>
        <v>1009.28</v>
      </c>
    </row>
    <row r="950" spans="1:15" ht="20.100000000000001" hidden="1" customHeight="1" outlineLevel="2">
      <c r="A950" s="2192"/>
      <c r="B950" s="2193"/>
      <c r="C950" s="2193"/>
      <c r="D950" s="2193"/>
      <c r="E950" s="2193"/>
      <c r="F950" s="2193"/>
      <c r="G950" s="2194"/>
      <c r="H950" s="2242">
        <f>SUM(H949:O949)</f>
        <v>1562.9414999999999</v>
      </c>
      <c r="I950" s="2193"/>
      <c r="J950" s="2193"/>
      <c r="K950" s="2193"/>
      <c r="L950" s="2193"/>
      <c r="M950" s="2193"/>
      <c r="N950" s="2193"/>
      <c r="O950" s="2243"/>
    </row>
    <row r="951" spans="1:15" ht="20.100000000000001" hidden="1" customHeight="1" outlineLevel="2">
      <c r="A951" s="14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278"/>
    </row>
    <row r="952" spans="1:15" ht="20.100000000000001" hidden="1" customHeight="1" outlineLevel="2">
      <c r="A952" s="277" t="s">
        <v>406</v>
      </c>
      <c r="B952" s="5"/>
      <c r="C952" s="5">
        <v>8</v>
      </c>
      <c r="D952" s="5">
        <v>1</v>
      </c>
      <c r="E952" s="5">
        <v>3</v>
      </c>
      <c r="F952" s="5">
        <f t="shared" ref="F952:F975" si="130">+E952*D952</f>
        <v>3</v>
      </c>
      <c r="G952" s="5">
        <f t="shared" ref="G952:G975" si="131">+C952</f>
        <v>8</v>
      </c>
      <c r="H952" s="5"/>
      <c r="I952" s="5"/>
      <c r="J952" s="5"/>
      <c r="K952" s="5"/>
      <c r="L952" s="5">
        <f>2.24*G952*F952</f>
        <v>53.760000000000005</v>
      </c>
      <c r="M952" s="5"/>
      <c r="N952" s="5"/>
      <c r="O952" s="278"/>
    </row>
    <row r="953" spans="1:15" ht="20.100000000000001" hidden="1" customHeight="1" outlineLevel="2">
      <c r="A953" s="145"/>
      <c r="B953" s="5"/>
      <c r="C953" s="5">
        <v>4.8</v>
      </c>
      <c r="D953" s="5">
        <v>1</v>
      </c>
      <c r="E953" s="5">
        <v>3</v>
      </c>
      <c r="F953" s="5">
        <f t="shared" si="130"/>
        <v>3</v>
      </c>
      <c r="G953" s="5">
        <f t="shared" si="131"/>
        <v>4.8</v>
      </c>
      <c r="H953" s="5"/>
      <c r="I953" s="5"/>
      <c r="J953" s="5"/>
      <c r="K953" s="5">
        <f>1.55*G953*F953</f>
        <v>22.32</v>
      </c>
      <c r="L953" s="5"/>
      <c r="M953" s="5"/>
      <c r="N953" s="5"/>
      <c r="O953" s="278"/>
    </row>
    <row r="954" spans="1:15" ht="20.100000000000001" hidden="1" customHeight="1" outlineLevel="2">
      <c r="A954" s="145"/>
      <c r="B954" s="5"/>
      <c r="C954" s="5">
        <v>3</v>
      </c>
      <c r="D954" s="5">
        <v>1</v>
      </c>
      <c r="E954" s="5">
        <v>2</v>
      </c>
      <c r="F954" s="5">
        <f t="shared" si="130"/>
        <v>2</v>
      </c>
      <c r="G954" s="5">
        <f t="shared" si="131"/>
        <v>3</v>
      </c>
      <c r="H954" s="5"/>
      <c r="I954" s="5"/>
      <c r="J954" s="5"/>
      <c r="K954" s="5"/>
      <c r="L954" s="5">
        <f>2.24*G954*F954</f>
        <v>13.440000000000001</v>
      </c>
      <c r="M954" s="5"/>
      <c r="N954" s="5"/>
      <c r="O954" s="278"/>
    </row>
    <row r="955" spans="1:15" ht="20.100000000000001" hidden="1" customHeight="1" outlineLevel="2">
      <c r="A955" s="145"/>
      <c r="B955" s="5"/>
      <c r="C955" s="5">
        <v>9.5</v>
      </c>
      <c r="D955" s="5">
        <v>1</v>
      </c>
      <c r="E955" s="5">
        <v>2</v>
      </c>
      <c r="F955" s="5">
        <f t="shared" si="130"/>
        <v>2</v>
      </c>
      <c r="G955" s="5">
        <f t="shared" si="131"/>
        <v>9.5</v>
      </c>
      <c r="H955" s="5"/>
      <c r="I955" s="5"/>
      <c r="J955" s="5"/>
      <c r="K955" s="5"/>
      <c r="L955" s="5">
        <f>2.24*G955*F955</f>
        <v>42.56</v>
      </c>
      <c r="M955" s="5"/>
      <c r="N955" s="5"/>
      <c r="O955" s="278"/>
    </row>
    <row r="956" spans="1:15" ht="20.100000000000001" hidden="1" customHeight="1" outlineLevel="2">
      <c r="A956" s="145"/>
      <c r="B956" s="5"/>
      <c r="C956" s="5">
        <v>4</v>
      </c>
      <c r="D956" s="5">
        <v>1</v>
      </c>
      <c r="E956" s="5">
        <v>4</v>
      </c>
      <c r="F956" s="5">
        <f t="shared" si="130"/>
        <v>4</v>
      </c>
      <c r="G956" s="5">
        <f t="shared" si="131"/>
        <v>4</v>
      </c>
      <c r="H956" s="5"/>
      <c r="I956" s="5"/>
      <c r="J956" s="5"/>
      <c r="K956" s="5"/>
      <c r="L956" s="5"/>
      <c r="M956" s="5"/>
      <c r="N956" s="5">
        <f>4*G956*F956</f>
        <v>64</v>
      </c>
      <c r="O956" s="278"/>
    </row>
    <row r="957" spans="1:15" ht="20.100000000000001" hidden="1" customHeight="1" outlineLevel="2">
      <c r="A957" s="145"/>
      <c r="B957" s="5"/>
      <c r="C957" s="5">
        <v>4</v>
      </c>
      <c r="D957" s="5">
        <v>1</v>
      </c>
      <c r="E957" s="5">
        <v>2</v>
      </c>
      <c r="F957" s="5">
        <f t="shared" si="130"/>
        <v>2</v>
      </c>
      <c r="G957" s="5">
        <f t="shared" si="131"/>
        <v>4</v>
      </c>
      <c r="H957" s="5"/>
      <c r="I957" s="5"/>
      <c r="J957" s="5"/>
      <c r="K957" s="5"/>
      <c r="L957" s="5"/>
      <c r="M957" s="5">
        <f>3*G957*F957</f>
        <v>24</v>
      </c>
      <c r="N957" s="5"/>
      <c r="O957" s="278"/>
    </row>
    <row r="958" spans="1:15" ht="20.100000000000001" hidden="1" customHeight="1" outlineLevel="2">
      <c r="A958" s="145"/>
      <c r="B958" s="5"/>
      <c r="C958" s="5">
        <v>5.5</v>
      </c>
      <c r="D958" s="5">
        <v>1</v>
      </c>
      <c r="E958" s="5">
        <v>2</v>
      </c>
      <c r="F958" s="5">
        <f t="shared" si="130"/>
        <v>2</v>
      </c>
      <c r="G958" s="5">
        <f t="shared" si="131"/>
        <v>5.5</v>
      </c>
      <c r="H958" s="5"/>
      <c r="I958" s="5"/>
      <c r="J958" s="5"/>
      <c r="K958" s="5"/>
      <c r="L958" s="5"/>
      <c r="M958" s="5"/>
      <c r="N958" s="5">
        <f>4*G958*F958</f>
        <v>44</v>
      </c>
      <c r="O958" s="278"/>
    </row>
    <row r="959" spans="1:15" ht="20.100000000000001" hidden="1" customHeight="1" outlineLevel="2">
      <c r="A959" s="145"/>
      <c r="B959" s="5"/>
      <c r="C959" s="5">
        <v>5</v>
      </c>
      <c r="D959" s="5">
        <v>1</v>
      </c>
      <c r="E959" s="5">
        <v>4</v>
      </c>
      <c r="F959" s="5">
        <f t="shared" si="130"/>
        <v>4</v>
      </c>
      <c r="G959" s="5">
        <f t="shared" si="131"/>
        <v>5</v>
      </c>
      <c r="H959" s="5"/>
      <c r="I959" s="5"/>
      <c r="J959" s="5"/>
      <c r="K959" s="5"/>
      <c r="L959" s="5">
        <f>2.24*G959*F959</f>
        <v>44.800000000000004</v>
      </c>
      <c r="M959" s="5"/>
      <c r="N959" s="5"/>
      <c r="O959" s="278"/>
    </row>
    <row r="960" spans="1:15" ht="20.100000000000001" hidden="1" customHeight="1" outlineLevel="2">
      <c r="A960" s="145"/>
      <c r="B960" s="5"/>
      <c r="C960" s="5">
        <v>5</v>
      </c>
      <c r="D960" s="5">
        <v>1</v>
      </c>
      <c r="E960" s="5">
        <v>2</v>
      </c>
      <c r="F960" s="5">
        <f t="shared" si="130"/>
        <v>2</v>
      </c>
      <c r="G960" s="5">
        <f t="shared" si="131"/>
        <v>5</v>
      </c>
      <c r="H960" s="5"/>
      <c r="I960" s="5"/>
      <c r="J960" s="5"/>
      <c r="K960" s="5">
        <f>1.55*G960*F960</f>
        <v>15.5</v>
      </c>
      <c r="L960" s="5"/>
      <c r="M960" s="5"/>
      <c r="N960" s="5"/>
      <c r="O960" s="278"/>
    </row>
    <row r="961" spans="1:15" ht="20.100000000000001" hidden="1" customHeight="1" outlineLevel="2">
      <c r="A961" s="145"/>
      <c r="B961" s="5"/>
      <c r="C961" s="5">
        <v>7</v>
      </c>
      <c r="D961" s="5">
        <v>1</v>
      </c>
      <c r="E961" s="5">
        <v>2</v>
      </c>
      <c r="F961" s="5">
        <f t="shared" si="130"/>
        <v>2</v>
      </c>
      <c r="G961" s="5">
        <f t="shared" si="131"/>
        <v>7</v>
      </c>
      <c r="H961" s="5"/>
      <c r="I961" s="5"/>
      <c r="J961" s="5"/>
      <c r="K961" s="5"/>
      <c r="L961" s="5"/>
      <c r="M961" s="5"/>
      <c r="N961" s="5">
        <f>4*G961*F961</f>
        <v>56</v>
      </c>
      <c r="O961" s="278"/>
    </row>
    <row r="962" spans="1:15" ht="20.100000000000001" hidden="1" customHeight="1" outlineLevel="2">
      <c r="A962" s="145"/>
      <c r="B962" s="5"/>
      <c r="C962" s="5">
        <v>7</v>
      </c>
      <c r="D962" s="5">
        <v>1</v>
      </c>
      <c r="E962" s="5">
        <v>1</v>
      </c>
      <c r="F962" s="5">
        <f t="shared" si="130"/>
        <v>1</v>
      </c>
      <c r="G962" s="5">
        <f t="shared" si="131"/>
        <v>7</v>
      </c>
      <c r="H962" s="5"/>
      <c r="I962" s="5"/>
      <c r="J962" s="5"/>
      <c r="K962" s="5">
        <f>1.55*G962*F962</f>
        <v>10.85</v>
      </c>
      <c r="L962" s="5"/>
      <c r="M962" s="5"/>
      <c r="N962" s="5"/>
      <c r="O962" s="278"/>
    </row>
    <row r="963" spans="1:15" ht="20.100000000000001" hidden="1" customHeight="1" outlineLevel="2">
      <c r="A963" s="145"/>
      <c r="B963" s="5"/>
      <c r="C963" s="5">
        <v>6</v>
      </c>
      <c r="D963" s="5">
        <v>1</v>
      </c>
      <c r="E963" s="5">
        <v>3</v>
      </c>
      <c r="F963" s="5">
        <f t="shared" si="130"/>
        <v>3</v>
      </c>
      <c r="G963" s="5">
        <f t="shared" si="131"/>
        <v>6</v>
      </c>
      <c r="H963" s="5"/>
      <c r="I963" s="5"/>
      <c r="J963" s="5"/>
      <c r="K963" s="5"/>
      <c r="L963" s="5"/>
      <c r="M963" s="5">
        <f>3*G963*F963</f>
        <v>54</v>
      </c>
      <c r="N963" s="5"/>
      <c r="O963" s="278"/>
    </row>
    <row r="964" spans="1:15" ht="20.100000000000001" hidden="1" customHeight="1" outlineLevel="2">
      <c r="A964" s="145"/>
      <c r="B964" s="5"/>
      <c r="C964" s="5">
        <v>12</v>
      </c>
      <c r="D964" s="5">
        <v>1</v>
      </c>
      <c r="E964" s="5">
        <v>1</v>
      </c>
      <c r="F964" s="5">
        <f t="shared" si="130"/>
        <v>1</v>
      </c>
      <c r="G964" s="5">
        <f t="shared" si="131"/>
        <v>12</v>
      </c>
      <c r="H964" s="5"/>
      <c r="I964" s="5"/>
      <c r="J964" s="5"/>
      <c r="K964" s="5"/>
      <c r="L964" s="5"/>
      <c r="M964" s="5">
        <f>3*G964*F964</f>
        <v>36</v>
      </c>
      <c r="N964" s="5"/>
      <c r="O964" s="278"/>
    </row>
    <row r="965" spans="1:15" ht="20.100000000000001" hidden="1" customHeight="1" outlineLevel="2">
      <c r="A965" s="145"/>
      <c r="B965" s="5"/>
      <c r="C965" s="5">
        <v>12</v>
      </c>
      <c r="D965" s="5">
        <v>1</v>
      </c>
      <c r="E965" s="5">
        <v>1</v>
      </c>
      <c r="F965" s="5">
        <f t="shared" si="130"/>
        <v>1</v>
      </c>
      <c r="G965" s="5">
        <f t="shared" si="131"/>
        <v>12</v>
      </c>
      <c r="H965" s="5"/>
      <c r="I965" s="5"/>
      <c r="J965" s="5"/>
      <c r="K965" s="5"/>
      <c r="L965" s="5"/>
      <c r="M965" s="5"/>
      <c r="N965" s="5">
        <f>4*G965*F965</f>
        <v>48</v>
      </c>
      <c r="O965" s="278"/>
    </row>
    <row r="966" spans="1:15" ht="20.100000000000001" hidden="1" customHeight="1" outlineLevel="2">
      <c r="A966" s="145"/>
      <c r="B966" s="5"/>
      <c r="C966" s="5">
        <v>10</v>
      </c>
      <c r="D966" s="5">
        <v>1</v>
      </c>
      <c r="E966" s="5">
        <v>1</v>
      </c>
      <c r="F966" s="5">
        <f t="shared" si="130"/>
        <v>1</v>
      </c>
      <c r="G966" s="5">
        <f t="shared" si="131"/>
        <v>10</v>
      </c>
      <c r="H966" s="5"/>
      <c r="I966" s="5"/>
      <c r="J966" s="5"/>
      <c r="K966" s="5"/>
      <c r="L966" s="5"/>
      <c r="M966" s="5"/>
      <c r="N966" s="5">
        <f>4*G966*F966</f>
        <v>40</v>
      </c>
      <c r="O966" s="278"/>
    </row>
    <row r="967" spans="1:15" ht="20.100000000000001" hidden="1" customHeight="1" outlineLevel="2">
      <c r="A967" s="145"/>
      <c r="B967" s="5"/>
      <c r="C967" s="5">
        <v>10</v>
      </c>
      <c r="D967" s="5">
        <v>1</v>
      </c>
      <c r="E967" s="5">
        <v>1</v>
      </c>
      <c r="F967" s="5">
        <f t="shared" si="130"/>
        <v>1</v>
      </c>
      <c r="G967" s="5">
        <f t="shared" si="131"/>
        <v>10</v>
      </c>
      <c r="H967" s="5"/>
      <c r="I967" s="5"/>
      <c r="J967" s="5"/>
      <c r="K967" s="5"/>
      <c r="L967" s="5"/>
      <c r="M967" s="5">
        <f>3*G967*F967</f>
        <v>30</v>
      </c>
      <c r="N967" s="5"/>
      <c r="O967" s="278"/>
    </row>
    <row r="968" spans="1:15" ht="20.100000000000001" hidden="1" customHeight="1" outlineLevel="2">
      <c r="A968" s="145"/>
      <c r="B968" s="5"/>
      <c r="C968" s="5">
        <v>3</v>
      </c>
      <c r="D968" s="5">
        <v>1</v>
      </c>
      <c r="E968" s="5">
        <v>3</v>
      </c>
      <c r="F968" s="5">
        <f t="shared" si="130"/>
        <v>3</v>
      </c>
      <c r="G968" s="5">
        <f t="shared" si="131"/>
        <v>3</v>
      </c>
      <c r="H968" s="5"/>
      <c r="I968" s="5"/>
      <c r="J968" s="5"/>
      <c r="K968" s="5"/>
      <c r="L968" s="5"/>
      <c r="M968" s="5"/>
      <c r="N968" s="5"/>
      <c r="O968" s="278">
        <f>6.4*G968*F968</f>
        <v>57.600000000000009</v>
      </c>
    </row>
    <row r="969" spans="1:15" ht="20.100000000000001" hidden="1" customHeight="1" outlineLevel="2">
      <c r="A969" s="145"/>
      <c r="B969" s="5"/>
      <c r="C969" s="5">
        <v>4.3</v>
      </c>
      <c r="D969" s="5">
        <v>1</v>
      </c>
      <c r="E969" s="5">
        <v>3</v>
      </c>
      <c r="F969" s="5">
        <f t="shared" si="130"/>
        <v>3</v>
      </c>
      <c r="G969" s="5">
        <f t="shared" si="131"/>
        <v>4.3</v>
      </c>
      <c r="H969" s="5"/>
      <c r="I969" s="5"/>
      <c r="J969" s="5"/>
      <c r="K969" s="5"/>
      <c r="L969" s="5"/>
      <c r="M969" s="5"/>
      <c r="N969" s="5">
        <f>4*G969*F969</f>
        <v>51.599999999999994</v>
      </c>
      <c r="O969" s="278"/>
    </row>
    <row r="970" spans="1:15" ht="20.100000000000001" hidden="1" customHeight="1" outlineLevel="2">
      <c r="A970" s="145"/>
      <c r="B970" s="5"/>
      <c r="C970" s="5">
        <v>8.5</v>
      </c>
      <c r="D970" s="5">
        <v>1</v>
      </c>
      <c r="E970" s="5">
        <v>1</v>
      </c>
      <c r="F970" s="5">
        <f t="shared" si="130"/>
        <v>1</v>
      </c>
      <c r="G970" s="5">
        <f t="shared" si="131"/>
        <v>8.5</v>
      </c>
      <c r="H970" s="5"/>
      <c r="I970" s="5"/>
      <c r="J970" s="5"/>
      <c r="K970" s="5"/>
      <c r="L970" s="5"/>
      <c r="M970" s="5"/>
      <c r="N970" s="5">
        <f>4*G970*F970</f>
        <v>34</v>
      </c>
      <c r="O970" s="278"/>
    </row>
    <row r="971" spans="1:15" ht="20.100000000000001" hidden="1" customHeight="1" outlineLevel="2">
      <c r="A971" s="145"/>
      <c r="B971" s="5"/>
      <c r="C971" s="5">
        <v>8.5</v>
      </c>
      <c r="D971" s="5">
        <v>1</v>
      </c>
      <c r="E971" s="5">
        <v>1</v>
      </c>
      <c r="F971" s="5">
        <f t="shared" si="130"/>
        <v>1</v>
      </c>
      <c r="G971" s="5">
        <f t="shared" si="131"/>
        <v>8.5</v>
      </c>
      <c r="H971" s="5"/>
      <c r="I971" s="5"/>
      <c r="J971" s="5"/>
      <c r="K971" s="5"/>
      <c r="L971" s="5"/>
      <c r="M971" s="5">
        <f>3*G971*F971</f>
        <v>25.5</v>
      </c>
      <c r="N971" s="5"/>
      <c r="O971" s="278"/>
    </row>
    <row r="972" spans="1:15" ht="20.100000000000001" hidden="1" customHeight="1" outlineLevel="2">
      <c r="A972" s="145"/>
      <c r="B972" s="5"/>
      <c r="C972" s="5">
        <v>4</v>
      </c>
      <c r="D972" s="5">
        <v>1</v>
      </c>
      <c r="E972" s="5">
        <v>1</v>
      </c>
      <c r="F972" s="5">
        <f t="shared" si="130"/>
        <v>1</v>
      </c>
      <c r="G972" s="5">
        <f t="shared" si="131"/>
        <v>4</v>
      </c>
      <c r="H972" s="5"/>
      <c r="I972" s="5"/>
      <c r="J972" s="5"/>
      <c r="K972" s="5"/>
      <c r="L972" s="5"/>
      <c r="M972" s="5">
        <f>3*G972*F972</f>
        <v>12</v>
      </c>
      <c r="N972" s="5"/>
      <c r="O972" s="278"/>
    </row>
    <row r="973" spans="1:15" ht="20.100000000000001" hidden="1" customHeight="1" outlineLevel="2">
      <c r="A973" s="145"/>
      <c r="B973" s="5"/>
      <c r="C973" s="5">
        <v>4</v>
      </c>
      <c r="D973" s="5">
        <v>1</v>
      </c>
      <c r="E973" s="5">
        <v>1</v>
      </c>
      <c r="F973" s="5">
        <f t="shared" si="130"/>
        <v>1</v>
      </c>
      <c r="G973" s="5">
        <f t="shared" si="131"/>
        <v>4</v>
      </c>
      <c r="H973" s="5"/>
      <c r="I973" s="5"/>
      <c r="J973" s="5"/>
      <c r="K973" s="5"/>
      <c r="L973" s="5"/>
      <c r="M973" s="5"/>
      <c r="N973" s="5">
        <f>4*G973*F973</f>
        <v>16</v>
      </c>
      <c r="O973" s="278"/>
    </row>
    <row r="974" spans="1:15" ht="20.100000000000001" hidden="1" customHeight="1" outlineLevel="2">
      <c r="A974" s="145"/>
      <c r="B974" s="5"/>
      <c r="C974" s="5">
        <f>(0.55*2)+(0.35*2)+(0.05*2)</f>
        <v>1.9000000000000001</v>
      </c>
      <c r="D974" s="5">
        <v>1</v>
      </c>
      <c r="E974" s="5">
        <v>67</v>
      </c>
      <c r="F974" s="5">
        <f t="shared" si="130"/>
        <v>67</v>
      </c>
      <c r="G974" s="5">
        <f t="shared" si="131"/>
        <v>1.9000000000000001</v>
      </c>
      <c r="H974" s="5"/>
      <c r="I974" s="5">
        <f>0.56*G974*F974</f>
        <v>71.288000000000025</v>
      </c>
      <c r="J974" s="5"/>
      <c r="K974" s="5"/>
      <c r="L974" s="5"/>
      <c r="M974" s="5"/>
      <c r="N974" s="5"/>
      <c r="O974" s="278"/>
    </row>
    <row r="975" spans="1:15" ht="20.100000000000001" hidden="1" customHeight="1" outlineLevel="2">
      <c r="A975" s="145"/>
      <c r="B975" s="5"/>
      <c r="C975" s="5">
        <f>(0.55*2)+(0.35*2)+(0.05*2)</f>
        <v>1.9000000000000001</v>
      </c>
      <c r="D975" s="5">
        <v>1</v>
      </c>
      <c r="E975" s="5">
        <v>63</v>
      </c>
      <c r="F975" s="5">
        <f t="shared" si="130"/>
        <v>63</v>
      </c>
      <c r="G975" s="5">
        <f t="shared" si="131"/>
        <v>1.9000000000000001</v>
      </c>
      <c r="H975" s="5"/>
      <c r="I975" s="5"/>
      <c r="J975" s="5">
        <f>+G975*F975</f>
        <v>119.7</v>
      </c>
      <c r="K975" s="5"/>
      <c r="L975" s="5"/>
      <c r="M975" s="5"/>
      <c r="N975" s="5"/>
      <c r="O975" s="278"/>
    </row>
    <row r="976" spans="1:15" ht="20.100000000000001" hidden="1" customHeight="1" outlineLevel="2">
      <c r="A976" s="2192"/>
      <c r="B976" s="2193"/>
      <c r="C976" s="2193"/>
      <c r="D976" s="2193"/>
      <c r="E976" s="2193"/>
      <c r="F976" s="2193"/>
      <c r="G976" s="2194"/>
      <c r="H976" s="205">
        <f t="shared" ref="H976:O976" si="132">SUM(H952:H975)</f>
        <v>0</v>
      </c>
      <c r="I976" s="205">
        <f t="shared" si="132"/>
        <v>71.288000000000025</v>
      </c>
      <c r="J976" s="205">
        <f t="shared" si="132"/>
        <v>119.7</v>
      </c>
      <c r="K976" s="205">
        <f t="shared" si="132"/>
        <v>48.67</v>
      </c>
      <c r="L976" s="205">
        <f t="shared" si="132"/>
        <v>154.56</v>
      </c>
      <c r="M976" s="205">
        <f t="shared" si="132"/>
        <v>181.5</v>
      </c>
      <c r="N976" s="205">
        <f t="shared" si="132"/>
        <v>353.6</v>
      </c>
      <c r="O976" s="279">
        <f t="shared" si="132"/>
        <v>57.600000000000009</v>
      </c>
    </row>
    <row r="977" spans="1:15" ht="20.100000000000001" hidden="1" customHeight="1" outlineLevel="2">
      <c r="A977" s="2192"/>
      <c r="B977" s="2193"/>
      <c r="C977" s="2193"/>
      <c r="D977" s="2193"/>
      <c r="E977" s="2193"/>
      <c r="F977" s="2193"/>
      <c r="G977" s="2194"/>
      <c r="H977" s="2242">
        <f>SUM(H976:O976)</f>
        <v>986.91800000000012</v>
      </c>
      <c r="I977" s="2193"/>
      <c r="J977" s="2193"/>
      <c r="K977" s="2193"/>
      <c r="L977" s="2193"/>
      <c r="M977" s="2193"/>
      <c r="N977" s="2193"/>
      <c r="O977" s="2243"/>
    </row>
    <row r="978" spans="1:15" ht="20.100000000000001" hidden="1" customHeight="1" outlineLevel="2">
      <c r="A978" s="14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278"/>
    </row>
    <row r="979" spans="1:15" ht="20.100000000000001" hidden="1" customHeight="1" outlineLevel="2">
      <c r="A979" s="277" t="s">
        <v>407</v>
      </c>
      <c r="B979" s="5"/>
      <c r="C979" s="5">
        <v>8</v>
      </c>
      <c r="D979" s="5">
        <v>1</v>
      </c>
      <c r="E979" s="5">
        <v>3</v>
      </c>
      <c r="F979" s="5">
        <f t="shared" ref="F979:F1001" si="133">+D979*E979</f>
        <v>3</v>
      </c>
      <c r="G979" s="5">
        <f t="shared" ref="G979:G1001" si="134">+C979</f>
        <v>8</v>
      </c>
      <c r="H979" s="5"/>
      <c r="I979" s="5"/>
      <c r="J979" s="5"/>
      <c r="K979" s="5"/>
      <c r="L979" s="5">
        <f>2.24*G979*F979</f>
        <v>53.760000000000005</v>
      </c>
      <c r="M979" s="5"/>
      <c r="N979" s="5"/>
      <c r="O979" s="278"/>
    </row>
    <row r="980" spans="1:15" ht="20.100000000000001" hidden="1" customHeight="1" outlineLevel="2">
      <c r="A980" s="145"/>
      <c r="B980" s="5"/>
      <c r="C980" s="5">
        <v>4.8</v>
      </c>
      <c r="D980" s="5">
        <v>1</v>
      </c>
      <c r="E980" s="5">
        <v>3</v>
      </c>
      <c r="F980" s="5">
        <f t="shared" si="133"/>
        <v>3</v>
      </c>
      <c r="G980" s="5">
        <f t="shared" si="134"/>
        <v>4.8</v>
      </c>
      <c r="H980" s="5"/>
      <c r="I980" s="5"/>
      <c r="J980" s="5"/>
      <c r="K980" s="5">
        <f>1.55*G980*F980</f>
        <v>22.32</v>
      </c>
      <c r="L980" s="5"/>
      <c r="M980" s="5"/>
      <c r="N980" s="5"/>
      <c r="O980" s="278"/>
    </row>
    <row r="981" spans="1:15" ht="20.100000000000001" hidden="1" customHeight="1" outlineLevel="2">
      <c r="A981" s="145"/>
      <c r="B981" s="5"/>
      <c r="C981" s="5">
        <v>3</v>
      </c>
      <c r="D981" s="5">
        <v>1</v>
      </c>
      <c r="E981" s="5">
        <v>2</v>
      </c>
      <c r="F981" s="5">
        <f t="shared" si="133"/>
        <v>2</v>
      </c>
      <c r="G981" s="5">
        <f t="shared" si="134"/>
        <v>3</v>
      </c>
      <c r="H981" s="5"/>
      <c r="I981" s="5"/>
      <c r="J981" s="5"/>
      <c r="K981" s="5"/>
      <c r="L981" s="5">
        <f>2.24*G981*F981</f>
        <v>13.440000000000001</v>
      </c>
      <c r="M981" s="5"/>
      <c r="N981" s="5"/>
      <c r="O981" s="278"/>
    </row>
    <row r="982" spans="1:15" ht="20.100000000000001" hidden="1" customHeight="1" outlineLevel="2">
      <c r="A982" s="145"/>
      <c r="B982" s="5"/>
      <c r="C982" s="5">
        <v>7.8</v>
      </c>
      <c r="D982" s="5">
        <v>1</v>
      </c>
      <c r="E982" s="5">
        <v>1</v>
      </c>
      <c r="F982" s="5">
        <f t="shared" si="133"/>
        <v>1</v>
      </c>
      <c r="G982" s="5">
        <f t="shared" si="134"/>
        <v>7.8</v>
      </c>
      <c r="H982" s="5"/>
      <c r="I982" s="5"/>
      <c r="J982" s="5"/>
      <c r="K982" s="5"/>
      <c r="L982" s="5"/>
      <c r="M982" s="5"/>
      <c r="N982" s="5"/>
      <c r="O982" s="278"/>
    </row>
    <row r="983" spans="1:15" ht="20.100000000000001" hidden="1" customHeight="1" outlineLevel="2">
      <c r="A983" s="145"/>
      <c r="B983" s="5"/>
      <c r="C983" s="5">
        <v>7.8</v>
      </c>
      <c r="D983" s="5">
        <v>1</v>
      </c>
      <c r="E983" s="5">
        <v>1</v>
      </c>
      <c r="F983" s="5">
        <f t="shared" si="133"/>
        <v>1</v>
      </c>
      <c r="G983" s="5">
        <f t="shared" si="134"/>
        <v>7.8</v>
      </c>
      <c r="H983" s="5"/>
      <c r="I983" s="5"/>
      <c r="J983" s="5"/>
      <c r="K983" s="5">
        <f>1.55*G983*F983</f>
        <v>12.09</v>
      </c>
      <c r="L983" s="5"/>
      <c r="M983" s="5"/>
      <c r="N983" s="5"/>
      <c r="O983" s="278"/>
    </row>
    <row r="984" spans="1:15" ht="20.100000000000001" hidden="1" customHeight="1" outlineLevel="2">
      <c r="A984" s="145"/>
      <c r="B984" s="5"/>
      <c r="C984" s="5">
        <v>3.5</v>
      </c>
      <c r="D984" s="5">
        <v>1</v>
      </c>
      <c r="E984" s="5">
        <v>3</v>
      </c>
      <c r="F984" s="5">
        <f t="shared" si="133"/>
        <v>3</v>
      </c>
      <c r="G984" s="5">
        <f t="shared" si="134"/>
        <v>3.5</v>
      </c>
      <c r="H984" s="5"/>
      <c r="I984" s="5"/>
      <c r="J984" s="5"/>
      <c r="K984" s="5"/>
      <c r="L984" s="5"/>
      <c r="M984" s="5">
        <f>3*G984*F984</f>
        <v>31.5</v>
      </c>
      <c r="N984" s="5"/>
      <c r="O984" s="278"/>
    </row>
    <row r="985" spans="1:15" ht="20.100000000000001" hidden="1" customHeight="1" outlineLevel="2">
      <c r="A985" s="145"/>
      <c r="B985" s="5"/>
      <c r="C985" s="5">
        <v>5</v>
      </c>
      <c r="D985" s="5">
        <v>1</v>
      </c>
      <c r="E985" s="5">
        <v>1</v>
      </c>
      <c r="F985" s="5">
        <f t="shared" si="133"/>
        <v>1</v>
      </c>
      <c r="G985" s="5">
        <f t="shared" si="134"/>
        <v>5</v>
      </c>
      <c r="H985" s="5"/>
      <c r="I985" s="5"/>
      <c r="J985" s="5"/>
      <c r="K985" s="5"/>
      <c r="L985" s="5"/>
      <c r="M985" s="5"/>
      <c r="N985" s="5">
        <f>4*G985*F985</f>
        <v>20</v>
      </c>
      <c r="O985" s="278"/>
    </row>
    <row r="986" spans="1:15" ht="20.100000000000001" hidden="1" customHeight="1" outlineLevel="2">
      <c r="A986" s="145"/>
      <c r="B986" s="5"/>
      <c r="C986" s="5">
        <v>5</v>
      </c>
      <c r="D986" s="5">
        <v>1</v>
      </c>
      <c r="E986" s="5">
        <v>3</v>
      </c>
      <c r="F986" s="5">
        <f t="shared" si="133"/>
        <v>3</v>
      </c>
      <c r="G986" s="5">
        <f t="shared" si="134"/>
        <v>5</v>
      </c>
      <c r="H986" s="5"/>
      <c r="I986" s="5"/>
      <c r="J986" s="5"/>
      <c r="K986" s="5"/>
      <c r="L986" s="5"/>
      <c r="M986" s="5">
        <f>3*G986*F986</f>
        <v>45</v>
      </c>
      <c r="N986" s="5"/>
      <c r="O986" s="278"/>
    </row>
    <row r="987" spans="1:15" ht="20.100000000000001" hidden="1" customHeight="1" outlineLevel="2">
      <c r="A987" s="145"/>
      <c r="B987" s="5"/>
      <c r="C987" s="5">
        <v>5</v>
      </c>
      <c r="D987" s="5">
        <v>1</v>
      </c>
      <c r="E987" s="5">
        <v>1</v>
      </c>
      <c r="F987" s="5">
        <f t="shared" si="133"/>
        <v>1</v>
      </c>
      <c r="G987" s="5">
        <f t="shared" si="134"/>
        <v>5</v>
      </c>
      <c r="H987" s="5"/>
      <c r="I987" s="5"/>
      <c r="J987" s="5"/>
      <c r="K987" s="5"/>
      <c r="L987" s="5">
        <f>2.24*G987*F987</f>
        <v>11.200000000000001</v>
      </c>
      <c r="M987" s="5"/>
      <c r="N987" s="5"/>
      <c r="O987" s="278"/>
    </row>
    <row r="988" spans="1:15" ht="20.100000000000001" hidden="1" customHeight="1" outlineLevel="2">
      <c r="A988" s="145"/>
      <c r="B988" s="5"/>
      <c r="C988" s="5">
        <v>4.5</v>
      </c>
      <c r="D988" s="5">
        <v>1</v>
      </c>
      <c r="E988" s="5">
        <v>2</v>
      </c>
      <c r="F988" s="5">
        <f t="shared" si="133"/>
        <v>2</v>
      </c>
      <c r="G988" s="5">
        <f t="shared" si="134"/>
        <v>4.5</v>
      </c>
      <c r="H988" s="5"/>
      <c r="I988" s="5"/>
      <c r="J988" s="5"/>
      <c r="K988" s="5"/>
      <c r="L988" s="5">
        <f>2.24*G988*F988</f>
        <v>20.160000000000004</v>
      </c>
      <c r="M988" s="5"/>
      <c r="N988" s="5"/>
      <c r="O988" s="278"/>
    </row>
    <row r="989" spans="1:15" ht="20.100000000000001" hidden="1" customHeight="1" outlineLevel="2">
      <c r="A989" s="145"/>
      <c r="B989" s="5"/>
      <c r="C989" s="5">
        <v>4.5</v>
      </c>
      <c r="D989" s="5">
        <v>1</v>
      </c>
      <c r="E989" s="5">
        <v>1</v>
      </c>
      <c r="F989" s="5">
        <f t="shared" si="133"/>
        <v>1</v>
      </c>
      <c r="G989" s="5">
        <f t="shared" si="134"/>
        <v>4.5</v>
      </c>
      <c r="H989" s="5"/>
      <c r="I989" s="5"/>
      <c r="J989" s="5"/>
      <c r="K989" s="5">
        <f>1.55*G989*F989</f>
        <v>6.9750000000000005</v>
      </c>
      <c r="L989" s="5"/>
      <c r="M989" s="5"/>
      <c r="N989" s="5"/>
      <c r="O989" s="278"/>
    </row>
    <row r="990" spans="1:15" ht="20.100000000000001" hidden="1" customHeight="1" outlineLevel="2">
      <c r="A990" s="145"/>
      <c r="B990" s="5"/>
      <c r="C990" s="5">
        <v>12</v>
      </c>
      <c r="D990" s="5">
        <v>1</v>
      </c>
      <c r="E990" s="5">
        <v>4</v>
      </c>
      <c r="F990" s="5">
        <f t="shared" si="133"/>
        <v>4</v>
      </c>
      <c r="G990" s="5">
        <f t="shared" si="134"/>
        <v>12</v>
      </c>
      <c r="H990" s="5"/>
      <c r="I990" s="5"/>
      <c r="J990" s="5"/>
      <c r="K990" s="5"/>
      <c r="L990" s="5"/>
      <c r="M990" s="5"/>
      <c r="N990" s="5"/>
      <c r="O990" s="278">
        <f>6.4*G990*F990</f>
        <v>307.20000000000005</v>
      </c>
    </row>
    <row r="991" spans="1:15" ht="20.100000000000001" hidden="1" customHeight="1" outlineLevel="2">
      <c r="A991" s="145"/>
      <c r="B991" s="5"/>
      <c r="C991" s="5">
        <v>7.5</v>
      </c>
      <c r="D991" s="5">
        <v>1</v>
      </c>
      <c r="E991" s="5">
        <v>3</v>
      </c>
      <c r="F991" s="5">
        <f t="shared" si="133"/>
        <v>3</v>
      </c>
      <c r="G991" s="5">
        <f t="shared" si="134"/>
        <v>7.5</v>
      </c>
      <c r="H991" s="5"/>
      <c r="I991" s="5"/>
      <c r="J991" s="5"/>
      <c r="K991" s="5"/>
      <c r="L991" s="5"/>
      <c r="M991" s="5"/>
      <c r="N991" s="5"/>
      <c r="O991" s="278">
        <f>6.4*G991*F991</f>
        <v>144</v>
      </c>
    </row>
    <row r="992" spans="1:15" ht="20.100000000000001" hidden="1" customHeight="1" outlineLevel="2">
      <c r="A992" s="145"/>
      <c r="B992" s="5"/>
      <c r="C992" s="5">
        <v>5.5</v>
      </c>
      <c r="D992" s="5">
        <v>1</v>
      </c>
      <c r="E992" s="5">
        <v>2</v>
      </c>
      <c r="F992" s="5">
        <f t="shared" si="133"/>
        <v>2</v>
      </c>
      <c r="G992" s="5">
        <f t="shared" si="134"/>
        <v>5.5</v>
      </c>
      <c r="H992" s="5"/>
      <c r="I992" s="5"/>
      <c r="J992" s="5"/>
      <c r="K992" s="5"/>
      <c r="L992" s="5"/>
      <c r="M992" s="5"/>
      <c r="N992" s="5"/>
      <c r="O992" s="278">
        <f>6.4*G992*F992</f>
        <v>70.400000000000006</v>
      </c>
    </row>
    <row r="993" spans="1:15" ht="20.100000000000001" hidden="1" customHeight="1" outlineLevel="2">
      <c r="A993" s="145"/>
      <c r="B993" s="5"/>
      <c r="C993" s="5">
        <v>5.5</v>
      </c>
      <c r="D993" s="5">
        <v>1</v>
      </c>
      <c r="E993" s="5">
        <v>1</v>
      </c>
      <c r="F993" s="5">
        <f t="shared" si="133"/>
        <v>1</v>
      </c>
      <c r="G993" s="5">
        <f t="shared" si="134"/>
        <v>5.5</v>
      </c>
      <c r="H993" s="5"/>
      <c r="I993" s="5"/>
      <c r="J993" s="5"/>
      <c r="K993" s="5"/>
      <c r="L993" s="5"/>
      <c r="M993" s="5"/>
      <c r="N993" s="5">
        <f>4*G993*F993</f>
        <v>22</v>
      </c>
      <c r="O993" s="278"/>
    </row>
    <row r="994" spans="1:15" ht="20.100000000000001" hidden="1" customHeight="1" outlineLevel="2">
      <c r="A994" s="145"/>
      <c r="B994" s="5"/>
      <c r="C994" s="5">
        <v>3</v>
      </c>
      <c r="D994" s="5">
        <v>1</v>
      </c>
      <c r="E994" s="5">
        <v>4</v>
      </c>
      <c r="F994" s="5">
        <f t="shared" si="133"/>
        <v>4</v>
      </c>
      <c r="G994" s="5">
        <f t="shared" si="134"/>
        <v>3</v>
      </c>
      <c r="H994" s="5"/>
      <c r="I994" s="5"/>
      <c r="J994" s="5"/>
      <c r="K994" s="5"/>
      <c r="L994" s="5"/>
      <c r="M994" s="5"/>
      <c r="N994" s="5"/>
      <c r="O994" s="278">
        <f>6.4*G994*F994</f>
        <v>76.800000000000011</v>
      </c>
    </row>
    <row r="995" spans="1:15" ht="20.100000000000001" hidden="1" customHeight="1" outlineLevel="2">
      <c r="A995" s="145"/>
      <c r="B995" s="5"/>
      <c r="C995" s="5">
        <v>3.2</v>
      </c>
      <c r="D995" s="5">
        <v>1</v>
      </c>
      <c r="E995" s="5">
        <v>5</v>
      </c>
      <c r="F995" s="5">
        <f t="shared" si="133"/>
        <v>5</v>
      </c>
      <c r="G995" s="5">
        <f t="shared" si="134"/>
        <v>3.2</v>
      </c>
      <c r="H995" s="5"/>
      <c r="I995" s="5"/>
      <c r="J995" s="5"/>
      <c r="K995" s="5"/>
      <c r="L995" s="5"/>
      <c r="M995" s="5"/>
      <c r="N995" s="5"/>
      <c r="O995" s="278">
        <f>6.4*G995*F995</f>
        <v>102.40000000000002</v>
      </c>
    </row>
    <row r="996" spans="1:15" ht="20.100000000000001" hidden="1" customHeight="1" outlineLevel="2">
      <c r="A996" s="145"/>
      <c r="B996" s="5"/>
      <c r="C996" s="5">
        <v>4.7</v>
      </c>
      <c r="D996" s="5">
        <v>1</v>
      </c>
      <c r="E996" s="5">
        <v>1</v>
      </c>
      <c r="F996" s="5">
        <f t="shared" si="133"/>
        <v>1</v>
      </c>
      <c r="G996" s="5">
        <f t="shared" si="134"/>
        <v>4.7</v>
      </c>
      <c r="H996" s="5"/>
      <c r="I996" s="5"/>
      <c r="J996" s="5"/>
      <c r="K996" s="5"/>
      <c r="L996" s="5"/>
      <c r="M996" s="5"/>
      <c r="N996" s="5"/>
      <c r="O996" s="278">
        <f>6.4*G996*F996</f>
        <v>30.080000000000002</v>
      </c>
    </row>
    <row r="997" spans="1:15" ht="20.100000000000001" hidden="1" customHeight="1" outlineLevel="2">
      <c r="A997" s="145"/>
      <c r="B997" s="5"/>
      <c r="C997" s="5">
        <v>4.7</v>
      </c>
      <c r="D997" s="5">
        <v>1</v>
      </c>
      <c r="E997" s="5">
        <v>2</v>
      </c>
      <c r="F997" s="5">
        <f t="shared" si="133"/>
        <v>2</v>
      </c>
      <c r="G997" s="5">
        <f t="shared" si="134"/>
        <v>4.7</v>
      </c>
      <c r="H997" s="5"/>
      <c r="I997" s="5"/>
      <c r="J997" s="5"/>
      <c r="K997" s="5"/>
      <c r="L997" s="5"/>
      <c r="M997" s="5"/>
      <c r="N997" s="5">
        <f>4*G997*F997</f>
        <v>37.6</v>
      </c>
      <c r="O997" s="278"/>
    </row>
    <row r="998" spans="1:15" ht="20.100000000000001" hidden="1" customHeight="1" outlineLevel="2">
      <c r="A998" s="145"/>
      <c r="B998" s="5"/>
      <c r="C998" s="5">
        <v>8.8000000000000007</v>
      </c>
      <c r="D998" s="5">
        <v>1</v>
      </c>
      <c r="E998" s="5">
        <v>2</v>
      </c>
      <c r="F998" s="5">
        <f t="shared" si="133"/>
        <v>2</v>
      </c>
      <c r="G998" s="5">
        <f t="shared" si="134"/>
        <v>8.8000000000000007</v>
      </c>
      <c r="H998" s="5"/>
      <c r="I998" s="5"/>
      <c r="J998" s="5"/>
      <c r="K998" s="5"/>
      <c r="L998" s="5"/>
      <c r="M998" s="5"/>
      <c r="N998" s="5"/>
      <c r="O998" s="278">
        <f>6.4*G998*F998</f>
        <v>112.64000000000001</v>
      </c>
    </row>
    <row r="999" spans="1:15" ht="20.100000000000001" hidden="1" customHeight="1" outlineLevel="2">
      <c r="A999" s="145"/>
      <c r="B999" s="5"/>
      <c r="C999" s="5">
        <v>4</v>
      </c>
      <c r="D999" s="5">
        <v>1</v>
      </c>
      <c r="E999" s="5">
        <v>2</v>
      </c>
      <c r="F999" s="5">
        <f t="shared" si="133"/>
        <v>2</v>
      </c>
      <c r="G999" s="5">
        <f t="shared" si="134"/>
        <v>4</v>
      </c>
      <c r="H999" s="5"/>
      <c r="I999" s="5"/>
      <c r="J999" s="5"/>
      <c r="K999" s="5"/>
      <c r="L999" s="5"/>
      <c r="M999" s="5"/>
      <c r="N999" s="5"/>
      <c r="O999" s="278">
        <f>6.4*G999*F999</f>
        <v>51.2</v>
      </c>
    </row>
    <row r="1000" spans="1:15" ht="20.100000000000001" hidden="1" customHeight="1" outlineLevel="2">
      <c r="A1000" s="145"/>
      <c r="B1000" s="5"/>
      <c r="C1000" s="5">
        <f>(0.55*2)+(0.35*2)+(0.05*2)</f>
        <v>1.9000000000000001</v>
      </c>
      <c r="D1000" s="5">
        <v>1</v>
      </c>
      <c r="E1000" s="5">
        <v>64</v>
      </c>
      <c r="F1000" s="5">
        <f t="shared" si="133"/>
        <v>64</v>
      </c>
      <c r="G1000" s="5">
        <f t="shared" si="134"/>
        <v>1.9000000000000001</v>
      </c>
      <c r="H1000" s="5"/>
      <c r="I1000" s="5">
        <f>0.56*G1000*F1000</f>
        <v>68.096000000000018</v>
      </c>
      <c r="J1000" s="5"/>
      <c r="K1000" s="5"/>
      <c r="L1000" s="5"/>
      <c r="M1000" s="5"/>
      <c r="N1000" s="5"/>
      <c r="O1000" s="278">
        <f>6.4*G1000*F1000</f>
        <v>778.24000000000012</v>
      </c>
    </row>
    <row r="1001" spans="1:15" ht="20.100000000000001" hidden="1" customHeight="1" outlineLevel="2">
      <c r="A1001" s="145"/>
      <c r="B1001" s="5"/>
      <c r="C1001" s="5">
        <f>(0.55*2)+(0.35*2)+(0.05*2)</f>
        <v>1.9000000000000001</v>
      </c>
      <c r="D1001" s="5">
        <v>1</v>
      </c>
      <c r="E1001" s="5">
        <v>65</v>
      </c>
      <c r="F1001" s="5">
        <f t="shared" si="133"/>
        <v>65</v>
      </c>
      <c r="G1001" s="5">
        <f t="shared" si="134"/>
        <v>1.9000000000000001</v>
      </c>
      <c r="H1001" s="5"/>
      <c r="I1001" s="5"/>
      <c r="J1001" s="5">
        <f>+G1001*F1001</f>
        <v>123.50000000000001</v>
      </c>
      <c r="K1001" s="5"/>
      <c r="L1001" s="5"/>
      <c r="M1001" s="5"/>
      <c r="N1001" s="5"/>
      <c r="O1001" s="278"/>
    </row>
    <row r="1002" spans="1:15" ht="20.100000000000001" hidden="1" customHeight="1" outlineLevel="2">
      <c r="A1002" s="2192"/>
      <c r="B1002" s="2193"/>
      <c r="C1002" s="2193"/>
      <c r="D1002" s="2193"/>
      <c r="E1002" s="2193"/>
      <c r="F1002" s="2193"/>
      <c r="G1002" s="2194"/>
      <c r="H1002" s="205">
        <f t="shared" ref="H1002:O1002" si="135">SUM(H979:H1001)</f>
        <v>0</v>
      </c>
      <c r="I1002" s="205">
        <f t="shared" si="135"/>
        <v>68.096000000000018</v>
      </c>
      <c r="J1002" s="205">
        <f t="shared" si="135"/>
        <v>123.50000000000001</v>
      </c>
      <c r="K1002" s="205">
        <f t="shared" si="135"/>
        <v>41.384999999999998</v>
      </c>
      <c r="L1002" s="205">
        <f t="shared" si="135"/>
        <v>98.56</v>
      </c>
      <c r="M1002" s="205">
        <f t="shared" si="135"/>
        <v>76.5</v>
      </c>
      <c r="N1002" s="205">
        <f t="shared" si="135"/>
        <v>79.599999999999994</v>
      </c>
      <c r="O1002" s="279">
        <f t="shared" si="135"/>
        <v>1672.9600000000003</v>
      </c>
    </row>
    <row r="1003" spans="1:15" ht="20.100000000000001" hidden="1" customHeight="1" outlineLevel="2">
      <c r="A1003" s="2192"/>
      <c r="B1003" s="2193"/>
      <c r="C1003" s="2193"/>
      <c r="D1003" s="2193"/>
      <c r="E1003" s="2193"/>
      <c r="F1003" s="2193"/>
      <c r="G1003" s="2194"/>
      <c r="H1003" s="2242">
        <f>SUM(H1002:O1002)</f>
        <v>2160.6010000000006</v>
      </c>
      <c r="I1003" s="2193"/>
      <c r="J1003" s="2193"/>
      <c r="K1003" s="2193"/>
      <c r="L1003" s="2193"/>
      <c r="M1003" s="2193"/>
      <c r="N1003" s="2193"/>
      <c r="O1003" s="2243"/>
    </row>
    <row r="1004" spans="1:15" ht="20.100000000000001" hidden="1" customHeight="1" outlineLevel="2">
      <c r="A1004" s="14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278"/>
    </row>
    <row r="1005" spans="1:15" ht="20.100000000000001" hidden="1" customHeight="1" outlineLevel="2">
      <c r="A1005" s="277" t="s">
        <v>408</v>
      </c>
      <c r="B1005" s="5"/>
      <c r="C1005" s="5">
        <v>8</v>
      </c>
      <c r="D1005" s="5">
        <v>1</v>
      </c>
      <c r="E1005" s="5">
        <v>2</v>
      </c>
      <c r="F1005" s="5">
        <f t="shared" ref="F1005:F1012" si="136">+D1005*E1005</f>
        <v>2</v>
      </c>
      <c r="G1005" s="5">
        <f t="shared" ref="G1005:G1012" si="137">+C1005</f>
        <v>8</v>
      </c>
      <c r="H1005" s="5"/>
      <c r="I1005" s="5"/>
      <c r="J1005" s="5"/>
      <c r="K1005" s="5"/>
      <c r="L1005" s="5">
        <f>2.24*G1005*F1005</f>
        <v>35.840000000000003</v>
      </c>
      <c r="M1005" s="5"/>
      <c r="N1005" s="5"/>
      <c r="O1005" s="278"/>
    </row>
    <row r="1006" spans="1:15" ht="20.100000000000001" hidden="1" customHeight="1" outlineLevel="2">
      <c r="A1006" s="145"/>
      <c r="B1006" s="5"/>
      <c r="C1006" s="5">
        <v>8</v>
      </c>
      <c r="D1006" s="5">
        <v>1</v>
      </c>
      <c r="E1006" s="5">
        <v>1</v>
      </c>
      <c r="F1006" s="5">
        <f t="shared" si="136"/>
        <v>1</v>
      </c>
      <c r="G1006" s="5">
        <f t="shared" si="137"/>
        <v>8</v>
      </c>
      <c r="H1006" s="5"/>
      <c r="I1006" s="5"/>
      <c r="J1006" s="5"/>
      <c r="K1006" s="5">
        <f>1.55*F1006*G1006</f>
        <v>12.4</v>
      </c>
      <c r="L1006" s="5"/>
      <c r="M1006" s="5"/>
      <c r="N1006" s="5"/>
      <c r="O1006" s="278"/>
    </row>
    <row r="1007" spans="1:15" ht="20.100000000000001" hidden="1" customHeight="1" outlineLevel="2">
      <c r="A1007" s="145"/>
      <c r="B1007" s="5"/>
      <c r="C1007" s="5">
        <v>1.6</v>
      </c>
      <c r="D1007" s="5">
        <v>1</v>
      </c>
      <c r="E1007" s="5">
        <v>3</v>
      </c>
      <c r="F1007" s="5">
        <f t="shared" si="136"/>
        <v>3</v>
      </c>
      <c r="G1007" s="5">
        <f t="shared" si="137"/>
        <v>1.6</v>
      </c>
      <c r="H1007" s="5"/>
      <c r="I1007" s="5"/>
      <c r="J1007" s="5">
        <f>+G1007*F1007</f>
        <v>4.8000000000000007</v>
      </c>
      <c r="K1007" s="5"/>
      <c r="L1007" s="5"/>
      <c r="M1007" s="5"/>
      <c r="N1007" s="5"/>
      <c r="O1007" s="278"/>
    </row>
    <row r="1008" spans="1:15" ht="20.100000000000001" hidden="1" customHeight="1" outlineLevel="2">
      <c r="A1008" s="145"/>
      <c r="B1008" s="5"/>
      <c r="C1008" s="5">
        <v>7</v>
      </c>
      <c r="D1008" s="5">
        <v>1</v>
      </c>
      <c r="E1008" s="5">
        <v>2</v>
      </c>
      <c r="F1008" s="5">
        <f t="shared" si="136"/>
        <v>2</v>
      </c>
      <c r="G1008" s="5">
        <f t="shared" si="137"/>
        <v>7</v>
      </c>
      <c r="H1008" s="5"/>
      <c r="I1008" s="5"/>
      <c r="J1008" s="5"/>
      <c r="K1008" s="5"/>
      <c r="L1008" s="5">
        <f>2.24*G1008*F1008</f>
        <v>31.360000000000003</v>
      </c>
      <c r="M1008" s="5"/>
      <c r="N1008" s="5"/>
      <c r="O1008" s="278"/>
    </row>
    <row r="1009" spans="1:15" ht="20.100000000000001" hidden="1" customHeight="1" outlineLevel="2">
      <c r="A1009" s="145"/>
      <c r="B1009" s="5"/>
      <c r="C1009" s="5">
        <v>5.0999999999999996</v>
      </c>
      <c r="D1009" s="5">
        <v>1</v>
      </c>
      <c r="E1009" s="5">
        <v>2</v>
      </c>
      <c r="F1009" s="5">
        <f t="shared" si="136"/>
        <v>2</v>
      </c>
      <c r="G1009" s="5">
        <f t="shared" si="137"/>
        <v>5.0999999999999996</v>
      </c>
      <c r="H1009" s="5"/>
      <c r="I1009" s="5"/>
      <c r="J1009" s="5"/>
      <c r="K1009" s="5"/>
      <c r="L1009" s="5">
        <f>2.24*G1009*F1009</f>
        <v>22.847999999999999</v>
      </c>
      <c r="M1009" s="5"/>
      <c r="N1009" s="5"/>
      <c r="O1009" s="278"/>
    </row>
    <row r="1010" spans="1:15" ht="20.100000000000001" hidden="1" customHeight="1" outlineLevel="2">
      <c r="A1010" s="145"/>
      <c r="B1010" s="5"/>
      <c r="C1010" s="5">
        <v>5</v>
      </c>
      <c r="D1010" s="5">
        <v>1</v>
      </c>
      <c r="E1010" s="5">
        <v>2</v>
      </c>
      <c r="F1010" s="5">
        <f t="shared" si="136"/>
        <v>2</v>
      </c>
      <c r="G1010" s="5">
        <f t="shared" si="137"/>
        <v>5</v>
      </c>
      <c r="H1010" s="5"/>
      <c r="I1010" s="5"/>
      <c r="J1010" s="5"/>
      <c r="K1010" s="5">
        <f>1.55*F1010*G1010</f>
        <v>15.5</v>
      </c>
      <c r="L1010" s="5"/>
      <c r="M1010" s="5"/>
      <c r="N1010" s="5"/>
      <c r="O1010" s="278"/>
    </row>
    <row r="1011" spans="1:15" ht="20.100000000000001" hidden="1" customHeight="1" outlineLevel="2">
      <c r="A1011" s="145"/>
      <c r="B1011" s="5"/>
      <c r="C1011" s="5">
        <v>5</v>
      </c>
      <c r="D1011" s="5">
        <v>1</v>
      </c>
      <c r="E1011" s="5">
        <v>1</v>
      </c>
      <c r="F1011" s="5">
        <f t="shared" si="136"/>
        <v>1</v>
      </c>
      <c r="G1011" s="5">
        <f t="shared" si="137"/>
        <v>5</v>
      </c>
      <c r="H1011" s="5"/>
      <c r="I1011" s="5"/>
      <c r="J1011" s="5">
        <f>+G1011*F1011</f>
        <v>5</v>
      </c>
      <c r="K1011" s="5"/>
      <c r="L1011" s="5"/>
      <c r="M1011" s="5"/>
      <c r="N1011" s="5"/>
      <c r="O1011" s="278"/>
    </row>
    <row r="1012" spans="1:15" ht="20.100000000000001" hidden="1" customHeight="1" outlineLevel="2">
      <c r="A1012" s="145"/>
      <c r="B1012" s="5"/>
      <c r="C1012" s="5">
        <f>(0.55*2)+(0.35*2)+(0.05*2)</f>
        <v>1.9000000000000001</v>
      </c>
      <c r="D1012" s="5">
        <v>1</v>
      </c>
      <c r="E1012" s="5">
        <v>29</v>
      </c>
      <c r="F1012" s="5">
        <f t="shared" si="136"/>
        <v>29</v>
      </c>
      <c r="G1012" s="5">
        <f t="shared" si="137"/>
        <v>1.9000000000000001</v>
      </c>
      <c r="H1012" s="5"/>
      <c r="I1012" s="5">
        <f>0.56*G1012*F1012</f>
        <v>30.856000000000009</v>
      </c>
      <c r="J1012" s="5"/>
      <c r="K1012" s="5"/>
      <c r="L1012" s="5"/>
      <c r="M1012" s="5"/>
      <c r="N1012" s="5"/>
      <c r="O1012" s="278"/>
    </row>
    <row r="1013" spans="1:15" ht="20.100000000000001" hidden="1" customHeight="1" outlineLevel="2">
      <c r="A1013" s="2192"/>
      <c r="B1013" s="2193"/>
      <c r="C1013" s="2193"/>
      <c r="D1013" s="2193"/>
      <c r="E1013" s="2193"/>
      <c r="F1013" s="2193"/>
      <c r="G1013" s="2194"/>
      <c r="H1013" s="205">
        <f t="shared" ref="H1013:O1013" si="138">SUM(H1005:H1012)</f>
        <v>0</v>
      </c>
      <c r="I1013" s="205">
        <f t="shared" si="138"/>
        <v>30.856000000000009</v>
      </c>
      <c r="J1013" s="205">
        <f t="shared" si="138"/>
        <v>9.8000000000000007</v>
      </c>
      <c r="K1013" s="205">
        <f t="shared" si="138"/>
        <v>27.9</v>
      </c>
      <c r="L1013" s="205">
        <f t="shared" si="138"/>
        <v>90.048000000000002</v>
      </c>
      <c r="M1013" s="205">
        <f t="shared" si="138"/>
        <v>0</v>
      </c>
      <c r="N1013" s="205">
        <f t="shared" si="138"/>
        <v>0</v>
      </c>
      <c r="O1013" s="279">
        <f t="shared" si="138"/>
        <v>0</v>
      </c>
    </row>
    <row r="1014" spans="1:15" ht="20.100000000000001" hidden="1" customHeight="1" outlineLevel="2">
      <c r="A1014" s="2192"/>
      <c r="B1014" s="2193"/>
      <c r="C1014" s="2193"/>
      <c r="D1014" s="2193"/>
      <c r="E1014" s="2193"/>
      <c r="F1014" s="2193"/>
      <c r="G1014" s="2194"/>
      <c r="H1014" s="2242">
        <f>SUM(H1013:O1013)</f>
        <v>158.60400000000001</v>
      </c>
      <c r="I1014" s="2193"/>
      <c r="J1014" s="2193"/>
      <c r="K1014" s="2193"/>
      <c r="L1014" s="2193"/>
      <c r="M1014" s="2193"/>
      <c r="N1014" s="2193"/>
      <c r="O1014" s="2243"/>
    </row>
    <row r="1015" spans="1:15" ht="20.100000000000001" hidden="1" customHeight="1" outlineLevel="2">
      <c r="A1015" s="14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278"/>
    </row>
    <row r="1016" spans="1:15" ht="20.100000000000001" hidden="1" customHeight="1" outlineLevel="2">
      <c r="A1016" s="277" t="s">
        <v>409</v>
      </c>
      <c r="B1016" s="5"/>
      <c r="C1016" s="5">
        <v>6</v>
      </c>
      <c r="D1016" s="5">
        <v>1</v>
      </c>
      <c r="E1016" s="5">
        <v>2</v>
      </c>
      <c r="F1016" s="5">
        <f t="shared" ref="F1016:F1027" si="139">+D1016*E1016</f>
        <v>2</v>
      </c>
      <c r="G1016" s="5">
        <f t="shared" ref="G1016:G1027" si="140">+C1016</f>
        <v>6</v>
      </c>
      <c r="H1016" s="5"/>
      <c r="I1016" s="5"/>
      <c r="J1016" s="5"/>
      <c r="K1016" s="5"/>
      <c r="L1016" s="5">
        <f>2.24*F1016*G1016</f>
        <v>26.880000000000003</v>
      </c>
      <c r="M1016" s="5"/>
      <c r="N1016" s="5"/>
      <c r="O1016" s="278"/>
    </row>
    <row r="1017" spans="1:15" ht="20.100000000000001" hidden="1" customHeight="1" outlineLevel="2">
      <c r="A1017" s="145"/>
      <c r="B1017" s="5"/>
      <c r="C1017" s="5">
        <v>6</v>
      </c>
      <c r="D1017" s="5">
        <v>1</v>
      </c>
      <c r="E1017" s="5">
        <v>1</v>
      </c>
      <c r="F1017" s="5">
        <f t="shared" si="139"/>
        <v>1</v>
      </c>
      <c r="G1017" s="5">
        <f t="shared" si="140"/>
        <v>6</v>
      </c>
      <c r="H1017" s="5"/>
      <c r="I1017" s="5"/>
      <c r="J1017" s="5"/>
      <c r="K1017" s="5">
        <f>1.55*F1017*G1017</f>
        <v>9.3000000000000007</v>
      </c>
      <c r="L1017" s="5"/>
      <c r="M1017" s="5"/>
      <c r="N1017" s="5"/>
      <c r="O1017" s="278"/>
    </row>
    <row r="1018" spans="1:15" ht="20.100000000000001" hidden="1" customHeight="1" outlineLevel="2">
      <c r="A1018" s="145"/>
      <c r="B1018" s="5"/>
      <c r="C1018" s="5">
        <v>1.4</v>
      </c>
      <c r="D1018" s="5">
        <v>1</v>
      </c>
      <c r="E1018" s="5">
        <v>3</v>
      </c>
      <c r="F1018" s="5">
        <f t="shared" si="139"/>
        <v>3</v>
      </c>
      <c r="G1018" s="5">
        <f t="shared" si="140"/>
        <v>1.4</v>
      </c>
      <c r="H1018" s="5"/>
      <c r="I1018" s="5"/>
      <c r="J1018" s="5">
        <f>+G1018*F1018</f>
        <v>4.1999999999999993</v>
      </c>
      <c r="K1018" s="5"/>
      <c r="L1018" s="5"/>
      <c r="M1018" s="5"/>
      <c r="N1018" s="5"/>
      <c r="O1018" s="278"/>
    </row>
    <row r="1019" spans="1:15" ht="20.100000000000001" hidden="1" customHeight="1" outlineLevel="2">
      <c r="A1019" s="145"/>
      <c r="B1019" s="5"/>
      <c r="C1019" s="5">
        <v>4</v>
      </c>
      <c r="D1019" s="5">
        <v>1</v>
      </c>
      <c r="E1019" s="5">
        <v>2</v>
      </c>
      <c r="F1019" s="5">
        <f t="shared" si="139"/>
        <v>2</v>
      </c>
      <c r="G1019" s="5">
        <f t="shared" si="140"/>
        <v>4</v>
      </c>
      <c r="H1019" s="5"/>
      <c r="I1019" s="5"/>
      <c r="J1019" s="5"/>
      <c r="K1019" s="5">
        <f>1.55*F1019*G1019</f>
        <v>12.4</v>
      </c>
      <c r="L1019" s="5"/>
      <c r="M1019" s="5"/>
      <c r="N1019" s="5"/>
      <c r="O1019" s="278"/>
    </row>
    <row r="1020" spans="1:15" ht="20.100000000000001" hidden="1" customHeight="1" outlineLevel="2">
      <c r="A1020" s="145"/>
      <c r="B1020" s="5"/>
      <c r="C1020" s="5">
        <v>5.4</v>
      </c>
      <c r="D1020" s="5">
        <v>1</v>
      </c>
      <c r="E1020" s="5">
        <v>2</v>
      </c>
      <c r="F1020" s="5">
        <f t="shared" si="139"/>
        <v>2</v>
      </c>
      <c r="G1020" s="5">
        <f t="shared" si="140"/>
        <v>5.4</v>
      </c>
      <c r="H1020" s="5"/>
      <c r="I1020" s="5"/>
      <c r="J1020" s="5"/>
      <c r="K1020" s="5">
        <f>1.55*F1020*G1020</f>
        <v>16.740000000000002</v>
      </c>
      <c r="L1020" s="5"/>
      <c r="M1020" s="5"/>
      <c r="N1020" s="5"/>
      <c r="O1020" s="278"/>
    </row>
    <row r="1021" spans="1:15" ht="20.100000000000001" hidden="1" customHeight="1" outlineLevel="2">
      <c r="A1021" s="145"/>
      <c r="B1021" s="5"/>
      <c r="C1021" s="5">
        <v>3.1</v>
      </c>
      <c r="D1021" s="5">
        <v>1</v>
      </c>
      <c r="E1021" s="5">
        <v>2</v>
      </c>
      <c r="F1021" s="5">
        <f t="shared" si="139"/>
        <v>2</v>
      </c>
      <c r="G1021" s="5">
        <f t="shared" si="140"/>
        <v>3.1</v>
      </c>
      <c r="H1021" s="5"/>
      <c r="I1021" s="5"/>
      <c r="J1021" s="5"/>
      <c r="K1021" s="5">
        <f>1.55*F1021*G1021</f>
        <v>9.6100000000000012</v>
      </c>
      <c r="L1021" s="5"/>
      <c r="M1021" s="5"/>
      <c r="N1021" s="5"/>
      <c r="O1021" s="278"/>
    </row>
    <row r="1022" spans="1:15" ht="20.100000000000001" hidden="1" customHeight="1" outlineLevel="2">
      <c r="A1022" s="145"/>
      <c r="B1022" s="5"/>
      <c r="C1022" s="5">
        <v>2.4</v>
      </c>
      <c r="D1022" s="5">
        <v>1</v>
      </c>
      <c r="E1022" s="5">
        <v>4</v>
      </c>
      <c r="F1022" s="5">
        <f t="shared" si="139"/>
        <v>4</v>
      </c>
      <c r="G1022" s="5">
        <f t="shared" si="140"/>
        <v>2.4</v>
      </c>
      <c r="H1022" s="5"/>
      <c r="I1022" s="5"/>
      <c r="J1022" s="5">
        <f>+G1022*F1022</f>
        <v>9.6</v>
      </c>
      <c r="K1022" s="5"/>
      <c r="L1022" s="5"/>
      <c r="M1022" s="5"/>
      <c r="N1022" s="5"/>
      <c r="O1022" s="278"/>
    </row>
    <row r="1023" spans="1:15" ht="20.100000000000001" hidden="1" customHeight="1" outlineLevel="2">
      <c r="A1023" s="145"/>
      <c r="B1023" s="5"/>
      <c r="C1023" s="5">
        <v>7</v>
      </c>
      <c r="D1023" s="5">
        <v>1</v>
      </c>
      <c r="E1023" s="5">
        <v>2</v>
      </c>
      <c r="F1023" s="5">
        <f t="shared" si="139"/>
        <v>2</v>
      </c>
      <c r="G1023" s="5">
        <f t="shared" si="140"/>
        <v>7</v>
      </c>
      <c r="H1023" s="5"/>
      <c r="I1023" s="5"/>
      <c r="J1023" s="5"/>
      <c r="K1023" s="5"/>
      <c r="L1023" s="5">
        <f>2.24*F1023*G1023</f>
        <v>31.360000000000003</v>
      </c>
      <c r="M1023" s="5"/>
      <c r="N1023" s="5"/>
      <c r="O1023" s="278"/>
    </row>
    <row r="1024" spans="1:15" ht="20.100000000000001" hidden="1" customHeight="1" outlineLevel="2">
      <c r="A1024" s="145"/>
      <c r="B1024" s="5"/>
      <c r="C1024" s="5">
        <v>7</v>
      </c>
      <c r="D1024" s="5">
        <v>1</v>
      </c>
      <c r="E1024" s="5">
        <v>1</v>
      </c>
      <c r="F1024" s="5">
        <f t="shared" si="139"/>
        <v>1</v>
      </c>
      <c r="G1024" s="5">
        <f t="shared" si="140"/>
        <v>7</v>
      </c>
      <c r="H1024" s="5"/>
      <c r="I1024" s="5"/>
      <c r="J1024" s="5"/>
      <c r="K1024" s="5">
        <f>1.55*F1024*G1024</f>
        <v>10.85</v>
      </c>
      <c r="L1024" s="5"/>
      <c r="M1024" s="5"/>
      <c r="N1024" s="5"/>
      <c r="O1024" s="278"/>
    </row>
    <row r="1025" spans="1:15" ht="21" hidden="1" customHeight="1" outlineLevel="2">
      <c r="A1025" s="145"/>
      <c r="B1025" s="5"/>
      <c r="C1025" s="5">
        <v>6.4</v>
      </c>
      <c r="D1025" s="5">
        <v>1</v>
      </c>
      <c r="E1025" s="5">
        <v>2</v>
      </c>
      <c r="F1025" s="5">
        <f t="shared" si="139"/>
        <v>2</v>
      </c>
      <c r="G1025" s="5">
        <f t="shared" si="140"/>
        <v>6.4</v>
      </c>
      <c r="H1025" s="5"/>
      <c r="I1025" s="5"/>
      <c r="J1025" s="5"/>
      <c r="K1025" s="5">
        <f>1.55*F1025*G1025</f>
        <v>19.840000000000003</v>
      </c>
      <c r="L1025" s="5"/>
      <c r="M1025" s="5"/>
      <c r="N1025" s="5"/>
      <c r="O1025" s="278"/>
    </row>
    <row r="1026" spans="1:15" ht="21" hidden="1" customHeight="1" outlineLevel="2">
      <c r="A1026" s="145"/>
      <c r="B1026" s="5"/>
      <c r="C1026" s="5">
        <v>1.7</v>
      </c>
      <c r="D1026" s="5">
        <v>1</v>
      </c>
      <c r="E1026" s="5">
        <v>3</v>
      </c>
      <c r="F1026" s="5">
        <f t="shared" si="139"/>
        <v>3</v>
      </c>
      <c r="G1026" s="5">
        <f t="shared" si="140"/>
        <v>1.7</v>
      </c>
      <c r="H1026" s="5"/>
      <c r="I1026" s="5"/>
      <c r="J1026" s="5">
        <f>+G1026*F1026</f>
        <v>5.0999999999999996</v>
      </c>
      <c r="K1026" s="5"/>
      <c r="L1026" s="5"/>
      <c r="M1026" s="5"/>
      <c r="N1026" s="5"/>
      <c r="O1026" s="278"/>
    </row>
    <row r="1027" spans="1:15" ht="21" hidden="1" customHeight="1" outlineLevel="2">
      <c r="A1027" s="145"/>
      <c r="B1027" s="5"/>
      <c r="C1027" s="5">
        <f>(0.55*2)+(0.35*2)+(0.05*2)</f>
        <v>1.9000000000000001</v>
      </c>
      <c r="D1027" s="5">
        <v>1</v>
      </c>
      <c r="E1027" s="5">
        <v>41</v>
      </c>
      <c r="F1027" s="5">
        <f t="shared" si="139"/>
        <v>41</v>
      </c>
      <c r="G1027" s="5">
        <f t="shared" si="140"/>
        <v>1.9000000000000001</v>
      </c>
      <c r="H1027" s="5"/>
      <c r="I1027" s="5">
        <f>0.56*G1027*F1027</f>
        <v>43.624000000000009</v>
      </c>
      <c r="J1027" s="5"/>
      <c r="K1027" s="5"/>
      <c r="L1027" s="5"/>
      <c r="M1027" s="5"/>
      <c r="N1027" s="5"/>
      <c r="O1027" s="278"/>
    </row>
    <row r="1028" spans="1:15" ht="21" hidden="1" customHeight="1" outlineLevel="2">
      <c r="A1028" s="2192"/>
      <c r="B1028" s="2193"/>
      <c r="C1028" s="2193"/>
      <c r="D1028" s="2193"/>
      <c r="E1028" s="2193"/>
      <c r="F1028" s="2193"/>
      <c r="G1028" s="2194"/>
      <c r="H1028" s="205">
        <f t="shared" ref="H1028:O1028" si="141">SUM(H1016:H1027)</f>
        <v>0</v>
      </c>
      <c r="I1028" s="205">
        <f t="shared" si="141"/>
        <v>43.624000000000009</v>
      </c>
      <c r="J1028" s="205">
        <f t="shared" si="141"/>
        <v>18.899999999999999</v>
      </c>
      <c r="K1028" s="205">
        <f t="shared" si="141"/>
        <v>78.740000000000009</v>
      </c>
      <c r="L1028" s="205">
        <f t="shared" si="141"/>
        <v>58.240000000000009</v>
      </c>
      <c r="M1028" s="205">
        <f t="shared" si="141"/>
        <v>0</v>
      </c>
      <c r="N1028" s="205">
        <f t="shared" si="141"/>
        <v>0</v>
      </c>
      <c r="O1028" s="279">
        <f t="shared" si="141"/>
        <v>0</v>
      </c>
    </row>
    <row r="1029" spans="1:15" ht="21" hidden="1" customHeight="1" outlineLevel="2">
      <c r="A1029" s="2192"/>
      <c r="B1029" s="2193"/>
      <c r="C1029" s="2193"/>
      <c r="D1029" s="2193"/>
      <c r="E1029" s="2193"/>
      <c r="F1029" s="2193"/>
      <c r="G1029" s="2194"/>
      <c r="H1029" s="2242">
        <f>SUM(H1028:O1028)</f>
        <v>199.50400000000002</v>
      </c>
      <c r="I1029" s="2193"/>
      <c r="J1029" s="2193"/>
      <c r="K1029" s="2193"/>
      <c r="L1029" s="2193"/>
      <c r="M1029" s="2193"/>
      <c r="N1029" s="2193"/>
      <c r="O1029" s="2243"/>
    </row>
    <row r="1030" spans="1:15" ht="21" hidden="1" customHeight="1" outlineLevel="2">
      <c r="A1030" s="14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278"/>
    </row>
    <row r="1031" spans="1:15" ht="21" hidden="1" customHeight="1" outlineLevel="2">
      <c r="A1031" s="277" t="s">
        <v>410</v>
      </c>
      <c r="B1031" s="5"/>
      <c r="C1031" s="5">
        <v>2.5</v>
      </c>
      <c r="D1031" s="5">
        <v>1</v>
      </c>
      <c r="E1031" s="5">
        <v>6</v>
      </c>
      <c r="F1031" s="5">
        <f t="shared" ref="F1031:F1048" si="142">+E1031*D1031</f>
        <v>6</v>
      </c>
      <c r="G1031" s="5">
        <f t="shared" ref="G1031:G1048" si="143">+C1031</f>
        <v>2.5</v>
      </c>
      <c r="H1031" s="5"/>
      <c r="I1031" s="5"/>
      <c r="J1031" s="5"/>
      <c r="K1031" s="5"/>
      <c r="L1031" s="5"/>
      <c r="M1031" s="5"/>
      <c r="N1031" s="5">
        <f>4*G1031*F1031</f>
        <v>60</v>
      </c>
      <c r="O1031" s="278"/>
    </row>
    <row r="1032" spans="1:15" ht="21" hidden="1" customHeight="1" outlineLevel="2">
      <c r="A1032" s="145"/>
      <c r="B1032" s="5"/>
      <c r="C1032" s="5">
        <v>4.5</v>
      </c>
      <c r="D1032" s="5">
        <v>1</v>
      </c>
      <c r="E1032" s="5">
        <v>1</v>
      </c>
      <c r="F1032" s="5">
        <f t="shared" si="142"/>
        <v>1</v>
      </c>
      <c r="G1032" s="5">
        <f t="shared" si="143"/>
        <v>4.5</v>
      </c>
      <c r="H1032" s="5"/>
      <c r="I1032" s="5"/>
      <c r="J1032" s="5"/>
      <c r="K1032" s="5"/>
      <c r="L1032" s="5"/>
      <c r="M1032" s="5"/>
      <c r="N1032" s="5">
        <f>4*G1032*F1032</f>
        <v>18</v>
      </c>
      <c r="O1032" s="278"/>
    </row>
    <row r="1033" spans="1:15" ht="21" hidden="1" customHeight="1" outlineLevel="2">
      <c r="A1033" s="145"/>
      <c r="B1033" s="5"/>
      <c r="C1033" s="5">
        <v>4.5</v>
      </c>
      <c r="D1033" s="5">
        <v>1</v>
      </c>
      <c r="E1033" s="5">
        <v>2</v>
      </c>
      <c r="F1033" s="5">
        <f t="shared" si="142"/>
        <v>2</v>
      </c>
      <c r="G1033" s="5">
        <f t="shared" si="143"/>
        <v>4.5</v>
      </c>
      <c r="H1033" s="5"/>
      <c r="I1033" s="5"/>
      <c r="J1033" s="5"/>
      <c r="K1033" s="5"/>
      <c r="L1033" s="5"/>
      <c r="M1033" s="5">
        <f>3*G1033*F1033</f>
        <v>27</v>
      </c>
      <c r="N1033" s="5"/>
      <c r="O1033" s="278"/>
    </row>
    <row r="1034" spans="1:15" ht="21" hidden="1" customHeight="1" outlineLevel="2">
      <c r="A1034" s="145"/>
      <c r="B1034" s="5"/>
      <c r="C1034" s="5">
        <v>3</v>
      </c>
      <c r="D1034" s="5">
        <v>1</v>
      </c>
      <c r="E1034" s="5">
        <v>2</v>
      </c>
      <c r="F1034" s="5">
        <f t="shared" si="142"/>
        <v>2</v>
      </c>
      <c r="G1034" s="5">
        <f t="shared" si="143"/>
        <v>3</v>
      </c>
      <c r="H1034" s="5"/>
      <c r="I1034" s="5"/>
      <c r="J1034" s="5"/>
      <c r="K1034" s="5"/>
      <c r="L1034" s="5"/>
      <c r="M1034" s="5"/>
      <c r="N1034" s="5">
        <f>4*G1034*F1034</f>
        <v>24</v>
      </c>
      <c r="O1034" s="278"/>
    </row>
    <row r="1035" spans="1:15" ht="21" hidden="1" customHeight="1" outlineLevel="2">
      <c r="A1035" s="145"/>
      <c r="B1035" s="5"/>
      <c r="C1035" s="5">
        <v>6</v>
      </c>
      <c r="D1035" s="5">
        <v>1</v>
      </c>
      <c r="E1035" s="5">
        <v>2</v>
      </c>
      <c r="F1035" s="5">
        <f t="shared" si="142"/>
        <v>2</v>
      </c>
      <c r="G1035" s="5">
        <f t="shared" si="143"/>
        <v>6</v>
      </c>
      <c r="H1035" s="5"/>
      <c r="I1035" s="5"/>
      <c r="J1035" s="5"/>
      <c r="K1035" s="5"/>
      <c r="L1035" s="5"/>
      <c r="M1035" s="5"/>
      <c r="N1035" s="5">
        <f>4*G1035*F1035</f>
        <v>48</v>
      </c>
      <c r="O1035" s="278"/>
    </row>
    <row r="1036" spans="1:15" ht="21" hidden="1" customHeight="1" outlineLevel="2">
      <c r="A1036" s="145"/>
      <c r="B1036" s="5"/>
      <c r="C1036" s="5">
        <v>5.5</v>
      </c>
      <c r="D1036" s="5">
        <v>1</v>
      </c>
      <c r="E1036" s="5">
        <v>3</v>
      </c>
      <c r="F1036" s="5">
        <f t="shared" si="142"/>
        <v>3</v>
      </c>
      <c r="G1036" s="5">
        <f t="shared" si="143"/>
        <v>5.5</v>
      </c>
      <c r="H1036" s="5"/>
      <c r="I1036" s="5"/>
      <c r="J1036" s="5"/>
      <c r="K1036" s="5"/>
      <c r="L1036" s="5"/>
      <c r="M1036" s="5"/>
      <c r="N1036" s="5"/>
      <c r="O1036" s="278">
        <f>6.4*G1036*F1036</f>
        <v>105.60000000000001</v>
      </c>
    </row>
    <row r="1037" spans="1:15" ht="21" hidden="1" customHeight="1" outlineLevel="2">
      <c r="A1037" s="145"/>
      <c r="B1037" s="5"/>
      <c r="C1037" s="5">
        <v>5.5</v>
      </c>
      <c r="D1037" s="5">
        <v>1</v>
      </c>
      <c r="E1037" s="5">
        <v>2</v>
      </c>
      <c r="F1037" s="5">
        <f t="shared" si="142"/>
        <v>2</v>
      </c>
      <c r="G1037" s="5">
        <f t="shared" si="143"/>
        <v>5.5</v>
      </c>
      <c r="H1037" s="5"/>
      <c r="I1037" s="5"/>
      <c r="J1037" s="5"/>
      <c r="K1037" s="5"/>
      <c r="L1037" s="5"/>
      <c r="M1037" s="5"/>
      <c r="N1037" s="5">
        <f>4*G1037*F1037</f>
        <v>44</v>
      </c>
      <c r="O1037" s="278"/>
    </row>
    <row r="1038" spans="1:15" ht="21" hidden="1" customHeight="1" outlineLevel="2">
      <c r="A1038" s="145"/>
      <c r="B1038" s="5"/>
      <c r="C1038" s="5">
        <v>6</v>
      </c>
      <c r="D1038" s="5">
        <v>1</v>
      </c>
      <c r="E1038" s="5">
        <v>1</v>
      </c>
      <c r="F1038" s="5">
        <f t="shared" si="142"/>
        <v>1</v>
      </c>
      <c r="G1038" s="5">
        <f t="shared" si="143"/>
        <v>6</v>
      </c>
      <c r="H1038" s="5"/>
      <c r="I1038" s="5"/>
      <c r="J1038" s="5"/>
      <c r="K1038" s="5"/>
      <c r="L1038" s="5"/>
      <c r="M1038" s="5">
        <f>3*G1038*F1038</f>
        <v>18</v>
      </c>
      <c r="N1038" s="5"/>
      <c r="O1038" s="278"/>
    </row>
    <row r="1039" spans="1:15" ht="21" hidden="1" customHeight="1" outlineLevel="2">
      <c r="A1039" s="145"/>
      <c r="B1039" s="5"/>
      <c r="C1039" s="5">
        <v>6</v>
      </c>
      <c r="D1039" s="5">
        <v>1</v>
      </c>
      <c r="E1039" s="5">
        <v>2</v>
      </c>
      <c r="F1039" s="5">
        <f t="shared" si="142"/>
        <v>2</v>
      </c>
      <c r="G1039" s="5">
        <f t="shared" si="143"/>
        <v>6</v>
      </c>
      <c r="H1039" s="5"/>
      <c r="I1039" s="5"/>
      <c r="J1039" s="5"/>
      <c r="K1039" s="5"/>
      <c r="L1039" s="5">
        <f>2.24*G1039*F1039</f>
        <v>26.880000000000003</v>
      </c>
      <c r="M1039" s="5"/>
      <c r="N1039" s="5"/>
      <c r="O1039" s="278"/>
    </row>
    <row r="1040" spans="1:15" ht="21" hidden="1" customHeight="1" outlineLevel="2">
      <c r="A1040" s="145"/>
      <c r="B1040" s="5"/>
      <c r="C1040" s="5">
        <v>9</v>
      </c>
      <c r="D1040" s="5">
        <v>1</v>
      </c>
      <c r="E1040" s="5">
        <v>2</v>
      </c>
      <c r="F1040" s="5">
        <f t="shared" si="142"/>
        <v>2</v>
      </c>
      <c r="G1040" s="5">
        <f t="shared" si="143"/>
        <v>9</v>
      </c>
      <c r="H1040" s="5"/>
      <c r="I1040" s="5"/>
      <c r="J1040" s="5"/>
      <c r="K1040" s="5"/>
      <c r="L1040" s="5"/>
      <c r="M1040" s="5"/>
      <c r="N1040" s="5">
        <f>4*G1040*F1040</f>
        <v>72</v>
      </c>
      <c r="O1040" s="278"/>
    </row>
    <row r="1041" spans="1:15" ht="21" hidden="1" customHeight="1" outlineLevel="2">
      <c r="A1041" s="145"/>
      <c r="B1041" s="5"/>
      <c r="C1041" s="5">
        <v>3</v>
      </c>
      <c r="D1041" s="5">
        <v>1</v>
      </c>
      <c r="E1041" s="5">
        <v>1</v>
      </c>
      <c r="F1041" s="5">
        <f t="shared" si="142"/>
        <v>1</v>
      </c>
      <c r="G1041" s="5">
        <f t="shared" si="143"/>
        <v>3</v>
      </c>
      <c r="H1041" s="5"/>
      <c r="I1041" s="5"/>
      <c r="J1041" s="5"/>
      <c r="K1041" s="5">
        <f>1.55*G1041*F1041</f>
        <v>4.6500000000000004</v>
      </c>
      <c r="L1041" s="5"/>
      <c r="M1041" s="5"/>
      <c r="N1041" s="5"/>
      <c r="O1041" s="278"/>
    </row>
    <row r="1042" spans="1:15" ht="21" hidden="1" customHeight="1" outlineLevel="2">
      <c r="A1042" s="145"/>
      <c r="B1042" s="5"/>
      <c r="C1042" s="5">
        <v>3</v>
      </c>
      <c r="D1042" s="5">
        <v>1</v>
      </c>
      <c r="E1042" s="5">
        <v>1</v>
      </c>
      <c r="F1042" s="5">
        <f t="shared" si="142"/>
        <v>1</v>
      </c>
      <c r="G1042" s="5">
        <f t="shared" si="143"/>
        <v>3</v>
      </c>
      <c r="H1042" s="5"/>
      <c r="I1042" s="5"/>
      <c r="J1042" s="5">
        <f>+G1042*F1042</f>
        <v>3</v>
      </c>
      <c r="K1042" s="5"/>
      <c r="L1042" s="5"/>
      <c r="M1042" s="5"/>
      <c r="N1042" s="5"/>
      <c r="O1042" s="278"/>
    </row>
    <row r="1043" spans="1:15" ht="21" hidden="1" customHeight="1" outlineLevel="2">
      <c r="A1043" s="145"/>
      <c r="B1043" s="5"/>
      <c r="C1043" s="5">
        <v>3.2</v>
      </c>
      <c r="D1043" s="5">
        <v>1</v>
      </c>
      <c r="E1043" s="5">
        <v>2</v>
      </c>
      <c r="F1043" s="5">
        <f t="shared" si="142"/>
        <v>2</v>
      </c>
      <c r="G1043" s="5">
        <f t="shared" si="143"/>
        <v>3.2</v>
      </c>
      <c r="H1043" s="5"/>
      <c r="I1043" s="5"/>
      <c r="J1043" s="5"/>
      <c r="K1043" s="5"/>
      <c r="L1043" s="5">
        <f>2.24*G1043*F1043</f>
        <v>14.336000000000002</v>
      </c>
      <c r="M1043" s="5"/>
      <c r="N1043" s="5"/>
      <c r="O1043" s="278"/>
    </row>
    <row r="1044" spans="1:15" ht="21" hidden="1" customHeight="1" outlineLevel="2">
      <c r="A1044" s="145"/>
      <c r="B1044" s="5"/>
      <c r="C1044" s="5">
        <v>3.2</v>
      </c>
      <c r="D1044" s="5">
        <v>1</v>
      </c>
      <c r="E1044" s="5">
        <v>1</v>
      </c>
      <c r="F1044" s="5">
        <f t="shared" si="142"/>
        <v>1</v>
      </c>
      <c r="G1044" s="5">
        <f t="shared" si="143"/>
        <v>3.2</v>
      </c>
      <c r="H1044" s="5"/>
      <c r="I1044" s="5"/>
      <c r="J1044" s="5"/>
      <c r="K1044" s="5">
        <f>1.55*G1044*F1044</f>
        <v>4.9600000000000009</v>
      </c>
      <c r="L1044" s="5"/>
      <c r="M1044" s="5"/>
      <c r="N1044" s="5"/>
      <c r="O1044" s="278"/>
    </row>
    <row r="1045" spans="1:15" ht="21" hidden="1" customHeight="1" outlineLevel="2">
      <c r="A1045" s="145"/>
      <c r="B1045" s="5"/>
      <c r="C1045" s="5">
        <v>2.5</v>
      </c>
      <c r="D1045" s="5">
        <v>1</v>
      </c>
      <c r="E1045" s="5">
        <v>2</v>
      </c>
      <c r="F1045" s="5">
        <f t="shared" si="142"/>
        <v>2</v>
      </c>
      <c r="G1045" s="5">
        <f t="shared" si="143"/>
        <v>2.5</v>
      </c>
      <c r="H1045" s="5"/>
      <c r="I1045" s="5"/>
      <c r="J1045" s="5"/>
      <c r="K1045" s="5"/>
      <c r="L1045" s="5"/>
      <c r="M1045" s="5">
        <f>3*G1045*F1045</f>
        <v>15</v>
      </c>
      <c r="N1045" s="5"/>
      <c r="O1045" s="278"/>
    </row>
    <row r="1046" spans="1:15" ht="21" hidden="1" customHeight="1" outlineLevel="2">
      <c r="A1046" s="145"/>
      <c r="B1046" s="5"/>
      <c r="C1046" s="5">
        <v>7.5</v>
      </c>
      <c r="D1046" s="5">
        <v>1</v>
      </c>
      <c r="E1046" s="5">
        <v>2</v>
      </c>
      <c r="F1046" s="5">
        <f t="shared" si="142"/>
        <v>2</v>
      </c>
      <c r="G1046" s="5">
        <f t="shared" si="143"/>
        <v>7.5</v>
      </c>
      <c r="H1046" s="5"/>
      <c r="I1046" s="5"/>
      <c r="J1046" s="5"/>
      <c r="K1046" s="5"/>
      <c r="L1046" s="5"/>
      <c r="M1046" s="5"/>
      <c r="N1046" s="5">
        <f>4*G1046*F1046</f>
        <v>60</v>
      </c>
      <c r="O1046" s="278"/>
    </row>
    <row r="1047" spans="1:15" ht="21" hidden="1" customHeight="1" outlineLevel="2">
      <c r="A1047" s="145"/>
      <c r="B1047" s="5"/>
      <c r="C1047" s="5">
        <f>(0.55*2)+(0.35*2)+(0.05*2)</f>
        <v>1.9000000000000001</v>
      </c>
      <c r="D1047" s="5">
        <v>1</v>
      </c>
      <c r="E1047" s="5">
        <v>54</v>
      </c>
      <c r="F1047" s="5">
        <f t="shared" si="142"/>
        <v>54</v>
      </c>
      <c r="G1047" s="5">
        <f t="shared" si="143"/>
        <v>1.9000000000000001</v>
      </c>
      <c r="H1047" s="5"/>
      <c r="I1047" s="5"/>
      <c r="J1047" s="5"/>
      <c r="K1047" s="5">
        <f>1.55*G1047*F1047</f>
        <v>159.03000000000003</v>
      </c>
      <c r="L1047" s="5"/>
      <c r="M1047" s="5"/>
      <c r="N1047" s="5"/>
      <c r="O1047" s="278"/>
    </row>
    <row r="1048" spans="1:15" ht="21" hidden="1" customHeight="1" outlineLevel="2">
      <c r="A1048" s="145"/>
      <c r="B1048" s="5"/>
      <c r="C1048" s="5">
        <f>(0.55*2)+(0.35*2)+(0.05*2)</f>
        <v>1.9000000000000001</v>
      </c>
      <c r="D1048" s="5">
        <v>1</v>
      </c>
      <c r="E1048" s="5">
        <v>16</v>
      </c>
      <c r="F1048" s="5">
        <f t="shared" si="142"/>
        <v>16</v>
      </c>
      <c r="G1048" s="5">
        <f t="shared" si="143"/>
        <v>1.9000000000000001</v>
      </c>
      <c r="H1048" s="5"/>
      <c r="I1048" s="5"/>
      <c r="J1048" s="5">
        <f>+G1048*F1048</f>
        <v>30.400000000000002</v>
      </c>
      <c r="K1048" s="5"/>
      <c r="L1048" s="5"/>
      <c r="M1048" s="5"/>
      <c r="N1048" s="5"/>
      <c r="O1048" s="278"/>
    </row>
    <row r="1049" spans="1:15" ht="21" hidden="1" customHeight="1" outlineLevel="2">
      <c r="A1049" s="2192"/>
      <c r="B1049" s="2193"/>
      <c r="C1049" s="2193"/>
      <c r="D1049" s="2193"/>
      <c r="E1049" s="2193"/>
      <c r="F1049" s="2193"/>
      <c r="G1049" s="2194"/>
      <c r="H1049" s="205">
        <f t="shared" ref="H1049:O1049" si="144">SUM(H1031:H1048)</f>
        <v>0</v>
      </c>
      <c r="I1049" s="205">
        <f t="shared" si="144"/>
        <v>0</v>
      </c>
      <c r="J1049" s="205">
        <f t="shared" si="144"/>
        <v>33.400000000000006</v>
      </c>
      <c r="K1049" s="205">
        <f t="shared" si="144"/>
        <v>168.64000000000004</v>
      </c>
      <c r="L1049" s="205">
        <f t="shared" si="144"/>
        <v>41.216000000000008</v>
      </c>
      <c r="M1049" s="205">
        <f t="shared" si="144"/>
        <v>60</v>
      </c>
      <c r="N1049" s="205">
        <f t="shared" si="144"/>
        <v>326</v>
      </c>
      <c r="O1049" s="279">
        <f t="shared" si="144"/>
        <v>105.60000000000001</v>
      </c>
    </row>
    <row r="1050" spans="1:15" ht="21" hidden="1" customHeight="1" outlineLevel="2">
      <c r="A1050" s="2192"/>
      <c r="B1050" s="2193"/>
      <c r="C1050" s="2193"/>
      <c r="D1050" s="2193"/>
      <c r="E1050" s="2193"/>
      <c r="F1050" s="2193"/>
      <c r="G1050" s="2194"/>
      <c r="H1050" s="2242">
        <f>SUM(H1049:O1049)</f>
        <v>734.85600000000011</v>
      </c>
      <c r="I1050" s="2193"/>
      <c r="J1050" s="2193"/>
      <c r="K1050" s="2193"/>
      <c r="L1050" s="2193"/>
      <c r="M1050" s="2193"/>
      <c r="N1050" s="2193"/>
      <c r="O1050" s="2243"/>
    </row>
    <row r="1051" spans="1:15" ht="21" hidden="1" customHeight="1" outlineLevel="2">
      <c r="A1051" s="14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278"/>
    </row>
    <row r="1052" spans="1:15" ht="21" hidden="1" customHeight="1" outlineLevel="2">
      <c r="A1052" s="277" t="s">
        <v>411</v>
      </c>
      <c r="B1052" s="5"/>
      <c r="C1052" s="5">
        <v>7</v>
      </c>
      <c r="D1052" s="5">
        <v>1</v>
      </c>
      <c r="E1052" s="5">
        <v>4</v>
      </c>
      <c r="F1052" s="5">
        <f t="shared" ref="F1052:F1059" si="145">+D1052*E1052</f>
        <v>4</v>
      </c>
      <c r="G1052" s="5">
        <f t="shared" ref="G1052:G1059" si="146">+C1052</f>
        <v>7</v>
      </c>
      <c r="H1052" s="5"/>
      <c r="I1052" s="5"/>
      <c r="J1052" s="5"/>
      <c r="K1052" s="5"/>
      <c r="L1052" s="5"/>
      <c r="M1052" s="5"/>
      <c r="N1052" s="5"/>
      <c r="O1052" s="278">
        <f>6.4*F1052*G1052</f>
        <v>179.20000000000002</v>
      </c>
    </row>
    <row r="1053" spans="1:15" ht="21" hidden="1" customHeight="1" outlineLevel="2">
      <c r="A1053" s="145"/>
      <c r="B1053" s="5"/>
      <c r="C1053" s="5">
        <v>8</v>
      </c>
      <c r="D1053" s="5">
        <v>1</v>
      </c>
      <c r="E1053" s="5">
        <v>2</v>
      </c>
      <c r="F1053" s="5">
        <f t="shared" si="145"/>
        <v>2</v>
      </c>
      <c r="G1053" s="5">
        <f t="shared" si="146"/>
        <v>8</v>
      </c>
      <c r="H1053" s="5"/>
      <c r="I1053" s="5"/>
      <c r="J1053" s="5"/>
      <c r="K1053" s="5"/>
      <c r="L1053" s="5"/>
      <c r="M1053" s="5"/>
      <c r="N1053" s="5"/>
      <c r="O1053" s="278">
        <f>6.4*F1053*G1053</f>
        <v>102.4</v>
      </c>
    </row>
    <row r="1054" spans="1:15" ht="21" hidden="1" customHeight="1" outlineLevel="2">
      <c r="A1054" s="145"/>
      <c r="B1054" s="5"/>
      <c r="C1054" s="5">
        <v>8</v>
      </c>
      <c r="D1054" s="5">
        <v>1</v>
      </c>
      <c r="E1054" s="5">
        <v>1</v>
      </c>
      <c r="F1054" s="5">
        <f t="shared" si="145"/>
        <v>1</v>
      </c>
      <c r="G1054" s="5">
        <f t="shared" si="146"/>
        <v>8</v>
      </c>
      <c r="H1054" s="5"/>
      <c r="I1054" s="5"/>
      <c r="J1054" s="5"/>
      <c r="K1054" s="5"/>
      <c r="L1054" s="5"/>
      <c r="M1054" s="5"/>
      <c r="N1054" s="5">
        <f>4*F1054*G1054</f>
        <v>32</v>
      </c>
      <c r="O1054" s="278"/>
    </row>
    <row r="1055" spans="1:15" ht="21" hidden="1" customHeight="1" outlineLevel="2">
      <c r="A1055" s="145"/>
      <c r="B1055" s="5"/>
      <c r="C1055" s="5">
        <v>8</v>
      </c>
      <c r="D1055" s="5">
        <v>1</v>
      </c>
      <c r="E1055" s="5">
        <v>2</v>
      </c>
      <c r="F1055" s="5">
        <f t="shared" si="145"/>
        <v>2</v>
      </c>
      <c r="G1055" s="5">
        <f t="shared" si="146"/>
        <v>8</v>
      </c>
      <c r="H1055" s="5"/>
      <c r="I1055" s="5"/>
      <c r="J1055" s="5"/>
      <c r="K1055" s="5"/>
      <c r="L1055" s="5"/>
      <c r="M1055" s="5"/>
      <c r="N1055" s="5"/>
      <c r="O1055" s="278">
        <f>6.4*F1055*G1055</f>
        <v>102.4</v>
      </c>
    </row>
    <row r="1056" spans="1:15" ht="21" hidden="1" customHeight="1" outlineLevel="2">
      <c r="A1056" s="145"/>
      <c r="B1056" s="5"/>
      <c r="C1056" s="5">
        <v>8</v>
      </c>
      <c r="D1056" s="5">
        <v>1</v>
      </c>
      <c r="E1056" s="5">
        <v>1</v>
      </c>
      <c r="F1056" s="5">
        <f t="shared" si="145"/>
        <v>1</v>
      </c>
      <c r="G1056" s="5">
        <f t="shared" si="146"/>
        <v>8</v>
      </c>
      <c r="H1056" s="5"/>
      <c r="I1056" s="5"/>
      <c r="J1056" s="5"/>
      <c r="K1056" s="5"/>
      <c r="L1056" s="5"/>
      <c r="M1056" s="5"/>
      <c r="N1056" s="5">
        <f>4*F1056*G1056</f>
        <v>32</v>
      </c>
      <c r="O1056" s="278"/>
    </row>
    <row r="1057" spans="1:15" ht="21" hidden="1" customHeight="1" outlineLevel="2">
      <c r="A1057" s="145"/>
      <c r="B1057" s="5"/>
      <c r="C1057" s="5">
        <v>3</v>
      </c>
      <c r="D1057" s="5">
        <v>1</v>
      </c>
      <c r="E1057" s="5">
        <v>3</v>
      </c>
      <c r="F1057" s="5">
        <f t="shared" si="145"/>
        <v>3</v>
      </c>
      <c r="G1057" s="5">
        <f t="shared" si="146"/>
        <v>3</v>
      </c>
      <c r="H1057" s="5"/>
      <c r="I1057" s="5"/>
      <c r="J1057" s="5"/>
      <c r="K1057" s="5"/>
      <c r="L1057" s="5"/>
      <c r="M1057" s="5"/>
      <c r="N1057" s="5">
        <f>4*F1057*G1057</f>
        <v>36</v>
      </c>
      <c r="O1057" s="278"/>
    </row>
    <row r="1058" spans="1:15" ht="21" hidden="1" customHeight="1" outlineLevel="2">
      <c r="A1058" s="145"/>
      <c r="B1058" s="5"/>
      <c r="C1058" s="5">
        <v>3</v>
      </c>
      <c r="D1058" s="5">
        <v>1</v>
      </c>
      <c r="E1058" s="5">
        <v>3</v>
      </c>
      <c r="F1058" s="5">
        <f t="shared" si="145"/>
        <v>3</v>
      </c>
      <c r="G1058" s="5">
        <f t="shared" si="146"/>
        <v>3</v>
      </c>
      <c r="H1058" s="5"/>
      <c r="I1058" s="5"/>
      <c r="J1058" s="5"/>
      <c r="K1058" s="5"/>
      <c r="L1058" s="5"/>
      <c r="M1058" s="5"/>
      <c r="N1058" s="5">
        <f>4*F1058*G1058</f>
        <v>36</v>
      </c>
      <c r="O1058" s="278"/>
    </row>
    <row r="1059" spans="1:15" ht="21" hidden="1" customHeight="1" outlineLevel="2">
      <c r="A1059" s="145"/>
      <c r="B1059" s="5"/>
      <c r="C1059" s="5">
        <f>(0.55*2)+(0.35*2)+(0.05*2)</f>
        <v>1.9000000000000001</v>
      </c>
      <c r="D1059" s="5">
        <v>1</v>
      </c>
      <c r="E1059" s="5">
        <v>36</v>
      </c>
      <c r="F1059" s="5">
        <f t="shared" si="145"/>
        <v>36</v>
      </c>
      <c r="G1059" s="5">
        <f t="shared" si="146"/>
        <v>1.9000000000000001</v>
      </c>
      <c r="H1059" s="5"/>
      <c r="I1059" s="5"/>
      <c r="J1059" s="5"/>
      <c r="K1059" s="5">
        <f>1.55*G1059*F1059</f>
        <v>106.02000000000001</v>
      </c>
      <c r="L1059" s="5"/>
      <c r="M1059" s="5"/>
      <c r="N1059" s="5"/>
      <c r="O1059" s="278"/>
    </row>
    <row r="1060" spans="1:15" ht="21" hidden="1" customHeight="1" outlineLevel="2">
      <c r="A1060" s="2192"/>
      <c r="B1060" s="2193"/>
      <c r="C1060" s="2193"/>
      <c r="D1060" s="2193"/>
      <c r="E1060" s="2193"/>
      <c r="F1060" s="2193"/>
      <c r="G1060" s="2194"/>
      <c r="H1060" s="205">
        <f t="shared" ref="H1060:O1060" si="147">SUM(H1052:H1059)</f>
        <v>0</v>
      </c>
      <c r="I1060" s="205">
        <f t="shared" si="147"/>
        <v>0</v>
      </c>
      <c r="J1060" s="205">
        <f t="shared" si="147"/>
        <v>0</v>
      </c>
      <c r="K1060" s="205">
        <f t="shared" si="147"/>
        <v>106.02000000000001</v>
      </c>
      <c r="L1060" s="205">
        <f t="shared" si="147"/>
        <v>0</v>
      </c>
      <c r="M1060" s="205">
        <f t="shared" si="147"/>
        <v>0</v>
      </c>
      <c r="N1060" s="205">
        <f t="shared" si="147"/>
        <v>136</v>
      </c>
      <c r="O1060" s="279">
        <f t="shared" si="147"/>
        <v>384</v>
      </c>
    </row>
    <row r="1061" spans="1:15" ht="21" hidden="1" customHeight="1" outlineLevel="2">
      <c r="A1061" s="2192"/>
      <c r="B1061" s="2193"/>
      <c r="C1061" s="2193"/>
      <c r="D1061" s="2193"/>
      <c r="E1061" s="2193"/>
      <c r="F1061" s="2193"/>
      <c r="G1061" s="2194"/>
      <c r="H1061" s="2242">
        <f>SUM(H1060:O1060)</f>
        <v>626.02</v>
      </c>
      <c r="I1061" s="2193"/>
      <c r="J1061" s="2193"/>
      <c r="K1061" s="2193"/>
      <c r="L1061" s="2193"/>
      <c r="M1061" s="2193"/>
      <c r="N1061" s="2193"/>
      <c r="O1061" s="2243"/>
    </row>
    <row r="1062" spans="1:15" ht="21" hidden="1" customHeight="1" outlineLevel="2">
      <c r="A1062" s="14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278"/>
    </row>
    <row r="1063" spans="1:15" ht="21" hidden="1" customHeight="1" outlineLevel="2">
      <c r="A1063" s="277" t="s">
        <v>412</v>
      </c>
      <c r="B1063" s="5"/>
      <c r="C1063" s="5">
        <v>2</v>
      </c>
      <c r="D1063" s="5">
        <v>1</v>
      </c>
      <c r="E1063" s="5">
        <v>3</v>
      </c>
      <c r="F1063" s="5">
        <f t="shared" ref="F1063:F1074" si="148">+D1063*E1063</f>
        <v>3</v>
      </c>
      <c r="G1063" s="5">
        <f t="shared" ref="G1063:G1074" si="149">+C1063</f>
        <v>2</v>
      </c>
      <c r="H1063" s="5"/>
      <c r="I1063" s="5"/>
      <c r="J1063" s="5"/>
      <c r="K1063" s="5"/>
      <c r="L1063" s="5"/>
      <c r="M1063" s="5"/>
      <c r="N1063" s="5">
        <f>4*G1063*F1063</f>
        <v>24</v>
      </c>
      <c r="O1063" s="278"/>
    </row>
    <row r="1064" spans="1:15" ht="21" hidden="1" customHeight="1" outlineLevel="2">
      <c r="A1064" s="145"/>
      <c r="B1064" s="5"/>
      <c r="C1064" s="5">
        <v>4</v>
      </c>
      <c r="D1064" s="5">
        <v>1</v>
      </c>
      <c r="E1064" s="5">
        <v>2</v>
      </c>
      <c r="F1064" s="5">
        <f t="shared" si="148"/>
        <v>2</v>
      </c>
      <c r="G1064" s="5">
        <f t="shared" si="149"/>
        <v>4</v>
      </c>
      <c r="H1064" s="5"/>
      <c r="I1064" s="5"/>
      <c r="J1064" s="5"/>
      <c r="K1064" s="5"/>
      <c r="L1064" s="5"/>
      <c r="M1064" s="5"/>
      <c r="N1064" s="5">
        <f>4*G1064*F1064</f>
        <v>32</v>
      </c>
      <c r="O1064" s="278"/>
    </row>
    <row r="1065" spans="1:15" ht="21" hidden="1" customHeight="1" outlineLevel="2">
      <c r="A1065" s="145"/>
      <c r="B1065" s="5"/>
      <c r="C1065" s="5">
        <v>4</v>
      </c>
      <c r="D1065" s="5">
        <v>1</v>
      </c>
      <c r="E1065" s="5">
        <v>1</v>
      </c>
      <c r="F1065" s="5">
        <f t="shared" si="148"/>
        <v>1</v>
      </c>
      <c r="G1065" s="5">
        <f t="shared" si="149"/>
        <v>4</v>
      </c>
      <c r="H1065" s="5"/>
      <c r="I1065" s="5"/>
      <c r="J1065" s="5"/>
      <c r="K1065" s="5"/>
      <c r="L1065" s="5"/>
      <c r="M1065" s="5">
        <f>3*G1065*F1065</f>
        <v>12</v>
      </c>
      <c r="N1065" s="5"/>
      <c r="O1065" s="278"/>
    </row>
    <row r="1066" spans="1:15" ht="21" hidden="1" customHeight="1" outlineLevel="2">
      <c r="A1066" s="145"/>
      <c r="B1066" s="5"/>
      <c r="C1066" s="5">
        <v>6.9</v>
      </c>
      <c r="D1066" s="5">
        <v>1</v>
      </c>
      <c r="E1066" s="5">
        <v>4</v>
      </c>
      <c r="F1066" s="5">
        <f t="shared" si="148"/>
        <v>4</v>
      </c>
      <c r="G1066" s="5">
        <f t="shared" si="149"/>
        <v>6.9</v>
      </c>
      <c r="H1066" s="5"/>
      <c r="I1066" s="5"/>
      <c r="J1066" s="5"/>
      <c r="K1066" s="5"/>
      <c r="L1066" s="5"/>
      <c r="M1066" s="5"/>
      <c r="N1066" s="5">
        <f>4*G1066*F1066</f>
        <v>110.4</v>
      </c>
      <c r="O1066" s="278"/>
    </row>
    <row r="1067" spans="1:15" ht="21" hidden="1" customHeight="1" outlineLevel="2">
      <c r="A1067" s="145"/>
      <c r="B1067" s="5"/>
      <c r="C1067" s="5">
        <v>6.9</v>
      </c>
      <c r="D1067" s="5">
        <v>1</v>
      </c>
      <c r="E1067" s="5">
        <v>1</v>
      </c>
      <c r="F1067" s="5">
        <f t="shared" si="148"/>
        <v>1</v>
      </c>
      <c r="G1067" s="5">
        <f t="shared" si="149"/>
        <v>6.9</v>
      </c>
      <c r="H1067" s="5"/>
      <c r="I1067" s="5"/>
      <c r="J1067" s="5"/>
      <c r="K1067" s="5"/>
      <c r="L1067" s="5"/>
      <c r="M1067" s="5">
        <f>3*G1067*F1067</f>
        <v>20.700000000000003</v>
      </c>
      <c r="N1067" s="5"/>
      <c r="O1067" s="278"/>
    </row>
    <row r="1068" spans="1:15" ht="21" hidden="1" customHeight="1" outlineLevel="2">
      <c r="A1068" s="145"/>
      <c r="B1068" s="5"/>
      <c r="C1068" s="5">
        <v>7</v>
      </c>
      <c r="D1068" s="5">
        <v>1</v>
      </c>
      <c r="E1068" s="5">
        <v>2</v>
      </c>
      <c r="F1068" s="5">
        <f t="shared" si="148"/>
        <v>2</v>
      </c>
      <c r="G1068" s="5">
        <f t="shared" si="149"/>
        <v>7</v>
      </c>
      <c r="H1068" s="5"/>
      <c r="I1068" s="5"/>
      <c r="J1068" s="5"/>
      <c r="K1068" s="5"/>
      <c r="L1068" s="5">
        <f>2.24*G1068*F1068</f>
        <v>31.360000000000003</v>
      </c>
      <c r="M1068" s="5"/>
      <c r="N1068" s="5"/>
      <c r="O1068" s="278"/>
    </row>
    <row r="1069" spans="1:15" ht="21" hidden="1" customHeight="1" outlineLevel="2">
      <c r="A1069" s="145"/>
      <c r="B1069" s="5"/>
      <c r="C1069" s="5">
        <v>7</v>
      </c>
      <c r="D1069" s="5">
        <v>1</v>
      </c>
      <c r="E1069" s="5">
        <v>1</v>
      </c>
      <c r="F1069" s="5">
        <f t="shared" si="148"/>
        <v>1</v>
      </c>
      <c r="G1069" s="5">
        <f t="shared" si="149"/>
        <v>7</v>
      </c>
      <c r="H1069" s="5"/>
      <c r="I1069" s="5"/>
      <c r="J1069" s="5"/>
      <c r="K1069" s="5">
        <f>1.55*G1069*F1069</f>
        <v>10.85</v>
      </c>
      <c r="L1069" s="5"/>
      <c r="M1069" s="5"/>
      <c r="N1069" s="5"/>
      <c r="O1069" s="278"/>
    </row>
    <row r="1070" spans="1:15" ht="21" hidden="1" customHeight="1" outlineLevel="2">
      <c r="A1070" s="145"/>
      <c r="B1070" s="5"/>
      <c r="C1070" s="5">
        <v>4.2</v>
      </c>
      <c r="D1070" s="5">
        <v>1</v>
      </c>
      <c r="E1070" s="5">
        <v>5</v>
      </c>
      <c r="F1070" s="5">
        <f t="shared" si="148"/>
        <v>5</v>
      </c>
      <c r="G1070" s="5">
        <f t="shared" si="149"/>
        <v>4.2</v>
      </c>
      <c r="H1070" s="5"/>
      <c r="I1070" s="5"/>
      <c r="J1070" s="5"/>
      <c r="K1070" s="5"/>
      <c r="L1070" s="5"/>
      <c r="M1070" s="5"/>
      <c r="N1070" s="5">
        <f>4*G1070*F1070</f>
        <v>84</v>
      </c>
      <c r="O1070" s="278"/>
    </row>
    <row r="1071" spans="1:15" ht="21" hidden="1" customHeight="1" outlineLevel="2">
      <c r="A1071" s="145"/>
      <c r="B1071" s="5"/>
      <c r="C1071" s="5">
        <v>4.5</v>
      </c>
      <c r="D1071" s="5">
        <v>1</v>
      </c>
      <c r="E1071" s="5">
        <v>5</v>
      </c>
      <c r="F1071" s="5">
        <f t="shared" si="148"/>
        <v>5</v>
      </c>
      <c r="G1071" s="5">
        <f t="shared" si="149"/>
        <v>4.5</v>
      </c>
      <c r="H1071" s="5"/>
      <c r="I1071" s="5"/>
      <c r="J1071" s="5"/>
      <c r="K1071" s="5"/>
      <c r="L1071" s="5"/>
      <c r="M1071" s="5"/>
      <c r="N1071" s="5">
        <f>4*G1071*F1071</f>
        <v>90</v>
      </c>
      <c r="O1071" s="278"/>
    </row>
    <row r="1072" spans="1:15" ht="21" hidden="1" customHeight="1" outlineLevel="2">
      <c r="A1072" s="145"/>
      <c r="B1072" s="5"/>
      <c r="C1072" s="5">
        <v>5.8</v>
      </c>
      <c r="D1072" s="5">
        <v>1</v>
      </c>
      <c r="E1072" s="5">
        <v>5</v>
      </c>
      <c r="F1072" s="5">
        <f t="shared" si="148"/>
        <v>5</v>
      </c>
      <c r="G1072" s="5">
        <f t="shared" si="149"/>
        <v>5.8</v>
      </c>
      <c r="H1072" s="5"/>
      <c r="I1072" s="5"/>
      <c r="J1072" s="5"/>
      <c r="K1072" s="5"/>
      <c r="L1072" s="5"/>
      <c r="M1072" s="5"/>
      <c r="N1072" s="5">
        <f>4*G1072*F1072</f>
        <v>116</v>
      </c>
      <c r="O1072" s="278"/>
    </row>
    <row r="1073" spans="1:15" ht="21" hidden="1" customHeight="1" outlineLevel="2">
      <c r="A1073" s="145"/>
      <c r="B1073" s="5"/>
      <c r="C1073" s="5">
        <f>(0.55*2)+(0.35*2)+(0.05*2)</f>
        <v>1.9000000000000001</v>
      </c>
      <c r="D1073" s="5">
        <v>1</v>
      </c>
      <c r="E1073" s="5">
        <v>20</v>
      </c>
      <c r="F1073" s="5">
        <f t="shared" si="148"/>
        <v>20</v>
      </c>
      <c r="G1073" s="5">
        <f t="shared" si="149"/>
        <v>1.9000000000000001</v>
      </c>
      <c r="H1073" s="5"/>
      <c r="I1073" s="5">
        <f>0.56*G1073*F1073</f>
        <v>21.280000000000005</v>
      </c>
      <c r="J1073" s="5"/>
      <c r="K1073" s="5"/>
      <c r="L1073" s="5"/>
      <c r="M1073" s="5"/>
      <c r="N1073" s="5"/>
      <c r="O1073" s="278"/>
    </row>
    <row r="1074" spans="1:15" ht="38.25" hidden="1" customHeight="1" outlineLevel="2">
      <c r="A1074" s="145"/>
      <c r="B1074" s="5"/>
      <c r="C1074" s="5">
        <f>(0.55*2)+(0.35*2)+(0.05*2)</f>
        <v>1.9000000000000001</v>
      </c>
      <c r="D1074" s="5">
        <v>1</v>
      </c>
      <c r="E1074" s="5">
        <v>40</v>
      </c>
      <c r="F1074" s="5">
        <f t="shared" si="148"/>
        <v>40</v>
      </c>
      <c r="G1074" s="5">
        <f t="shared" si="149"/>
        <v>1.9000000000000001</v>
      </c>
      <c r="H1074" s="5"/>
      <c r="I1074" s="5"/>
      <c r="J1074" s="5">
        <f>+G1074*F1074</f>
        <v>76</v>
      </c>
      <c r="K1074" s="5"/>
      <c r="L1074" s="5"/>
      <c r="M1074" s="5"/>
      <c r="N1074" s="5"/>
      <c r="O1074" s="278"/>
    </row>
    <row r="1075" spans="1:15" ht="21" hidden="1" customHeight="1" outlineLevel="2">
      <c r="A1075" s="280"/>
      <c r="B1075" s="203"/>
      <c r="C1075" s="203"/>
      <c r="D1075" s="203"/>
      <c r="E1075" s="203"/>
      <c r="F1075" s="203"/>
      <c r="G1075" s="204"/>
      <c r="H1075" s="205">
        <f t="shared" ref="H1075:O1075" si="150">SUM(H1063:H1074)</f>
        <v>0</v>
      </c>
      <c r="I1075" s="205">
        <f t="shared" si="150"/>
        <v>21.280000000000005</v>
      </c>
      <c r="J1075" s="205">
        <f t="shared" si="150"/>
        <v>76</v>
      </c>
      <c r="K1075" s="205">
        <f t="shared" si="150"/>
        <v>10.85</v>
      </c>
      <c r="L1075" s="205">
        <f t="shared" si="150"/>
        <v>31.360000000000003</v>
      </c>
      <c r="M1075" s="205">
        <f t="shared" si="150"/>
        <v>32.700000000000003</v>
      </c>
      <c r="N1075" s="205">
        <f t="shared" si="150"/>
        <v>456.4</v>
      </c>
      <c r="O1075" s="279">
        <f t="shared" si="150"/>
        <v>0</v>
      </c>
    </row>
    <row r="1076" spans="1:15" ht="21" hidden="1" customHeight="1" outlineLevel="2">
      <c r="A1076" s="280"/>
      <c r="B1076" s="203"/>
      <c r="C1076" s="203"/>
      <c r="D1076" s="203"/>
      <c r="E1076" s="203"/>
      <c r="F1076" s="203"/>
      <c r="G1076" s="204"/>
      <c r="H1076" s="202">
        <f>SUM(H1075:O1075)</f>
        <v>628.58999999999992</v>
      </c>
      <c r="I1076" s="203"/>
      <c r="J1076" s="203"/>
      <c r="K1076" s="203"/>
      <c r="L1076" s="203"/>
      <c r="M1076" s="203"/>
      <c r="N1076" s="203"/>
      <c r="O1076" s="281"/>
    </row>
    <row r="1077" spans="1:15" ht="21" hidden="1" customHeight="1" outlineLevel="2">
      <c r="A1077" s="14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278"/>
    </row>
    <row r="1078" spans="1:15" ht="21" hidden="1" customHeight="1" outlineLevel="2">
      <c r="A1078" s="277" t="s">
        <v>413</v>
      </c>
      <c r="B1078" s="5"/>
      <c r="C1078" s="5">
        <v>4.5</v>
      </c>
      <c r="D1078" s="5">
        <v>1</v>
      </c>
      <c r="E1078" s="5">
        <v>3</v>
      </c>
      <c r="F1078" s="5">
        <f t="shared" ref="F1078:F1099" si="151">+E1078*D1078</f>
        <v>3</v>
      </c>
      <c r="G1078" s="5">
        <f t="shared" ref="G1078:G1099" si="152">+C1078</f>
        <v>4.5</v>
      </c>
      <c r="H1078" s="5"/>
      <c r="I1078" s="5"/>
      <c r="J1078" s="5"/>
      <c r="K1078" s="5"/>
      <c r="L1078" s="5"/>
      <c r="M1078" s="5">
        <f>3*G1078*F1078</f>
        <v>40.5</v>
      </c>
      <c r="N1078" s="5"/>
      <c r="O1078" s="278"/>
    </row>
    <row r="1079" spans="1:15" ht="21" hidden="1" customHeight="1" outlineLevel="2">
      <c r="A1079" s="145"/>
      <c r="B1079" s="5"/>
      <c r="C1079" s="5">
        <v>4.5</v>
      </c>
      <c r="D1079" s="5">
        <v>1</v>
      </c>
      <c r="E1079" s="5">
        <v>2</v>
      </c>
      <c r="F1079" s="5">
        <f t="shared" si="151"/>
        <v>2</v>
      </c>
      <c r="G1079" s="5">
        <f t="shared" si="152"/>
        <v>4.5</v>
      </c>
      <c r="H1079" s="5"/>
      <c r="I1079" s="5"/>
      <c r="J1079" s="5"/>
      <c r="K1079" s="5"/>
      <c r="L1079" s="5"/>
      <c r="M1079" s="5"/>
      <c r="N1079" s="5">
        <f>4*G1079*F1079</f>
        <v>36</v>
      </c>
      <c r="O1079" s="278"/>
    </row>
    <row r="1080" spans="1:15" ht="21" hidden="1" customHeight="1" outlineLevel="2">
      <c r="A1080" s="145"/>
      <c r="B1080" s="5"/>
      <c r="C1080" s="5">
        <v>4.5</v>
      </c>
      <c r="D1080" s="5">
        <v>1</v>
      </c>
      <c r="E1080" s="5">
        <v>2</v>
      </c>
      <c r="F1080" s="5">
        <f t="shared" si="151"/>
        <v>2</v>
      </c>
      <c r="G1080" s="5">
        <f t="shared" si="152"/>
        <v>4.5</v>
      </c>
      <c r="H1080" s="5"/>
      <c r="I1080" s="5"/>
      <c r="J1080" s="5"/>
      <c r="K1080" s="5"/>
      <c r="L1080" s="5"/>
      <c r="M1080" s="5"/>
      <c r="N1080" s="5"/>
      <c r="O1080" s="278">
        <f>6.4*G1080*F1080</f>
        <v>57.6</v>
      </c>
    </row>
    <row r="1081" spans="1:15" ht="21" hidden="1" customHeight="1" outlineLevel="2">
      <c r="A1081" s="145"/>
      <c r="B1081" s="5"/>
      <c r="C1081" s="5">
        <v>3.5</v>
      </c>
      <c r="D1081" s="5">
        <v>1</v>
      </c>
      <c r="E1081" s="5">
        <v>1</v>
      </c>
      <c r="F1081" s="5">
        <f t="shared" si="151"/>
        <v>1</v>
      </c>
      <c r="G1081" s="5">
        <f t="shared" si="152"/>
        <v>3.5</v>
      </c>
      <c r="H1081" s="5"/>
      <c r="I1081" s="5"/>
      <c r="J1081" s="5"/>
      <c r="K1081" s="5"/>
      <c r="L1081" s="5"/>
      <c r="M1081" s="5"/>
      <c r="N1081" s="5"/>
      <c r="O1081" s="278"/>
    </row>
    <row r="1082" spans="1:15" ht="21" hidden="1" customHeight="1" outlineLevel="2">
      <c r="A1082" s="145"/>
      <c r="B1082" s="5"/>
      <c r="C1082" s="5">
        <v>3.5</v>
      </c>
      <c r="D1082" s="5">
        <v>1</v>
      </c>
      <c r="E1082" s="5">
        <v>1</v>
      </c>
      <c r="F1082" s="5">
        <f t="shared" si="151"/>
        <v>1</v>
      </c>
      <c r="G1082" s="5">
        <f t="shared" si="152"/>
        <v>3.5</v>
      </c>
      <c r="H1082" s="5"/>
      <c r="I1082" s="5"/>
      <c r="J1082" s="5"/>
      <c r="K1082" s="5"/>
      <c r="L1082" s="5"/>
      <c r="M1082" s="5"/>
      <c r="N1082" s="5">
        <f>4*G1082*F1082</f>
        <v>14</v>
      </c>
      <c r="O1082" s="278"/>
    </row>
    <row r="1083" spans="1:15" ht="21" hidden="1" customHeight="1" outlineLevel="2">
      <c r="A1083" s="145"/>
      <c r="B1083" s="5"/>
      <c r="C1083" s="5">
        <v>4.5</v>
      </c>
      <c r="D1083" s="5">
        <v>1</v>
      </c>
      <c r="E1083" s="5">
        <v>3</v>
      </c>
      <c r="F1083" s="5">
        <f t="shared" si="151"/>
        <v>3</v>
      </c>
      <c r="G1083" s="5">
        <f t="shared" si="152"/>
        <v>4.5</v>
      </c>
      <c r="H1083" s="5"/>
      <c r="I1083" s="5"/>
      <c r="J1083" s="5"/>
      <c r="K1083" s="5"/>
      <c r="L1083" s="5"/>
      <c r="M1083" s="5">
        <f>3*G1083*F1083</f>
        <v>40.5</v>
      </c>
      <c r="N1083" s="5"/>
      <c r="O1083" s="278"/>
    </row>
    <row r="1084" spans="1:15" ht="21" hidden="1" customHeight="1" outlineLevel="2">
      <c r="A1084" s="145"/>
      <c r="B1084" s="5"/>
      <c r="C1084" s="5">
        <v>6</v>
      </c>
      <c r="D1084" s="5">
        <v>1</v>
      </c>
      <c r="E1084" s="5">
        <v>2</v>
      </c>
      <c r="F1084" s="5">
        <f t="shared" si="151"/>
        <v>2</v>
      </c>
      <c r="G1084" s="5">
        <f t="shared" si="152"/>
        <v>6</v>
      </c>
      <c r="H1084" s="5"/>
      <c r="I1084" s="5"/>
      <c r="J1084" s="5"/>
      <c r="K1084" s="5"/>
      <c r="L1084" s="5"/>
      <c r="M1084" s="5">
        <f>3*G1084*F1084</f>
        <v>36</v>
      </c>
      <c r="N1084" s="5"/>
      <c r="O1084" s="278"/>
    </row>
    <row r="1085" spans="1:15" ht="21" hidden="1" customHeight="1" outlineLevel="2">
      <c r="A1085" s="145"/>
      <c r="B1085" s="5"/>
      <c r="C1085" s="5">
        <v>6</v>
      </c>
      <c r="D1085" s="5">
        <v>1</v>
      </c>
      <c r="E1085" s="5">
        <v>1</v>
      </c>
      <c r="F1085" s="5">
        <f t="shared" si="151"/>
        <v>1</v>
      </c>
      <c r="G1085" s="5">
        <f t="shared" si="152"/>
        <v>6</v>
      </c>
      <c r="H1085" s="5"/>
      <c r="I1085" s="5"/>
      <c r="J1085" s="5"/>
      <c r="K1085" s="5"/>
      <c r="L1085" s="5">
        <f>2.24*G1085*F1085</f>
        <v>13.440000000000001</v>
      </c>
      <c r="M1085" s="5"/>
      <c r="N1085" s="5"/>
      <c r="O1085" s="278"/>
    </row>
    <row r="1086" spans="1:15" ht="21" hidden="1" customHeight="1" outlineLevel="2">
      <c r="A1086" s="145"/>
      <c r="B1086" s="5"/>
      <c r="C1086" s="5">
        <v>4</v>
      </c>
      <c r="D1086" s="5">
        <v>1</v>
      </c>
      <c r="E1086" s="5">
        <v>2</v>
      </c>
      <c r="F1086" s="5">
        <f t="shared" si="151"/>
        <v>2</v>
      </c>
      <c r="G1086" s="5">
        <f t="shared" si="152"/>
        <v>4</v>
      </c>
      <c r="H1086" s="5"/>
      <c r="I1086" s="5"/>
      <c r="J1086" s="5"/>
      <c r="K1086" s="5"/>
      <c r="L1086" s="5">
        <f>2.24*G1086*F1086</f>
        <v>17.920000000000002</v>
      </c>
      <c r="M1086" s="5"/>
      <c r="N1086" s="5"/>
      <c r="O1086" s="278"/>
    </row>
    <row r="1087" spans="1:15" ht="21" hidden="1" customHeight="1" outlineLevel="2">
      <c r="A1087" s="145"/>
      <c r="B1087" s="5"/>
      <c r="C1087" s="5">
        <v>4</v>
      </c>
      <c r="D1087" s="5">
        <v>1</v>
      </c>
      <c r="E1087" s="5">
        <v>1</v>
      </c>
      <c r="F1087" s="5">
        <f t="shared" si="151"/>
        <v>1</v>
      </c>
      <c r="G1087" s="5">
        <f t="shared" si="152"/>
        <v>4</v>
      </c>
      <c r="H1087" s="5"/>
      <c r="I1087" s="5"/>
      <c r="J1087" s="5"/>
      <c r="K1087" s="5">
        <f>1.55*G1087*F1087</f>
        <v>6.2</v>
      </c>
      <c r="L1087" s="5"/>
      <c r="M1087" s="5"/>
      <c r="N1087" s="5"/>
      <c r="O1087" s="278"/>
    </row>
    <row r="1088" spans="1:15" ht="21" hidden="1" customHeight="1" outlineLevel="2">
      <c r="A1088" s="145"/>
      <c r="B1088" s="5"/>
      <c r="C1088" s="5">
        <v>7.5</v>
      </c>
      <c r="D1088" s="5">
        <v>1</v>
      </c>
      <c r="E1088" s="5">
        <v>1</v>
      </c>
      <c r="F1088" s="5">
        <f t="shared" si="151"/>
        <v>1</v>
      </c>
      <c r="G1088" s="5">
        <f t="shared" si="152"/>
        <v>7.5</v>
      </c>
      <c r="H1088" s="5"/>
      <c r="I1088" s="5"/>
      <c r="J1088" s="5"/>
      <c r="K1088" s="5"/>
      <c r="L1088" s="5"/>
      <c r="M1088" s="5"/>
      <c r="N1088" s="5"/>
      <c r="O1088" s="278">
        <f>6.4*G1088*F1088</f>
        <v>48</v>
      </c>
    </row>
    <row r="1089" spans="1:15" ht="21" hidden="1" customHeight="1" outlineLevel="2">
      <c r="A1089" s="145"/>
      <c r="B1089" s="5"/>
      <c r="C1089" s="5">
        <v>7.5</v>
      </c>
      <c r="D1089" s="5">
        <v>1</v>
      </c>
      <c r="E1089" s="5">
        <v>1</v>
      </c>
      <c r="F1089" s="5">
        <f t="shared" si="151"/>
        <v>1</v>
      </c>
      <c r="G1089" s="5">
        <f t="shared" si="152"/>
        <v>7.5</v>
      </c>
      <c r="H1089" s="5"/>
      <c r="I1089" s="5"/>
      <c r="J1089" s="5"/>
      <c r="K1089" s="5"/>
      <c r="L1089" s="5"/>
      <c r="M1089" s="5"/>
      <c r="N1089" s="5">
        <f>4*G1089*F1089</f>
        <v>30</v>
      </c>
      <c r="O1089" s="278"/>
    </row>
    <row r="1090" spans="1:15" ht="21" hidden="1" customHeight="1" outlineLevel="2">
      <c r="A1090" s="145"/>
      <c r="B1090" s="5"/>
      <c r="C1090" s="5">
        <v>12</v>
      </c>
      <c r="D1090" s="5">
        <v>1</v>
      </c>
      <c r="E1090" s="5">
        <v>1</v>
      </c>
      <c r="F1090" s="5">
        <f t="shared" si="151"/>
        <v>1</v>
      </c>
      <c r="G1090" s="5">
        <f t="shared" si="152"/>
        <v>12</v>
      </c>
      <c r="H1090" s="5"/>
      <c r="I1090" s="5"/>
      <c r="J1090" s="5"/>
      <c r="K1090" s="5"/>
      <c r="L1090" s="5"/>
      <c r="M1090" s="5"/>
      <c r="N1090" s="5">
        <f>4*G1090*F1090</f>
        <v>48</v>
      </c>
      <c r="O1090" s="278"/>
    </row>
    <row r="1091" spans="1:15" ht="21" hidden="1" customHeight="1" outlineLevel="2">
      <c r="A1091" s="145"/>
      <c r="B1091" s="5"/>
      <c r="C1091" s="5">
        <v>12</v>
      </c>
      <c r="D1091" s="5">
        <v>1</v>
      </c>
      <c r="E1091" s="5">
        <v>1</v>
      </c>
      <c r="F1091" s="5">
        <f t="shared" si="151"/>
        <v>1</v>
      </c>
      <c r="G1091" s="5">
        <f t="shared" si="152"/>
        <v>12</v>
      </c>
      <c r="H1091" s="5"/>
      <c r="I1091" s="5"/>
      <c r="J1091" s="5"/>
      <c r="K1091" s="5"/>
      <c r="L1091" s="5"/>
      <c r="M1091" s="5"/>
      <c r="N1091" s="5"/>
      <c r="O1091" s="278">
        <f>6.4*G1091*F1091</f>
        <v>76.800000000000011</v>
      </c>
    </row>
    <row r="1092" spans="1:15" ht="21" hidden="1" customHeight="1" outlineLevel="2">
      <c r="A1092" s="145"/>
      <c r="B1092" s="5"/>
      <c r="C1092" s="5">
        <v>2.5</v>
      </c>
      <c r="D1092" s="5">
        <v>1</v>
      </c>
      <c r="E1092" s="5">
        <v>3</v>
      </c>
      <c r="F1092" s="5">
        <f t="shared" si="151"/>
        <v>3</v>
      </c>
      <c r="G1092" s="5">
        <f t="shared" si="152"/>
        <v>2.5</v>
      </c>
      <c r="H1092" s="5"/>
      <c r="I1092" s="5"/>
      <c r="J1092" s="5"/>
      <c r="K1092" s="5"/>
      <c r="L1092" s="5"/>
      <c r="M1092" s="5">
        <f>3*G1092*F1092</f>
        <v>22.5</v>
      </c>
      <c r="N1092" s="5"/>
      <c r="O1092" s="278"/>
    </row>
    <row r="1093" spans="1:15" ht="21" hidden="1" customHeight="1" outlineLevel="2">
      <c r="A1093" s="145"/>
      <c r="B1093" s="5"/>
      <c r="C1093" s="5">
        <v>4</v>
      </c>
      <c r="D1093" s="5">
        <v>1</v>
      </c>
      <c r="E1093" s="5">
        <v>3</v>
      </c>
      <c r="F1093" s="5">
        <f t="shared" si="151"/>
        <v>3</v>
      </c>
      <c r="G1093" s="5">
        <f t="shared" si="152"/>
        <v>4</v>
      </c>
      <c r="H1093" s="5"/>
      <c r="I1093" s="5"/>
      <c r="J1093" s="5"/>
      <c r="K1093" s="5"/>
      <c r="L1093" s="5"/>
      <c r="M1093" s="5">
        <f>3*G1093*F1093</f>
        <v>36</v>
      </c>
      <c r="N1093" s="5"/>
      <c r="O1093" s="278"/>
    </row>
    <row r="1094" spans="1:15" ht="21" hidden="1" customHeight="1" outlineLevel="2">
      <c r="A1094" s="145"/>
      <c r="B1094" s="5"/>
      <c r="C1094" s="5">
        <v>7.2</v>
      </c>
      <c r="D1094" s="5">
        <v>1</v>
      </c>
      <c r="E1094" s="5">
        <v>1</v>
      </c>
      <c r="F1094" s="5">
        <f t="shared" si="151"/>
        <v>1</v>
      </c>
      <c r="G1094" s="5">
        <f t="shared" si="152"/>
        <v>7.2</v>
      </c>
      <c r="H1094" s="5"/>
      <c r="I1094" s="5"/>
      <c r="J1094" s="5"/>
      <c r="K1094" s="5"/>
      <c r="L1094" s="5"/>
      <c r="M1094" s="5">
        <f>3*G1094*F1094</f>
        <v>21.6</v>
      </c>
      <c r="N1094" s="5"/>
      <c r="O1094" s="278"/>
    </row>
    <row r="1095" spans="1:15" ht="21" hidden="1" customHeight="1" outlineLevel="2">
      <c r="A1095" s="145"/>
      <c r="B1095" s="5"/>
      <c r="C1095" s="5">
        <v>7.2</v>
      </c>
      <c r="D1095" s="5">
        <v>1</v>
      </c>
      <c r="E1095" s="5">
        <v>1</v>
      </c>
      <c r="F1095" s="5">
        <f t="shared" si="151"/>
        <v>1</v>
      </c>
      <c r="G1095" s="5">
        <f t="shared" si="152"/>
        <v>7.2</v>
      </c>
      <c r="H1095" s="5"/>
      <c r="I1095" s="5"/>
      <c r="J1095" s="5"/>
      <c r="K1095" s="5"/>
      <c r="L1095" s="5"/>
      <c r="M1095" s="5"/>
      <c r="N1095" s="5">
        <f>4*G1095*F1095</f>
        <v>28.8</v>
      </c>
      <c r="O1095" s="278"/>
    </row>
    <row r="1096" spans="1:15" ht="21" hidden="1" customHeight="1" outlineLevel="2">
      <c r="A1096" s="145"/>
      <c r="B1096" s="5"/>
      <c r="C1096" s="5">
        <v>3</v>
      </c>
      <c r="D1096" s="5">
        <v>1</v>
      </c>
      <c r="E1096" s="5">
        <v>2</v>
      </c>
      <c r="F1096" s="5">
        <f t="shared" si="151"/>
        <v>2</v>
      </c>
      <c r="G1096" s="5">
        <f t="shared" si="152"/>
        <v>3</v>
      </c>
      <c r="H1096" s="5"/>
      <c r="I1096" s="5"/>
      <c r="J1096" s="5"/>
      <c r="K1096" s="5"/>
      <c r="L1096" s="5"/>
      <c r="M1096" s="5"/>
      <c r="N1096" s="5">
        <f>4*G1096*F1096</f>
        <v>24</v>
      </c>
      <c r="O1096" s="278"/>
    </row>
    <row r="1097" spans="1:15" ht="39.75" hidden="1" customHeight="1" outlineLevel="2">
      <c r="A1097" s="145"/>
      <c r="B1097" s="5"/>
      <c r="C1097" s="5">
        <f>(0.55*2)+(0.35*2)+(0.05*2)</f>
        <v>1.9000000000000001</v>
      </c>
      <c r="D1097" s="5">
        <v>1</v>
      </c>
      <c r="E1097" s="5">
        <v>23</v>
      </c>
      <c r="F1097" s="5">
        <f t="shared" si="151"/>
        <v>23</v>
      </c>
      <c r="G1097" s="5">
        <f t="shared" si="152"/>
        <v>1.9000000000000001</v>
      </c>
      <c r="H1097" s="5"/>
      <c r="I1097" s="5"/>
      <c r="J1097" s="5"/>
      <c r="K1097" s="5">
        <f>1.55*G1097*F1097</f>
        <v>67.735000000000014</v>
      </c>
      <c r="L1097" s="5"/>
      <c r="M1097" s="5"/>
      <c r="N1097" s="5"/>
      <c r="O1097" s="278"/>
    </row>
    <row r="1098" spans="1:15" ht="39" hidden="1" customHeight="1" outlineLevel="2">
      <c r="A1098" s="145"/>
      <c r="B1098" s="5"/>
      <c r="C1098" s="5">
        <f>(0.55*2)+(0.35*2)+(0.05*2)</f>
        <v>1.9000000000000001</v>
      </c>
      <c r="D1098" s="5">
        <v>1</v>
      </c>
      <c r="E1098" s="5">
        <v>8</v>
      </c>
      <c r="F1098" s="5">
        <f t="shared" si="151"/>
        <v>8</v>
      </c>
      <c r="G1098" s="5">
        <f t="shared" si="152"/>
        <v>1.9000000000000001</v>
      </c>
      <c r="H1098" s="5"/>
      <c r="I1098" s="5"/>
      <c r="J1098" s="5">
        <f>+G1098*F1098</f>
        <v>15.200000000000001</v>
      </c>
      <c r="K1098" s="5"/>
      <c r="L1098" s="5"/>
      <c r="M1098" s="5"/>
      <c r="N1098" s="5"/>
      <c r="O1098" s="278"/>
    </row>
    <row r="1099" spans="1:15" ht="33" hidden="1" customHeight="1" outlineLevel="2" thickBot="1">
      <c r="A1099" s="402"/>
      <c r="B1099" s="230"/>
      <c r="C1099" s="230">
        <f>(0.55*2)+(0.35*2)+(0.05*2)</f>
        <v>1.9000000000000001</v>
      </c>
      <c r="D1099" s="230">
        <v>1</v>
      </c>
      <c r="E1099" s="230">
        <v>39</v>
      </c>
      <c r="F1099" s="230">
        <f t="shared" si="151"/>
        <v>39</v>
      </c>
      <c r="G1099" s="230">
        <f t="shared" si="152"/>
        <v>1.9000000000000001</v>
      </c>
      <c r="H1099" s="230"/>
      <c r="I1099" s="230">
        <f>0.56*G1099*F1099</f>
        <v>41.496000000000009</v>
      </c>
      <c r="J1099" s="230"/>
      <c r="K1099" s="230"/>
      <c r="L1099" s="230"/>
      <c r="M1099" s="230"/>
      <c r="N1099" s="230"/>
      <c r="O1099" s="414"/>
    </row>
    <row r="1100" spans="1:15" ht="21" hidden="1" customHeight="1" outlineLevel="2">
      <c r="A1100" s="566"/>
      <c r="B1100" s="567"/>
      <c r="C1100" s="567"/>
      <c r="D1100" s="567"/>
      <c r="E1100" s="567"/>
      <c r="F1100" s="567"/>
      <c r="G1100" s="568"/>
      <c r="H1100" s="337">
        <f t="shared" ref="H1100:O1100" si="153">SUM(H1078:H1099)</f>
        <v>0</v>
      </c>
      <c r="I1100" s="337">
        <f t="shared" si="153"/>
        <v>41.496000000000009</v>
      </c>
      <c r="J1100" s="337">
        <f t="shared" si="153"/>
        <v>15.200000000000001</v>
      </c>
      <c r="K1100" s="337">
        <f t="shared" si="153"/>
        <v>73.935000000000016</v>
      </c>
      <c r="L1100" s="337">
        <f t="shared" si="153"/>
        <v>31.360000000000003</v>
      </c>
      <c r="M1100" s="337">
        <f t="shared" si="153"/>
        <v>197.1</v>
      </c>
      <c r="N1100" s="337">
        <f t="shared" si="153"/>
        <v>180.8</v>
      </c>
      <c r="O1100" s="338">
        <f t="shared" si="153"/>
        <v>182.4</v>
      </c>
    </row>
    <row r="1101" spans="1:15" ht="21" hidden="1" customHeight="1" outlineLevel="2" thickBot="1">
      <c r="A1101" s="569"/>
      <c r="B1101" s="570"/>
      <c r="C1101" s="570"/>
      <c r="D1101" s="570"/>
      <c r="E1101" s="570"/>
      <c r="F1101" s="570"/>
      <c r="G1101" s="571"/>
      <c r="H1101" s="572">
        <f>SUM(H1100:O1100)</f>
        <v>722.29100000000005</v>
      </c>
      <c r="I1101" s="570"/>
      <c r="J1101" s="570"/>
      <c r="K1101" s="570"/>
      <c r="L1101" s="570"/>
      <c r="M1101" s="570"/>
      <c r="N1101" s="570"/>
      <c r="O1101" s="573"/>
    </row>
    <row r="1102" spans="1:15" ht="21" hidden="1" customHeight="1" outlineLevel="2">
      <c r="A1102" s="598"/>
      <c r="B1102" s="68"/>
      <c r="C1102" s="68"/>
      <c r="D1102" s="68"/>
      <c r="E1102" s="68"/>
      <c r="F1102" s="68"/>
      <c r="G1102" s="605"/>
      <c r="H1102" s="606"/>
      <c r="I1102" s="68"/>
      <c r="J1102" s="68"/>
      <c r="K1102" s="68"/>
      <c r="L1102" s="68"/>
      <c r="M1102" s="68"/>
      <c r="N1102" s="68"/>
      <c r="O1102" s="599"/>
    </row>
    <row r="1103" spans="1:15" ht="21" hidden="1" customHeight="1" outlineLevel="2" thickBot="1">
      <c r="A1103" s="598"/>
      <c r="B1103" s="68"/>
      <c r="C1103" s="68"/>
      <c r="D1103" s="68"/>
      <c r="E1103" s="68"/>
      <c r="F1103" s="68"/>
      <c r="G1103" s="605"/>
      <c r="H1103" s="606"/>
      <c r="I1103" s="68"/>
      <c r="J1103" s="68"/>
      <c r="K1103" s="68"/>
      <c r="L1103" s="68"/>
      <c r="M1103" s="68"/>
      <c r="N1103" s="68"/>
      <c r="O1103" s="599"/>
    </row>
    <row r="1104" spans="1:15" ht="21" hidden="1" customHeight="1" outlineLevel="1" collapsed="1">
      <c r="A1104" s="2180" t="s">
        <v>1214</v>
      </c>
      <c r="B1104" s="2181"/>
      <c r="C1104" s="2181"/>
      <c r="D1104" s="2181"/>
      <c r="E1104" s="2181"/>
      <c r="F1104" s="2181"/>
      <c r="G1104" s="2182"/>
      <c r="H1104" s="595">
        <f>H1100+H1075+H1060+H1049+H1028+H1013+H1002+H976+H949+H923</f>
        <v>28.025000000000002</v>
      </c>
      <c r="I1104" s="595">
        <f t="shared" ref="I1104:O1104" si="154">I1100+I1075+I1060+I1049+I1028+I1013+I1002+I976+I949+I923</f>
        <v>356.44000000000005</v>
      </c>
      <c r="J1104" s="595">
        <f t="shared" si="154"/>
        <v>580.95000000000005</v>
      </c>
      <c r="K1104" s="595">
        <f t="shared" si="154"/>
        <v>754.15249999999992</v>
      </c>
      <c r="L1104" s="595">
        <f t="shared" si="154"/>
        <v>602.11199999999997</v>
      </c>
      <c r="M1104" s="595">
        <f t="shared" si="154"/>
        <v>592.79999999999995</v>
      </c>
      <c r="N1104" s="595">
        <f t="shared" si="154"/>
        <v>1862.4</v>
      </c>
      <c r="O1104" s="595">
        <f t="shared" si="154"/>
        <v>3507.84</v>
      </c>
    </row>
    <row r="1105" spans="1:15" ht="21" hidden="1" customHeight="1" outlineLevel="1" thickBot="1">
      <c r="A1105" s="2175" t="s">
        <v>1215</v>
      </c>
      <c r="B1105" s="2176"/>
      <c r="C1105" s="2176"/>
      <c r="D1105" s="2176"/>
      <c r="E1105" s="2176"/>
      <c r="F1105" s="2176"/>
      <c r="G1105" s="2177"/>
      <c r="H1105" s="2178">
        <f>SUM(H1104:O1104)</f>
        <v>8284.7195000000011</v>
      </c>
      <c r="I1105" s="2176"/>
      <c r="J1105" s="2176"/>
      <c r="K1105" s="2176"/>
      <c r="L1105" s="2176"/>
      <c r="M1105" s="2176"/>
      <c r="N1105" s="2176"/>
      <c r="O1105" s="2179"/>
    </row>
    <row r="1106" spans="1:15" ht="21" hidden="1" customHeight="1" outlineLevel="1" thickBot="1">
      <c r="A1106" s="146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143"/>
    </row>
    <row r="1107" spans="1:15" ht="21" hidden="1" customHeight="1" outlineLevel="1" thickBot="1">
      <c r="A1107" s="2195" t="s">
        <v>414</v>
      </c>
      <c r="B1107" s="2196"/>
      <c r="C1107" s="2196"/>
      <c r="D1107" s="2196"/>
      <c r="E1107" s="2196"/>
      <c r="F1107" s="2196"/>
      <c r="G1107" s="2196"/>
      <c r="H1107" s="2196"/>
      <c r="I1107" s="2196"/>
      <c r="J1107" s="2196"/>
      <c r="K1107" s="2196"/>
      <c r="L1107" s="2196"/>
      <c r="M1107" s="2196"/>
      <c r="N1107" s="2196"/>
      <c r="O1107" s="2197"/>
    </row>
    <row r="1108" spans="1:15" ht="21" hidden="1" customHeight="1" outlineLevel="2">
      <c r="A1108" s="154"/>
      <c r="B1108" s="253"/>
      <c r="C1108" s="253"/>
      <c r="D1108" s="253"/>
      <c r="E1108" s="253"/>
      <c r="F1108" s="253"/>
      <c r="G1108" s="253"/>
      <c r="H1108" s="253"/>
      <c r="I1108" s="253"/>
      <c r="J1108" s="253"/>
      <c r="K1108" s="253"/>
      <c r="L1108" s="253"/>
      <c r="M1108" s="253"/>
      <c r="N1108" s="253"/>
      <c r="O1108" s="334"/>
    </row>
    <row r="1109" spans="1:15" ht="21" hidden="1" customHeight="1" outlineLevel="2">
      <c r="A1109" s="277" t="s">
        <v>415</v>
      </c>
      <c r="B1109" s="5"/>
      <c r="C1109" s="5">
        <v>4.5</v>
      </c>
      <c r="D1109" s="5">
        <v>1</v>
      </c>
      <c r="E1109" s="5">
        <v>1</v>
      </c>
      <c r="F1109" s="5">
        <f>+D1109*E1109</f>
        <v>1</v>
      </c>
      <c r="G1109" s="5">
        <f>+C1109</f>
        <v>4.5</v>
      </c>
      <c r="H1109" s="5"/>
      <c r="I1109" s="5"/>
      <c r="J1109" s="5"/>
      <c r="K1109" s="5">
        <f>1.55*G1109*F1109</f>
        <v>6.9750000000000005</v>
      </c>
      <c r="L1109" s="5"/>
      <c r="M1109" s="5"/>
      <c r="N1109" s="5"/>
      <c r="O1109" s="278"/>
    </row>
    <row r="1110" spans="1:15" ht="21" hidden="1" customHeight="1" outlineLevel="2">
      <c r="A1110" s="145"/>
      <c r="B1110" s="5"/>
      <c r="C1110" s="5">
        <v>4.5</v>
      </c>
      <c r="D1110" s="5">
        <v>1</v>
      </c>
      <c r="E1110" s="5">
        <v>1</v>
      </c>
      <c r="F1110" s="5">
        <f t="shared" ref="F1110:F1120" si="155">+D1110*E1110</f>
        <v>1</v>
      </c>
      <c r="G1110" s="5">
        <f t="shared" ref="G1110:G1120" si="156">+C1110</f>
        <v>4.5</v>
      </c>
      <c r="H1110" s="5"/>
      <c r="I1110" s="5"/>
      <c r="J1110" s="5"/>
      <c r="K1110" s="5"/>
      <c r="L1110" s="5">
        <f>2.24*G1110*F1110</f>
        <v>10.080000000000002</v>
      </c>
      <c r="M1110" s="5"/>
      <c r="N1110" s="5"/>
      <c r="O1110" s="278"/>
    </row>
    <row r="1111" spans="1:15" ht="21" hidden="1" customHeight="1" outlineLevel="2">
      <c r="A1111" s="145"/>
      <c r="B1111" s="5"/>
      <c r="C1111" s="5">
        <v>2.25</v>
      </c>
      <c r="D1111" s="5">
        <v>1</v>
      </c>
      <c r="E1111" s="5">
        <v>2</v>
      </c>
      <c r="F1111" s="5">
        <f t="shared" si="155"/>
        <v>2</v>
      </c>
      <c r="G1111" s="5">
        <f t="shared" si="156"/>
        <v>2.25</v>
      </c>
      <c r="H1111" s="5"/>
      <c r="I1111" s="5">
        <f>0.56*G1111*F1111</f>
        <v>2.5200000000000005</v>
      </c>
      <c r="J1111" s="5"/>
      <c r="K1111" s="5"/>
      <c r="L1111" s="5"/>
      <c r="M1111" s="5"/>
      <c r="N1111" s="5"/>
      <c r="O1111" s="278"/>
    </row>
    <row r="1112" spans="1:15" ht="21" hidden="1" customHeight="1" outlineLevel="2">
      <c r="A1112" s="145"/>
      <c r="B1112" s="5"/>
      <c r="C1112" s="5">
        <v>9.9</v>
      </c>
      <c r="D1112" s="5">
        <v>1</v>
      </c>
      <c r="E1112" s="5">
        <v>2</v>
      </c>
      <c r="F1112" s="5">
        <f t="shared" si="155"/>
        <v>2</v>
      </c>
      <c r="G1112" s="5">
        <f t="shared" si="156"/>
        <v>9.9</v>
      </c>
      <c r="H1112" s="5"/>
      <c r="I1112" s="5"/>
      <c r="J1112" s="5"/>
      <c r="K1112" s="5"/>
      <c r="L1112" s="5"/>
      <c r="M1112" s="5">
        <f>3*G1112*F1112</f>
        <v>59.400000000000006</v>
      </c>
      <c r="N1112" s="5"/>
      <c r="O1112" s="278"/>
    </row>
    <row r="1113" spans="1:15" ht="21" hidden="1" customHeight="1" outlineLevel="2">
      <c r="A1113" s="145"/>
      <c r="B1113" s="5"/>
      <c r="C1113" s="5">
        <v>3.5</v>
      </c>
      <c r="D1113" s="5">
        <v>1</v>
      </c>
      <c r="E1113" s="5">
        <v>1</v>
      </c>
      <c r="F1113" s="5">
        <f t="shared" si="155"/>
        <v>1</v>
      </c>
      <c r="G1113" s="5">
        <f t="shared" si="156"/>
        <v>3.5</v>
      </c>
      <c r="H1113" s="5"/>
      <c r="I1113" s="5">
        <f>0.56*G1113*F1113</f>
        <v>1.9600000000000002</v>
      </c>
      <c r="J1113" s="5"/>
      <c r="K1113" s="5"/>
      <c r="L1113" s="5"/>
      <c r="M1113" s="5"/>
      <c r="N1113" s="5"/>
      <c r="O1113" s="278"/>
    </row>
    <row r="1114" spans="1:15" ht="21" hidden="1" customHeight="1" outlineLevel="2">
      <c r="A1114" s="145"/>
      <c r="B1114" s="5"/>
      <c r="C1114" s="5">
        <v>3.5</v>
      </c>
      <c r="D1114" s="5">
        <v>1</v>
      </c>
      <c r="E1114" s="5">
        <v>1</v>
      </c>
      <c r="F1114" s="5">
        <f t="shared" si="155"/>
        <v>1</v>
      </c>
      <c r="G1114" s="5">
        <f t="shared" si="156"/>
        <v>3.5</v>
      </c>
      <c r="H1114" s="5"/>
      <c r="I1114" s="5"/>
      <c r="J1114" s="5">
        <f>+G1114*F1114</f>
        <v>3.5</v>
      </c>
      <c r="K1114" s="5"/>
      <c r="L1114" s="5"/>
      <c r="M1114" s="5"/>
      <c r="N1114" s="5"/>
      <c r="O1114" s="278"/>
    </row>
    <row r="1115" spans="1:15" ht="21" hidden="1" customHeight="1" outlineLevel="2">
      <c r="A1115" s="145"/>
      <c r="B1115" s="5"/>
      <c r="C1115" s="5">
        <v>1.2</v>
      </c>
      <c r="D1115" s="5">
        <v>1</v>
      </c>
      <c r="E1115" s="5">
        <v>2</v>
      </c>
      <c r="F1115" s="5">
        <f t="shared" si="155"/>
        <v>2</v>
      </c>
      <c r="G1115" s="5">
        <f t="shared" si="156"/>
        <v>1.2</v>
      </c>
      <c r="H1115" s="5"/>
      <c r="I1115" s="5">
        <f>0.56*G1115*F1115</f>
        <v>1.3440000000000001</v>
      </c>
      <c r="J1115" s="5"/>
      <c r="K1115" s="5"/>
      <c r="L1115" s="5"/>
      <c r="M1115" s="5"/>
      <c r="N1115" s="5"/>
      <c r="O1115" s="278"/>
    </row>
    <row r="1116" spans="1:15" ht="21" hidden="1" customHeight="1" outlineLevel="2">
      <c r="A1116" s="145"/>
      <c r="B1116" s="5"/>
      <c r="C1116" s="5">
        <v>2.5</v>
      </c>
      <c r="D1116" s="5">
        <v>1</v>
      </c>
      <c r="E1116" s="5">
        <v>1</v>
      </c>
      <c r="F1116" s="5">
        <f t="shared" si="155"/>
        <v>1</v>
      </c>
      <c r="G1116" s="5">
        <f t="shared" si="156"/>
        <v>2.5</v>
      </c>
      <c r="H1116" s="5"/>
      <c r="I1116" s="5"/>
      <c r="J1116" s="5"/>
      <c r="K1116" s="5"/>
      <c r="L1116" s="5">
        <f>2.24*G1116*F1116</f>
        <v>5.6000000000000005</v>
      </c>
      <c r="M1116" s="5"/>
      <c r="N1116" s="5"/>
      <c r="O1116" s="278"/>
    </row>
    <row r="1117" spans="1:15" ht="21" hidden="1" customHeight="1" outlineLevel="2">
      <c r="A1117" s="145"/>
      <c r="B1117" s="5"/>
      <c r="C1117" s="5">
        <v>2.25</v>
      </c>
      <c r="D1117" s="5">
        <v>1</v>
      </c>
      <c r="E1117" s="5">
        <v>1</v>
      </c>
      <c r="F1117" s="5">
        <f t="shared" si="155"/>
        <v>1</v>
      </c>
      <c r="G1117" s="5">
        <f t="shared" si="156"/>
        <v>2.25</v>
      </c>
      <c r="H1117" s="5"/>
      <c r="I1117" s="5"/>
      <c r="J1117" s="5"/>
      <c r="K1117" s="5">
        <f>1.55*G1117*F1117</f>
        <v>3.4875000000000003</v>
      </c>
      <c r="L1117" s="5"/>
      <c r="M1117" s="5"/>
      <c r="N1117" s="5"/>
      <c r="O1117" s="278"/>
    </row>
    <row r="1118" spans="1:15" ht="21" hidden="1" customHeight="1" outlineLevel="2">
      <c r="A1118" s="145"/>
      <c r="B1118" s="5"/>
      <c r="C1118" s="5">
        <v>6.5</v>
      </c>
      <c r="D1118" s="5">
        <v>1</v>
      </c>
      <c r="E1118" s="5">
        <v>1</v>
      </c>
      <c r="F1118" s="5">
        <f t="shared" si="155"/>
        <v>1</v>
      </c>
      <c r="G1118" s="5">
        <f t="shared" si="156"/>
        <v>6.5</v>
      </c>
      <c r="H1118" s="5"/>
      <c r="I1118" s="5"/>
      <c r="J1118" s="5"/>
      <c r="K1118" s="5"/>
      <c r="L1118" s="5"/>
      <c r="M1118" s="5"/>
      <c r="N1118" s="5">
        <f>4*G1118*F1118</f>
        <v>26</v>
      </c>
      <c r="O1118" s="278"/>
    </row>
    <row r="1119" spans="1:15" ht="21" hidden="1" customHeight="1" outlineLevel="2">
      <c r="A1119" s="145"/>
      <c r="B1119" s="5"/>
      <c r="C1119" s="5">
        <f>(0.55*2)+(0.15*2)+(0.05*2)</f>
        <v>1.5000000000000002</v>
      </c>
      <c r="D1119" s="5">
        <v>1</v>
      </c>
      <c r="E1119" s="5">
        <v>45</v>
      </c>
      <c r="F1119" s="5">
        <f t="shared" si="155"/>
        <v>45</v>
      </c>
      <c r="G1119" s="5">
        <f t="shared" si="156"/>
        <v>1.5000000000000002</v>
      </c>
      <c r="H1119" s="5">
        <f>0.25*G1119*F1119</f>
        <v>16.875000000000004</v>
      </c>
      <c r="I1119" s="5"/>
      <c r="J1119" s="5"/>
      <c r="K1119" s="5"/>
      <c r="L1119" s="5"/>
      <c r="M1119" s="5"/>
      <c r="N1119" s="5"/>
      <c r="O1119" s="278"/>
    </row>
    <row r="1120" spans="1:15" ht="21" hidden="1" customHeight="1" outlineLevel="2">
      <c r="A1120" s="145"/>
      <c r="B1120" s="5"/>
      <c r="C1120" s="5">
        <f>(0.55*2)+(0.15*2)+(0.05*2)</f>
        <v>1.5000000000000002</v>
      </c>
      <c r="D1120" s="5">
        <v>1</v>
      </c>
      <c r="E1120" s="5">
        <v>22</v>
      </c>
      <c r="F1120" s="5">
        <f t="shared" si="155"/>
        <v>22</v>
      </c>
      <c r="G1120" s="5">
        <f t="shared" si="156"/>
        <v>1.5000000000000002</v>
      </c>
      <c r="H1120" s="5"/>
      <c r="I1120" s="5">
        <f>0.56*G1120*F1120</f>
        <v>18.480000000000004</v>
      </c>
      <c r="J1120" s="5"/>
      <c r="K1120" s="5"/>
      <c r="L1120" s="5"/>
      <c r="M1120" s="5"/>
      <c r="N1120" s="5"/>
      <c r="O1120" s="278"/>
    </row>
    <row r="1121" spans="1:15" ht="21" hidden="1" customHeight="1" outlineLevel="2">
      <c r="A1121" s="280"/>
      <c r="B1121" s="203"/>
      <c r="C1121" s="203"/>
      <c r="D1121" s="203"/>
      <c r="E1121" s="203"/>
      <c r="F1121" s="203"/>
      <c r="G1121" s="204"/>
      <c r="H1121" s="205">
        <f>SUM(H1109:H1120)</f>
        <v>16.875000000000004</v>
      </c>
      <c r="I1121" s="205">
        <f t="shared" ref="I1121:O1121" si="157">SUM(I1109:I1120)</f>
        <v>24.304000000000006</v>
      </c>
      <c r="J1121" s="205">
        <f t="shared" si="157"/>
        <v>3.5</v>
      </c>
      <c r="K1121" s="205">
        <f t="shared" si="157"/>
        <v>10.4625</v>
      </c>
      <c r="L1121" s="205">
        <f t="shared" si="157"/>
        <v>15.680000000000003</v>
      </c>
      <c r="M1121" s="205">
        <f t="shared" si="157"/>
        <v>59.400000000000006</v>
      </c>
      <c r="N1121" s="205">
        <f t="shared" si="157"/>
        <v>26</v>
      </c>
      <c r="O1121" s="279">
        <f t="shared" si="157"/>
        <v>0</v>
      </c>
    </row>
    <row r="1122" spans="1:15" ht="21" hidden="1" customHeight="1" outlineLevel="2">
      <c r="A1122" s="280"/>
      <c r="B1122" s="203"/>
      <c r="C1122" s="203"/>
      <c r="D1122" s="203"/>
      <c r="E1122" s="203"/>
      <c r="F1122" s="203"/>
      <c r="G1122" s="204"/>
      <c r="H1122" s="202">
        <f>SUM(H1121:O1121)</f>
        <v>156.22150000000002</v>
      </c>
      <c r="I1122" s="203"/>
      <c r="J1122" s="203"/>
      <c r="K1122" s="203"/>
      <c r="L1122" s="203"/>
      <c r="M1122" s="203"/>
      <c r="N1122" s="203"/>
      <c r="O1122" s="281"/>
    </row>
    <row r="1123" spans="1:15" ht="21" hidden="1" customHeight="1" outlineLevel="2">
      <c r="A1123" s="14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278"/>
    </row>
    <row r="1124" spans="1:15" ht="21" hidden="1" customHeight="1" outlineLevel="2">
      <c r="A1124" s="277" t="s">
        <v>416</v>
      </c>
      <c r="B1124" s="5"/>
      <c r="C1124" s="5">
        <v>8.5</v>
      </c>
      <c r="D1124" s="5">
        <v>1</v>
      </c>
      <c r="E1124" s="5">
        <v>2</v>
      </c>
      <c r="F1124" s="5">
        <f>+D1124*E1124</f>
        <v>2</v>
      </c>
      <c r="G1124" s="5">
        <f>+C1124</f>
        <v>8.5</v>
      </c>
      <c r="H1124" s="5"/>
      <c r="I1124" s="5"/>
      <c r="J1124" s="5"/>
      <c r="K1124" s="5"/>
      <c r="L1124" s="5">
        <f>2.24*G1124*F1124</f>
        <v>38.080000000000005</v>
      </c>
      <c r="M1124" s="5"/>
      <c r="N1124" s="5"/>
      <c r="O1124" s="278"/>
    </row>
    <row r="1125" spans="1:15" ht="21" hidden="1" customHeight="1" outlineLevel="2">
      <c r="A1125" s="145"/>
      <c r="B1125" s="5"/>
      <c r="C1125" s="5">
        <v>6</v>
      </c>
      <c r="D1125" s="5">
        <v>1</v>
      </c>
      <c r="E1125" s="5">
        <v>1</v>
      </c>
      <c r="F1125" s="5">
        <f>+D1125*E1125</f>
        <v>1</v>
      </c>
      <c r="G1125" s="5">
        <f>+C1125</f>
        <v>6</v>
      </c>
      <c r="H1125" s="5"/>
      <c r="I1125" s="5"/>
      <c r="J1125" s="5"/>
      <c r="K1125" s="5"/>
      <c r="L1125" s="5">
        <f>2.24*G1125*F1125</f>
        <v>13.440000000000001</v>
      </c>
      <c r="M1125" s="5"/>
      <c r="N1125" s="5"/>
      <c r="O1125" s="278"/>
    </row>
    <row r="1126" spans="1:15" ht="21" hidden="1" customHeight="1" outlineLevel="2">
      <c r="A1126" s="145"/>
      <c r="B1126" s="5"/>
      <c r="C1126" s="5">
        <v>1.5</v>
      </c>
      <c r="D1126" s="5">
        <v>1</v>
      </c>
      <c r="E1126" s="5">
        <v>24</v>
      </c>
      <c r="F1126" s="5">
        <f>+D1126*E1126</f>
        <v>24</v>
      </c>
      <c r="G1126" s="5">
        <f>+C1126</f>
        <v>1.5</v>
      </c>
      <c r="H1126" s="5">
        <f>0.25*F1126*G1126</f>
        <v>9</v>
      </c>
      <c r="I1126" s="5"/>
      <c r="J1126" s="5"/>
      <c r="K1126" s="5"/>
      <c r="L1126" s="5"/>
      <c r="M1126" s="5"/>
      <c r="N1126" s="5"/>
      <c r="O1126" s="278"/>
    </row>
    <row r="1127" spans="1:15" ht="21" hidden="1" customHeight="1" outlineLevel="2">
      <c r="A1127" s="280"/>
      <c r="B1127" s="203"/>
      <c r="C1127" s="203"/>
      <c r="D1127" s="203"/>
      <c r="E1127" s="203"/>
      <c r="F1127" s="203"/>
      <c r="G1127" s="204"/>
      <c r="H1127" s="205">
        <f>SUM(H1124:H1126)</f>
        <v>9</v>
      </c>
      <c r="I1127" s="205">
        <f t="shared" ref="I1127:O1127" si="158">SUM(I1124:I1126)</f>
        <v>0</v>
      </c>
      <c r="J1127" s="205">
        <f t="shared" si="158"/>
        <v>0</v>
      </c>
      <c r="K1127" s="205">
        <f t="shared" si="158"/>
        <v>0</v>
      </c>
      <c r="L1127" s="205">
        <f t="shared" si="158"/>
        <v>51.52000000000001</v>
      </c>
      <c r="M1127" s="205">
        <f t="shared" si="158"/>
        <v>0</v>
      </c>
      <c r="N1127" s="205">
        <f t="shared" si="158"/>
        <v>0</v>
      </c>
      <c r="O1127" s="279">
        <f t="shared" si="158"/>
        <v>0</v>
      </c>
    </row>
    <row r="1128" spans="1:15" ht="21" hidden="1" customHeight="1" outlineLevel="2">
      <c r="A1128" s="280"/>
      <c r="B1128" s="203"/>
      <c r="C1128" s="203"/>
      <c r="D1128" s="203"/>
      <c r="E1128" s="203"/>
      <c r="F1128" s="203"/>
      <c r="G1128" s="204"/>
      <c r="H1128" s="202">
        <f>SUM(H1127:O1127)</f>
        <v>60.52000000000001</v>
      </c>
      <c r="I1128" s="203"/>
      <c r="J1128" s="203"/>
      <c r="K1128" s="203"/>
      <c r="L1128" s="203"/>
      <c r="M1128" s="203"/>
      <c r="N1128" s="203"/>
      <c r="O1128" s="281"/>
    </row>
    <row r="1129" spans="1:15" ht="21" hidden="1" customHeight="1" outlineLevel="2">
      <c r="A1129" s="14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278"/>
    </row>
    <row r="1130" spans="1:15" ht="21" hidden="1" customHeight="1" outlineLevel="2">
      <c r="A1130" s="277" t="s">
        <v>417</v>
      </c>
      <c r="B1130" s="5"/>
      <c r="C1130" s="5">
        <v>8.5</v>
      </c>
      <c r="D1130" s="5">
        <v>1</v>
      </c>
      <c r="E1130" s="5">
        <v>3</v>
      </c>
      <c r="F1130" s="5">
        <f>+D1130*E1130</f>
        <v>3</v>
      </c>
      <c r="G1130" s="5">
        <f>+C1130</f>
        <v>8.5</v>
      </c>
      <c r="H1130" s="5"/>
      <c r="I1130" s="5"/>
      <c r="J1130" s="5"/>
      <c r="K1130" s="5"/>
      <c r="L1130" s="5"/>
      <c r="M1130" s="5"/>
      <c r="N1130" s="5">
        <f>4*G1130*F1130</f>
        <v>102</v>
      </c>
      <c r="O1130" s="278"/>
    </row>
    <row r="1131" spans="1:15" ht="21" hidden="1" customHeight="1" outlineLevel="2">
      <c r="A1131" s="145"/>
      <c r="B1131" s="5"/>
      <c r="C1131" s="5">
        <v>5</v>
      </c>
      <c r="D1131" s="5">
        <v>1</v>
      </c>
      <c r="E1131" s="5">
        <v>2</v>
      </c>
      <c r="F1131" s="5">
        <f t="shared" ref="F1131:F1136" si="159">+D1131*E1131</f>
        <v>2</v>
      </c>
      <c r="G1131" s="5">
        <f t="shared" ref="G1131:G1136" si="160">+C1131</f>
        <v>5</v>
      </c>
      <c r="H1131" s="5"/>
      <c r="I1131" s="5"/>
      <c r="J1131" s="5"/>
      <c r="K1131" s="5">
        <f>1.55*G1131*F1131</f>
        <v>15.5</v>
      </c>
      <c r="L1131" s="5"/>
      <c r="M1131" s="5"/>
      <c r="N1131" s="5"/>
      <c r="O1131" s="278"/>
    </row>
    <row r="1132" spans="1:15" ht="21" hidden="1" customHeight="1" outlineLevel="2">
      <c r="A1132" s="145"/>
      <c r="B1132" s="5"/>
      <c r="C1132" s="5">
        <v>10.4</v>
      </c>
      <c r="D1132" s="5">
        <v>1</v>
      </c>
      <c r="E1132" s="5">
        <v>3</v>
      </c>
      <c r="F1132" s="5">
        <f t="shared" si="159"/>
        <v>3</v>
      </c>
      <c r="G1132" s="5">
        <f t="shared" si="160"/>
        <v>10.4</v>
      </c>
      <c r="H1132" s="5"/>
      <c r="I1132" s="5"/>
      <c r="J1132" s="5"/>
      <c r="K1132" s="5">
        <f>1.55*G1132*F1132</f>
        <v>48.36</v>
      </c>
      <c r="L1132" s="5"/>
      <c r="M1132" s="5"/>
      <c r="N1132" s="5"/>
      <c r="O1132" s="278"/>
    </row>
    <row r="1133" spans="1:15" ht="21" hidden="1" customHeight="1" outlineLevel="2">
      <c r="A1133" s="145"/>
      <c r="B1133" s="5"/>
      <c r="C1133" s="5">
        <v>3.5</v>
      </c>
      <c r="D1133" s="5">
        <v>1</v>
      </c>
      <c r="E1133" s="5">
        <v>2</v>
      </c>
      <c r="F1133" s="5">
        <f t="shared" si="159"/>
        <v>2</v>
      </c>
      <c r="G1133" s="5">
        <f t="shared" si="160"/>
        <v>3.5</v>
      </c>
      <c r="H1133" s="5"/>
      <c r="I1133" s="5"/>
      <c r="J1133" s="5"/>
      <c r="K1133" s="5"/>
      <c r="L1133" s="5"/>
      <c r="M1133" s="5"/>
      <c r="N1133" s="5">
        <f>4*G1133*F1133</f>
        <v>28</v>
      </c>
      <c r="O1133" s="278"/>
    </row>
    <row r="1134" spans="1:15" ht="21" hidden="1" customHeight="1" outlineLevel="2">
      <c r="A1134" s="145"/>
      <c r="B1134" s="5"/>
      <c r="C1134" s="5">
        <v>7.5</v>
      </c>
      <c r="D1134" s="5">
        <v>1</v>
      </c>
      <c r="E1134" s="5">
        <v>2</v>
      </c>
      <c r="F1134" s="5">
        <f t="shared" si="159"/>
        <v>2</v>
      </c>
      <c r="G1134" s="5">
        <f t="shared" si="160"/>
        <v>7.5</v>
      </c>
      <c r="H1134" s="5"/>
      <c r="I1134" s="5"/>
      <c r="J1134" s="5"/>
      <c r="K1134" s="5">
        <f>1.55*G1134*F1134</f>
        <v>23.25</v>
      </c>
      <c r="L1134" s="5"/>
      <c r="M1134" s="5"/>
      <c r="N1134" s="5"/>
      <c r="O1134" s="278"/>
    </row>
    <row r="1135" spans="1:15" ht="21" hidden="1" customHeight="1" outlineLevel="2">
      <c r="A1135" s="145"/>
      <c r="B1135" s="5"/>
      <c r="C1135" s="5">
        <f>(0.55*2)+(0.25*2)+(0.05*2)</f>
        <v>1.7000000000000002</v>
      </c>
      <c r="D1135" s="5">
        <v>1</v>
      </c>
      <c r="E1135" s="5">
        <v>45</v>
      </c>
      <c r="F1135" s="5">
        <f t="shared" si="159"/>
        <v>45</v>
      </c>
      <c r="G1135" s="5">
        <f t="shared" si="160"/>
        <v>1.7000000000000002</v>
      </c>
      <c r="H1135" s="5">
        <f>0.25*F1135*G1135</f>
        <v>19.125000000000004</v>
      </c>
      <c r="I1135" s="5"/>
      <c r="J1135" s="5"/>
      <c r="K1135" s="5"/>
      <c r="L1135" s="5"/>
      <c r="M1135" s="5"/>
      <c r="N1135" s="5"/>
      <c r="O1135" s="278"/>
    </row>
    <row r="1136" spans="1:15" ht="21" hidden="1" customHeight="1" outlineLevel="2">
      <c r="A1136" s="145"/>
      <c r="B1136" s="5"/>
      <c r="C1136" s="5">
        <f>(0.55*2)+(0.25*2)+(0.05*2)</f>
        <v>1.7000000000000002</v>
      </c>
      <c r="D1136" s="5">
        <v>1</v>
      </c>
      <c r="E1136" s="5">
        <v>33</v>
      </c>
      <c r="F1136" s="5">
        <f t="shared" si="159"/>
        <v>33</v>
      </c>
      <c r="G1136" s="5">
        <f t="shared" si="160"/>
        <v>1.7000000000000002</v>
      </c>
      <c r="H1136" s="5"/>
      <c r="I1136" s="5">
        <f>0.56*F1136*G1136</f>
        <v>31.416000000000004</v>
      </c>
      <c r="J1136" s="5"/>
      <c r="K1136" s="5"/>
      <c r="L1136" s="5"/>
      <c r="M1136" s="5"/>
      <c r="N1136" s="5"/>
      <c r="O1136" s="278"/>
    </row>
    <row r="1137" spans="1:15" ht="21" hidden="1" customHeight="1" outlineLevel="2">
      <c r="A1137" s="280"/>
      <c r="B1137" s="203"/>
      <c r="C1137" s="203"/>
      <c r="D1137" s="203"/>
      <c r="E1137" s="203"/>
      <c r="F1137" s="203"/>
      <c r="G1137" s="204"/>
      <c r="H1137" s="205">
        <f>SUM(H1130:H1136)</f>
        <v>19.125000000000004</v>
      </c>
      <c r="I1137" s="205">
        <f t="shared" ref="I1137:O1137" si="161">SUM(I1130:I1136)</f>
        <v>31.416000000000004</v>
      </c>
      <c r="J1137" s="205">
        <f t="shared" si="161"/>
        <v>0</v>
      </c>
      <c r="K1137" s="205">
        <f t="shared" si="161"/>
        <v>87.11</v>
      </c>
      <c r="L1137" s="205">
        <f t="shared" si="161"/>
        <v>0</v>
      </c>
      <c r="M1137" s="205">
        <f t="shared" si="161"/>
        <v>0</v>
      </c>
      <c r="N1137" s="205">
        <f t="shared" si="161"/>
        <v>130</v>
      </c>
      <c r="O1137" s="279">
        <f t="shared" si="161"/>
        <v>0</v>
      </c>
    </row>
    <row r="1138" spans="1:15" ht="21" hidden="1" customHeight="1" outlineLevel="2">
      <c r="A1138" s="280"/>
      <c r="B1138" s="203"/>
      <c r="C1138" s="203"/>
      <c r="D1138" s="203"/>
      <c r="E1138" s="203"/>
      <c r="F1138" s="203"/>
      <c r="G1138" s="204"/>
      <c r="H1138" s="202">
        <f>SUM(H1137:O1137)</f>
        <v>267.65100000000001</v>
      </c>
      <c r="I1138" s="203"/>
      <c r="J1138" s="203"/>
      <c r="K1138" s="203"/>
      <c r="L1138" s="203"/>
      <c r="M1138" s="203"/>
      <c r="N1138" s="203"/>
      <c r="O1138" s="281"/>
    </row>
    <row r="1139" spans="1:15" ht="21" hidden="1" customHeight="1" outlineLevel="2">
      <c r="A1139" s="14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278"/>
    </row>
    <row r="1140" spans="1:15" ht="21" hidden="1" customHeight="1" outlineLevel="2">
      <c r="A1140" s="277" t="s">
        <v>418</v>
      </c>
      <c r="B1140" s="5"/>
      <c r="C1140" s="5">
        <v>6.9</v>
      </c>
      <c r="D1140" s="5">
        <v>1</v>
      </c>
      <c r="E1140" s="5">
        <v>2</v>
      </c>
      <c r="F1140" s="5">
        <f>+D1140*E1140</f>
        <v>2</v>
      </c>
      <c r="G1140" s="5">
        <f>+C1140</f>
        <v>6.9</v>
      </c>
      <c r="H1140" s="5"/>
      <c r="I1140" s="5"/>
      <c r="J1140" s="5"/>
      <c r="K1140" s="5"/>
      <c r="L1140" s="5">
        <f>2.24*G1140*F1140</f>
        <v>30.912000000000006</v>
      </c>
      <c r="M1140" s="5"/>
      <c r="N1140" s="5"/>
      <c r="O1140" s="278"/>
    </row>
    <row r="1141" spans="1:15" ht="21" hidden="1" customHeight="1" outlineLevel="2">
      <c r="A1141" s="145"/>
      <c r="B1141" s="5"/>
      <c r="C1141" s="5">
        <v>5</v>
      </c>
      <c r="D1141" s="5">
        <v>1</v>
      </c>
      <c r="E1141" s="5">
        <v>1</v>
      </c>
      <c r="F1141" s="5">
        <f>+D1141*E1141</f>
        <v>1</v>
      </c>
      <c r="G1141" s="5">
        <f>+C1141</f>
        <v>5</v>
      </c>
      <c r="H1141" s="5"/>
      <c r="I1141" s="5"/>
      <c r="J1141" s="5"/>
      <c r="K1141" s="5"/>
      <c r="L1141" s="5">
        <f>2.24*G1141*F1141</f>
        <v>11.200000000000001</v>
      </c>
      <c r="M1141" s="5"/>
      <c r="N1141" s="5"/>
      <c r="O1141" s="278"/>
    </row>
    <row r="1142" spans="1:15" ht="21" hidden="1" customHeight="1" outlineLevel="2">
      <c r="A1142" s="145"/>
      <c r="B1142" s="5"/>
      <c r="C1142" s="5">
        <v>1.5</v>
      </c>
      <c r="D1142" s="5">
        <v>1</v>
      </c>
      <c r="E1142" s="5">
        <f>5+7+7+5</f>
        <v>24</v>
      </c>
      <c r="F1142" s="5">
        <f>+D1142*E1142</f>
        <v>24</v>
      </c>
      <c r="G1142" s="5">
        <f>+C1142</f>
        <v>1.5</v>
      </c>
      <c r="H1142" s="5">
        <f>0.25*G1142*F1142</f>
        <v>9</v>
      </c>
      <c r="I1142" s="5"/>
      <c r="J1142" s="5"/>
      <c r="K1142" s="5"/>
      <c r="L1142" s="5"/>
      <c r="M1142" s="5"/>
      <c r="N1142" s="5"/>
      <c r="O1142" s="278"/>
    </row>
    <row r="1143" spans="1:15" ht="21" hidden="1" customHeight="1" outlineLevel="2">
      <c r="A1143" s="280"/>
      <c r="B1143" s="203"/>
      <c r="C1143" s="203"/>
      <c r="D1143" s="203"/>
      <c r="E1143" s="203"/>
      <c r="F1143" s="203"/>
      <c r="G1143" s="204"/>
      <c r="H1143" s="205">
        <f>SUM(H1140:H1142)</f>
        <v>9</v>
      </c>
      <c r="I1143" s="205">
        <f t="shared" ref="I1143:O1143" si="162">SUM(I1140:I1142)</f>
        <v>0</v>
      </c>
      <c r="J1143" s="205">
        <f t="shared" si="162"/>
        <v>0</v>
      </c>
      <c r="K1143" s="205">
        <f t="shared" si="162"/>
        <v>0</v>
      </c>
      <c r="L1143" s="205">
        <f t="shared" si="162"/>
        <v>42.112000000000009</v>
      </c>
      <c r="M1143" s="205">
        <f t="shared" si="162"/>
        <v>0</v>
      </c>
      <c r="N1143" s="205">
        <f t="shared" si="162"/>
        <v>0</v>
      </c>
      <c r="O1143" s="279">
        <f t="shared" si="162"/>
        <v>0</v>
      </c>
    </row>
    <row r="1144" spans="1:15" ht="21" hidden="1" customHeight="1" outlineLevel="2">
      <c r="A1144" s="280"/>
      <c r="B1144" s="203"/>
      <c r="C1144" s="203"/>
      <c r="D1144" s="203"/>
      <c r="E1144" s="203"/>
      <c r="F1144" s="203"/>
      <c r="G1144" s="204"/>
      <c r="H1144" s="202">
        <f>SUM(H1143:O1143)</f>
        <v>51.112000000000009</v>
      </c>
      <c r="I1144" s="203"/>
      <c r="J1144" s="203"/>
      <c r="K1144" s="203"/>
      <c r="L1144" s="203"/>
      <c r="M1144" s="203"/>
      <c r="N1144" s="203"/>
      <c r="O1144" s="281"/>
    </row>
    <row r="1145" spans="1:15" ht="21" hidden="1" customHeight="1" outlineLevel="2">
      <c r="A1145" s="14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278"/>
    </row>
    <row r="1146" spans="1:15" ht="21" hidden="1" customHeight="1" outlineLevel="2">
      <c r="A1146" s="277" t="s">
        <v>419</v>
      </c>
      <c r="B1146" s="5"/>
      <c r="C1146" s="5">
        <v>5.5</v>
      </c>
      <c r="D1146" s="5">
        <v>1</v>
      </c>
      <c r="E1146" s="5">
        <v>1</v>
      </c>
      <c r="F1146" s="5">
        <v>1</v>
      </c>
      <c r="G1146" s="5">
        <v>5.5</v>
      </c>
      <c r="H1146" s="5"/>
      <c r="I1146" s="5"/>
      <c r="J1146" s="5"/>
      <c r="K1146" s="5">
        <f>1.55*G1146*F1146</f>
        <v>8.5250000000000004</v>
      </c>
      <c r="L1146" s="5"/>
      <c r="M1146" s="5"/>
      <c r="N1146" s="5"/>
      <c r="O1146" s="278"/>
    </row>
    <row r="1147" spans="1:15" ht="21" hidden="1" customHeight="1" outlineLevel="2">
      <c r="A1147" s="145"/>
      <c r="B1147" s="5"/>
      <c r="C1147" s="5">
        <v>5.2</v>
      </c>
      <c r="D1147" s="5">
        <v>1</v>
      </c>
      <c r="E1147" s="5">
        <v>1</v>
      </c>
      <c r="F1147" s="5">
        <v>1</v>
      </c>
      <c r="G1147" s="5">
        <v>5.2</v>
      </c>
      <c r="H1147" s="5"/>
      <c r="I1147" s="5"/>
      <c r="J1147" s="5"/>
      <c r="K1147" s="5">
        <f>1.55*G1147*F1147</f>
        <v>8.06</v>
      </c>
      <c r="L1147" s="5"/>
      <c r="M1147" s="5"/>
      <c r="N1147" s="5"/>
      <c r="O1147" s="278"/>
    </row>
    <row r="1148" spans="1:15" ht="21" hidden="1" customHeight="1" outlineLevel="2">
      <c r="A1148" s="280"/>
      <c r="B1148" s="203"/>
      <c r="C1148" s="203"/>
      <c r="D1148" s="203"/>
      <c r="E1148" s="203"/>
      <c r="F1148" s="203"/>
      <c r="G1148" s="204"/>
      <c r="H1148" s="205">
        <f>SUM(H1145:H1147)</f>
        <v>0</v>
      </c>
      <c r="I1148" s="205">
        <f t="shared" ref="I1148:O1148" si="163">SUM(I1145:I1147)</f>
        <v>0</v>
      </c>
      <c r="J1148" s="205">
        <f t="shared" si="163"/>
        <v>0</v>
      </c>
      <c r="K1148" s="205">
        <f t="shared" si="163"/>
        <v>16.585000000000001</v>
      </c>
      <c r="L1148" s="205">
        <f t="shared" si="163"/>
        <v>0</v>
      </c>
      <c r="M1148" s="205">
        <f t="shared" si="163"/>
        <v>0</v>
      </c>
      <c r="N1148" s="205">
        <f t="shared" si="163"/>
        <v>0</v>
      </c>
      <c r="O1148" s="279">
        <f t="shared" si="163"/>
        <v>0</v>
      </c>
    </row>
    <row r="1149" spans="1:15" ht="21" hidden="1" customHeight="1" outlineLevel="2">
      <c r="A1149" s="280"/>
      <c r="B1149" s="203"/>
      <c r="C1149" s="203"/>
      <c r="D1149" s="203"/>
      <c r="E1149" s="203"/>
      <c r="F1149" s="203"/>
      <c r="G1149" s="204"/>
      <c r="H1149" s="202">
        <f>SUM(H1148:O1148)</f>
        <v>16.585000000000001</v>
      </c>
      <c r="I1149" s="203"/>
      <c r="J1149" s="203"/>
      <c r="K1149" s="203"/>
      <c r="L1149" s="203"/>
      <c r="M1149" s="203"/>
      <c r="N1149" s="203"/>
      <c r="O1149" s="281"/>
    </row>
    <row r="1150" spans="1:15" ht="21" hidden="1" customHeight="1" outlineLevel="2">
      <c r="A1150" s="14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278"/>
    </row>
    <row r="1151" spans="1:15" ht="21" hidden="1" customHeight="1" outlineLevel="2">
      <c r="A1151" s="277" t="s">
        <v>420</v>
      </c>
      <c r="B1151" s="5"/>
      <c r="C1151" s="5">
        <v>8.5</v>
      </c>
      <c r="D1151" s="5">
        <v>1</v>
      </c>
      <c r="E1151" s="5">
        <v>1</v>
      </c>
      <c r="F1151" s="5">
        <f>+D1151*E1151</f>
        <v>1</v>
      </c>
      <c r="G1151" s="5">
        <f>+C1151</f>
        <v>8.5</v>
      </c>
      <c r="H1151" s="5"/>
      <c r="I1151" s="5"/>
      <c r="J1151" s="5"/>
      <c r="K1151" s="5"/>
      <c r="L1151" s="5"/>
      <c r="M1151" s="5">
        <f>3*G1151*F1151</f>
        <v>25.5</v>
      </c>
      <c r="N1151" s="5"/>
      <c r="O1151" s="278"/>
    </row>
    <row r="1152" spans="1:15" ht="21" hidden="1" customHeight="1" outlineLevel="2">
      <c r="A1152" s="145"/>
      <c r="B1152" s="5"/>
      <c r="C1152" s="5">
        <v>5</v>
      </c>
      <c r="D1152" s="5">
        <v>1</v>
      </c>
      <c r="E1152" s="5">
        <v>2</v>
      </c>
      <c r="F1152" s="5">
        <f t="shared" ref="F1152:F1158" si="164">+D1152*E1152</f>
        <v>2</v>
      </c>
      <c r="G1152" s="5">
        <f t="shared" ref="G1152:G1158" si="165">+C1152</f>
        <v>5</v>
      </c>
      <c r="H1152" s="5"/>
      <c r="I1152" s="5">
        <f>0.56*G1152*F1152</f>
        <v>5.6000000000000005</v>
      </c>
      <c r="J1152" s="5"/>
      <c r="K1152" s="5"/>
      <c r="L1152" s="5"/>
      <c r="M1152" s="5"/>
      <c r="N1152" s="5"/>
      <c r="O1152" s="278"/>
    </row>
    <row r="1153" spans="1:15" ht="21" hidden="1" customHeight="1" outlineLevel="2">
      <c r="A1153" s="145"/>
      <c r="B1153" s="5"/>
      <c r="C1153" s="5">
        <v>3</v>
      </c>
      <c r="D1153" s="5">
        <v>1</v>
      </c>
      <c r="E1153" s="5">
        <v>1</v>
      </c>
      <c r="F1153" s="5">
        <f t="shared" si="164"/>
        <v>1</v>
      </c>
      <c r="G1153" s="5">
        <f t="shared" si="165"/>
        <v>3</v>
      </c>
      <c r="H1153" s="5"/>
      <c r="I1153" s="5"/>
      <c r="J1153" s="5"/>
      <c r="K1153" s="5"/>
      <c r="L1153" s="5"/>
      <c r="M1153" s="5">
        <f>3*G1153*F1153</f>
        <v>9</v>
      </c>
      <c r="N1153" s="5"/>
      <c r="O1153" s="278"/>
    </row>
    <row r="1154" spans="1:15" ht="21" hidden="1" customHeight="1" outlineLevel="2">
      <c r="A1154" s="145"/>
      <c r="B1154" s="5"/>
      <c r="C1154" s="5">
        <v>6</v>
      </c>
      <c r="D1154" s="5">
        <v>1</v>
      </c>
      <c r="E1154" s="5">
        <v>1</v>
      </c>
      <c r="F1154" s="5">
        <f t="shared" si="164"/>
        <v>1</v>
      </c>
      <c r="G1154" s="5">
        <f t="shared" si="165"/>
        <v>6</v>
      </c>
      <c r="H1154" s="5"/>
      <c r="I1154" s="5"/>
      <c r="J1154" s="5"/>
      <c r="K1154" s="5"/>
      <c r="L1154" s="5"/>
      <c r="M1154" s="5">
        <f>3*G1154*F1154</f>
        <v>18</v>
      </c>
      <c r="N1154" s="5"/>
      <c r="O1154" s="278"/>
    </row>
    <row r="1155" spans="1:15" ht="21" hidden="1" customHeight="1" outlineLevel="2">
      <c r="A1155" s="145"/>
      <c r="B1155" s="5"/>
      <c r="C1155" s="5">
        <v>6</v>
      </c>
      <c r="D1155" s="5">
        <v>1</v>
      </c>
      <c r="E1155" s="5">
        <v>1</v>
      </c>
      <c r="F1155" s="5">
        <f t="shared" si="164"/>
        <v>1</v>
      </c>
      <c r="G1155" s="5">
        <f t="shared" si="165"/>
        <v>6</v>
      </c>
      <c r="H1155" s="5"/>
      <c r="I1155" s="5"/>
      <c r="J1155" s="5"/>
      <c r="K1155" s="5"/>
      <c r="L1155" s="5">
        <f>2.24*G1155*F1155</f>
        <v>13.440000000000001</v>
      </c>
      <c r="M1155" s="5"/>
      <c r="N1155" s="5"/>
      <c r="O1155" s="278"/>
    </row>
    <row r="1156" spans="1:15" ht="21" hidden="1" customHeight="1" outlineLevel="2">
      <c r="A1156" s="145"/>
      <c r="B1156" s="5"/>
      <c r="C1156" s="5">
        <v>10</v>
      </c>
      <c r="D1156" s="5">
        <v>1</v>
      </c>
      <c r="E1156" s="5">
        <v>2</v>
      </c>
      <c r="F1156" s="5">
        <f t="shared" si="164"/>
        <v>2</v>
      </c>
      <c r="G1156" s="5">
        <f t="shared" si="165"/>
        <v>10</v>
      </c>
      <c r="H1156" s="5"/>
      <c r="I1156" s="5"/>
      <c r="J1156" s="5"/>
      <c r="K1156" s="5"/>
      <c r="L1156" s="5"/>
      <c r="M1156" s="5">
        <f>3*G1156*F1156</f>
        <v>60</v>
      </c>
      <c r="N1156" s="5"/>
      <c r="O1156" s="278"/>
    </row>
    <row r="1157" spans="1:15" ht="21" hidden="1" customHeight="1" outlineLevel="2">
      <c r="A1157" s="145"/>
      <c r="B1157" s="5"/>
      <c r="C1157" s="5">
        <v>5</v>
      </c>
      <c r="D1157" s="5">
        <v>1</v>
      </c>
      <c r="E1157" s="5">
        <v>1</v>
      </c>
      <c r="F1157" s="5">
        <f t="shared" si="164"/>
        <v>1</v>
      </c>
      <c r="G1157" s="5">
        <f t="shared" si="165"/>
        <v>5</v>
      </c>
      <c r="H1157" s="5"/>
      <c r="I1157" s="5">
        <f>0.56*G1157*F1157</f>
        <v>2.8000000000000003</v>
      </c>
      <c r="J1157" s="5"/>
      <c r="K1157" s="5"/>
      <c r="L1157" s="5"/>
      <c r="M1157" s="5"/>
      <c r="N1157" s="5"/>
      <c r="O1157" s="278"/>
    </row>
    <row r="1158" spans="1:15" ht="21" hidden="1" customHeight="1" outlineLevel="2">
      <c r="A1158" s="145"/>
      <c r="B1158" s="5"/>
      <c r="C1158" s="5">
        <v>1.5</v>
      </c>
      <c r="D1158" s="5">
        <v>1</v>
      </c>
      <c r="E1158" s="5">
        <f>10+9+9+46+8+9</f>
        <v>91</v>
      </c>
      <c r="F1158" s="5">
        <f t="shared" si="164"/>
        <v>91</v>
      </c>
      <c r="G1158" s="5">
        <f t="shared" si="165"/>
        <v>1.5</v>
      </c>
      <c r="H1158" s="5">
        <f>0.25*F1158*G1158</f>
        <v>34.125</v>
      </c>
      <c r="I1158" s="5"/>
      <c r="J1158" s="5"/>
      <c r="K1158" s="5"/>
      <c r="L1158" s="5"/>
      <c r="M1158" s="5"/>
      <c r="N1158" s="5"/>
      <c r="O1158" s="278"/>
    </row>
    <row r="1159" spans="1:15" ht="21" hidden="1" customHeight="1" outlineLevel="2">
      <c r="A1159" s="280"/>
      <c r="B1159" s="203"/>
      <c r="C1159" s="203"/>
      <c r="D1159" s="203"/>
      <c r="E1159" s="203"/>
      <c r="F1159" s="203"/>
      <c r="G1159" s="204"/>
      <c r="H1159" s="205">
        <f>SUM(H1151:H1158)</f>
        <v>34.125</v>
      </c>
      <c r="I1159" s="205">
        <f t="shared" ref="I1159:O1159" si="166">SUM(I1151:I1158)</f>
        <v>8.4</v>
      </c>
      <c r="J1159" s="205">
        <f t="shared" si="166"/>
        <v>0</v>
      </c>
      <c r="K1159" s="205">
        <f t="shared" si="166"/>
        <v>0</v>
      </c>
      <c r="L1159" s="205">
        <f t="shared" si="166"/>
        <v>13.440000000000001</v>
      </c>
      <c r="M1159" s="205">
        <f t="shared" si="166"/>
        <v>112.5</v>
      </c>
      <c r="N1159" s="205">
        <f t="shared" si="166"/>
        <v>0</v>
      </c>
      <c r="O1159" s="279">
        <f t="shared" si="166"/>
        <v>0</v>
      </c>
    </row>
    <row r="1160" spans="1:15" ht="21" hidden="1" customHeight="1" outlineLevel="2">
      <c r="A1160" s="280"/>
      <c r="B1160" s="203"/>
      <c r="C1160" s="203"/>
      <c r="D1160" s="203"/>
      <c r="E1160" s="203"/>
      <c r="F1160" s="203"/>
      <c r="G1160" s="204"/>
      <c r="H1160" s="202">
        <f>SUM(H1159:O1159)</f>
        <v>168.465</v>
      </c>
      <c r="I1160" s="203"/>
      <c r="J1160" s="203"/>
      <c r="K1160" s="203"/>
      <c r="L1160" s="203"/>
      <c r="M1160" s="203"/>
      <c r="N1160" s="203"/>
      <c r="O1160" s="281"/>
    </row>
    <row r="1161" spans="1:15" ht="21" hidden="1" customHeight="1" outlineLevel="2">
      <c r="A1161" s="14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278"/>
    </row>
    <row r="1162" spans="1:15" ht="21" hidden="1" customHeight="1" outlineLevel="2">
      <c r="A1162" s="277" t="s">
        <v>421</v>
      </c>
      <c r="B1162" s="5"/>
      <c r="C1162" s="5">
        <v>10.5</v>
      </c>
      <c r="D1162" s="5">
        <v>1</v>
      </c>
      <c r="E1162" s="5">
        <v>3</v>
      </c>
      <c r="F1162" s="5">
        <f>+D1162*E1162</f>
        <v>3</v>
      </c>
      <c r="G1162" s="5">
        <f>+C1162</f>
        <v>10.5</v>
      </c>
      <c r="H1162" s="5"/>
      <c r="I1162" s="5"/>
      <c r="J1162" s="5"/>
      <c r="K1162" s="5"/>
      <c r="L1162" s="5"/>
      <c r="M1162" s="5"/>
      <c r="N1162" s="5">
        <f>4*G1162*F1162</f>
        <v>126</v>
      </c>
      <c r="O1162" s="278"/>
    </row>
    <row r="1163" spans="1:15" ht="21" hidden="1" customHeight="1" outlineLevel="2">
      <c r="A1163" s="145"/>
      <c r="B1163" s="5"/>
      <c r="C1163" s="5">
        <v>4.7</v>
      </c>
      <c r="D1163" s="5">
        <v>1</v>
      </c>
      <c r="E1163" s="5">
        <v>2</v>
      </c>
      <c r="F1163" s="5">
        <f t="shared" ref="F1163:F1170" si="167">+D1163*E1163</f>
        <v>2</v>
      </c>
      <c r="G1163" s="5">
        <f t="shared" ref="G1163:G1170" si="168">+C1163</f>
        <v>4.7</v>
      </c>
      <c r="H1163" s="5"/>
      <c r="I1163" s="5"/>
      <c r="J1163" s="5"/>
      <c r="K1163" s="5">
        <f>1.55*G1163*F1163</f>
        <v>14.57</v>
      </c>
      <c r="L1163" s="5"/>
      <c r="M1163" s="5"/>
      <c r="N1163" s="5"/>
      <c r="O1163" s="278"/>
    </row>
    <row r="1164" spans="1:15" ht="21" hidden="1" customHeight="1" outlineLevel="2">
      <c r="A1164" s="145"/>
      <c r="B1164" s="5"/>
      <c r="C1164" s="5">
        <v>1</v>
      </c>
      <c r="D1164" s="5">
        <v>1</v>
      </c>
      <c r="E1164" s="5">
        <v>1</v>
      </c>
      <c r="F1164" s="5">
        <f t="shared" si="167"/>
        <v>1</v>
      </c>
      <c r="G1164" s="5">
        <f t="shared" si="168"/>
        <v>1</v>
      </c>
      <c r="H1164" s="5"/>
      <c r="I1164" s="5"/>
      <c r="J1164" s="5">
        <f>G1164*F1164</f>
        <v>1</v>
      </c>
      <c r="K1164" s="5"/>
      <c r="L1164" s="5"/>
      <c r="M1164" s="5"/>
      <c r="N1164" s="5"/>
      <c r="O1164" s="278"/>
    </row>
    <row r="1165" spans="1:15" ht="21" hidden="1" customHeight="1" outlineLevel="2">
      <c r="A1165" s="145"/>
      <c r="B1165" s="5"/>
      <c r="C1165" s="5">
        <v>10.7</v>
      </c>
      <c r="D1165" s="5">
        <v>1</v>
      </c>
      <c r="E1165" s="5">
        <v>1</v>
      </c>
      <c r="F1165" s="5">
        <f t="shared" si="167"/>
        <v>1</v>
      </c>
      <c r="G1165" s="5">
        <f t="shared" si="168"/>
        <v>10.7</v>
      </c>
      <c r="H1165" s="5"/>
      <c r="I1165" s="5"/>
      <c r="J1165" s="5">
        <f>G1165*F1165</f>
        <v>10.7</v>
      </c>
      <c r="K1165" s="5"/>
      <c r="L1165" s="5"/>
      <c r="M1165" s="5"/>
      <c r="N1165" s="5"/>
      <c r="O1165" s="278"/>
    </row>
    <row r="1166" spans="1:15" ht="21" hidden="1" customHeight="1" outlineLevel="2">
      <c r="A1166" s="145"/>
      <c r="B1166" s="5"/>
      <c r="C1166" s="5">
        <v>10.7</v>
      </c>
      <c r="D1166" s="5">
        <v>1</v>
      </c>
      <c r="E1166" s="5">
        <v>2</v>
      </c>
      <c r="F1166" s="5">
        <f t="shared" si="167"/>
        <v>2</v>
      </c>
      <c r="G1166" s="5">
        <f t="shared" si="168"/>
        <v>10.7</v>
      </c>
      <c r="H1166" s="5"/>
      <c r="I1166" s="5">
        <f>0.56*G1166*F1166</f>
        <v>11.984</v>
      </c>
      <c r="J1166" s="5"/>
      <c r="K1166" s="5"/>
      <c r="L1166" s="5"/>
      <c r="M1166" s="5"/>
      <c r="N1166" s="5"/>
      <c r="O1166" s="278"/>
    </row>
    <row r="1167" spans="1:15" ht="21" hidden="1" customHeight="1" outlineLevel="2">
      <c r="A1167" s="145"/>
      <c r="B1167" s="5"/>
      <c r="C1167" s="5">
        <v>4.5</v>
      </c>
      <c r="D1167" s="5">
        <v>1</v>
      </c>
      <c r="E1167" s="5">
        <v>1</v>
      </c>
      <c r="F1167" s="5">
        <f t="shared" si="167"/>
        <v>1</v>
      </c>
      <c r="G1167" s="5">
        <f t="shared" si="168"/>
        <v>4.5</v>
      </c>
      <c r="H1167" s="5"/>
      <c r="I1167" s="5"/>
      <c r="J1167" s="5"/>
      <c r="K1167" s="5"/>
      <c r="L1167" s="5"/>
      <c r="M1167" s="5"/>
      <c r="N1167" s="5"/>
      <c r="O1167" s="278">
        <f>6.4*G1167*F1167</f>
        <v>28.8</v>
      </c>
    </row>
    <row r="1168" spans="1:15" ht="21" hidden="1" customHeight="1" outlineLevel="2">
      <c r="A1168" s="145"/>
      <c r="B1168" s="5"/>
      <c r="C1168" s="5">
        <v>4.5</v>
      </c>
      <c r="D1168" s="5">
        <v>1</v>
      </c>
      <c r="E1168" s="5">
        <v>1</v>
      </c>
      <c r="F1168" s="5">
        <f t="shared" si="167"/>
        <v>1</v>
      </c>
      <c r="G1168" s="5">
        <f t="shared" si="168"/>
        <v>4.5</v>
      </c>
      <c r="H1168" s="5"/>
      <c r="I1168" s="5"/>
      <c r="J1168" s="5"/>
      <c r="K1168" s="5"/>
      <c r="L1168" s="5"/>
      <c r="M1168" s="5"/>
      <c r="N1168" s="5">
        <f>4*G1168*F1168</f>
        <v>18</v>
      </c>
      <c r="O1168" s="278"/>
    </row>
    <row r="1169" spans="1:15" ht="21" hidden="1" customHeight="1" outlineLevel="2">
      <c r="A1169" s="145"/>
      <c r="B1169" s="5"/>
      <c r="C1169" s="5">
        <v>8</v>
      </c>
      <c r="D1169" s="5">
        <v>1</v>
      </c>
      <c r="E1169" s="5">
        <v>2</v>
      </c>
      <c r="F1169" s="5">
        <f t="shared" si="167"/>
        <v>2</v>
      </c>
      <c r="G1169" s="5">
        <f t="shared" si="168"/>
        <v>8</v>
      </c>
      <c r="H1169" s="5"/>
      <c r="I1169" s="5"/>
      <c r="J1169" s="5">
        <f>G1169*F1169</f>
        <v>16</v>
      </c>
      <c r="K1169" s="5"/>
      <c r="L1169" s="5"/>
      <c r="M1169" s="5"/>
      <c r="N1169" s="5"/>
      <c r="O1169" s="278"/>
    </row>
    <row r="1170" spans="1:15" ht="21" hidden="1" customHeight="1" outlineLevel="2">
      <c r="A1170" s="145"/>
      <c r="B1170" s="5"/>
      <c r="C1170" s="5">
        <v>1.7</v>
      </c>
      <c r="D1170" s="5">
        <v>1</v>
      </c>
      <c r="E1170" s="5">
        <f>14+26+32+8</f>
        <v>80</v>
      </c>
      <c r="F1170" s="5">
        <f t="shared" si="167"/>
        <v>80</v>
      </c>
      <c r="G1170" s="5">
        <f t="shared" si="168"/>
        <v>1.7</v>
      </c>
      <c r="H1170" s="5">
        <f>0.25*F1170*G1170</f>
        <v>34</v>
      </c>
      <c r="I1170" s="5"/>
      <c r="J1170" s="5"/>
      <c r="K1170" s="5"/>
      <c r="L1170" s="5"/>
      <c r="M1170" s="5"/>
      <c r="N1170" s="5"/>
      <c r="O1170" s="278"/>
    </row>
    <row r="1171" spans="1:15" ht="21" hidden="1" customHeight="1" outlineLevel="2">
      <c r="A1171" s="280"/>
      <c r="B1171" s="203"/>
      <c r="C1171" s="203"/>
      <c r="D1171" s="203"/>
      <c r="E1171" s="203"/>
      <c r="F1171" s="203"/>
      <c r="G1171" s="204"/>
      <c r="H1171" s="205">
        <f>SUM(H1162:H1170)</f>
        <v>34</v>
      </c>
      <c r="I1171" s="205">
        <f t="shared" ref="I1171:O1171" si="169">SUM(I1162:I1170)</f>
        <v>11.984</v>
      </c>
      <c r="J1171" s="205">
        <f t="shared" si="169"/>
        <v>27.7</v>
      </c>
      <c r="K1171" s="205">
        <f t="shared" si="169"/>
        <v>14.57</v>
      </c>
      <c r="L1171" s="205">
        <f t="shared" si="169"/>
        <v>0</v>
      </c>
      <c r="M1171" s="205">
        <f t="shared" si="169"/>
        <v>0</v>
      </c>
      <c r="N1171" s="205">
        <f t="shared" si="169"/>
        <v>144</v>
      </c>
      <c r="O1171" s="279">
        <f t="shared" si="169"/>
        <v>28.8</v>
      </c>
    </row>
    <row r="1172" spans="1:15" ht="21" hidden="1" customHeight="1" outlineLevel="2">
      <c r="A1172" s="280"/>
      <c r="B1172" s="203"/>
      <c r="C1172" s="203"/>
      <c r="D1172" s="203"/>
      <c r="E1172" s="203"/>
      <c r="F1172" s="203"/>
      <c r="G1172" s="204"/>
      <c r="H1172" s="202">
        <f>SUM(H1171:O1171)</f>
        <v>261.05399999999997</v>
      </c>
      <c r="I1172" s="203"/>
      <c r="J1172" s="203"/>
      <c r="K1172" s="203"/>
      <c r="L1172" s="203"/>
      <c r="M1172" s="203"/>
      <c r="N1172" s="203"/>
      <c r="O1172" s="281"/>
    </row>
    <row r="1173" spans="1:15" ht="21" hidden="1" customHeight="1" outlineLevel="2">
      <c r="A1173" s="14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278"/>
    </row>
    <row r="1174" spans="1:15" ht="21" hidden="1" customHeight="1" outlineLevel="2">
      <c r="A1174" s="277" t="s">
        <v>422</v>
      </c>
      <c r="B1174" s="5"/>
      <c r="C1174" s="5">
        <v>10.5</v>
      </c>
      <c r="D1174" s="5">
        <v>1</v>
      </c>
      <c r="E1174" s="5">
        <v>2</v>
      </c>
      <c r="F1174" s="5">
        <f>+D1174*E1174</f>
        <v>2</v>
      </c>
      <c r="G1174" s="5">
        <f>+C1174</f>
        <v>10.5</v>
      </c>
      <c r="H1174" s="5"/>
      <c r="I1174" s="5"/>
      <c r="J1174" s="5"/>
      <c r="K1174" s="5"/>
      <c r="L1174" s="5"/>
      <c r="M1174" s="5">
        <f>3*G1174*F1174</f>
        <v>63</v>
      </c>
      <c r="N1174" s="5"/>
      <c r="O1174" s="278"/>
    </row>
    <row r="1175" spans="1:15" ht="21" hidden="1" customHeight="1" outlineLevel="2">
      <c r="A1175" s="145"/>
      <c r="B1175" s="5"/>
      <c r="C1175" s="5">
        <v>4.5999999999999996</v>
      </c>
      <c r="D1175" s="5">
        <v>1</v>
      </c>
      <c r="E1175" s="5">
        <v>2</v>
      </c>
      <c r="F1175" s="5">
        <f t="shared" ref="F1175:F1183" si="170">+D1175*E1175</f>
        <v>2</v>
      </c>
      <c r="G1175" s="5">
        <f t="shared" ref="G1175:G1183" si="171">+C1175</f>
        <v>4.5999999999999996</v>
      </c>
      <c r="H1175" s="5"/>
      <c r="I1175" s="5"/>
      <c r="J1175" s="5">
        <f>+G1175*F1175</f>
        <v>9.1999999999999993</v>
      </c>
      <c r="K1175" s="5"/>
      <c r="L1175" s="5"/>
      <c r="M1175" s="5"/>
      <c r="N1175" s="5"/>
      <c r="O1175" s="278"/>
    </row>
    <row r="1176" spans="1:15" ht="21" hidden="1" customHeight="1" outlineLevel="2">
      <c r="A1176" s="145"/>
      <c r="B1176" s="5"/>
      <c r="C1176" s="5">
        <v>9</v>
      </c>
      <c r="D1176" s="5">
        <v>1</v>
      </c>
      <c r="E1176" s="5">
        <v>1</v>
      </c>
      <c r="F1176" s="5">
        <f t="shared" si="170"/>
        <v>1</v>
      </c>
      <c r="G1176" s="5">
        <f t="shared" si="171"/>
        <v>9</v>
      </c>
      <c r="H1176" s="5"/>
      <c r="I1176" s="5">
        <f>0.56*G1176*F1176</f>
        <v>5.0400000000000009</v>
      </c>
      <c r="J1176" s="5"/>
      <c r="K1176" s="5"/>
      <c r="L1176" s="5"/>
      <c r="M1176" s="5"/>
      <c r="N1176" s="5"/>
      <c r="O1176" s="278"/>
    </row>
    <row r="1177" spans="1:15" ht="21" hidden="1" customHeight="1" outlineLevel="2">
      <c r="A1177" s="145"/>
      <c r="B1177" s="5"/>
      <c r="C1177" s="5">
        <v>4</v>
      </c>
      <c r="D1177" s="5">
        <v>1</v>
      </c>
      <c r="E1177" s="5">
        <v>1</v>
      </c>
      <c r="F1177" s="5">
        <f t="shared" si="170"/>
        <v>1</v>
      </c>
      <c r="G1177" s="5">
        <f t="shared" si="171"/>
        <v>4</v>
      </c>
      <c r="H1177" s="5"/>
      <c r="I1177" s="5"/>
      <c r="J1177" s="5"/>
      <c r="K1177" s="5"/>
      <c r="L1177" s="5"/>
      <c r="M1177" s="5"/>
      <c r="N1177" s="5">
        <f>4*G1177*F1177</f>
        <v>16</v>
      </c>
      <c r="O1177" s="278"/>
    </row>
    <row r="1178" spans="1:15" ht="21" hidden="1" customHeight="1" outlineLevel="2">
      <c r="A1178" s="145"/>
      <c r="B1178" s="5"/>
      <c r="C1178" s="5">
        <v>2.5</v>
      </c>
      <c r="D1178" s="5">
        <v>1</v>
      </c>
      <c r="E1178" s="5">
        <v>1</v>
      </c>
      <c r="F1178" s="5">
        <f t="shared" si="170"/>
        <v>1</v>
      </c>
      <c r="G1178" s="5">
        <f t="shared" si="171"/>
        <v>2.5</v>
      </c>
      <c r="H1178" s="5"/>
      <c r="I1178" s="5">
        <f>0.56*G1178*F1178</f>
        <v>1.4000000000000001</v>
      </c>
      <c r="J1178" s="5"/>
      <c r="K1178" s="5"/>
      <c r="L1178" s="5"/>
      <c r="M1178" s="5"/>
      <c r="N1178" s="5"/>
      <c r="O1178" s="278"/>
    </row>
    <row r="1179" spans="1:15" ht="21" hidden="1" customHeight="1" outlineLevel="2">
      <c r="A1179" s="145"/>
      <c r="B1179" s="5"/>
      <c r="C1179" s="5">
        <v>4.5</v>
      </c>
      <c r="D1179" s="5">
        <v>1</v>
      </c>
      <c r="E1179" s="5">
        <v>2</v>
      </c>
      <c r="F1179" s="5">
        <f t="shared" si="170"/>
        <v>2</v>
      </c>
      <c r="G1179" s="5">
        <f t="shared" si="171"/>
        <v>4.5</v>
      </c>
      <c r="H1179" s="5"/>
      <c r="I1179" s="5">
        <f>0.56*G1179*F1179</f>
        <v>5.0400000000000009</v>
      </c>
      <c r="J1179" s="5"/>
      <c r="K1179" s="5"/>
      <c r="L1179" s="5"/>
      <c r="M1179" s="5"/>
      <c r="N1179" s="5"/>
      <c r="O1179" s="278"/>
    </row>
    <row r="1180" spans="1:15" ht="21" hidden="1" customHeight="1" outlineLevel="2">
      <c r="A1180" s="145"/>
      <c r="B1180" s="5"/>
      <c r="C1180" s="5">
        <v>8.5</v>
      </c>
      <c r="D1180" s="5">
        <v>1</v>
      </c>
      <c r="E1180" s="5">
        <v>2</v>
      </c>
      <c r="F1180" s="5">
        <f t="shared" si="170"/>
        <v>2</v>
      </c>
      <c r="G1180" s="5">
        <f t="shared" si="171"/>
        <v>8.5</v>
      </c>
      <c r="H1180" s="5"/>
      <c r="I1180" s="5">
        <f>0.56*G1180*F1180</f>
        <v>9.5200000000000014</v>
      </c>
      <c r="J1180" s="5"/>
      <c r="K1180" s="5"/>
      <c r="L1180" s="5"/>
      <c r="M1180" s="5"/>
      <c r="N1180" s="5"/>
      <c r="O1180" s="278"/>
    </row>
    <row r="1181" spans="1:15" ht="21" hidden="1" customHeight="1" outlineLevel="2">
      <c r="A1181" s="145"/>
      <c r="B1181" s="5"/>
      <c r="C1181" s="5">
        <v>5.5</v>
      </c>
      <c r="D1181" s="5">
        <v>1</v>
      </c>
      <c r="E1181" s="5">
        <v>1</v>
      </c>
      <c r="F1181" s="5">
        <f t="shared" si="170"/>
        <v>1</v>
      </c>
      <c r="G1181" s="5">
        <f t="shared" si="171"/>
        <v>5.5</v>
      </c>
      <c r="H1181" s="5"/>
      <c r="I1181" s="5">
        <f>0.56*G1181*F1181</f>
        <v>3.08</v>
      </c>
      <c r="J1181" s="5"/>
      <c r="K1181" s="5"/>
      <c r="L1181" s="5"/>
      <c r="M1181" s="5"/>
      <c r="N1181" s="5"/>
      <c r="O1181" s="278"/>
    </row>
    <row r="1182" spans="1:15" ht="21" hidden="1" customHeight="1" outlineLevel="2">
      <c r="A1182" s="145"/>
      <c r="B1182" s="5"/>
      <c r="C1182" s="5">
        <v>5.2</v>
      </c>
      <c r="D1182" s="5">
        <v>1</v>
      </c>
      <c r="E1182" s="5">
        <v>2</v>
      </c>
      <c r="F1182" s="5">
        <f t="shared" si="170"/>
        <v>2</v>
      </c>
      <c r="G1182" s="5">
        <f t="shared" si="171"/>
        <v>5.2</v>
      </c>
      <c r="H1182" s="5"/>
      <c r="I1182" s="5">
        <f>0.56*G1182*F1182</f>
        <v>5.8240000000000007</v>
      </c>
      <c r="J1182" s="5"/>
      <c r="K1182" s="5"/>
      <c r="L1182" s="5"/>
      <c r="M1182" s="5"/>
      <c r="N1182" s="5"/>
      <c r="O1182" s="278"/>
    </row>
    <row r="1183" spans="1:15" ht="21" hidden="1" customHeight="1" outlineLevel="2">
      <c r="A1183" s="145"/>
      <c r="B1183" s="5"/>
      <c r="C1183" s="5">
        <v>1.5</v>
      </c>
      <c r="D1183" s="5">
        <v>1</v>
      </c>
      <c r="E1183" s="5">
        <v>28</v>
      </c>
      <c r="F1183" s="5">
        <f t="shared" si="170"/>
        <v>28</v>
      </c>
      <c r="G1183" s="5">
        <f t="shared" si="171"/>
        <v>1.5</v>
      </c>
      <c r="H1183" s="5">
        <f>0.25*F1183*G1183</f>
        <v>10.5</v>
      </c>
      <c r="I1183" s="5"/>
      <c r="J1183" s="5"/>
      <c r="K1183" s="5"/>
      <c r="L1183" s="5"/>
      <c r="M1183" s="5"/>
      <c r="N1183" s="5"/>
      <c r="O1183" s="278"/>
    </row>
    <row r="1184" spans="1:15" ht="21" hidden="1" customHeight="1" outlineLevel="2">
      <c r="A1184" s="280"/>
      <c r="B1184" s="203"/>
      <c r="C1184" s="203"/>
      <c r="D1184" s="203"/>
      <c r="E1184" s="203"/>
      <c r="F1184" s="203"/>
      <c r="G1184" s="204"/>
      <c r="H1184" s="205">
        <f>SUM(H1174:H1183)</f>
        <v>10.5</v>
      </c>
      <c r="I1184" s="205">
        <f t="shared" ref="I1184:O1184" si="172">SUM(I1174:I1183)</f>
        <v>29.904000000000007</v>
      </c>
      <c r="J1184" s="205">
        <f t="shared" si="172"/>
        <v>9.1999999999999993</v>
      </c>
      <c r="K1184" s="205">
        <f t="shared" si="172"/>
        <v>0</v>
      </c>
      <c r="L1184" s="205">
        <f t="shared" si="172"/>
        <v>0</v>
      </c>
      <c r="M1184" s="205">
        <f t="shared" si="172"/>
        <v>63</v>
      </c>
      <c r="N1184" s="205">
        <f t="shared" si="172"/>
        <v>16</v>
      </c>
      <c r="O1184" s="279">
        <f t="shared" si="172"/>
        <v>0</v>
      </c>
    </row>
    <row r="1185" spans="1:15" ht="21" hidden="1" customHeight="1" outlineLevel="2">
      <c r="A1185" s="280"/>
      <c r="B1185" s="203"/>
      <c r="C1185" s="203"/>
      <c r="D1185" s="203"/>
      <c r="E1185" s="203"/>
      <c r="F1185" s="203"/>
      <c r="G1185" s="204"/>
      <c r="H1185" s="202">
        <f>SUM(H1184:O1184)</f>
        <v>128.60400000000001</v>
      </c>
      <c r="I1185" s="203"/>
      <c r="J1185" s="203"/>
      <c r="K1185" s="203"/>
      <c r="L1185" s="203"/>
      <c r="M1185" s="203"/>
      <c r="N1185" s="203"/>
      <c r="O1185" s="281"/>
    </row>
    <row r="1186" spans="1:15" ht="21" hidden="1" customHeight="1" outlineLevel="2">
      <c r="A1186" s="14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278"/>
    </row>
    <row r="1187" spans="1:15" ht="21" hidden="1" customHeight="1" outlineLevel="2">
      <c r="A1187" s="277" t="s">
        <v>423</v>
      </c>
      <c r="B1187" s="5"/>
      <c r="C1187" s="5">
        <v>4.95</v>
      </c>
      <c r="D1187" s="5">
        <v>1</v>
      </c>
      <c r="E1187" s="5">
        <v>2</v>
      </c>
      <c r="F1187" s="5">
        <v>2</v>
      </c>
      <c r="G1187" s="5">
        <f>+C1187</f>
        <v>4.95</v>
      </c>
      <c r="H1187" s="5"/>
      <c r="I1187" s="5"/>
      <c r="J1187" s="5">
        <f>+G1187*F1187</f>
        <v>9.9</v>
      </c>
      <c r="K1187" s="5"/>
      <c r="L1187" s="5"/>
      <c r="M1187" s="5"/>
      <c r="N1187" s="5"/>
      <c r="O1187" s="278"/>
    </row>
    <row r="1188" spans="1:15" ht="21" hidden="1" customHeight="1" outlineLevel="2">
      <c r="A1188" s="145"/>
      <c r="B1188" s="5"/>
      <c r="C1188" s="5">
        <v>4.55</v>
      </c>
      <c r="D1188" s="5">
        <v>1</v>
      </c>
      <c r="E1188" s="5">
        <v>1</v>
      </c>
      <c r="F1188" s="5">
        <v>1</v>
      </c>
      <c r="G1188" s="5">
        <f>+C1188</f>
        <v>4.55</v>
      </c>
      <c r="H1188" s="5"/>
      <c r="I1188" s="5"/>
      <c r="J1188" s="5"/>
      <c r="K1188" s="5">
        <f>1.55*G1188*F1188</f>
        <v>7.0525000000000002</v>
      </c>
      <c r="L1188" s="5"/>
      <c r="M1188" s="5"/>
      <c r="N1188" s="5"/>
      <c r="O1188" s="278"/>
    </row>
    <row r="1189" spans="1:15" ht="21" hidden="1" customHeight="1" outlineLevel="2">
      <c r="A1189" s="145"/>
      <c r="B1189" s="5"/>
      <c r="C1189" s="5">
        <v>1.5</v>
      </c>
      <c r="D1189" s="5">
        <v>1</v>
      </c>
      <c r="E1189" s="5">
        <v>14</v>
      </c>
      <c r="F1189" s="5">
        <v>14</v>
      </c>
      <c r="G1189" s="5">
        <f>+C1189</f>
        <v>1.5</v>
      </c>
      <c r="H1189" s="5">
        <f>0.25*G1189*F1189</f>
        <v>5.25</v>
      </c>
      <c r="I1189" s="5"/>
      <c r="J1189" s="5"/>
      <c r="K1189" s="5"/>
      <c r="L1189" s="5"/>
      <c r="M1189" s="5"/>
      <c r="N1189" s="5"/>
      <c r="O1189" s="278"/>
    </row>
    <row r="1190" spans="1:15" ht="21" hidden="1" customHeight="1" outlineLevel="2">
      <c r="A1190" s="280"/>
      <c r="B1190" s="203"/>
      <c r="C1190" s="203"/>
      <c r="D1190" s="203"/>
      <c r="E1190" s="203"/>
      <c r="F1190" s="203"/>
      <c r="G1190" s="204"/>
      <c r="H1190" s="205">
        <f>SUM(H1187:H1189)</f>
        <v>5.25</v>
      </c>
      <c r="I1190" s="205">
        <f t="shared" ref="I1190:O1190" si="173">SUM(I1187:I1189)</f>
        <v>0</v>
      </c>
      <c r="J1190" s="205">
        <f t="shared" si="173"/>
        <v>9.9</v>
      </c>
      <c r="K1190" s="205">
        <f t="shared" si="173"/>
        <v>7.0525000000000002</v>
      </c>
      <c r="L1190" s="205">
        <f t="shared" si="173"/>
        <v>0</v>
      </c>
      <c r="M1190" s="205">
        <f t="shared" si="173"/>
        <v>0</v>
      </c>
      <c r="N1190" s="205">
        <f t="shared" si="173"/>
        <v>0</v>
      </c>
      <c r="O1190" s="279">
        <f t="shared" si="173"/>
        <v>0</v>
      </c>
    </row>
    <row r="1191" spans="1:15" ht="21" hidden="1" customHeight="1" outlineLevel="2">
      <c r="A1191" s="280"/>
      <c r="B1191" s="203"/>
      <c r="C1191" s="203"/>
      <c r="D1191" s="203"/>
      <c r="E1191" s="203"/>
      <c r="F1191" s="203"/>
      <c r="G1191" s="204"/>
      <c r="H1191" s="202">
        <f>SUM(H1190:O1190)</f>
        <v>22.202500000000001</v>
      </c>
      <c r="I1191" s="203"/>
      <c r="J1191" s="203"/>
      <c r="K1191" s="203"/>
      <c r="L1191" s="203"/>
      <c r="M1191" s="203"/>
      <c r="N1191" s="203"/>
      <c r="O1191" s="281"/>
    </row>
    <row r="1192" spans="1:15" ht="21" hidden="1" customHeight="1" outlineLevel="2">
      <c r="A1192" s="14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278"/>
    </row>
    <row r="1193" spans="1:15" ht="21" hidden="1" customHeight="1" outlineLevel="2">
      <c r="A1193" s="277" t="s">
        <v>424</v>
      </c>
      <c r="B1193" s="5"/>
      <c r="C1193" s="5">
        <v>4.5</v>
      </c>
      <c r="D1193" s="5">
        <v>1</v>
      </c>
      <c r="E1193" s="5">
        <v>2</v>
      </c>
      <c r="F1193" s="5">
        <v>2</v>
      </c>
      <c r="G1193" s="5">
        <f>+C1193</f>
        <v>4.5</v>
      </c>
      <c r="H1193" s="5"/>
      <c r="I1193" s="5"/>
      <c r="J1193" s="5">
        <f>+G1193*F1193</f>
        <v>9</v>
      </c>
      <c r="K1193" s="5"/>
      <c r="L1193" s="5"/>
      <c r="M1193" s="5"/>
      <c r="N1193" s="5"/>
      <c r="O1193" s="278"/>
    </row>
    <row r="1194" spans="1:15" ht="21" hidden="1" customHeight="1" outlineLevel="2">
      <c r="A1194" s="145"/>
      <c r="B1194" s="5"/>
      <c r="C1194" s="5">
        <v>4.0999999999999996</v>
      </c>
      <c r="D1194" s="5">
        <v>1</v>
      </c>
      <c r="E1194" s="5">
        <v>1</v>
      </c>
      <c r="F1194" s="5">
        <v>1</v>
      </c>
      <c r="G1194" s="5">
        <f>+C1194</f>
        <v>4.0999999999999996</v>
      </c>
      <c r="H1194" s="5"/>
      <c r="I1194" s="5"/>
      <c r="J1194" s="5">
        <f>G1194*F1194</f>
        <v>4.0999999999999996</v>
      </c>
      <c r="K1194" s="5"/>
      <c r="L1194" s="5"/>
      <c r="M1194" s="5"/>
      <c r="N1194" s="5"/>
      <c r="O1194" s="278"/>
    </row>
    <row r="1195" spans="1:15" ht="21" hidden="1" customHeight="1" outlineLevel="2">
      <c r="A1195" s="145"/>
      <c r="B1195" s="5"/>
      <c r="C1195" s="5">
        <v>1.5</v>
      </c>
      <c r="D1195" s="5">
        <v>1</v>
      </c>
      <c r="E1195" s="5">
        <v>12</v>
      </c>
      <c r="F1195" s="5">
        <v>12</v>
      </c>
      <c r="G1195" s="5">
        <f>+C1195</f>
        <v>1.5</v>
      </c>
      <c r="H1195" s="5">
        <f>0.25*G1195*F1195</f>
        <v>4.5</v>
      </c>
      <c r="I1195" s="5"/>
      <c r="J1195" s="5"/>
      <c r="K1195" s="5"/>
      <c r="L1195" s="5"/>
      <c r="M1195" s="5"/>
      <c r="N1195" s="5"/>
      <c r="O1195" s="278"/>
    </row>
    <row r="1196" spans="1:15" ht="21" hidden="1" customHeight="1" outlineLevel="2">
      <c r="A1196" s="280"/>
      <c r="B1196" s="203"/>
      <c r="C1196" s="203"/>
      <c r="D1196" s="203"/>
      <c r="E1196" s="203"/>
      <c r="F1196" s="203"/>
      <c r="G1196" s="204"/>
      <c r="H1196" s="205">
        <f>SUM(H1193:H1195)</f>
        <v>4.5</v>
      </c>
      <c r="I1196" s="205">
        <f t="shared" ref="I1196:O1196" si="174">SUM(I1193:I1195)</f>
        <v>0</v>
      </c>
      <c r="J1196" s="205">
        <f t="shared" si="174"/>
        <v>13.1</v>
      </c>
      <c r="K1196" s="205">
        <f t="shared" si="174"/>
        <v>0</v>
      </c>
      <c r="L1196" s="205">
        <f t="shared" si="174"/>
        <v>0</v>
      </c>
      <c r="M1196" s="205">
        <f t="shared" si="174"/>
        <v>0</v>
      </c>
      <c r="N1196" s="205">
        <f t="shared" si="174"/>
        <v>0</v>
      </c>
      <c r="O1196" s="279">
        <f t="shared" si="174"/>
        <v>0</v>
      </c>
    </row>
    <row r="1197" spans="1:15" ht="21" hidden="1" customHeight="1" outlineLevel="2">
      <c r="A1197" s="280"/>
      <c r="B1197" s="203"/>
      <c r="C1197" s="203"/>
      <c r="D1197" s="203"/>
      <c r="E1197" s="203"/>
      <c r="F1197" s="203"/>
      <c r="G1197" s="204"/>
      <c r="H1197" s="202">
        <f>SUM(H1196:O1196)</f>
        <v>17.600000000000001</v>
      </c>
      <c r="I1197" s="203"/>
      <c r="J1197" s="203"/>
      <c r="K1197" s="203"/>
      <c r="L1197" s="203"/>
      <c r="M1197" s="203"/>
      <c r="N1197" s="203"/>
      <c r="O1197" s="281"/>
    </row>
    <row r="1198" spans="1:15" ht="21" hidden="1" customHeight="1" outlineLevel="2">
      <c r="A1198" s="14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278"/>
    </row>
    <row r="1199" spans="1:15" ht="21" hidden="1" customHeight="1" outlineLevel="2">
      <c r="A1199" s="277" t="s">
        <v>425</v>
      </c>
      <c r="B1199" s="5"/>
      <c r="C1199" s="5">
        <v>7.2</v>
      </c>
      <c r="D1199" s="5">
        <v>1</v>
      </c>
      <c r="E1199" s="5">
        <v>2</v>
      </c>
      <c r="F1199" s="5">
        <v>2</v>
      </c>
      <c r="G1199" s="5">
        <f>+C1199</f>
        <v>7.2</v>
      </c>
      <c r="H1199" s="5"/>
      <c r="I1199" s="5"/>
      <c r="J1199" s="5">
        <f>+G1199*F1199</f>
        <v>14.4</v>
      </c>
      <c r="K1199" s="5"/>
      <c r="L1199" s="5"/>
      <c r="M1199" s="5"/>
      <c r="N1199" s="5"/>
      <c r="O1199" s="278"/>
    </row>
    <row r="1200" spans="1:15" ht="21" hidden="1" customHeight="1" outlineLevel="2">
      <c r="A1200" s="145"/>
      <c r="B1200" s="5"/>
      <c r="C1200" s="5">
        <v>2.7</v>
      </c>
      <c r="D1200" s="5">
        <v>1</v>
      </c>
      <c r="E1200" s="5">
        <v>3</v>
      </c>
      <c r="F1200" s="5">
        <v>3</v>
      </c>
      <c r="G1200" s="5">
        <v>2.7</v>
      </c>
      <c r="H1200" s="5"/>
      <c r="I1200" s="5"/>
      <c r="J1200" s="5">
        <f>+G1200*F1200</f>
        <v>8.1000000000000014</v>
      </c>
      <c r="K1200" s="5"/>
      <c r="L1200" s="5"/>
      <c r="M1200" s="5"/>
      <c r="N1200" s="5"/>
      <c r="O1200" s="278"/>
    </row>
    <row r="1201" spans="1:15" ht="21" hidden="1" customHeight="1" outlineLevel="2">
      <c r="A1201" s="145"/>
      <c r="B1201" s="5"/>
      <c r="C1201" s="5">
        <v>6</v>
      </c>
      <c r="D1201" s="5">
        <v>1</v>
      </c>
      <c r="E1201" s="5">
        <v>1</v>
      </c>
      <c r="F1201" s="5">
        <v>1</v>
      </c>
      <c r="G1201" s="5">
        <f>+C1201</f>
        <v>6</v>
      </c>
      <c r="H1201" s="5"/>
      <c r="I1201" s="5"/>
      <c r="J1201" s="5">
        <f>G1201*F1201</f>
        <v>6</v>
      </c>
      <c r="K1201" s="5"/>
      <c r="L1201" s="5"/>
      <c r="M1201" s="5"/>
      <c r="N1201" s="5"/>
      <c r="O1201" s="278"/>
    </row>
    <row r="1202" spans="1:15" ht="21" hidden="1" customHeight="1" outlineLevel="2">
      <c r="A1202" s="145"/>
      <c r="B1202" s="5"/>
      <c r="C1202" s="5">
        <v>1.5</v>
      </c>
      <c r="D1202" s="5">
        <v>1</v>
      </c>
      <c r="E1202" s="5">
        <v>12</v>
      </c>
      <c r="F1202" s="5">
        <v>12</v>
      </c>
      <c r="G1202" s="5">
        <f>+C1202</f>
        <v>1.5</v>
      </c>
      <c r="H1202" s="5">
        <f>0.25*G1202*F1202</f>
        <v>4.5</v>
      </c>
      <c r="I1202" s="5"/>
      <c r="J1202" s="5"/>
      <c r="K1202" s="5"/>
      <c r="L1202" s="5"/>
      <c r="M1202" s="5"/>
      <c r="N1202" s="5"/>
      <c r="O1202" s="278"/>
    </row>
    <row r="1203" spans="1:15" ht="21" hidden="1" customHeight="1" outlineLevel="2">
      <c r="A1203" s="280"/>
      <c r="B1203" s="203"/>
      <c r="C1203" s="203"/>
      <c r="D1203" s="203"/>
      <c r="E1203" s="203"/>
      <c r="F1203" s="203"/>
      <c r="G1203" s="204"/>
      <c r="H1203" s="205">
        <f t="shared" ref="H1203:O1203" si="175">SUM(H1199:H1202)</f>
        <v>4.5</v>
      </c>
      <c r="I1203" s="205">
        <f t="shared" si="175"/>
        <v>0</v>
      </c>
      <c r="J1203" s="205">
        <f t="shared" si="175"/>
        <v>28.5</v>
      </c>
      <c r="K1203" s="205">
        <f t="shared" si="175"/>
        <v>0</v>
      </c>
      <c r="L1203" s="205">
        <f t="shared" si="175"/>
        <v>0</v>
      </c>
      <c r="M1203" s="205">
        <f t="shared" si="175"/>
        <v>0</v>
      </c>
      <c r="N1203" s="205">
        <f t="shared" si="175"/>
        <v>0</v>
      </c>
      <c r="O1203" s="279">
        <f t="shared" si="175"/>
        <v>0</v>
      </c>
    </row>
    <row r="1204" spans="1:15" ht="21" hidden="1" customHeight="1" outlineLevel="2">
      <c r="A1204" s="280"/>
      <c r="B1204" s="203"/>
      <c r="C1204" s="203"/>
      <c r="D1204" s="203"/>
      <c r="E1204" s="203"/>
      <c r="F1204" s="203"/>
      <c r="G1204" s="204"/>
      <c r="H1204" s="202">
        <f>SUM(H1203:O1203)</f>
        <v>33</v>
      </c>
      <c r="I1204" s="203"/>
      <c r="J1204" s="203"/>
      <c r="K1204" s="203"/>
      <c r="L1204" s="203"/>
      <c r="M1204" s="203"/>
      <c r="N1204" s="203"/>
      <c r="O1204" s="281"/>
    </row>
    <row r="1205" spans="1:15" ht="21" hidden="1" customHeight="1" outlineLevel="2">
      <c r="A1205" s="14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278"/>
    </row>
    <row r="1206" spans="1:15" ht="21" hidden="1" customHeight="1" outlineLevel="2">
      <c r="A1206" s="277" t="s">
        <v>426</v>
      </c>
      <c r="B1206" s="5"/>
      <c r="C1206" s="5">
        <v>2.6</v>
      </c>
      <c r="D1206" s="5">
        <v>3</v>
      </c>
      <c r="E1206" s="5">
        <v>1</v>
      </c>
      <c r="F1206" s="5">
        <f>+D1206*E1206</f>
        <v>3</v>
      </c>
      <c r="G1206" s="5">
        <f>+C1206</f>
        <v>2.6</v>
      </c>
      <c r="H1206" s="5"/>
      <c r="I1206" s="5">
        <f>0.56*G1206*F1206</f>
        <v>4.3680000000000003</v>
      </c>
      <c r="J1206" s="5"/>
      <c r="K1206" s="5"/>
      <c r="L1206" s="5"/>
      <c r="M1206" s="5"/>
      <c r="N1206" s="5"/>
      <c r="O1206" s="278"/>
    </row>
    <row r="1207" spans="1:15" ht="21" hidden="1" customHeight="1" outlineLevel="2">
      <c r="A1207" s="145"/>
      <c r="B1207" s="5"/>
      <c r="C1207" s="5">
        <v>2.4</v>
      </c>
      <c r="D1207" s="5">
        <v>3</v>
      </c>
      <c r="E1207" s="5">
        <v>1</v>
      </c>
      <c r="F1207" s="5">
        <f>+D1207*E1207</f>
        <v>3</v>
      </c>
      <c r="G1207" s="5">
        <f>+C1207</f>
        <v>2.4</v>
      </c>
      <c r="H1207" s="5"/>
      <c r="I1207" s="5">
        <f>0.56*G1207*F1207</f>
        <v>4.032</v>
      </c>
      <c r="J1207" s="5"/>
      <c r="K1207" s="5"/>
      <c r="L1207" s="5"/>
      <c r="M1207" s="5"/>
      <c r="N1207" s="5"/>
      <c r="O1207" s="278"/>
    </row>
    <row r="1208" spans="1:15" ht="21" hidden="1" customHeight="1" outlineLevel="2">
      <c r="A1208" s="145"/>
      <c r="B1208" s="5"/>
      <c r="C1208" s="5">
        <f>(0.55*2)+(0.1*2)+(0.05*2)</f>
        <v>1.4000000000000001</v>
      </c>
      <c r="D1208" s="5">
        <v>3</v>
      </c>
      <c r="E1208" s="5">
        <v>14</v>
      </c>
      <c r="F1208" s="5">
        <f>+D1208*E1208</f>
        <v>42</v>
      </c>
      <c r="G1208" s="5">
        <f>+C1208</f>
        <v>1.4000000000000001</v>
      </c>
      <c r="H1208" s="5">
        <f>0.25*G1208*F1208</f>
        <v>14.700000000000001</v>
      </c>
      <c r="I1208" s="5"/>
      <c r="J1208" s="5"/>
      <c r="K1208" s="5"/>
      <c r="L1208" s="5"/>
      <c r="M1208" s="5"/>
      <c r="N1208" s="5"/>
      <c r="O1208" s="278"/>
    </row>
    <row r="1209" spans="1:15" ht="21" hidden="1" customHeight="1" outlineLevel="2">
      <c r="A1209" s="280"/>
      <c r="B1209" s="203"/>
      <c r="C1209" s="203"/>
      <c r="D1209" s="203"/>
      <c r="E1209" s="203"/>
      <c r="F1209" s="203"/>
      <c r="G1209" s="204"/>
      <c r="H1209" s="205">
        <f>SUM(H1206:H1208)</f>
        <v>14.700000000000001</v>
      </c>
      <c r="I1209" s="205">
        <f t="shared" ref="I1209:O1209" si="176">SUM(I1206:I1208)</f>
        <v>8.4</v>
      </c>
      <c r="J1209" s="205">
        <f t="shared" si="176"/>
        <v>0</v>
      </c>
      <c r="K1209" s="205">
        <f t="shared" si="176"/>
        <v>0</v>
      </c>
      <c r="L1209" s="205">
        <f t="shared" si="176"/>
        <v>0</v>
      </c>
      <c r="M1209" s="205">
        <f t="shared" si="176"/>
        <v>0</v>
      </c>
      <c r="N1209" s="205">
        <f t="shared" si="176"/>
        <v>0</v>
      </c>
      <c r="O1209" s="279">
        <f t="shared" si="176"/>
        <v>0</v>
      </c>
    </row>
    <row r="1210" spans="1:15" ht="21" hidden="1" customHeight="1" outlineLevel="2">
      <c r="A1210" s="280"/>
      <c r="B1210" s="203"/>
      <c r="C1210" s="203"/>
      <c r="D1210" s="203"/>
      <c r="E1210" s="203"/>
      <c r="F1210" s="203"/>
      <c r="G1210" s="204"/>
      <c r="H1210" s="202">
        <f>SUM(H1209:O1209)</f>
        <v>23.1</v>
      </c>
      <c r="I1210" s="203"/>
      <c r="J1210" s="203"/>
      <c r="K1210" s="203"/>
      <c r="L1210" s="203"/>
      <c r="M1210" s="203"/>
      <c r="N1210" s="203"/>
      <c r="O1210" s="281"/>
    </row>
    <row r="1211" spans="1:15" ht="21" hidden="1" customHeight="1" outlineLevel="2">
      <c r="A1211" s="14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278"/>
    </row>
    <row r="1212" spans="1:15" ht="21" hidden="1" customHeight="1" outlineLevel="2">
      <c r="A1212" s="277" t="s">
        <v>427</v>
      </c>
      <c r="B1212" s="5"/>
      <c r="C1212" s="5">
        <v>5</v>
      </c>
      <c r="D1212" s="5">
        <v>1</v>
      </c>
      <c r="E1212" s="5">
        <v>1</v>
      </c>
      <c r="F1212" s="5">
        <f>+D1212*E1212</f>
        <v>1</v>
      </c>
      <c r="G1212" s="5">
        <f>+C1212</f>
        <v>5</v>
      </c>
      <c r="H1212" s="5"/>
      <c r="I1212" s="5">
        <f>0.56*G1212*F1212</f>
        <v>2.8000000000000003</v>
      </c>
      <c r="J1212" s="5"/>
      <c r="K1212" s="5"/>
      <c r="L1212" s="5"/>
      <c r="M1212" s="5"/>
      <c r="N1212" s="5"/>
      <c r="O1212" s="278"/>
    </row>
    <row r="1213" spans="1:15" ht="21" hidden="1" customHeight="1" outlineLevel="2">
      <c r="A1213" s="145"/>
      <c r="B1213" s="5"/>
      <c r="C1213" s="5">
        <v>8.5</v>
      </c>
      <c r="D1213" s="5">
        <v>1</v>
      </c>
      <c r="E1213" s="5">
        <v>2</v>
      </c>
      <c r="F1213" s="5">
        <f t="shared" ref="F1213:F1219" si="177">+D1213*E1213</f>
        <v>2</v>
      </c>
      <c r="G1213" s="5">
        <f t="shared" ref="G1213:G1219" si="178">+C1213</f>
        <v>8.5</v>
      </c>
      <c r="H1213" s="5"/>
      <c r="I1213" s="5"/>
      <c r="J1213" s="5"/>
      <c r="K1213" s="5"/>
      <c r="L1213" s="5"/>
      <c r="M1213" s="5"/>
      <c r="N1213" s="5">
        <f>4*G1213*F1213</f>
        <v>68</v>
      </c>
      <c r="O1213" s="278"/>
    </row>
    <row r="1214" spans="1:15" ht="21" hidden="1" customHeight="1" outlineLevel="2">
      <c r="A1214" s="145"/>
      <c r="B1214" s="5"/>
      <c r="C1214" s="5">
        <v>3.5</v>
      </c>
      <c r="D1214" s="5">
        <v>1</v>
      </c>
      <c r="E1214" s="5">
        <v>1</v>
      </c>
      <c r="F1214" s="5">
        <f t="shared" si="177"/>
        <v>1</v>
      </c>
      <c r="G1214" s="5">
        <f t="shared" si="178"/>
        <v>3.5</v>
      </c>
      <c r="H1214" s="5"/>
      <c r="I1214" s="5"/>
      <c r="J1214" s="5"/>
      <c r="K1214" s="5"/>
      <c r="L1214" s="5"/>
      <c r="M1214" s="5"/>
      <c r="N1214" s="5"/>
      <c r="O1214" s="278">
        <f>6.4*G1214*F1214</f>
        <v>22.400000000000002</v>
      </c>
    </row>
    <row r="1215" spans="1:15" ht="21" hidden="1" customHeight="1" outlineLevel="2">
      <c r="A1215" s="145"/>
      <c r="B1215" s="5"/>
      <c r="C1215" s="5">
        <v>6.5</v>
      </c>
      <c r="D1215" s="5">
        <v>1</v>
      </c>
      <c r="E1215" s="5">
        <v>2</v>
      </c>
      <c r="F1215" s="5">
        <f t="shared" si="177"/>
        <v>2</v>
      </c>
      <c r="G1215" s="5">
        <f t="shared" si="178"/>
        <v>6.5</v>
      </c>
      <c r="H1215" s="5"/>
      <c r="I1215" s="5"/>
      <c r="J1215" s="5"/>
      <c r="K1215" s="5"/>
      <c r="L1215" s="5"/>
      <c r="M1215" s="5"/>
      <c r="N1215" s="5">
        <f>4*G1215*F1215</f>
        <v>52</v>
      </c>
      <c r="O1215" s="278"/>
    </row>
    <row r="1216" spans="1:15" ht="21" hidden="1" customHeight="1" outlineLevel="2">
      <c r="A1216" s="145"/>
      <c r="B1216" s="5"/>
      <c r="C1216" s="5">
        <v>10</v>
      </c>
      <c r="D1216" s="5">
        <v>1</v>
      </c>
      <c r="E1216" s="5">
        <v>1</v>
      </c>
      <c r="F1216" s="5">
        <f t="shared" si="177"/>
        <v>1</v>
      </c>
      <c r="G1216" s="5">
        <f t="shared" si="178"/>
        <v>10</v>
      </c>
      <c r="H1216" s="5"/>
      <c r="I1216" s="5"/>
      <c r="J1216" s="5"/>
      <c r="K1216" s="5"/>
      <c r="L1216" s="5"/>
      <c r="M1216" s="5"/>
      <c r="N1216" s="5"/>
      <c r="O1216" s="278">
        <f>6.4*G1216*F1216</f>
        <v>64</v>
      </c>
    </row>
    <row r="1217" spans="1:15" ht="21" hidden="1" customHeight="1" outlineLevel="2">
      <c r="A1217" s="145"/>
      <c r="B1217" s="5"/>
      <c r="C1217" s="5">
        <v>5.7</v>
      </c>
      <c r="D1217" s="5">
        <v>1</v>
      </c>
      <c r="E1217" s="5">
        <v>2</v>
      </c>
      <c r="F1217" s="5">
        <f t="shared" si="177"/>
        <v>2</v>
      </c>
      <c r="G1217" s="5">
        <f t="shared" si="178"/>
        <v>5.7</v>
      </c>
      <c r="H1217" s="5"/>
      <c r="I1217" s="5">
        <f>0.56*G1217*F1217</f>
        <v>6.3840000000000012</v>
      </c>
      <c r="J1217" s="5"/>
      <c r="K1217" s="5"/>
      <c r="L1217" s="5"/>
      <c r="M1217" s="5"/>
      <c r="N1217" s="5"/>
      <c r="O1217" s="278"/>
    </row>
    <row r="1218" spans="1:15" ht="21" hidden="1" customHeight="1" outlineLevel="2">
      <c r="A1218" s="145"/>
      <c r="B1218" s="5"/>
      <c r="C1218" s="5">
        <v>1.5</v>
      </c>
      <c r="D1218" s="5">
        <v>1</v>
      </c>
      <c r="E1218" s="5">
        <f>7+36+7+33</f>
        <v>83</v>
      </c>
      <c r="F1218" s="5">
        <f t="shared" si="177"/>
        <v>83</v>
      </c>
      <c r="G1218" s="5">
        <f t="shared" si="178"/>
        <v>1.5</v>
      </c>
      <c r="H1218" s="5">
        <f>0.25*F1218*G1218</f>
        <v>31.125</v>
      </c>
      <c r="I1218" s="5"/>
      <c r="J1218" s="5"/>
      <c r="K1218" s="5"/>
      <c r="L1218" s="5"/>
      <c r="M1218" s="5"/>
      <c r="N1218" s="5"/>
      <c r="O1218" s="278"/>
    </row>
    <row r="1219" spans="1:15" ht="21" hidden="1" customHeight="1" outlineLevel="2">
      <c r="A1219" s="145"/>
      <c r="B1219" s="5"/>
      <c r="C1219" s="5">
        <v>1.5</v>
      </c>
      <c r="D1219" s="5">
        <v>1</v>
      </c>
      <c r="E1219" s="5">
        <v>38</v>
      </c>
      <c r="F1219" s="5">
        <f t="shared" si="177"/>
        <v>38</v>
      </c>
      <c r="G1219" s="5">
        <f t="shared" si="178"/>
        <v>1.5</v>
      </c>
      <c r="H1219" s="5"/>
      <c r="I1219" s="5">
        <f>0.56*G1219*F1219</f>
        <v>31.92</v>
      </c>
      <c r="J1219" s="5"/>
      <c r="K1219" s="5"/>
      <c r="L1219" s="5"/>
      <c r="M1219" s="5"/>
      <c r="N1219" s="5"/>
      <c r="O1219" s="278"/>
    </row>
    <row r="1220" spans="1:15" ht="21" hidden="1" customHeight="1" outlineLevel="2">
      <c r="A1220" s="280"/>
      <c r="B1220" s="203"/>
      <c r="C1220" s="203"/>
      <c r="D1220" s="203"/>
      <c r="E1220" s="203"/>
      <c r="F1220" s="203"/>
      <c r="G1220" s="204"/>
      <c r="H1220" s="205">
        <f>SUM(H1212:H1219)</f>
        <v>31.125</v>
      </c>
      <c r="I1220" s="205">
        <f t="shared" ref="I1220:O1220" si="179">SUM(I1212:I1219)</f>
        <v>41.103999999999999</v>
      </c>
      <c r="J1220" s="205">
        <f t="shared" si="179"/>
        <v>0</v>
      </c>
      <c r="K1220" s="205">
        <f t="shared" si="179"/>
        <v>0</v>
      </c>
      <c r="L1220" s="205">
        <f t="shared" si="179"/>
        <v>0</v>
      </c>
      <c r="M1220" s="205">
        <f t="shared" si="179"/>
        <v>0</v>
      </c>
      <c r="N1220" s="205">
        <f t="shared" si="179"/>
        <v>120</v>
      </c>
      <c r="O1220" s="279">
        <f t="shared" si="179"/>
        <v>86.4</v>
      </c>
    </row>
    <row r="1221" spans="1:15" ht="21" hidden="1" customHeight="1" outlineLevel="2">
      <c r="A1221" s="280"/>
      <c r="B1221" s="203"/>
      <c r="C1221" s="203"/>
      <c r="D1221" s="203"/>
      <c r="E1221" s="203"/>
      <c r="F1221" s="203"/>
      <c r="G1221" s="204"/>
      <c r="H1221" s="202">
        <f>SUM(H1220:O1220)</f>
        <v>278.62900000000002</v>
      </c>
      <c r="I1221" s="203"/>
      <c r="J1221" s="203"/>
      <c r="K1221" s="203"/>
      <c r="L1221" s="203"/>
      <c r="M1221" s="203"/>
      <c r="N1221" s="203"/>
      <c r="O1221" s="281"/>
    </row>
    <row r="1222" spans="1:15" ht="21" hidden="1" customHeight="1" outlineLevel="2">
      <c r="A1222" s="14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278"/>
    </row>
    <row r="1223" spans="1:15" ht="21" hidden="1" customHeight="1" outlineLevel="2">
      <c r="A1223" s="277" t="s">
        <v>428</v>
      </c>
      <c r="B1223" s="5"/>
      <c r="C1223" s="5">
        <v>4.8</v>
      </c>
      <c r="D1223" s="5">
        <v>1</v>
      </c>
      <c r="E1223" s="5">
        <v>1</v>
      </c>
      <c r="F1223" s="5">
        <f t="shared" ref="F1223:F1228" si="180">+D1223*E1223</f>
        <v>1</v>
      </c>
      <c r="G1223" s="5">
        <f t="shared" ref="G1223:G1228" si="181">+C1223</f>
        <v>4.8</v>
      </c>
      <c r="H1223" s="5"/>
      <c r="I1223" s="5"/>
      <c r="J1223" s="5">
        <f>+G1223*F1223</f>
        <v>4.8</v>
      </c>
      <c r="K1223" s="5"/>
      <c r="L1223" s="5"/>
      <c r="M1223" s="5"/>
      <c r="N1223" s="5"/>
      <c r="O1223" s="278"/>
    </row>
    <row r="1224" spans="1:15" ht="21" hidden="1" customHeight="1" outlineLevel="2">
      <c r="A1224" s="145"/>
      <c r="B1224" s="5"/>
      <c r="C1224" s="5">
        <v>4.8</v>
      </c>
      <c r="D1224" s="5">
        <v>1</v>
      </c>
      <c r="E1224" s="5">
        <v>2</v>
      </c>
      <c r="F1224" s="5">
        <f t="shared" si="180"/>
        <v>2</v>
      </c>
      <c r="G1224" s="5">
        <f t="shared" si="181"/>
        <v>4.8</v>
      </c>
      <c r="H1224" s="5"/>
      <c r="I1224" s="5">
        <f>0.56*G1224*F1224</f>
        <v>5.3760000000000003</v>
      </c>
      <c r="J1224" s="5"/>
      <c r="K1224" s="5"/>
      <c r="L1224" s="5"/>
      <c r="M1224" s="5"/>
      <c r="N1224" s="5"/>
      <c r="O1224" s="278"/>
    </row>
    <row r="1225" spans="1:15" ht="21" hidden="1" customHeight="1" outlineLevel="2">
      <c r="A1225" s="145"/>
      <c r="B1225" s="5"/>
      <c r="C1225" s="5">
        <v>2.5</v>
      </c>
      <c r="D1225" s="5">
        <v>1</v>
      </c>
      <c r="E1225" s="5">
        <v>1</v>
      </c>
      <c r="F1225" s="5">
        <f t="shared" si="180"/>
        <v>1</v>
      </c>
      <c r="G1225" s="5">
        <f t="shared" si="181"/>
        <v>2.5</v>
      </c>
      <c r="H1225" s="5"/>
      <c r="I1225" s="5"/>
      <c r="J1225" s="5">
        <f>+G1225*F1225</f>
        <v>2.5</v>
      </c>
      <c r="K1225" s="5"/>
      <c r="L1225" s="5"/>
      <c r="M1225" s="5"/>
      <c r="N1225" s="5"/>
      <c r="O1225" s="278"/>
    </row>
    <row r="1226" spans="1:15" ht="21" hidden="1" customHeight="1" outlineLevel="2">
      <c r="A1226" s="145"/>
      <c r="B1226" s="5"/>
      <c r="C1226" s="5">
        <v>4</v>
      </c>
      <c r="D1226" s="5">
        <v>1</v>
      </c>
      <c r="E1226" s="5">
        <v>2</v>
      </c>
      <c r="F1226" s="5">
        <f t="shared" si="180"/>
        <v>2</v>
      </c>
      <c r="G1226" s="5">
        <f t="shared" si="181"/>
        <v>4</v>
      </c>
      <c r="H1226" s="5"/>
      <c r="I1226" s="5">
        <f>0.56*G1226*F1226</f>
        <v>4.4800000000000004</v>
      </c>
      <c r="J1226" s="5"/>
      <c r="K1226" s="5"/>
      <c r="L1226" s="5"/>
      <c r="M1226" s="5"/>
      <c r="N1226" s="5"/>
      <c r="O1226" s="278"/>
    </row>
    <row r="1227" spans="1:15" ht="21" hidden="1" customHeight="1" outlineLevel="2">
      <c r="A1227" s="145"/>
      <c r="B1227" s="5"/>
      <c r="C1227" s="5">
        <v>2.6</v>
      </c>
      <c r="D1227" s="5">
        <v>1</v>
      </c>
      <c r="E1227" s="5">
        <v>3</v>
      </c>
      <c r="F1227" s="5">
        <f t="shared" si="180"/>
        <v>3</v>
      </c>
      <c r="G1227" s="5">
        <f t="shared" si="181"/>
        <v>2.6</v>
      </c>
      <c r="H1227" s="5"/>
      <c r="I1227" s="5">
        <f>0.56*G1227*F1227</f>
        <v>4.3680000000000003</v>
      </c>
      <c r="J1227" s="5"/>
      <c r="K1227" s="5"/>
      <c r="L1227" s="5"/>
      <c r="M1227" s="5"/>
      <c r="N1227" s="5"/>
      <c r="O1227" s="278"/>
    </row>
    <row r="1228" spans="1:15" ht="21" hidden="1" customHeight="1" outlineLevel="2">
      <c r="A1228" s="145"/>
      <c r="B1228" s="5"/>
      <c r="C1228" s="5">
        <v>1.5</v>
      </c>
      <c r="D1228" s="5">
        <v>1</v>
      </c>
      <c r="E1228" s="5">
        <f>4+7+5</f>
        <v>16</v>
      </c>
      <c r="F1228" s="5">
        <f t="shared" si="180"/>
        <v>16</v>
      </c>
      <c r="G1228" s="5">
        <f t="shared" si="181"/>
        <v>1.5</v>
      </c>
      <c r="H1228" s="5">
        <f>0.25*F1228*G1228</f>
        <v>6</v>
      </c>
      <c r="I1228" s="5"/>
      <c r="J1228" s="5"/>
      <c r="K1228" s="5"/>
      <c r="L1228" s="5"/>
      <c r="M1228" s="5"/>
      <c r="N1228" s="5"/>
      <c r="O1228" s="278"/>
    </row>
    <row r="1229" spans="1:15" ht="21" hidden="1" customHeight="1" outlineLevel="2">
      <c r="A1229" s="280"/>
      <c r="B1229" s="203"/>
      <c r="C1229" s="203"/>
      <c r="D1229" s="203"/>
      <c r="E1229" s="203"/>
      <c r="F1229" s="203"/>
      <c r="G1229" s="204"/>
      <c r="H1229" s="205">
        <f>SUM(H1223:H1228)</f>
        <v>6</v>
      </c>
      <c r="I1229" s="205">
        <f t="shared" ref="I1229:O1229" si="182">SUM(I1223:I1228)</f>
        <v>14.224000000000002</v>
      </c>
      <c r="J1229" s="205">
        <f t="shared" si="182"/>
        <v>7.3</v>
      </c>
      <c r="K1229" s="205">
        <f t="shared" si="182"/>
        <v>0</v>
      </c>
      <c r="L1229" s="205">
        <f t="shared" si="182"/>
        <v>0</v>
      </c>
      <c r="M1229" s="205">
        <f t="shared" si="182"/>
        <v>0</v>
      </c>
      <c r="N1229" s="205">
        <f t="shared" si="182"/>
        <v>0</v>
      </c>
      <c r="O1229" s="279">
        <f t="shared" si="182"/>
        <v>0</v>
      </c>
    </row>
    <row r="1230" spans="1:15" ht="21" hidden="1" customHeight="1" outlineLevel="2">
      <c r="A1230" s="280"/>
      <c r="B1230" s="203"/>
      <c r="C1230" s="203"/>
      <c r="D1230" s="203"/>
      <c r="E1230" s="203"/>
      <c r="F1230" s="203"/>
      <c r="G1230" s="204"/>
      <c r="H1230" s="202">
        <f>SUM(H1229:O1229)</f>
        <v>27.524000000000004</v>
      </c>
      <c r="I1230" s="203"/>
      <c r="J1230" s="203"/>
      <c r="K1230" s="203"/>
      <c r="L1230" s="203"/>
      <c r="M1230" s="203"/>
      <c r="N1230" s="203"/>
      <c r="O1230" s="281"/>
    </row>
    <row r="1231" spans="1:15" ht="21" hidden="1" customHeight="1" outlineLevel="2">
      <c r="A1231" s="14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278"/>
    </row>
    <row r="1232" spans="1:15" ht="21" hidden="1" customHeight="1" outlineLevel="2">
      <c r="A1232" s="277" t="s">
        <v>429</v>
      </c>
      <c r="B1232" s="5"/>
      <c r="C1232" s="5">
        <v>5</v>
      </c>
      <c r="D1232" s="5">
        <v>1</v>
      </c>
      <c r="E1232" s="5">
        <v>1</v>
      </c>
      <c r="F1232" s="5">
        <f>+D1232*E1232</f>
        <v>1</v>
      </c>
      <c r="G1232" s="5">
        <f>+C1232</f>
        <v>5</v>
      </c>
      <c r="H1232" s="5"/>
      <c r="I1232" s="5">
        <f>0.56*G1232*F1232</f>
        <v>2.8000000000000003</v>
      </c>
      <c r="J1232" s="5"/>
      <c r="K1232" s="5"/>
      <c r="L1232" s="5"/>
      <c r="M1232" s="5"/>
      <c r="N1232" s="5"/>
      <c r="O1232" s="278"/>
    </row>
    <row r="1233" spans="1:15" ht="21" hidden="1" customHeight="1" outlineLevel="2">
      <c r="A1233" s="145"/>
      <c r="B1233" s="5"/>
      <c r="C1233" s="5">
        <v>8.8000000000000007</v>
      </c>
      <c r="D1233" s="5">
        <v>1</v>
      </c>
      <c r="E1233" s="5">
        <v>1</v>
      </c>
      <c r="F1233" s="5">
        <f t="shared" ref="F1233:F1239" si="183">+D1233*E1233</f>
        <v>1</v>
      </c>
      <c r="G1233" s="5">
        <f t="shared" ref="G1233:G1239" si="184">+C1233</f>
        <v>8.8000000000000007</v>
      </c>
      <c r="H1233" s="5"/>
      <c r="I1233" s="5"/>
      <c r="J1233" s="5"/>
      <c r="K1233" s="5"/>
      <c r="L1233" s="5"/>
      <c r="M1233" s="5"/>
      <c r="N1233" s="5">
        <f>4*G1233*F1233</f>
        <v>35.200000000000003</v>
      </c>
      <c r="O1233" s="278"/>
    </row>
    <row r="1234" spans="1:15" ht="21" hidden="1" customHeight="1" outlineLevel="2">
      <c r="A1234" s="145"/>
      <c r="B1234" s="5"/>
      <c r="C1234" s="5">
        <v>8.8000000000000007</v>
      </c>
      <c r="D1234" s="5">
        <v>1</v>
      </c>
      <c r="E1234" s="5">
        <v>1</v>
      </c>
      <c r="F1234" s="5">
        <f t="shared" si="183"/>
        <v>1</v>
      </c>
      <c r="G1234" s="5">
        <f t="shared" si="184"/>
        <v>8.8000000000000007</v>
      </c>
      <c r="H1234" s="5"/>
      <c r="I1234" s="5"/>
      <c r="J1234" s="5"/>
      <c r="K1234" s="5"/>
      <c r="L1234" s="5"/>
      <c r="M1234" s="5">
        <f>3*G1234*F1234</f>
        <v>26.400000000000002</v>
      </c>
      <c r="N1234" s="5"/>
      <c r="O1234" s="278"/>
    </row>
    <row r="1235" spans="1:15" ht="21" hidden="1" customHeight="1" outlineLevel="2">
      <c r="A1235" s="145"/>
      <c r="B1235" s="5"/>
      <c r="C1235" s="5">
        <v>3</v>
      </c>
      <c r="D1235" s="5">
        <v>1</v>
      </c>
      <c r="E1235" s="5">
        <v>1</v>
      </c>
      <c r="F1235" s="5">
        <f t="shared" si="183"/>
        <v>1</v>
      </c>
      <c r="G1235" s="5">
        <f t="shared" si="184"/>
        <v>3</v>
      </c>
      <c r="H1235" s="5"/>
      <c r="I1235" s="5"/>
      <c r="J1235" s="5"/>
      <c r="K1235" s="5"/>
      <c r="L1235" s="5"/>
      <c r="M1235" s="5">
        <f>3*G1235*F1235</f>
        <v>9</v>
      </c>
      <c r="N1235" s="5"/>
      <c r="O1235" s="278"/>
    </row>
    <row r="1236" spans="1:15" ht="21" hidden="1" customHeight="1" outlineLevel="2">
      <c r="A1236" s="145"/>
      <c r="B1236" s="5"/>
      <c r="C1236" s="5">
        <v>6</v>
      </c>
      <c r="D1236" s="5">
        <v>1</v>
      </c>
      <c r="E1236" s="5">
        <v>2</v>
      </c>
      <c r="F1236" s="5">
        <f t="shared" si="183"/>
        <v>2</v>
      </c>
      <c r="G1236" s="5">
        <f t="shared" si="184"/>
        <v>6</v>
      </c>
      <c r="H1236" s="5"/>
      <c r="I1236" s="5"/>
      <c r="J1236" s="5"/>
      <c r="K1236" s="5"/>
      <c r="L1236" s="5"/>
      <c r="M1236" s="5">
        <f>3*G1236*F1236</f>
        <v>36</v>
      </c>
      <c r="N1236" s="5"/>
      <c r="O1236" s="278"/>
    </row>
    <row r="1237" spans="1:15" ht="21" hidden="1" customHeight="1" outlineLevel="2">
      <c r="A1237" s="145"/>
      <c r="B1237" s="5"/>
      <c r="C1237" s="5">
        <v>9</v>
      </c>
      <c r="D1237" s="5">
        <v>1</v>
      </c>
      <c r="E1237" s="5">
        <v>1</v>
      </c>
      <c r="F1237" s="5">
        <f t="shared" si="183"/>
        <v>1</v>
      </c>
      <c r="G1237" s="5">
        <f t="shared" si="184"/>
        <v>9</v>
      </c>
      <c r="H1237" s="5"/>
      <c r="I1237" s="5"/>
      <c r="J1237" s="5"/>
      <c r="K1237" s="5"/>
      <c r="L1237" s="5"/>
      <c r="M1237" s="5"/>
      <c r="N1237" s="5">
        <f>4*G1237*F1237</f>
        <v>36</v>
      </c>
      <c r="O1237" s="278"/>
    </row>
    <row r="1238" spans="1:15" ht="21" hidden="1" customHeight="1" outlineLevel="2">
      <c r="A1238" s="145"/>
      <c r="B1238" s="5"/>
      <c r="C1238" s="5">
        <v>5.7</v>
      </c>
      <c r="D1238" s="5">
        <v>1</v>
      </c>
      <c r="E1238" s="5">
        <v>2</v>
      </c>
      <c r="F1238" s="5">
        <f t="shared" si="183"/>
        <v>2</v>
      </c>
      <c r="G1238" s="5">
        <f t="shared" si="184"/>
        <v>5.7</v>
      </c>
      <c r="H1238" s="5"/>
      <c r="I1238" s="5">
        <f>0.56*G1238*F1238</f>
        <v>6.3840000000000012</v>
      </c>
      <c r="J1238" s="5"/>
      <c r="K1238" s="5"/>
      <c r="L1238" s="5"/>
      <c r="M1238" s="5"/>
      <c r="N1238" s="5"/>
      <c r="O1238" s="278"/>
    </row>
    <row r="1239" spans="1:15" ht="21" hidden="1" customHeight="1" outlineLevel="2">
      <c r="A1239" s="145"/>
      <c r="B1239" s="5"/>
      <c r="C1239" s="5">
        <v>1.5</v>
      </c>
      <c r="D1239" s="5">
        <v>1</v>
      </c>
      <c r="E1239" s="5">
        <f>8+16+61+8+8+18</f>
        <v>119</v>
      </c>
      <c r="F1239" s="5">
        <f t="shared" si="183"/>
        <v>119</v>
      </c>
      <c r="G1239" s="5">
        <f t="shared" si="184"/>
        <v>1.5</v>
      </c>
      <c r="H1239" s="5">
        <f>0.25*G1239*F1239</f>
        <v>44.625</v>
      </c>
      <c r="I1239" s="5"/>
      <c r="J1239" s="5"/>
      <c r="K1239" s="5"/>
      <c r="L1239" s="5"/>
      <c r="M1239" s="5"/>
      <c r="N1239" s="5"/>
      <c r="O1239" s="278"/>
    </row>
    <row r="1240" spans="1:15" ht="21" hidden="1" customHeight="1" outlineLevel="2">
      <c r="A1240" s="280"/>
      <c r="B1240" s="203"/>
      <c r="C1240" s="203"/>
      <c r="D1240" s="203"/>
      <c r="E1240" s="203"/>
      <c r="F1240" s="203"/>
      <c r="G1240" s="204"/>
      <c r="H1240" s="205">
        <f>SUM(H1232:H1239)</f>
        <v>44.625</v>
      </c>
      <c r="I1240" s="205">
        <f t="shared" ref="I1240:O1240" si="185">SUM(I1232:I1239)</f>
        <v>9.1840000000000011</v>
      </c>
      <c r="J1240" s="205">
        <f t="shared" si="185"/>
        <v>0</v>
      </c>
      <c r="K1240" s="205">
        <f t="shared" si="185"/>
        <v>0</v>
      </c>
      <c r="L1240" s="205">
        <f t="shared" si="185"/>
        <v>0</v>
      </c>
      <c r="M1240" s="205">
        <f t="shared" si="185"/>
        <v>71.400000000000006</v>
      </c>
      <c r="N1240" s="205">
        <f t="shared" si="185"/>
        <v>71.2</v>
      </c>
      <c r="O1240" s="279">
        <f t="shared" si="185"/>
        <v>0</v>
      </c>
    </row>
    <row r="1241" spans="1:15" ht="21" hidden="1" customHeight="1" outlineLevel="2">
      <c r="A1241" s="280"/>
      <c r="B1241" s="203"/>
      <c r="C1241" s="203"/>
      <c r="D1241" s="203"/>
      <c r="E1241" s="203"/>
      <c r="F1241" s="203"/>
      <c r="G1241" s="204"/>
      <c r="H1241" s="202">
        <f>SUM(H1240:O1240)</f>
        <v>196.40899999999999</v>
      </c>
      <c r="I1241" s="203"/>
      <c r="J1241" s="203"/>
      <c r="K1241" s="203"/>
      <c r="L1241" s="203"/>
      <c r="M1241" s="203"/>
      <c r="N1241" s="203"/>
      <c r="O1241" s="281"/>
    </row>
    <row r="1242" spans="1:15" ht="21" hidden="1" customHeight="1" outlineLevel="2">
      <c r="A1242" s="14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278"/>
    </row>
    <row r="1243" spans="1:15" ht="21" hidden="1" customHeight="1" outlineLevel="2">
      <c r="A1243" s="277" t="s">
        <v>430</v>
      </c>
      <c r="B1243" s="5"/>
      <c r="C1243" s="5">
        <v>4.5999999999999996</v>
      </c>
      <c r="D1243" s="5">
        <v>1</v>
      </c>
      <c r="E1243" s="5">
        <v>2</v>
      </c>
      <c r="F1243" s="5">
        <f>+D1243*E1243</f>
        <v>2</v>
      </c>
      <c r="G1243" s="5">
        <f>+C1243</f>
        <v>4.5999999999999996</v>
      </c>
      <c r="H1243" s="5"/>
      <c r="I1243" s="5"/>
      <c r="J1243" s="5">
        <f>+G1243*F1243</f>
        <v>9.1999999999999993</v>
      </c>
      <c r="K1243" s="5"/>
      <c r="L1243" s="5"/>
      <c r="M1243" s="5"/>
      <c r="N1243" s="5"/>
      <c r="O1243" s="278"/>
    </row>
    <row r="1244" spans="1:15" ht="21" hidden="1" customHeight="1" outlineLevel="2">
      <c r="A1244" s="145"/>
      <c r="B1244" s="5"/>
      <c r="C1244" s="5">
        <v>4.5999999999999996</v>
      </c>
      <c r="D1244" s="5">
        <v>1</v>
      </c>
      <c r="E1244" s="5">
        <v>1</v>
      </c>
      <c r="F1244" s="5">
        <f t="shared" ref="F1244:F1249" si="186">+D1244*E1244</f>
        <v>1</v>
      </c>
      <c r="G1244" s="5">
        <f t="shared" ref="G1244:G1249" si="187">+C1244</f>
        <v>4.5999999999999996</v>
      </c>
      <c r="H1244" s="5"/>
      <c r="I1244" s="5">
        <f>0.56*G1244*F1244</f>
        <v>2.5760000000000001</v>
      </c>
      <c r="J1244" s="5"/>
      <c r="K1244" s="5"/>
      <c r="L1244" s="5"/>
      <c r="M1244" s="5"/>
      <c r="N1244" s="5"/>
      <c r="O1244" s="278"/>
    </row>
    <row r="1245" spans="1:15" ht="21" hidden="1" customHeight="1" outlineLevel="2">
      <c r="A1245" s="145"/>
      <c r="B1245" s="5"/>
      <c r="C1245" s="5">
        <v>2.4</v>
      </c>
      <c r="D1245" s="5">
        <v>1</v>
      </c>
      <c r="E1245" s="5">
        <v>1</v>
      </c>
      <c r="F1245" s="5">
        <f t="shared" si="186"/>
        <v>1</v>
      </c>
      <c r="G1245" s="5">
        <f t="shared" si="187"/>
        <v>2.4</v>
      </c>
      <c r="H1245" s="5"/>
      <c r="I1245" s="5"/>
      <c r="J1245" s="5">
        <f>+G1245*F1245</f>
        <v>2.4</v>
      </c>
      <c r="K1245" s="5"/>
      <c r="L1245" s="5"/>
      <c r="M1245" s="5"/>
      <c r="N1245" s="5"/>
      <c r="O1245" s="278"/>
    </row>
    <row r="1246" spans="1:15" ht="21" hidden="1" customHeight="1" outlineLevel="2">
      <c r="A1246" s="145"/>
      <c r="B1246" s="5"/>
      <c r="C1246" s="5">
        <v>3.5</v>
      </c>
      <c r="D1246" s="5">
        <v>1</v>
      </c>
      <c r="E1246" s="5">
        <v>1</v>
      </c>
      <c r="F1246" s="5">
        <f t="shared" si="186"/>
        <v>1</v>
      </c>
      <c r="G1246" s="5">
        <f t="shared" si="187"/>
        <v>3.5</v>
      </c>
      <c r="H1246" s="5"/>
      <c r="I1246" s="5"/>
      <c r="J1246" s="5">
        <f>+G1246*F1246</f>
        <v>3.5</v>
      </c>
      <c r="K1246" s="5"/>
      <c r="L1246" s="5"/>
      <c r="M1246" s="5"/>
      <c r="N1246" s="5"/>
      <c r="O1246" s="278"/>
    </row>
    <row r="1247" spans="1:15" ht="21" hidden="1" customHeight="1" outlineLevel="2">
      <c r="A1247" s="145"/>
      <c r="B1247" s="5"/>
      <c r="C1247" s="5">
        <v>3.5</v>
      </c>
      <c r="D1247" s="5">
        <v>1</v>
      </c>
      <c r="E1247" s="5">
        <v>1</v>
      </c>
      <c r="F1247" s="5">
        <f t="shared" si="186"/>
        <v>1</v>
      </c>
      <c r="G1247" s="5">
        <f t="shared" si="187"/>
        <v>3.5</v>
      </c>
      <c r="H1247" s="5"/>
      <c r="I1247" s="5">
        <f>0.56*G1247*F1247</f>
        <v>1.9600000000000002</v>
      </c>
      <c r="J1247" s="5"/>
      <c r="K1247" s="5"/>
      <c r="L1247" s="5"/>
      <c r="M1247" s="5"/>
      <c r="N1247" s="5"/>
      <c r="O1247" s="278"/>
    </row>
    <row r="1248" spans="1:15" ht="21" hidden="1" customHeight="1" outlineLevel="2">
      <c r="A1248" s="145"/>
      <c r="B1248" s="5"/>
      <c r="C1248" s="5">
        <v>2.5</v>
      </c>
      <c r="D1248" s="5">
        <v>1</v>
      </c>
      <c r="E1248" s="5">
        <v>3</v>
      </c>
      <c r="F1248" s="5">
        <f t="shared" si="186"/>
        <v>3</v>
      </c>
      <c r="G1248" s="5">
        <f t="shared" si="187"/>
        <v>2.5</v>
      </c>
      <c r="H1248" s="5"/>
      <c r="I1248" s="5">
        <f>0.56*G1248*F1248</f>
        <v>4.2</v>
      </c>
      <c r="J1248" s="5"/>
      <c r="K1248" s="5"/>
      <c r="L1248" s="5"/>
      <c r="M1248" s="5"/>
      <c r="N1248" s="5"/>
      <c r="O1248" s="278"/>
    </row>
    <row r="1249" spans="1:15" ht="21" hidden="1" customHeight="1" outlineLevel="2">
      <c r="A1249" s="145"/>
      <c r="B1249" s="5"/>
      <c r="C1249" s="5">
        <v>1.5</v>
      </c>
      <c r="D1249" s="5">
        <v>1</v>
      </c>
      <c r="E1249" s="5">
        <v>18</v>
      </c>
      <c r="F1249" s="5">
        <f t="shared" si="186"/>
        <v>18</v>
      </c>
      <c r="G1249" s="5">
        <f t="shared" si="187"/>
        <v>1.5</v>
      </c>
      <c r="H1249" s="5">
        <f>0.25*G1249*F1249</f>
        <v>6.75</v>
      </c>
      <c r="I1249" s="5"/>
      <c r="J1249" s="5"/>
      <c r="K1249" s="5"/>
      <c r="L1249" s="5"/>
      <c r="M1249" s="5"/>
      <c r="N1249" s="5"/>
      <c r="O1249" s="278"/>
    </row>
    <row r="1250" spans="1:15" ht="21" hidden="1" customHeight="1" outlineLevel="2">
      <c r="A1250" s="280"/>
      <c r="B1250" s="203"/>
      <c r="C1250" s="203"/>
      <c r="D1250" s="203"/>
      <c r="E1250" s="203"/>
      <c r="F1250" s="203"/>
      <c r="G1250" s="204"/>
      <c r="H1250" s="205">
        <f>SUM(H1242:H1249)</f>
        <v>6.75</v>
      </c>
      <c r="I1250" s="205">
        <f t="shared" ref="I1250:O1250" si="188">SUM(I1242:I1249)</f>
        <v>8.7360000000000007</v>
      </c>
      <c r="J1250" s="205">
        <f t="shared" si="188"/>
        <v>15.1</v>
      </c>
      <c r="K1250" s="205">
        <f t="shared" si="188"/>
        <v>0</v>
      </c>
      <c r="L1250" s="205">
        <f t="shared" si="188"/>
        <v>0</v>
      </c>
      <c r="M1250" s="205">
        <f t="shared" si="188"/>
        <v>0</v>
      </c>
      <c r="N1250" s="205">
        <f t="shared" si="188"/>
        <v>0</v>
      </c>
      <c r="O1250" s="279">
        <f t="shared" si="188"/>
        <v>0</v>
      </c>
    </row>
    <row r="1251" spans="1:15" ht="21" hidden="1" customHeight="1" outlineLevel="2">
      <c r="A1251" s="280"/>
      <c r="B1251" s="203"/>
      <c r="C1251" s="203"/>
      <c r="D1251" s="203"/>
      <c r="E1251" s="203"/>
      <c r="F1251" s="203"/>
      <c r="G1251" s="204"/>
      <c r="H1251" s="202">
        <f>SUM(H1250:O1250)</f>
        <v>30.585999999999999</v>
      </c>
      <c r="I1251" s="203"/>
      <c r="J1251" s="203"/>
      <c r="K1251" s="203"/>
      <c r="L1251" s="203"/>
      <c r="M1251" s="203"/>
      <c r="N1251" s="203"/>
      <c r="O1251" s="281"/>
    </row>
    <row r="1252" spans="1:15" ht="21" hidden="1" customHeight="1" outlineLevel="2">
      <c r="A1252" s="14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278"/>
    </row>
    <row r="1253" spans="1:15" ht="21" hidden="1" customHeight="1" outlineLevel="2">
      <c r="A1253" s="277" t="s">
        <v>431</v>
      </c>
      <c r="B1253" s="5"/>
      <c r="C1253" s="5">
        <v>3.6</v>
      </c>
      <c r="D1253" s="5">
        <v>1</v>
      </c>
      <c r="E1253" s="5">
        <v>2</v>
      </c>
      <c r="F1253" s="5">
        <v>2</v>
      </c>
      <c r="G1253" s="5">
        <v>3.6</v>
      </c>
      <c r="H1253" s="5"/>
      <c r="I1253" s="5">
        <f>0.56*G1253*F1253</f>
        <v>4.0320000000000009</v>
      </c>
      <c r="J1253" s="5"/>
      <c r="K1253" s="5"/>
      <c r="L1253" s="5"/>
      <c r="M1253" s="5"/>
      <c r="N1253" s="5"/>
      <c r="O1253" s="278"/>
    </row>
    <row r="1254" spans="1:15" ht="21" hidden="1" customHeight="1" outlineLevel="2">
      <c r="A1254" s="145"/>
      <c r="B1254" s="5"/>
      <c r="C1254" s="5">
        <v>1.9</v>
      </c>
      <c r="D1254" s="5">
        <v>1</v>
      </c>
      <c r="E1254" s="5">
        <v>1</v>
      </c>
      <c r="F1254" s="5">
        <v>1</v>
      </c>
      <c r="G1254" s="5">
        <v>1.9</v>
      </c>
      <c r="H1254" s="5"/>
      <c r="I1254" s="5">
        <f>0.56*G1254*F1254</f>
        <v>1.0640000000000001</v>
      </c>
      <c r="J1254" s="5"/>
      <c r="K1254" s="5"/>
      <c r="L1254" s="5"/>
      <c r="M1254" s="5"/>
      <c r="N1254" s="5"/>
      <c r="O1254" s="278"/>
    </row>
    <row r="1255" spans="1:15" ht="21" hidden="1" customHeight="1" outlineLevel="2">
      <c r="A1255" s="145"/>
      <c r="B1255" s="5"/>
      <c r="C1255" s="5">
        <v>3.1</v>
      </c>
      <c r="D1255" s="5">
        <v>1</v>
      </c>
      <c r="E1255" s="5">
        <v>2</v>
      </c>
      <c r="F1255" s="5">
        <v>2</v>
      </c>
      <c r="G1255" s="5">
        <v>3.1</v>
      </c>
      <c r="H1255" s="5"/>
      <c r="I1255" s="5">
        <f>0.56*G1255*F1255</f>
        <v>3.4720000000000004</v>
      </c>
      <c r="J1255" s="5"/>
      <c r="K1255" s="5"/>
      <c r="L1255" s="5"/>
      <c r="M1255" s="5"/>
      <c r="N1255" s="5"/>
      <c r="O1255" s="278"/>
    </row>
    <row r="1256" spans="1:15" ht="21" hidden="1" customHeight="1" outlineLevel="2">
      <c r="A1256" s="280"/>
      <c r="B1256" s="203"/>
      <c r="C1256" s="203"/>
      <c r="D1256" s="203"/>
      <c r="E1256" s="203"/>
      <c r="F1256" s="203"/>
      <c r="G1256" s="204"/>
      <c r="H1256" s="205">
        <f>SUM(H1253:H1255)</f>
        <v>0</v>
      </c>
      <c r="I1256" s="205">
        <f t="shared" ref="I1256:O1256" si="189">SUM(I1253:I1255)</f>
        <v>8.5680000000000014</v>
      </c>
      <c r="J1256" s="205">
        <f t="shared" si="189"/>
        <v>0</v>
      </c>
      <c r="K1256" s="205">
        <f t="shared" si="189"/>
        <v>0</v>
      </c>
      <c r="L1256" s="205">
        <f t="shared" si="189"/>
        <v>0</v>
      </c>
      <c r="M1256" s="205">
        <f t="shared" si="189"/>
        <v>0</v>
      </c>
      <c r="N1256" s="205">
        <f t="shared" si="189"/>
        <v>0</v>
      </c>
      <c r="O1256" s="279">
        <f t="shared" si="189"/>
        <v>0</v>
      </c>
    </row>
    <row r="1257" spans="1:15" ht="21" hidden="1" customHeight="1" outlineLevel="2">
      <c r="A1257" s="280"/>
      <c r="B1257" s="203"/>
      <c r="C1257" s="203"/>
      <c r="D1257" s="203"/>
      <c r="E1257" s="203"/>
      <c r="F1257" s="203"/>
      <c r="G1257" s="204"/>
      <c r="H1257" s="202">
        <f>SUM(H1256:O1256)</f>
        <v>8.5680000000000014</v>
      </c>
      <c r="I1257" s="203"/>
      <c r="J1257" s="203"/>
      <c r="K1257" s="203"/>
      <c r="L1257" s="203"/>
      <c r="M1257" s="203"/>
      <c r="N1257" s="203"/>
      <c r="O1257" s="281"/>
    </row>
    <row r="1258" spans="1:15" ht="21" hidden="1" customHeight="1" outlineLevel="2">
      <c r="A1258" s="14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278"/>
    </row>
    <row r="1259" spans="1:15" ht="21" hidden="1" customHeight="1" outlineLevel="2">
      <c r="A1259" s="277" t="s">
        <v>432</v>
      </c>
      <c r="B1259" s="5"/>
      <c r="C1259" s="5">
        <v>6.5</v>
      </c>
      <c r="D1259" s="5">
        <v>1</v>
      </c>
      <c r="E1259" s="5">
        <v>1</v>
      </c>
      <c r="F1259" s="5">
        <f>+D1259*E1259</f>
        <v>1</v>
      </c>
      <c r="G1259" s="5">
        <f>+C1259</f>
        <v>6.5</v>
      </c>
      <c r="H1259" s="5"/>
      <c r="I1259" s="5"/>
      <c r="J1259" s="5"/>
      <c r="K1259" s="5"/>
      <c r="L1259" s="5"/>
      <c r="M1259" s="5"/>
      <c r="N1259" s="5">
        <f>4*G1259*F1259</f>
        <v>26</v>
      </c>
      <c r="O1259" s="278"/>
    </row>
    <row r="1260" spans="1:15" ht="21" hidden="1" customHeight="1" outlineLevel="2">
      <c r="A1260" s="145"/>
      <c r="B1260" s="5"/>
      <c r="C1260" s="5">
        <v>6.5</v>
      </c>
      <c r="D1260" s="5">
        <v>1</v>
      </c>
      <c r="E1260" s="5">
        <v>1</v>
      </c>
      <c r="F1260" s="5">
        <f t="shared" ref="F1260:F1266" si="190">+D1260*E1260</f>
        <v>1</v>
      </c>
      <c r="G1260" s="5">
        <f t="shared" ref="G1260:G1266" si="191">+C1260</f>
        <v>6.5</v>
      </c>
      <c r="H1260" s="5"/>
      <c r="I1260" s="5"/>
      <c r="J1260" s="5"/>
      <c r="K1260" s="5"/>
      <c r="L1260" s="5"/>
      <c r="M1260" s="5">
        <f>3*G1260*F1260</f>
        <v>19.5</v>
      </c>
      <c r="N1260" s="5"/>
      <c r="O1260" s="278"/>
    </row>
    <row r="1261" spans="1:15" ht="21" hidden="1" customHeight="1" outlineLevel="2">
      <c r="A1261" s="145"/>
      <c r="B1261" s="5"/>
      <c r="C1261" s="5">
        <v>3.3</v>
      </c>
      <c r="D1261" s="5">
        <v>1</v>
      </c>
      <c r="E1261" s="5">
        <v>2</v>
      </c>
      <c r="F1261" s="5">
        <f t="shared" si="190"/>
        <v>2</v>
      </c>
      <c r="G1261" s="5">
        <f t="shared" si="191"/>
        <v>3.3</v>
      </c>
      <c r="H1261" s="5"/>
      <c r="I1261" s="5"/>
      <c r="J1261" s="5">
        <f>+G1261*F1261</f>
        <v>6.6</v>
      </c>
      <c r="K1261" s="5"/>
      <c r="L1261" s="5"/>
      <c r="M1261" s="5"/>
      <c r="N1261" s="5"/>
      <c r="O1261" s="278"/>
    </row>
    <row r="1262" spans="1:15" ht="21" hidden="1" customHeight="1" outlineLevel="2">
      <c r="A1262" s="145"/>
      <c r="B1262" s="5"/>
      <c r="C1262" s="5">
        <v>6</v>
      </c>
      <c r="D1262" s="5">
        <v>1</v>
      </c>
      <c r="E1262" s="5">
        <v>1</v>
      </c>
      <c r="F1262" s="5">
        <f t="shared" si="190"/>
        <v>1</v>
      </c>
      <c r="G1262" s="5">
        <f t="shared" si="191"/>
        <v>6</v>
      </c>
      <c r="H1262" s="5"/>
      <c r="I1262" s="5"/>
      <c r="J1262" s="5">
        <f>+G1262*F1262</f>
        <v>6</v>
      </c>
      <c r="K1262" s="5"/>
      <c r="L1262" s="5"/>
      <c r="M1262" s="5"/>
      <c r="N1262" s="5"/>
      <c r="O1262" s="278"/>
    </row>
    <row r="1263" spans="1:15" ht="21" hidden="1" customHeight="1" outlineLevel="2">
      <c r="A1263" s="145"/>
      <c r="B1263" s="5"/>
      <c r="C1263" s="5">
        <v>6</v>
      </c>
      <c r="D1263" s="5">
        <v>1</v>
      </c>
      <c r="E1263" s="5">
        <v>1</v>
      </c>
      <c r="F1263" s="5">
        <f t="shared" si="190"/>
        <v>1</v>
      </c>
      <c r="G1263" s="5">
        <f t="shared" si="191"/>
        <v>6</v>
      </c>
      <c r="H1263" s="5"/>
      <c r="I1263" s="5">
        <f>0.56*G1263*F1263</f>
        <v>3.3600000000000003</v>
      </c>
      <c r="J1263" s="5"/>
      <c r="K1263" s="5"/>
      <c r="L1263" s="5"/>
      <c r="M1263" s="5"/>
      <c r="N1263" s="5"/>
      <c r="O1263" s="278"/>
    </row>
    <row r="1264" spans="1:15" ht="21" hidden="1" customHeight="1" outlineLevel="2">
      <c r="A1264" s="145"/>
      <c r="B1264" s="5"/>
      <c r="C1264" s="5">
        <v>3</v>
      </c>
      <c r="D1264" s="5">
        <v>1</v>
      </c>
      <c r="E1264" s="5">
        <v>1</v>
      </c>
      <c r="F1264" s="5">
        <f t="shared" si="190"/>
        <v>1</v>
      </c>
      <c r="G1264" s="5">
        <f t="shared" si="191"/>
        <v>3</v>
      </c>
      <c r="H1264" s="5"/>
      <c r="I1264" s="5"/>
      <c r="J1264" s="5"/>
      <c r="K1264" s="5"/>
      <c r="L1264" s="5"/>
      <c r="M1264" s="5"/>
      <c r="N1264" s="5">
        <f>4*G1264*F1264</f>
        <v>12</v>
      </c>
      <c r="O1264" s="278"/>
    </row>
    <row r="1265" spans="1:15" ht="21" hidden="1" customHeight="1" outlineLevel="2">
      <c r="A1265" s="145"/>
      <c r="B1265" s="5"/>
      <c r="C1265" s="5">
        <v>5</v>
      </c>
      <c r="D1265" s="5">
        <v>1</v>
      </c>
      <c r="E1265" s="5">
        <v>1</v>
      </c>
      <c r="F1265" s="5">
        <f t="shared" si="190"/>
        <v>1</v>
      </c>
      <c r="G1265" s="5">
        <f t="shared" si="191"/>
        <v>5</v>
      </c>
      <c r="H1265" s="5"/>
      <c r="I1265" s="5"/>
      <c r="J1265" s="5">
        <f>+G1265*F1265</f>
        <v>5</v>
      </c>
      <c r="K1265" s="5"/>
      <c r="L1265" s="5"/>
      <c r="M1265" s="5"/>
      <c r="N1265" s="5"/>
      <c r="O1265" s="278"/>
    </row>
    <row r="1266" spans="1:15" ht="21" hidden="1" customHeight="1" outlineLevel="2">
      <c r="A1266" s="145"/>
      <c r="B1266" s="5"/>
      <c r="C1266" s="5">
        <v>1.5</v>
      </c>
      <c r="D1266" s="5">
        <v>1</v>
      </c>
      <c r="E1266" s="5">
        <f>6+15+31+4</f>
        <v>56</v>
      </c>
      <c r="F1266" s="5">
        <f t="shared" si="190"/>
        <v>56</v>
      </c>
      <c r="G1266" s="5">
        <f t="shared" si="191"/>
        <v>1.5</v>
      </c>
      <c r="H1266" s="5">
        <f>0.25*G1266*F1266</f>
        <v>21</v>
      </c>
      <c r="I1266" s="5"/>
      <c r="J1266" s="5"/>
      <c r="K1266" s="5"/>
      <c r="L1266" s="5"/>
      <c r="M1266" s="5"/>
      <c r="N1266" s="5"/>
      <c r="O1266" s="278"/>
    </row>
    <row r="1267" spans="1:15" ht="21" hidden="1" customHeight="1" outlineLevel="2">
      <c r="A1267" s="280"/>
      <c r="B1267" s="203"/>
      <c r="C1267" s="203"/>
      <c r="D1267" s="203"/>
      <c r="E1267" s="203"/>
      <c r="F1267" s="203"/>
      <c r="G1267" s="204"/>
      <c r="H1267" s="205">
        <f>SUM(H1259:H1266)</f>
        <v>21</v>
      </c>
      <c r="I1267" s="205">
        <f t="shared" ref="I1267:O1267" si="192">SUM(I1259:I1266)</f>
        <v>3.3600000000000003</v>
      </c>
      <c r="J1267" s="205">
        <f t="shared" si="192"/>
        <v>17.600000000000001</v>
      </c>
      <c r="K1267" s="205">
        <f t="shared" si="192"/>
        <v>0</v>
      </c>
      <c r="L1267" s="205">
        <f t="shared" si="192"/>
        <v>0</v>
      </c>
      <c r="M1267" s="205">
        <f t="shared" si="192"/>
        <v>19.5</v>
      </c>
      <c r="N1267" s="205">
        <f t="shared" si="192"/>
        <v>38</v>
      </c>
      <c r="O1267" s="279">
        <f t="shared" si="192"/>
        <v>0</v>
      </c>
    </row>
    <row r="1268" spans="1:15" ht="21" hidden="1" customHeight="1" outlineLevel="2">
      <c r="A1268" s="280"/>
      <c r="B1268" s="203"/>
      <c r="C1268" s="203"/>
      <c r="D1268" s="203"/>
      <c r="E1268" s="203"/>
      <c r="F1268" s="203"/>
      <c r="G1268" s="204"/>
      <c r="H1268" s="202">
        <f>SUM(H1267:O1267)</f>
        <v>99.460000000000008</v>
      </c>
      <c r="I1268" s="203"/>
      <c r="J1268" s="203"/>
      <c r="K1268" s="203"/>
      <c r="L1268" s="203"/>
      <c r="M1268" s="203"/>
      <c r="N1268" s="203"/>
      <c r="O1268" s="281"/>
    </row>
    <row r="1269" spans="1:15" ht="21" hidden="1" customHeight="1" outlineLevel="2">
      <c r="A1269" s="14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278"/>
    </row>
    <row r="1270" spans="1:15" ht="21" hidden="1" customHeight="1" outlineLevel="2">
      <c r="A1270" s="277" t="s">
        <v>433</v>
      </c>
      <c r="B1270" s="5"/>
      <c r="C1270" s="5">
        <v>6</v>
      </c>
      <c r="D1270" s="5">
        <v>1</v>
      </c>
      <c r="E1270" s="5">
        <v>2</v>
      </c>
      <c r="F1270" s="5">
        <f t="shared" ref="F1270:F1275" si="193">+D1270*E1270</f>
        <v>2</v>
      </c>
      <c r="G1270" s="5">
        <f t="shared" ref="G1270:G1275" si="194">+C1270</f>
        <v>6</v>
      </c>
      <c r="H1270" s="5"/>
      <c r="I1270" s="5"/>
      <c r="J1270" s="5"/>
      <c r="K1270" s="5"/>
      <c r="L1270" s="5"/>
      <c r="M1270" s="5">
        <f>3*G1270*F1270</f>
        <v>36</v>
      </c>
      <c r="N1270" s="5"/>
      <c r="O1270" s="278"/>
    </row>
    <row r="1271" spans="1:15" ht="21" hidden="1" customHeight="1" outlineLevel="2">
      <c r="A1271" s="145"/>
      <c r="B1271" s="5"/>
      <c r="C1271" s="5">
        <v>2.8</v>
      </c>
      <c r="D1271" s="5">
        <v>1</v>
      </c>
      <c r="E1271" s="5">
        <v>2</v>
      </c>
      <c r="F1271" s="5">
        <f t="shared" si="193"/>
        <v>2</v>
      </c>
      <c r="G1271" s="5">
        <f t="shared" si="194"/>
        <v>2.8</v>
      </c>
      <c r="H1271" s="5"/>
      <c r="I1271" s="5"/>
      <c r="J1271" s="5">
        <f>+G1271*F1271</f>
        <v>5.6</v>
      </c>
      <c r="K1271" s="5"/>
      <c r="L1271" s="5"/>
      <c r="M1271" s="5"/>
      <c r="N1271" s="5"/>
      <c r="O1271" s="278"/>
    </row>
    <row r="1272" spans="1:15" ht="21" hidden="1" customHeight="1" outlineLevel="2">
      <c r="A1272" s="145"/>
      <c r="B1272" s="5"/>
      <c r="C1272" s="5">
        <v>6</v>
      </c>
      <c r="D1272" s="5">
        <v>1</v>
      </c>
      <c r="E1272" s="5">
        <v>2</v>
      </c>
      <c r="F1272" s="5">
        <f t="shared" si="193"/>
        <v>2</v>
      </c>
      <c r="G1272" s="5">
        <f t="shared" si="194"/>
        <v>6</v>
      </c>
      <c r="H1272" s="5"/>
      <c r="I1272" s="5"/>
      <c r="J1272" s="5">
        <f>+G1272*F1272</f>
        <v>12</v>
      </c>
      <c r="K1272" s="5"/>
      <c r="L1272" s="5"/>
      <c r="M1272" s="5"/>
      <c r="N1272" s="5"/>
      <c r="O1272" s="278"/>
    </row>
    <row r="1273" spans="1:15" ht="21" hidden="1" customHeight="1" outlineLevel="2">
      <c r="A1273" s="145"/>
      <c r="B1273" s="5"/>
      <c r="C1273" s="5">
        <v>3</v>
      </c>
      <c r="D1273" s="5">
        <v>1</v>
      </c>
      <c r="E1273" s="5">
        <v>1</v>
      </c>
      <c r="F1273" s="5">
        <f t="shared" si="193"/>
        <v>1</v>
      </c>
      <c r="G1273" s="5">
        <f t="shared" si="194"/>
        <v>3</v>
      </c>
      <c r="H1273" s="5"/>
      <c r="I1273" s="5"/>
      <c r="J1273" s="5"/>
      <c r="K1273" s="5"/>
      <c r="L1273" s="5"/>
      <c r="M1273" s="5"/>
      <c r="N1273" s="5">
        <f>4*G1273*F1273</f>
        <v>12</v>
      </c>
      <c r="O1273" s="278"/>
    </row>
    <row r="1274" spans="1:15" ht="21" hidden="1" customHeight="1" outlineLevel="2">
      <c r="A1274" s="145"/>
      <c r="B1274" s="5"/>
      <c r="C1274" s="5">
        <v>5</v>
      </c>
      <c r="D1274" s="5">
        <v>1</v>
      </c>
      <c r="E1274" s="5">
        <v>1</v>
      </c>
      <c r="F1274" s="5">
        <f t="shared" si="193"/>
        <v>1</v>
      </c>
      <c r="G1274" s="5">
        <f t="shared" si="194"/>
        <v>5</v>
      </c>
      <c r="H1274" s="5"/>
      <c r="I1274" s="5"/>
      <c r="J1274" s="5">
        <f>+G1274*F1274</f>
        <v>5</v>
      </c>
      <c r="K1274" s="5"/>
      <c r="L1274" s="5"/>
      <c r="M1274" s="5"/>
      <c r="N1274" s="5"/>
      <c r="O1274" s="278"/>
    </row>
    <row r="1275" spans="1:15" ht="21" hidden="1" customHeight="1" outlineLevel="2">
      <c r="A1275" s="145"/>
      <c r="B1275" s="5"/>
      <c r="C1275" s="5">
        <v>1.5</v>
      </c>
      <c r="D1275" s="5">
        <v>1</v>
      </c>
      <c r="E1275" s="5">
        <f>5+12+28+4</f>
        <v>49</v>
      </c>
      <c r="F1275" s="5">
        <f t="shared" si="193"/>
        <v>49</v>
      </c>
      <c r="G1275" s="5">
        <f t="shared" si="194"/>
        <v>1.5</v>
      </c>
      <c r="H1275" s="5">
        <f>0.25*G1275*F1275</f>
        <v>18.375</v>
      </c>
      <c r="I1275" s="5"/>
      <c r="J1275" s="5"/>
      <c r="K1275" s="5"/>
      <c r="L1275" s="5"/>
      <c r="M1275" s="5"/>
      <c r="N1275" s="5"/>
      <c r="O1275" s="278"/>
    </row>
    <row r="1276" spans="1:15" ht="21" hidden="1" customHeight="1" outlineLevel="2">
      <c r="A1276" s="280"/>
      <c r="B1276" s="203"/>
      <c r="C1276" s="203"/>
      <c r="D1276" s="203"/>
      <c r="E1276" s="203"/>
      <c r="F1276" s="203"/>
      <c r="G1276" s="204"/>
      <c r="H1276" s="205">
        <f>SUM(H1270:H1275)</f>
        <v>18.375</v>
      </c>
      <c r="I1276" s="205">
        <f t="shared" ref="I1276:O1276" si="195">SUM(I1270:I1275)</f>
        <v>0</v>
      </c>
      <c r="J1276" s="205">
        <f t="shared" si="195"/>
        <v>22.6</v>
      </c>
      <c r="K1276" s="205">
        <f t="shared" si="195"/>
        <v>0</v>
      </c>
      <c r="L1276" s="205">
        <f t="shared" si="195"/>
        <v>0</v>
      </c>
      <c r="M1276" s="205">
        <f t="shared" si="195"/>
        <v>36</v>
      </c>
      <c r="N1276" s="205">
        <f t="shared" si="195"/>
        <v>12</v>
      </c>
      <c r="O1276" s="279">
        <f t="shared" si="195"/>
        <v>0</v>
      </c>
    </row>
    <row r="1277" spans="1:15" ht="21" hidden="1" customHeight="1" outlineLevel="2">
      <c r="A1277" s="280"/>
      <c r="B1277" s="203"/>
      <c r="C1277" s="203"/>
      <c r="D1277" s="203"/>
      <c r="E1277" s="203"/>
      <c r="F1277" s="203"/>
      <c r="G1277" s="204"/>
      <c r="H1277" s="202">
        <f>SUM(H1276:O1276)</f>
        <v>88.974999999999994</v>
      </c>
      <c r="I1277" s="203"/>
      <c r="J1277" s="203"/>
      <c r="K1277" s="203"/>
      <c r="L1277" s="203"/>
      <c r="M1277" s="203"/>
      <c r="N1277" s="203"/>
      <c r="O1277" s="281"/>
    </row>
    <row r="1278" spans="1:15" ht="21" hidden="1" customHeight="1" outlineLevel="2">
      <c r="A1278" s="14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278"/>
    </row>
    <row r="1279" spans="1:15" ht="21" hidden="1" customHeight="1" outlineLevel="2">
      <c r="A1279" s="277" t="s">
        <v>434</v>
      </c>
      <c r="B1279" s="5"/>
      <c r="C1279" s="5">
        <v>3</v>
      </c>
      <c r="D1279" s="5">
        <v>1</v>
      </c>
      <c r="E1279" s="5">
        <v>2</v>
      </c>
      <c r="F1279" s="5">
        <v>2</v>
      </c>
      <c r="G1279" s="5">
        <v>3</v>
      </c>
      <c r="H1279" s="5"/>
      <c r="I1279" s="5">
        <f>0.56*G1279*F1279</f>
        <v>3.3600000000000003</v>
      </c>
      <c r="J1279" s="5"/>
      <c r="K1279" s="5"/>
      <c r="L1279" s="5"/>
      <c r="M1279" s="5"/>
      <c r="N1279" s="5"/>
      <c r="O1279" s="278"/>
    </row>
    <row r="1280" spans="1:15" ht="21" hidden="1" customHeight="1" outlineLevel="2">
      <c r="A1280" s="145"/>
      <c r="B1280" s="5"/>
      <c r="C1280" s="5">
        <v>3</v>
      </c>
      <c r="D1280" s="5">
        <v>1</v>
      </c>
      <c r="E1280" s="5">
        <v>2</v>
      </c>
      <c r="F1280" s="5">
        <v>2</v>
      </c>
      <c r="G1280" s="5">
        <v>3</v>
      </c>
      <c r="H1280" s="5"/>
      <c r="I1280" s="5">
        <f>0.56*G1280*F1280</f>
        <v>3.3600000000000003</v>
      </c>
      <c r="J1280" s="5"/>
      <c r="K1280" s="5"/>
      <c r="L1280" s="5"/>
      <c r="M1280" s="5"/>
      <c r="N1280" s="5"/>
      <c r="O1280" s="278"/>
    </row>
    <row r="1281" spans="1:15" ht="21" hidden="1" customHeight="1" outlineLevel="2">
      <c r="A1281" s="145"/>
      <c r="B1281" s="5"/>
      <c r="C1281" s="5">
        <v>2.8</v>
      </c>
      <c r="D1281" s="5">
        <v>1</v>
      </c>
      <c r="E1281" s="5">
        <v>2</v>
      </c>
      <c r="F1281" s="5">
        <v>2</v>
      </c>
      <c r="G1281" s="5">
        <v>2.8</v>
      </c>
      <c r="H1281" s="5"/>
      <c r="I1281" s="5">
        <f>0.56*G1281*F1281</f>
        <v>3.1360000000000001</v>
      </c>
      <c r="J1281" s="5"/>
      <c r="K1281" s="5"/>
      <c r="L1281" s="5"/>
      <c r="M1281" s="5"/>
      <c r="N1281" s="5"/>
      <c r="O1281" s="278"/>
    </row>
    <row r="1282" spans="1:15" ht="21" hidden="1" customHeight="1" outlineLevel="2">
      <c r="A1282" s="145"/>
      <c r="B1282" s="5"/>
      <c r="C1282" s="5">
        <v>5</v>
      </c>
      <c r="D1282" s="5">
        <v>1</v>
      </c>
      <c r="E1282" s="5">
        <v>2</v>
      </c>
      <c r="F1282" s="5">
        <v>2</v>
      </c>
      <c r="G1282" s="5">
        <v>5</v>
      </c>
      <c r="H1282" s="5"/>
      <c r="I1282" s="5">
        <f>0.56*G1282*F1282</f>
        <v>5.6000000000000005</v>
      </c>
      <c r="J1282" s="5"/>
      <c r="K1282" s="5"/>
      <c r="L1282" s="5"/>
      <c r="M1282" s="5"/>
      <c r="N1282" s="5"/>
      <c r="O1282" s="278"/>
    </row>
    <row r="1283" spans="1:15" ht="21" hidden="1" customHeight="1" outlineLevel="2">
      <c r="A1283" s="280"/>
      <c r="B1283" s="203"/>
      <c r="C1283" s="203"/>
      <c r="D1283" s="203"/>
      <c r="E1283" s="203"/>
      <c r="F1283" s="203"/>
      <c r="G1283" s="204"/>
      <c r="H1283" s="205">
        <f>SUM(H1279:H1282)</f>
        <v>0</v>
      </c>
      <c r="I1283" s="205">
        <f t="shared" ref="I1283:O1283" si="196">SUM(I1279:I1282)</f>
        <v>15.456000000000003</v>
      </c>
      <c r="J1283" s="205">
        <f t="shared" si="196"/>
        <v>0</v>
      </c>
      <c r="K1283" s="205">
        <f t="shared" si="196"/>
        <v>0</v>
      </c>
      <c r="L1283" s="205">
        <f t="shared" si="196"/>
        <v>0</v>
      </c>
      <c r="M1283" s="205">
        <f t="shared" si="196"/>
        <v>0</v>
      </c>
      <c r="N1283" s="205">
        <f t="shared" si="196"/>
        <v>0</v>
      </c>
      <c r="O1283" s="279">
        <f t="shared" si="196"/>
        <v>0</v>
      </c>
    </row>
    <row r="1284" spans="1:15" ht="21" hidden="1" customHeight="1" outlineLevel="2">
      <c r="A1284" s="280"/>
      <c r="B1284" s="203"/>
      <c r="C1284" s="203"/>
      <c r="D1284" s="203"/>
      <c r="E1284" s="203"/>
      <c r="F1284" s="203"/>
      <c r="G1284" s="204"/>
      <c r="H1284" s="202">
        <f>SUM(H1283:O1283)</f>
        <v>15.456000000000003</v>
      </c>
      <c r="I1284" s="203"/>
      <c r="J1284" s="203"/>
      <c r="K1284" s="203"/>
      <c r="L1284" s="203"/>
      <c r="M1284" s="203"/>
      <c r="N1284" s="203"/>
      <c r="O1284" s="281"/>
    </row>
    <row r="1285" spans="1:15" ht="21" hidden="1" customHeight="1" outlineLevel="2">
      <c r="A1285" s="14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278"/>
    </row>
    <row r="1286" spans="1:15" ht="21" hidden="1" customHeight="1" outlineLevel="2">
      <c r="A1286" s="277" t="s">
        <v>435</v>
      </c>
      <c r="B1286" s="5"/>
      <c r="C1286" s="5">
        <v>6.3</v>
      </c>
      <c r="D1286" s="5">
        <v>1</v>
      </c>
      <c r="E1286" s="5">
        <v>1</v>
      </c>
      <c r="F1286" s="5">
        <f t="shared" ref="F1286:F1291" si="197">+D1286*E1286</f>
        <v>1</v>
      </c>
      <c r="G1286" s="5">
        <f t="shared" ref="G1286:G1291" si="198">+C1286</f>
        <v>6.3</v>
      </c>
      <c r="H1286" s="5"/>
      <c r="I1286" s="5"/>
      <c r="J1286" s="5"/>
      <c r="K1286" s="5">
        <f>1.55*G1286*F1286</f>
        <v>9.7650000000000006</v>
      </c>
      <c r="L1286" s="5"/>
      <c r="M1286" s="5"/>
      <c r="N1286" s="5"/>
      <c r="O1286" s="278"/>
    </row>
    <row r="1287" spans="1:15" ht="21" hidden="1" customHeight="1" outlineLevel="2">
      <c r="A1287" s="145"/>
      <c r="B1287" s="5"/>
      <c r="C1287" s="5">
        <v>6.3</v>
      </c>
      <c r="D1287" s="5">
        <v>1</v>
      </c>
      <c r="E1287" s="5">
        <v>1</v>
      </c>
      <c r="F1287" s="5">
        <f t="shared" si="197"/>
        <v>1</v>
      </c>
      <c r="G1287" s="5">
        <f t="shared" si="198"/>
        <v>6.3</v>
      </c>
      <c r="H1287" s="5"/>
      <c r="I1287" s="5"/>
      <c r="J1287" s="5"/>
      <c r="K1287" s="5"/>
      <c r="L1287" s="5">
        <f>2.24*G1287*F1287</f>
        <v>14.112</v>
      </c>
      <c r="M1287" s="5"/>
      <c r="N1287" s="5"/>
      <c r="O1287" s="278"/>
    </row>
    <row r="1288" spans="1:15" ht="21" hidden="1" customHeight="1" outlineLevel="2">
      <c r="A1288" s="145"/>
      <c r="B1288" s="5"/>
      <c r="C1288" s="5">
        <v>1.1000000000000001</v>
      </c>
      <c r="D1288" s="5">
        <v>1</v>
      </c>
      <c r="E1288" s="5">
        <v>2</v>
      </c>
      <c r="F1288" s="5">
        <f t="shared" si="197"/>
        <v>2</v>
      </c>
      <c r="G1288" s="5">
        <f t="shared" si="198"/>
        <v>1.1000000000000001</v>
      </c>
      <c r="H1288" s="5"/>
      <c r="I1288" s="5">
        <f>0.56*G1288*F1288</f>
        <v>1.2320000000000002</v>
      </c>
      <c r="J1288" s="5"/>
      <c r="K1288" s="5"/>
      <c r="L1288" s="5"/>
      <c r="M1288" s="5"/>
      <c r="N1288" s="5"/>
      <c r="O1288" s="278"/>
    </row>
    <row r="1289" spans="1:15" ht="21" hidden="1" customHeight="1" outlineLevel="2">
      <c r="A1289" s="145"/>
      <c r="B1289" s="5"/>
      <c r="C1289" s="5">
        <v>2.4</v>
      </c>
      <c r="D1289" s="5">
        <v>1</v>
      </c>
      <c r="E1289" s="5">
        <v>3</v>
      </c>
      <c r="F1289" s="5">
        <f t="shared" si="197"/>
        <v>3</v>
      </c>
      <c r="G1289" s="5">
        <f t="shared" si="198"/>
        <v>2.4</v>
      </c>
      <c r="H1289" s="5"/>
      <c r="I1289" s="5">
        <f>0.56*G1289*F1289</f>
        <v>4.032</v>
      </c>
      <c r="J1289" s="5"/>
      <c r="K1289" s="5"/>
      <c r="L1289" s="5"/>
      <c r="M1289" s="5"/>
      <c r="N1289" s="5"/>
      <c r="O1289" s="278"/>
    </row>
    <row r="1290" spans="1:15" ht="21" hidden="1" customHeight="1" outlineLevel="2">
      <c r="A1290" s="145"/>
      <c r="B1290" s="5"/>
      <c r="C1290" s="5">
        <v>4.5</v>
      </c>
      <c r="D1290" s="5">
        <v>1</v>
      </c>
      <c r="E1290" s="5">
        <v>1</v>
      </c>
      <c r="F1290" s="5">
        <f t="shared" si="197"/>
        <v>1</v>
      </c>
      <c r="G1290" s="5">
        <f t="shared" si="198"/>
        <v>4.5</v>
      </c>
      <c r="H1290" s="5"/>
      <c r="I1290" s="5"/>
      <c r="J1290" s="5"/>
      <c r="K1290" s="5"/>
      <c r="L1290" s="5">
        <f>2.24*G1290*F1290</f>
        <v>10.080000000000002</v>
      </c>
      <c r="M1290" s="5"/>
      <c r="N1290" s="5"/>
      <c r="O1290" s="278"/>
    </row>
    <row r="1291" spans="1:15" ht="21" hidden="1" customHeight="1" outlineLevel="2">
      <c r="A1291" s="145"/>
      <c r="B1291" s="5"/>
      <c r="C1291" s="5">
        <v>1.5</v>
      </c>
      <c r="D1291" s="5">
        <v>1</v>
      </c>
      <c r="E1291" s="5">
        <v>12</v>
      </c>
      <c r="F1291" s="5">
        <f t="shared" si="197"/>
        <v>12</v>
      </c>
      <c r="G1291" s="5">
        <f t="shared" si="198"/>
        <v>1.5</v>
      </c>
      <c r="H1291" s="5">
        <f>0.25*G1291*F1291</f>
        <v>4.5</v>
      </c>
      <c r="I1291" s="5"/>
      <c r="J1291" s="5"/>
      <c r="K1291" s="5"/>
      <c r="L1291" s="5"/>
      <c r="M1291" s="5"/>
      <c r="N1291" s="5"/>
      <c r="O1291" s="278"/>
    </row>
    <row r="1292" spans="1:15" ht="21" hidden="1" customHeight="1" outlineLevel="2">
      <c r="A1292" s="280"/>
      <c r="B1292" s="203"/>
      <c r="C1292" s="203"/>
      <c r="D1292" s="203"/>
      <c r="E1292" s="203"/>
      <c r="F1292" s="203"/>
      <c r="G1292" s="204"/>
      <c r="H1292" s="205">
        <f>SUM(H1286:H1291)</f>
        <v>4.5</v>
      </c>
      <c r="I1292" s="205">
        <f t="shared" ref="I1292:O1292" si="199">SUM(I1286:I1291)</f>
        <v>5.2640000000000002</v>
      </c>
      <c r="J1292" s="205">
        <f t="shared" si="199"/>
        <v>0</v>
      </c>
      <c r="K1292" s="205">
        <f t="shared" si="199"/>
        <v>9.7650000000000006</v>
      </c>
      <c r="L1292" s="205">
        <f t="shared" si="199"/>
        <v>24.192</v>
      </c>
      <c r="M1292" s="205">
        <f t="shared" si="199"/>
        <v>0</v>
      </c>
      <c r="N1292" s="205">
        <f t="shared" si="199"/>
        <v>0</v>
      </c>
      <c r="O1292" s="279">
        <f t="shared" si="199"/>
        <v>0</v>
      </c>
    </row>
    <row r="1293" spans="1:15" ht="21" hidden="1" customHeight="1" outlineLevel="2">
      <c r="A1293" s="280"/>
      <c r="B1293" s="203"/>
      <c r="C1293" s="203"/>
      <c r="D1293" s="203"/>
      <c r="E1293" s="203"/>
      <c r="F1293" s="203"/>
      <c r="G1293" s="204"/>
      <c r="H1293" s="202">
        <f>SUM(H1292:O1292)</f>
        <v>43.721000000000004</v>
      </c>
      <c r="I1293" s="203"/>
      <c r="J1293" s="203"/>
      <c r="K1293" s="203"/>
      <c r="L1293" s="203"/>
      <c r="M1293" s="203"/>
      <c r="N1293" s="203"/>
      <c r="O1293" s="281"/>
    </row>
    <row r="1294" spans="1:15" ht="21" hidden="1" customHeight="1" outlineLevel="2">
      <c r="A1294" s="14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278"/>
    </row>
    <row r="1295" spans="1:15" ht="21" hidden="1" customHeight="1" outlineLevel="2">
      <c r="A1295" s="277" t="s">
        <v>436</v>
      </c>
      <c r="B1295" s="5"/>
      <c r="C1295" s="5">
        <v>2.5</v>
      </c>
      <c r="D1295" s="5">
        <v>1</v>
      </c>
      <c r="E1295" s="5">
        <v>2</v>
      </c>
      <c r="F1295" s="5">
        <f>+D1295*E1295</f>
        <v>2</v>
      </c>
      <c r="G1295" s="5">
        <f>+C1295</f>
        <v>2.5</v>
      </c>
      <c r="H1295" s="5"/>
      <c r="I1295" s="5">
        <f>0.56*G1295*F1295</f>
        <v>2.8000000000000003</v>
      </c>
      <c r="J1295" s="5"/>
      <c r="K1295" s="5"/>
      <c r="L1295" s="5"/>
      <c r="M1295" s="5"/>
      <c r="N1295" s="5"/>
      <c r="O1295" s="278"/>
    </row>
    <row r="1296" spans="1:15" ht="21" hidden="1" customHeight="1" outlineLevel="2">
      <c r="A1296" s="145"/>
      <c r="B1296" s="5"/>
      <c r="C1296" s="5">
        <v>2.8</v>
      </c>
      <c r="D1296" s="5">
        <v>1</v>
      </c>
      <c r="E1296" s="5">
        <v>2</v>
      </c>
      <c r="F1296" s="5">
        <f>+D1296*E1296</f>
        <v>2</v>
      </c>
      <c r="G1296" s="5">
        <f>+C1296</f>
        <v>2.8</v>
      </c>
      <c r="H1296" s="5"/>
      <c r="I1296" s="5">
        <f>0.56*G1296*F1296</f>
        <v>3.1360000000000001</v>
      </c>
      <c r="J1296" s="5"/>
      <c r="K1296" s="5"/>
      <c r="L1296" s="5"/>
      <c r="M1296" s="5"/>
      <c r="N1296" s="5"/>
      <c r="O1296" s="278"/>
    </row>
    <row r="1297" spans="1:15" ht="21" hidden="1" customHeight="1" outlineLevel="2">
      <c r="A1297" s="145"/>
      <c r="B1297" s="5"/>
      <c r="C1297" s="5">
        <v>1.8</v>
      </c>
      <c r="D1297" s="5">
        <v>1</v>
      </c>
      <c r="E1297" s="5">
        <v>1</v>
      </c>
      <c r="F1297" s="5">
        <f>+D1297*E1297</f>
        <v>1</v>
      </c>
      <c r="G1297" s="5">
        <f>+C1297</f>
        <v>1.8</v>
      </c>
      <c r="H1297" s="5"/>
      <c r="I1297" s="5">
        <f>0.56*G1297*F1297</f>
        <v>1.0080000000000002</v>
      </c>
      <c r="J1297" s="5"/>
      <c r="K1297" s="5"/>
      <c r="L1297" s="5"/>
      <c r="M1297" s="5"/>
      <c r="N1297" s="5"/>
      <c r="O1297" s="278"/>
    </row>
    <row r="1298" spans="1:15" ht="21" hidden="1" customHeight="1" outlineLevel="2">
      <c r="A1298" s="145"/>
      <c r="B1298" s="5"/>
      <c r="C1298" s="5">
        <v>3</v>
      </c>
      <c r="D1298" s="5">
        <v>1</v>
      </c>
      <c r="E1298" s="5">
        <v>1</v>
      </c>
      <c r="F1298" s="5">
        <f>+D1298*E1298</f>
        <v>1</v>
      </c>
      <c r="G1298" s="5">
        <f>+C1298</f>
        <v>3</v>
      </c>
      <c r="H1298" s="5"/>
      <c r="I1298" s="5">
        <f>0.56*G1298*F1298</f>
        <v>1.6800000000000002</v>
      </c>
      <c r="J1298" s="5"/>
      <c r="K1298" s="5"/>
      <c r="L1298" s="5"/>
      <c r="M1298" s="5"/>
      <c r="N1298" s="5"/>
      <c r="O1298" s="278"/>
    </row>
    <row r="1299" spans="1:15" ht="21" hidden="1" customHeight="1" outlineLevel="2">
      <c r="A1299" s="280"/>
      <c r="B1299" s="203"/>
      <c r="C1299" s="203"/>
      <c r="D1299" s="203"/>
      <c r="E1299" s="203"/>
      <c r="F1299" s="203"/>
      <c r="G1299" s="204"/>
      <c r="H1299" s="205">
        <f>SUM(H1295:H1298)</f>
        <v>0</v>
      </c>
      <c r="I1299" s="205">
        <f t="shared" ref="I1299:O1299" si="200">SUM(I1295:I1298)</f>
        <v>8.6240000000000006</v>
      </c>
      <c r="J1299" s="205">
        <f t="shared" si="200"/>
        <v>0</v>
      </c>
      <c r="K1299" s="205">
        <f t="shared" si="200"/>
        <v>0</v>
      </c>
      <c r="L1299" s="205">
        <f t="shared" si="200"/>
        <v>0</v>
      </c>
      <c r="M1299" s="205">
        <f t="shared" si="200"/>
        <v>0</v>
      </c>
      <c r="N1299" s="205">
        <f t="shared" si="200"/>
        <v>0</v>
      </c>
      <c r="O1299" s="279">
        <f t="shared" si="200"/>
        <v>0</v>
      </c>
    </row>
    <row r="1300" spans="1:15" ht="21" hidden="1" customHeight="1" outlineLevel="2">
      <c r="A1300" s="280"/>
      <c r="B1300" s="203"/>
      <c r="C1300" s="203"/>
      <c r="D1300" s="203"/>
      <c r="E1300" s="203"/>
      <c r="F1300" s="203"/>
      <c r="G1300" s="204"/>
      <c r="H1300" s="202">
        <f>SUM(H1299:O1299)</f>
        <v>8.6240000000000006</v>
      </c>
      <c r="I1300" s="203"/>
      <c r="J1300" s="203"/>
      <c r="K1300" s="203"/>
      <c r="L1300" s="203"/>
      <c r="M1300" s="203"/>
      <c r="N1300" s="203"/>
      <c r="O1300" s="281"/>
    </row>
    <row r="1301" spans="1:15" ht="21" hidden="1" customHeight="1" outlineLevel="2">
      <c r="A1301" s="14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278"/>
    </row>
    <row r="1302" spans="1:15" ht="21" hidden="1" customHeight="1" outlineLevel="2">
      <c r="A1302" s="277" t="s">
        <v>437</v>
      </c>
      <c r="B1302" s="5"/>
      <c r="C1302" s="5">
        <v>5</v>
      </c>
      <c r="D1302" s="5">
        <v>1</v>
      </c>
      <c r="E1302" s="5">
        <v>1</v>
      </c>
      <c r="F1302" s="5">
        <f t="shared" ref="F1302:F1307" si="201">+D1302*E1302</f>
        <v>1</v>
      </c>
      <c r="G1302" s="5">
        <f t="shared" ref="G1302:G1307" si="202">+C1302</f>
        <v>5</v>
      </c>
      <c r="H1302" s="5"/>
      <c r="I1302" s="5">
        <f>0.56*G1302*F1302</f>
        <v>2.8000000000000003</v>
      </c>
      <c r="J1302" s="5"/>
      <c r="K1302" s="5"/>
      <c r="L1302" s="5"/>
      <c r="M1302" s="5"/>
      <c r="N1302" s="5"/>
      <c r="O1302" s="278"/>
    </row>
    <row r="1303" spans="1:15" ht="21" hidden="1" customHeight="1" outlineLevel="2">
      <c r="A1303" s="145"/>
      <c r="B1303" s="5"/>
      <c r="C1303" s="5">
        <v>1.1000000000000001</v>
      </c>
      <c r="D1303" s="5">
        <v>1</v>
      </c>
      <c r="E1303" s="5">
        <v>2</v>
      </c>
      <c r="F1303" s="5">
        <f t="shared" si="201"/>
        <v>2</v>
      </c>
      <c r="G1303" s="5">
        <f t="shared" si="202"/>
        <v>1.1000000000000001</v>
      </c>
      <c r="H1303" s="5"/>
      <c r="I1303" s="5">
        <f>0.56*G1303*F1303</f>
        <v>1.2320000000000002</v>
      </c>
      <c r="J1303" s="5"/>
      <c r="K1303" s="5"/>
      <c r="L1303" s="5"/>
      <c r="M1303" s="5"/>
      <c r="N1303" s="5"/>
      <c r="O1303" s="278"/>
    </row>
    <row r="1304" spans="1:15" ht="21" hidden="1" customHeight="1" outlineLevel="2">
      <c r="A1304" s="145"/>
      <c r="B1304" s="5"/>
      <c r="C1304" s="5">
        <v>3</v>
      </c>
      <c r="D1304" s="5">
        <v>1</v>
      </c>
      <c r="E1304" s="5">
        <v>2</v>
      </c>
      <c r="F1304" s="5">
        <f t="shared" si="201"/>
        <v>2</v>
      </c>
      <c r="G1304" s="5">
        <f t="shared" si="202"/>
        <v>3</v>
      </c>
      <c r="H1304" s="5"/>
      <c r="I1304" s="5">
        <f>0.56*G1304*F1304</f>
        <v>3.3600000000000003</v>
      </c>
      <c r="J1304" s="5"/>
      <c r="K1304" s="5"/>
      <c r="L1304" s="5"/>
      <c r="M1304" s="5"/>
      <c r="N1304" s="5"/>
      <c r="O1304" s="278"/>
    </row>
    <row r="1305" spans="1:15" ht="21" hidden="1" customHeight="1" outlineLevel="2">
      <c r="A1305" s="145"/>
      <c r="B1305" s="5"/>
      <c r="C1305" s="5">
        <v>1.8</v>
      </c>
      <c r="D1305" s="5">
        <v>1</v>
      </c>
      <c r="E1305" s="5">
        <v>2</v>
      </c>
      <c r="F1305" s="5">
        <f t="shared" si="201"/>
        <v>2</v>
      </c>
      <c r="G1305" s="5">
        <f t="shared" si="202"/>
        <v>1.8</v>
      </c>
      <c r="H1305" s="5"/>
      <c r="I1305" s="5">
        <f>0.56*G1305*F1305</f>
        <v>2.0160000000000005</v>
      </c>
      <c r="J1305" s="5"/>
      <c r="K1305" s="5"/>
      <c r="L1305" s="5"/>
      <c r="M1305" s="5"/>
      <c r="N1305" s="5"/>
      <c r="O1305" s="278"/>
    </row>
    <row r="1306" spans="1:15" ht="21" hidden="1" customHeight="1" outlineLevel="2">
      <c r="A1306" s="145"/>
      <c r="B1306" s="5"/>
      <c r="C1306" s="5">
        <v>3</v>
      </c>
      <c r="D1306" s="5">
        <v>1</v>
      </c>
      <c r="E1306" s="5">
        <v>2</v>
      </c>
      <c r="F1306" s="5">
        <f t="shared" si="201"/>
        <v>2</v>
      </c>
      <c r="G1306" s="5">
        <f t="shared" si="202"/>
        <v>3</v>
      </c>
      <c r="H1306" s="5"/>
      <c r="I1306" s="5">
        <f>0.56*G1306*F1306</f>
        <v>3.3600000000000003</v>
      </c>
      <c r="J1306" s="5"/>
      <c r="K1306" s="5"/>
      <c r="L1306" s="5"/>
      <c r="M1306" s="5"/>
      <c r="N1306" s="5"/>
      <c r="O1306" s="278"/>
    </row>
    <row r="1307" spans="1:15" ht="21" hidden="1" customHeight="1" outlineLevel="2">
      <c r="A1307" s="145"/>
      <c r="B1307" s="5"/>
      <c r="C1307" s="5">
        <v>1.4</v>
      </c>
      <c r="D1307" s="5">
        <v>1</v>
      </c>
      <c r="E1307" s="5">
        <v>4</v>
      </c>
      <c r="F1307" s="5">
        <f t="shared" si="201"/>
        <v>4</v>
      </c>
      <c r="G1307" s="5">
        <f t="shared" si="202"/>
        <v>1.4</v>
      </c>
      <c r="H1307" s="5">
        <f>0.25*G1307*F1307</f>
        <v>1.4</v>
      </c>
      <c r="I1307" s="5"/>
      <c r="J1307" s="5"/>
      <c r="K1307" s="5"/>
      <c r="L1307" s="5"/>
      <c r="M1307" s="5"/>
      <c r="N1307" s="5"/>
      <c r="O1307" s="278"/>
    </row>
    <row r="1308" spans="1:15" ht="21" hidden="1" customHeight="1" outlineLevel="2">
      <c r="A1308" s="280"/>
      <c r="B1308" s="203"/>
      <c r="C1308" s="203"/>
      <c r="D1308" s="203"/>
      <c r="E1308" s="203"/>
      <c r="F1308" s="203"/>
      <c r="G1308" s="204"/>
      <c r="H1308" s="205">
        <f>SUM(H1302:H1307)</f>
        <v>1.4</v>
      </c>
      <c r="I1308" s="205">
        <f t="shared" ref="I1308:O1308" si="203">SUM(I1302:I1307)</f>
        <v>12.768000000000001</v>
      </c>
      <c r="J1308" s="205">
        <f t="shared" si="203"/>
        <v>0</v>
      </c>
      <c r="K1308" s="205">
        <f t="shared" si="203"/>
        <v>0</v>
      </c>
      <c r="L1308" s="205">
        <f t="shared" si="203"/>
        <v>0</v>
      </c>
      <c r="M1308" s="205">
        <f t="shared" si="203"/>
        <v>0</v>
      </c>
      <c r="N1308" s="205">
        <f t="shared" si="203"/>
        <v>0</v>
      </c>
      <c r="O1308" s="279">
        <f t="shared" si="203"/>
        <v>0</v>
      </c>
    </row>
    <row r="1309" spans="1:15" ht="21" hidden="1" customHeight="1" outlineLevel="2">
      <c r="A1309" s="280"/>
      <c r="B1309" s="203"/>
      <c r="C1309" s="203"/>
      <c r="D1309" s="203"/>
      <c r="E1309" s="203"/>
      <c r="F1309" s="203"/>
      <c r="G1309" s="204"/>
      <c r="H1309" s="202">
        <f>SUM(H1308:O1308)</f>
        <v>14.168000000000001</v>
      </c>
      <c r="I1309" s="203"/>
      <c r="J1309" s="203"/>
      <c r="K1309" s="203"/>
      <c r="L1309" s="203"/>
      <c r="M1309" s="203"/>
      <c r="N1309" s="203"/>
      <c r="O1309" s="281"/>
    </row>
    <row r="1310" spans="1:15" ht="21" hidden="1" customHeight="1" outlineLevel="2">
      <c r="A1310" s="14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278"/>
    </row>
    <row r="1311" spans="1:15" ht="21" hidden="1" customHeight="1" outlineLevel="2">
      <c r="A1311" s="277" t="s">
        <v>438</v>
      </c>
      <c r="B1311" s="5"/>
      <c r="C1311" s="5">
        <v>6.9</v>
      </c>
      <c r="D1311" s="5">
        <v>1</v>
      </c>
      <c r="E1311" s="5">
        <v>2</v>
      </c>
      <c r="F1311" s="5">
        <v>2</v>
      </c>
      <c r="G1311" s="5">
        <v>6.9</v>
      </c>
      <c r="H1311" s="5"/>
      <c r="I1311" s="5"/>
      <c r="J1311" s="5"/>
      <c r="K1311" s="5">
        <f>1.55*G1311*F1311</f>
        <v>21.39</v>
      </c>
      <c r="L1311" s="5"/>
      <c r="M1311" s="5"/>
      <c r="N1311" s="5"/>
      <c r="O1311" s="278"/>
    </row>
    <row r="1312" spans="1:15" ht="21" hidden="1" customHeight="1" outlineLevel="2">
      <c r="A1312" s="145"/>
      <c r="B1312" s="5"/>
      <c r="C1312" s="5">
        <v>5</v>
      </c>
      <c r="D1312" s="5">
        <v>1</v>
      </c>
      <c r="E1312" s="5">
        <v>1</v>
      </c>
      <c r="F1312" s="5">
        <v>1</v>
      </c>
      <c r="G1312" s="5">
        <v>5</v>
      </c>
      <c r="H1312" s="5"/>
      <c r="I1312" s="5"/>
      <c r="J1312" s="5"/>
      <c r="K1312" s="5">
        <f>1.55*G1312*F1312</f>
        <v>7.75</v>
      </c>
      <c r="L1312" s="5"/>
      <c r="M1312" s="5"/>
      <c r="N1312" s="5"/>
      <c r="O1312" s="278"/>
    </row>
    <row r="1313" spans="1:15" ht="21" hidden="1" customHeight="1" outlineLevel="2">
      <c r="A1313" s="280"/>
      <c r="B1313" s="203"/>
      <c r="C1313" s="203"/>
      <c r="D1313" s="203"/>
      <c r="E1313" s="203"/>
      <c r="F1313" s="203"/>
      <c r="G1313" s="204"/>
      <c r="H1313" s="205">
        <f>SUM(H1311:H1312)</f>
        <v>0</v>
      </c>
      <c r="I1313" s="205">
        <f t="shared" ref="I1313:O1313" si="204">SUM(I1311:I1312)</f>
        <v>0</v>
      </c>
      <c r="J1313" s="205">
        <f t="shared" si="204"/>
        <v>0</v>
      </c>
      <c r="K1313" s="205">
        <f t="shared" si="204"/>
        <v>29.14</v>
      </c>
      <c r="L1313" s="205">
        <f t="shared" si="204"/>
        <v>0</v>
      </c>
      <c r="M1313" s="205">
        <f t="shared" si="204"/>
        <v>0</v>
      </c>
      <c r="N1313" s="205">
        <f t="shared" si="204"/>
        <v>0</v>
      </c>
      <c r="O1313" s="279">
        <f t="shared" si="204"/>
        <v>0</v>
      </c>
    </row>
    <row r="1314" spans="1:15" ht="21" hidden="1" customHeight="1" outlineLevel="2">
      <c r="A1314" s="280"/>
      <c r="B1314" s="203"/>
      <c r="C1314" s="203"/>
      <c r="D1314" s="203"/>
      <c r="E1314" s="203"/>
      <c r="F1314" s="203"/>
      <c r="G1314" s="204"/>
      <c r="H1314" s="202">
        <f>SUM(H1313:O1313)</f>
        <v>29.14</v>
      </c>
      <c r="I1314" s="203"/>
      <c r="J1314" s="203"/>
      <c r="K1314" s="203"/>
      <c r="L1314" s="203"/>
      <c r="M1314" s="203"/>
      <c r="N1314" s="203"/>
      <c r="O1314" s="281"/>
    </row>
    <row r="1315" spans="1:15" ht="21" hidden="1" customHeight="1" outlineLevel="2">
      <c r="A1315" s="14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278"/>
    </row>
    <row r="1316" spans="1:15" ht="21" hidden="1" customHeight="1" outlineLevel="2">
      <c r="A1316" s="277" t="s">
        <v>439</v>
      </c>
      <c r="B1316" s="5"/>
      <c r="C1316" s="5">
        <v>5.5</v>
      </c>
      <c r="D1316" s="5">
        <v>1</v>
      </c>
      <c r="E1316" s="5">
        <v>2</v>
      </c>
      <c r="F1316" s="5">
        <f>+D1316*E1316</f>
        <v>2</v>
      </c>
      <c r="G1316" s="5">
        <f>+C1316</f>
        <v>5.5</v>
      </c>
      <c r="H1316" s="5"/>
      <c r="I1316" s="5">
        <f>0.56*G1316*F1316</f>
        <v>6.16</v>
      </c>
      <c r="J1316" s="5"/>
      <c r="K1316" s="5"/>
      <c r="L1316" s="5"/>
      <c r="M1316" s="5"/>
      <c r="N1316" s="5"/>
      <c r="O1316" s="278"/>
    </row>
    <row r="1317" spans="1:15" ht="21" hidden="1" customHeight="1" outlineLevel="2">
      <c r="A1317" s="145"/>
      <c r="B1317" s="5"/>
      <c r="C1317" s="5">
        <v>7</v>
      </c>
      <c r="D1317" s="5">
        <v>1</v>
      </c>
      <c r="E1317" s="5">
        <v>3</v>
      </c>
      <c r="F1317" s="5">
        <f t="shared" ref="F1317:F1327" si="205">+D1317*E1317</f>
        <v>3</v>
      </c>
      <c r="G1317" s="5">
        <f t="shared" ref="G1317:G1327" si="206">+C1317</f>
        <v>7</v>
      </c>
      <c r="H1317" s="5"/>
      <c r="I1317" s="5"/>
      <c r="J1317" s="5"/>
      <c r="K1317" s="5"/>
      <c r="L1317" s="5"/>
      <c r="M1317" s="5"/>
      <c r="N1317" s="5">
        <f>4*G1317*F1317</f>
        <v>84</v>
      </c>
      <c r="O1317" s="278"/>
    </row>
    <row r="1318" spans="1:15" ht="21" hidden="1" customHeight="1" outlineLevel="2">
      <c r="A1318" s="145"/>
      <c r="B1318" s="5"/>
      <c r="C1318" s="5">
        <v>4</v>
      </c>
      <c r="D1318" s="5">
        <v>1</v>
      </c>
      <c r="E1318" s="5">
        <v>3</v>
      </c>
      <c r="F1318" s="5">
        <f t="shared" si="205"/>
        <v>3</v>
      </c>
      <c r="G1318" s="5">
        <f t="shared" si="206"/>
        <v>4</v>
      </c>
      <c r="H1318" s="5"/>
      <c r="I1318" s="5"/>
      <c r="J1318" s="5"/>
      <c r="K1318" s="5"/>
      <c r="L1318" s="5">
        <f>2.24*G1318*F1318</f>
        <v>26.880000000000003</v>
      </c>
      <c r="M1318" s="5"/>
      <c r="N1318" s="5"/>
      <c r="O1318" s="278"/>
    </row>
    <row r="1319" spans="1:15" ht="21" hidden="1" customHeight="1" outlineLevel="2">
      <c r="A1319" s="145"/>
      <c r="B1319" s="5"/>
      <c r="C1319" s="5">
        <v>3.5</v>
      </c>
      <c r="D1319" s="5">
        <v>1</v>
      </c>
      <c r="E1319" s="5">
        <v>3</v>
      </c>
      <c r="F1319" s="5">
        <f t="shared" si="205"/>
        <v>3</v>
      </c>
      <c r="G1319" s="5">
        <f t="shared" si="206"/>
        <v>3.5</v>
      </c>
      <c r="H1319" s="5"/>
      <c r="I1319" s="5"/>
      <c r="J1319" s="5"/>
      <c r="K1319" s="5"/>
      <c r="L1319" s="5"/>
      <c r="M1319" s="5">
        <f>3*G1319*F1319</f>
        <v>31.5</v>
      </c>
      <c r="N1319" s="5"/>
      <c r="O1319" s="278"/>
    </row>
    <row r="1320" spans="1:15" ht="21" hidden="1" customHeight="1" outlineLevel="2">
      <c r="A1320" s="145"/>
      <c r="B1320" s="5"/>
      <c r="C1320" s="5">
        <v>6</v>
      </c>
      <c r="D1320" s="5">
        <v>1</v>
      </c>
      <c r="E1320" s="5">
        <v>3</v>
      </c>
      <c r="F1320" s="5">
        <f t="shared" si="205"/>
        <v>3</v>
      </c>
      <c r="G1320" s="5">
        <f t="shared" si="206"/>
        <v>6</v>
      </c>
      <c r="H1320" s="5"/>
      <c r="I1320" s="5"/>
      <c r="J1320" s="5"/>
      <c r="K1320" s="5"/>
      <c r="L1320" s="5"/>
      <c r="M1320" s="5">
        <f>3*G1320*F1320</f>
        <v>54</v>
      </c>
      <c r="N1320" s="5"/>
      <c r="O1320" s="278"/>
    </row>
    <row r="1321" spans="1:15" ht="21" hidden="1" customHeight="1" outlineLevel="2">
      <c r="A1321" s="145"/>
      <c r="B1321" s="5"/>
      <c r="C1321" s="5">
        <v>4.5</v>
      </c>
      <c r="D1321" s="5">
        <v>1</v>
      </c>
      <c r="E1321" s="5">
        <v>2</v>
      </c>
      <c r="F1321" s="5">
        <f t="shared" si="205"/>
        <v>2</v>
      </c>
      <c r="G1321" s="5">
        <f t="shared" si="206"/>
        <v>4.5</v>
      </c>
      <c r="H1321" s="5"/>
      <c r="I1321" s="5"/>
      <c r="J1321" s="5">
        <f>+G1321*F1321</f>
        <v>9</v>
      </c>
      <c r="K1321" s="5"/>
      <c r="L1321" s="5"/>
      <c r="M1321" s="5"/>
      <c r="N1321" s="5"/>
      <c r="O1321" s="278"/>
    </row>
    <row r="1322" spans="1:15" ht="21" hidden="1" customHeight="1" outlineLevel="2">
      <c r="A1322" s="145"/>
      <c r="B1322" s="5"/>
      <c r="C1322" s="5">
        <v>4.5</v>
      </c>
      <c r="D1322" s="5">
        <v>1</v>
      </c>
      <c r="E1322" s="5">
        <v>4</v>
      </c>
      <c r="F1322" s="5">
        <f t="shared" si="205"/>
        <v>4</v>
      </c>
      <c r="G1322" s="5">
        <f t="shared" si="206"/>
        <v>4.5</v>
      </c>
      <c r="H1322" s="5"/>
      <c r="I1322" s="5">
        <f t="shared" ref="I1322:I1327" si="207">0.56*G1322*F1322</f>
        <v>10.080000000000002</v>
      </c>
      <c r="J1322" s="5"/>
      <c r="K1322" s="5"/>
      <c r="L1322" s="5"/>
      <c r="M1322" s="5"/>
      <c r="N1322" s="5"/>
      <c r="O1322" s="278"/>
    </row>
    <row r="1323" spans="1:15" ht="21" hidden="1" customHeight="1" outlineLevel="2">
      <c r="A1323" s="145"/>
      <c r="B1323" s="5"/>
      <c r="C1323" s="5">
        <v>7.5</v>
      </c>
      <c r="D1323" s="5">
        <v>1</v>
      </c>
      <c r="E1323" s="5">
        <v>3</v>
      </c>
      <c r="F1323" s="5">
        <f t="shared" si="205"/>
        <v>3</v>
      </c>
      <c r="G1323" s="5">
        <f t="shared" si="206"/>
        <v>7.5</v>
      </c>
      <c r="H1323" s="5"/>
      <c r="I1323" s="5"/>
      <c r="J1323" s="5"/>
      <c r="K1323" s="5"/>
      <c r="L1323" s="5"/>
      <c r="M1323" s="5"/>
      <c r="N1323" s="5"/>
      <c r="O1323" s="278">
        <f>6.4*G1323*F1323</f>
        <v>144</v>
      </c>
    </row>
    <row r="1324" spans="1:15" ht="21" hidden="1" customHeight="1" outlineLevel="2">
      <c r="A1324" s="145"/>
      <c r="B1324" s="5"/>
      <c r="C1324" s="5">
        <v>6.6</v>
      </c>
      <c r="D1324" s="5">
        <v>1</v>
      </c>
      <c r="E1324" s="5">
        <v>3</v>
      </c>
      <c r="F1324" s="5">
        <f t="shared" si="205"/>
        <v>3</v>
      </c>
      <c r="G1324" s="5">
        <f t="shared" si="206"/>
        <v>6.6</v>
      </c>
      <c r="H1324" s="5"/>
      <c r="I1324" s="5">
        <f t="shared" si="207"/>
        <v>11.088000000000001</v>
      </c>
      <c r="J1324" s="5"/>
      <c r="K1324" s="5"/>
      <c r="L1324" s="5"/>
      <c r="M1324" s="5"/>
      <c r="N1324" s="5"/>
      <c r="O1324" s="278"/>
    </row>
    <row r="1325" spans="1:15" ht="21" hidden="1" customHeight="1" outlineLevel="2">
      <c r="A1325" s="145"/>
      <c r="B1325" s="5"/>
      <c r="C1325" s="5">
        <f>(0.55*2)+(0.35*2)+(0.05*2)</f>
        <v>1.9000000000000001</v>
      </c>
      <c r="D1325" s="5">
        <v>1</v>
      </c>
      <c r="E1325" s="5">
        <v>32</v>
      </c>
      <c r="F1325" s="5">
        <f t="shared" si="205"/>
        <v>32</v>
      </c>
      <c r="G1325" s="5">
        <f t="shared" si="206"/>
        <v>1.9000000000000001</v>
      </c>
      <c r="H1325" s="5">
        <f>0.25*G1325*F1325</f>
        <v>15.200000000000001</v>
      </c>
      <c r="I1325" s="5"/>
      <c r="J1325" s="5"/>
      <c r="K1325" s="5"/>
      <c r="L1325" s="5"/>
      <c r="M1325" s="5"/>
      <c r="N1325" s="5"/>
      <c r="O1325" s="278"/>
    </row>
    <row r="1326" spans="1:15" ht="21" hidden="1" customHeight="1" outlineLevel="2">
      <c r="A1326" s="145"/>
      <c r="B1326" s="5"/>
      <c r="C1326" s="5">
        <f>(0.55*2)+(0.35*2)+(0.05*2)</f>
        <v>1.9000000000000001</v>
      </c>
      <c r="D1326" s="5">
        <v>1</v>
      </c>
      <c r="E1326" s="5">
        <v>20</v>
      </c>
      <c r="F1326" s="5">
        <f t="shared" si="205"/>
        <v>20</v>
      </c>
      <c r="G1326" s="5">
        <f t="shared" si="206"/>
        <v>1.9000000000000001</v>
      </c>
      <c r="H1326" s="5"/>
      <c r="I1326" s="5"/>
      <c r="J1326" s="5">
        <f>+G1326*F1326</f>
        <v>38</v>
      </c>
      <c r="K1326" s="5"/>
      <c r="L1326" s="5"/>
      <c r="M1326" s="5"/>
      <c r="N1326" s="5"/>
      <c r="O1326" s="278"/>
    </row>
    <row r="1327" spans="1:15" ht="21" hidden="1" customHeight="1" outlineLevel="2">
      <c r="A1327" s="145"/>
      <c r="B1327" s="5"/>
      <c r="C1327" s="5">
        <f>(0.55*2)+(0.35*2)+(0.05*2)</f>
        <v>1.9000000000000001</v>
      </c>
      <c r="D1327" s="5">
        <v>1</v>
      </c>
      <c r="E1327" s="5">
        <v>21</v>
      </c>
      <c r="F1327" s="5">
        <f t="shared" si="205"/>
        <v>21</v>
      </c>
      <c r="G1327" s="5">
        <f t="shared" si="206"/>
        <v>1.9000000000000001</v>
      </c>
      <c r="H1327" s="5"/>
      <c r="I1327" s="5">
        <f t="shared" si="207"/>
        <v>22.344000000000005</v>
      </c>
      <c r="J1327" s="5"/>
      <c r="K1327" s="5"/>
      <c r="L1327" s="5"/>
      <c r="M1327" s="5"/>
      <c r="N1327" s="5"/>
      <c r="O1327" s="278"/>
    </row>
    <row r="1328" spans="1:15" ht="21" hidden="1" customHeight="1" outlineLevel="2">
      <c r="A1328" s="280"/>
      <c r="B1328" s="203"/>
      <c r="C1328" s="203"/>
      <c r="D1328" s="203"/>
      <c r="E1328" s="203"/>
      <c r="F1328" s="203"/>
      <c r="G1328" s="204"/>
      <c r="H1328" s="205">
        <f>SUM(H1316:H1327)</f>
        <v>15.200000000000001</v>
      </c>
      <c r="I1328" s="205">
        <f t="shared" ref="I1328:O1328" si="208">SUM(I1316:I1327)</f>
        <v>49.672000000000011</v>
      </c>
      <c r="J1328" s="205">
        <f t="shared" si="208"/>
        <v>47</v>
      </c>
      <c r="K1328" s="205">
        <f t="shared" si="208"/>
        <v>0</v>
      </c>
      <c r="L1328" s="205">
        <f t="shared" si="208"/>
        <v>26.880000000000003</v>
      </c>
      <c r="M1328" s="205">
        <f t="shared" si="208"/>
        <v>85.5</v>
      </c>
      <c r="N1328" s="205">
        <f t="shared" si="208"/>
        <v>84</v>
      </c>
      <c r="O1328" s="279">
        <f t="shared" si="208"/>
        <v>144</v>
      </c>
    </row>
    <row r="1329" spans="1:15" ht="21" hidden="1" customHeight="1" outlineLevel="2">
      <c r="A1329" s="280"/>
      <c r="B1329" s="203"/>
      <c r="C1329" s="203"/>
      <c r="D1329" s="203"/>
      <c r="E1329" s="203"/>
      <c r="F1329" s="203"/>
      <c r="G1329" s="204"/>
      <c r="H1329" s="202">
        <f>SUM(H1328:O1328)</f>
        <v>452.25200000000001</v>
      </c>
      <c r="I1329" s="203"/>
      <c r="J1329" s="203"/>
      <c r="K1329" s="203"/>
      <c r="L1329" s="203"/>
      <c r="M1329" s="203"/>
      <c r="N1329" s="203"/>
      <c r="O1329" s="281"/>
    </row>
    <row r="1330" spans="1:15" ht="21" hidden="1" customHeight="1" outlineLevel="2">
      <c r="A1330" s="14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278"/>
    </row>
    <row r="1331" spans="1:15" ht="21" hidden="1" customHeight="1" outlineLevel="2">
      <c r="A1331" s="277" t="s">
        <v>440</v>
      </c>
      <c r="B1331" s="5"/>
      <c r="C1331" s="5">
        <v>2.4</v>
      </c>
      <c r="D1331" s="5">
        <v>1</v>
      </c>
      <c r="E1331" s="5">
        <v>2</v>
      </c>
      <c r="F1331" s="5">
        <f>+D1331*E1331</f>
        <v>2</v>
      </c>
      <c r="G1331" s="5">
        <f>+C1331</f>
        <v>2.4</v>
      </c>
      <c r="H1331" s="5"/>
      <c r="I1331" s="5">
        <f>0.56*G1331*F1331</f>
        <v>2.6880000000000002</v>
      </c>
      <c r="J1331" s="5"/>
      <c r="K1331" s="5"/>
      <c r="L1331" s="5"/>
      <c r="M1331" s="5"/>
      <c r="N1331" s="5"/>
      <c r="O1331" s="278"/>
    </row>
    <row r="1332" spans="1:15" ht="21" hidden="1" customHeight="1" outlineLevel="2">
      <c r="A1332" s="145"/>
      <c r="B1332" s="5"/>
      <c r="C1332" s="5">
        <v>1.7</v>
      </c>
      <c r="D1332" s="5">
        <v>1</v>
      </c>
      <c r="E1332" s="5">
        <v>2</v>
      </c>
      <c r="F1332" s="5">
        <f>+D1332*E1332</f>
        <v>2</v>
      </c>
      <c r="G1332" s="5">
        <f>+C1332</f>
        <v>1.7</v>
      </c>
      <c r="H1332" s="5"/>
      <c r="I1332" s="5"/>
      <c r="J1332" s="5">
        <f>+G1332*F1332</f>
        <v>3.4</v>
      </c>
      <c r="K1332" s="5"/>
      <c r="L1332" s="5"/>
      <c r="M1332" s="5"/>
      <c r="N1332" s="5"/>
      <c r="O1332" s="278"/>
    </row>
    <row r="1333" spans="1:15" ht="21" hidden="1" customHeight="1" outlineLevel="2">
      <c r="A1333" s="145"/>
      <c r="B1333" s="5"/>
      <c r="C1333" s="5">
        <v>2</v>
      </c>
      <c r="D1333" s="5">
        <v>1</v>
      </c>
      <c r="E1333" s="5">
        <v>1</v>
      </c>
      <c r="F1333" s="5">
        <f>+D1333*E1333</f>
        <v>1</v>
      </c>
      <c r="G1333" s="5">
        <f>+C1333</f>
        <v>2</v>
      </c>
      <c r="H1333" s="5"/>
      <c r="I1333" s="5">
        <f>0.56*G1333*F1333</f>
        <v>1.1200000000000001</v>
      </c>
      <c r="J1333" s="5"/>
      <c r="K1333" s="5"/>
      <c r="L1333" s="5"/>
      <c r="M1333" s="5"/>
      <c r="N1333" s="5"/>
      <c r="O1333" s="278"/>
    </row>
    <row r="1334" spans="1:15" ht="21" hidden="1" customHeight="1" outlineLevel="2">
      <c r="A1334" s="145"/>
      <c r="B1334" s="5"/>
      <c r="C1334" s="5">
        <v>3.6</v>
      </c>
      <c r="D1334" s="5">
        <v>1</v>
      </c>
      <c r="E1334" s="5">
        <v>1</v>
      </c>
      <c r="F1334" s="5">
        <f>+D1334*E1334</f>
        <v>1</v>
      </c>
      <c r="G1334" s="5">
        <f>+C1334</f>
        <v>3.6</v>
      </c>
      <c r="H1334" s="5"/>
      <c r="I1334" s="5">
        <f>0.56*G1334*F1334</f>
        <v>2.0160000000000005</v>
      </c>
      <c r="J1334" s="5"/>
      <c r="K1334" s="5"/>
      <c r="L1334" s="5"/>
      <c r="M1334" s="5"/>
      <c r="N1334" s="5"/>
      <c r="O1334" s="278"/>
    </row>
    <row r="1335" spans="1:15" ht="21" hidden="1" customHeight="1" outlineLevel="2">
      <c r="A1335" s="145"/>
      <c r="B1335" s="5"/>
      <c r="C1335" s="5">
        <v>4</v>
      </c>
      <c r="D1335" s="5">
        <v>1</v>
      </c>
      <c r="E1335" s="5">
        <v>2</v>
      </c>
      <c r="F1335" s="5">
        <f>+D1335*E1335</f>
        <v>2</v>
      </c>
      <c r="G1335" s="5">
        <f>+C1335</f>
        <v>4</v>
      </c>
      <c r="H1335" s="5"/>
      <c r="I1335" s="5">
        <f>0.56*G1335*F1335</f>
        <v>4.4800000000000004</v>
      </c>
      <c r="J1335" s="5"/>
      <c r="K1335" s="5"/>
      <c r="L1335" s="5"/>
      <c r="M1335" s="5"/>
      <c r="N1335" s="5"/>
      <c r="O1335" s="278"/>
    </row>
    <row r="1336" spans="1:15" ht="21" hidden="1" customHeight="1" outlineLevel="2">
      <c r="A1336" s="280"/>
      <c r="B1336" s="203"/>
      <c r="C1336" s="203"/>
      <c r="D1336" s="203"/>
      <c r="E1336" s="203"/>
      <c r="F1336" s="203"/>
      <c r="G1336" s="204"/>
      <c r="H1336" s="205">
        <f>SUM(H1331:H1335)</f>
        <v>0</v>
      </c>
      <c r="I1336" s="205">
        <f t="shared" ref="I1336:O1336" si="209">SUM(I1331:I1335)</f>
        <v>10.304000000000002</v>
      </c>
      <c r="J1336" s="205">
        <f t="shared" si="209"/>
        <v>3.4</v>
      </c>
      <c r="K1336" s="205">
        <f t="shared" si="209"/>
        <v>0</v>
      </c>
      <c r="L1336" s="205">
        <f t="shared" si="209"/>
        <v>0</v>
      </c>
      <c r="M1336" s="205">
        <f t="shared" si="209"/>
        <v>0</v>
      </c>
      <c r="N1336" s="205">
        <f t="shared" si="209"/>
        <v>0</v>
      </c>
      <c r="O1336" s="279">
        <f t="shared" si="209"/>
        <v>0</v>
      </c>
    </row>
    <row r="1337" spans="1:15" ht="21" hidden="1" customHeight="1" outlineLevel="2">
      <c r="A1337" s="282"/>
      <c r="B1337" s="272"/>
      <c r="C1337" s="272"/>
      <c r="D1337" s="272"/>
      <c r="E1337" s="272"/>
      <c r="F1337" s="272"/>
      <c r="G1337" s="273"/>
      <c r="H1337" s="271">
        <f>SUM(H1336:O1336)</f>
        <v>13.704000000000002</v>
      </c>
      <c r="I1337" s="272"/>
      <c r="J1337" s="272"/>
      <c r="K1337" s="272"/>
      <c r="L1337" s="272"/>
      <c r="M1337" s="272"/>
      <c r="N1337" s="272"/>
      <c r="O1337" s="283"/>
    </row>
    <row r="1338" spans="1:15" ht="21" hidden="1" customHeight="1" outlineLevel="2">
      <c r="A1338" s="598"/>
      <c r="B1338" s="68"/>
      <c r="C1338" s="68"/>
      <c r="D1338" s="68"/>
      <c r="E1338" s="68"/>
      <c r="F1338" s="68"/>
      <c r="G1338" s="605"/>
      <c r="H1338" s="606"/>
      <c r="I1338" s="68"/>
      <c r="J1338" s="68"/>
      <c r="K1338" s="68"/>
      <c r="L1338" s="68"/>
      <c r="M1338" s="68"/>
      <c r="N1338" s="68"/>
      <c r="O1338" s="68"/>
    </row>
    <row r="1339" spans="1:15" ht="21" hidden="1" customHeight="1" outlineLevel="2" thickBot="1">
      <c r="A1339" s="598"/>
      <c r="B1339" s="68"/>
      <c r="C1339" s="68"/>
      <c r="D1339" s="68"/>
      <c r="E1339" s="68"/>
      <c r="F1339" s="68"/>
      <c r="G1339" s="605"/>
      <c r="H1339" s="606"/>
      <c r="I1339" s="68"/>
      <c r="J1339" s="68"/>
      <c r="K1339" s="68"/>
      <c r="L1339" s="68"/>
      <c r="M1339" s="68"/>
      <c r="N1339" s="68"/>
      <c r="O1339" s="68"/>
    </row>
    <row r="1340" spans="1:15" ht="21" hidden="1" customHeight="1" outlineLevel="1" collapsed="1">
      <c r="A1340" s="2180" t="s">
        <v>1216</v>
      </c>
      <c r="B1340" s="2181"/>
      <c r="C1340" s="2181"/>
      <c r="D1340" s="2181"/>
      <c r="E1340" s="2181"/>
      <c r="F1340" s="2181"/>
      <c r="G1340" s="2182"/>
      <c r="H1340" s="595">
        <f>H1336+H1328+H1313+H1308+H1299+H1292+H1283+H1276+H1267+H1256+H1250+H1240+H1229+H1220+H1209+H1203+H1196+H1190+H1184+H1171+H1159+H1148+H1143+H1137+H1127+H1121</f>
        <v>310.54999999999995</v>
      </c>
      <c r="I1340" s="595">
        <f t="shared" ref="I1340:O1340" si="210">I1336+I1328+I1313+I1308+I1299+I1292+I1283+I1276+I1267+I1256+I1250+I1240+I1229+I1220+I1209+I1203+I1196+I1190+I1184+I1171+I1159+I1148+I1143+I1137+I1127+I1121</f>
        <v>301.67200000000008</v>
      </c>
      <c r="J1340" s="595">
        <f t="shared" si="210"/>
        <v>204.89999999999998</v>
      </c>
      <c r="K1340" s="595">
        <f t="shared" si="210"/>
        <v>174.68500000000003</v>
      </c>
      <c r="L1340" s="595">
        <f t="shared" si="210"/>
        <v>173.82400000000001</v>
      </c>
      <c r="M1340" s="595">
        <f t="shared" si="210"/>
        <v>447.29999999999995</v>
      </c>
      <c r="N1340" s="595">
        <f t="shared" si="210"/>
        <v>641.20000000000005</v>
      </c>
      <c r="O1340" s="595">
        <f t="shared" si="210"/>
        <v>259.2</v>
      </c>
    </row>
    <row r="1341" spans="1:15" ht="21" hidden="1" customHeight="1" outlineLevel="1" thickBot="1">
      <c r="A1341" s="2175" t="s">
        <v>1217</v>
      </c>
      <c r="B1341" s="2176"/>
      <c r="C1341" s="2176"/>
      <c r="D1341" s="2176"/>
      <c r="E1341" s="2176"/>
      <c r="F1341" s="2176"/>
      <c r="G1341" s="2177"/>
      <c r="H1341" s="2178">
        <f>SUM(H1340:O1340)</f>
        <v>2513.3310000000001</v>
      </c>
      <c r="I1341" s="2176"/>
      <c r="J1341" s="2176"/>
      <c r="K1341" s="2176"/>
      <c r="L1341" s="2176"/>
      <c r="M1341" s="2176"/>
      <c r="N1341" s="2176"/>
      <c r="O1341" s="2179"/>
    </row>
    <row r="1342" spans="1:15" ht="21" hidden="1" customHeight="1" outlineLevel="1" thickBot="1">
      <c r="A1342" s="146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143"/>
    </row>
    <row r="1343" spans="1:15" ht="21" hidden="1" customHeight="1" outlineLevel="1" thickBot="1">
      <c r="A1343" s="2195" t="s">
        <v>496</v>
      </c>
      <c r="B1343" s="2196"/>
      <c r="C1343" s="2196"/>
      <c r="D1343" s="2196"/>
      <c r="E1343" s="2196"/>
      <c r="F1343" s="2196"/>
      <c r="G1343" s="2196"/>
      <c r="H1343" s="2196"/>
      <c r="I1343" s="2196"/>
      <c r="J1343" s="2196"/>
      <c r="K1343" s="2196"/>
      <c r="L1343" s="2196"/>
      <c r="M1343" s="2196"/>
      <c r="N1343" s="2196"/>
      <c r="O1343" s="2197"/>
    </row>
    <row r="1344" spans="1:15" ht="21" hidden="1" customHeight="1" outlineLevel="2">
      <c r="A1344" s="332" t="s">
        <v>262</v>
      </c>
      <c r="B1344" s="275"/>
      <c r="C1344" s="275">
        <v>7.87</v>
      </c>
      <c r="D1344" s="275">
        <v>1</v>
      </c>
      <c r="E1344" s="275">
        <v>24</v>
      </c>
      <c r="F1344" s="276">
        <v>24</v>
      </c>
      <c r="G1344" s="275">
        <v>7.87</v>
      </c>
      <c r="H1344" s="275">
        <v>32.120000000000005</v>
      </c>
      <c r="I1344" s="275"/>
      <c r="J1344" s="275"/>
      <c r="K1344" s="275"/>
      <c r="L1344" s="275"/>
      <c r="M1344" s="275"/>
      <c r="N1344" s="275"/>
      <c r="O1344" s="333"/>
    </row>
    <row r="1345" spans="1:15" ht="21" hidden="1" customHeight="1" outlineLevel="2">
      <c r="A1345" s="285"/>
      <c r="B1345" s="32"/>
      <c r="C1345" s="32">
        <v>7.54</v>
      </c>
      <c r="D1345" s="32">
        <v>1</v>
      </c>
      <c r="E1345" s="32">
        <v>7</v>
      </c>
      <c r="F1345" s="46">
        <v>7</v>
      </c>
      <c r="G1345" s="32">
        <v>7.54</v>
      </c>
      <c r="H1345" s="32"/>
      <c r="I1345" s="32">
        <v>29.556800000000003</v>
      </c>
      <c r="J1345" s="32"/>
      <c r="K1345" s="32"/>
      <c r="L1345" s="32"/>
      <c r="M1345" s="32"/>
      <c r="N1345" s="32"/>
      <c r="O1345" s="284"/>
    </row>
    <row r="1346" spans="1:15" ht="21" hidden="1" customHeight="1" outlineLevel="2">
      <c r="A1346" s="286"/>
      <c r="B1346" s="32"/>
      <c r="C1346" s="32">
        <v>14.59</v>
      </c>
      <c r="D1346" s="32">
        <v>1</v>
      </c>
      <c r="E1346" s="32">
        <v>22</v>
      </c>
      <c r="F1346" s="46">
        <v>22</v>
      </c>
      <c r="G1346" s="32">
        <v>14.59</v>
      </c>
      <c r="H1346" s="32">
        <v>36.840000000000003</v>
      </c>
      <c r="I1346" s="32"/>
      <c r="J1346" s="32"/>
      <c r="K1346" s="32"/>
      <c r="L1346" s="32"/>
      <c r="M1346" s="32"/>
      <c r="N1346" s="32"/>
      <c r="O1346" s="284"/>
    </row>
    <row r="1347" spans="1:15" ht="21" hidden="1" customHeight="1" outlineLevel="2">
      <c r="A1347" s="280"/>
      <c r="B1347" s="203"/>
      <c r="C1347" s="203"/>
      <c r="D1347" s="203"/>
      <c r="E1347" s="203"/>
      <c r="F1347" s="203"/>
      <c r="G1347" s="204"/>
      <c r="H1347" s="205">
        <v>68.960000000000008</v>
      </c>
      <c r="I1347" s="205">
        <v>29.556800000000003</v>
      </c>
      <c r="J1347" s="205">
        <v>0</v>
      </c>
      <c r="K1347" s="205">
        <v>0</v>
      </c>
      <c r="L1347" s="205">
        <v>0</v>
      </c>
      <c r="M1347" s="205">
        <v>0</v>
      </c>
      <c r="N1347" s="205">
        <v>0</v>
      </c>
      <c r="O1347" s="279">
        <v>0</v>
      </c>
    </row>
    <row r="1348" spans="1:15" ht="21" hidden="1" customHeight="1" outlineLevel="2">
      <c r="A1348" s="282" t="s">
        <v>263</v>
      </c>
      <c r="B1348" s="272"/>
      <c r="C1348" s="272"/>
      <c r="D1348" s="272"/>
      <c r="E1348" s="272"/>
      <c r="F1348" s="272"/>
      <c r="G1348" s="273"/>
      <c r="H1348" s="271">
        <v>98.516800000000018</v>
      </c>
      <c r="I1348" s="272"/>
      <c r="J1348" s="272"/>
      <c r="K1348" s="272"/>
      <c r="L1348" s="272"/>
      <c r="M1348" s="272"/>
      <c r="N1348" s="272"/>
      <c r="O1348" s="283"/>
    </row>
    <row r="1349" spans="1:15" ht="21" hidden="1" customHeight="1" outlineLevel="2">
      <c r="A1349" s="598"/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599"/>
    </row>
    <row r="1350" spans="1:15" ht="21" hidden="1" customHeight="1" outlineLevel="2" thickBot="1">
      <c r="A1350" s="598"/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599"/>
    </row>
    <row r="1351" spans="1:15" ht="21" hidden="1" customHeight="1" outlineLevel="1" collapsed="1">
      <c r="A1351" s="2180" t="s">
        <v>1224</v>
      </c>
      <c r="B1351" s="2181"/>
      <c r="C1351" s="2181"/>
      <c r="D1351" s="2181"/>
      <c r="E1351" s="2181"/>
      <c r="F1351" s="2181"/>
      <c r="G1351" s="2182"/>
      <c r="H1351" s="595">
        <f>H1347</f>
        <v>68.960000000000008</v>
      </c>
      <c r="I1351" s="595">
        <f t="shared" ref="I1351:O1351" si="211">I1347</f>
        <v>29.556800000000003</v>
      </c>
      <c r="J1351" s="595">
        <f t="shared" si="211"/>
        <v>0</v>
      </c>
      <c r="K1351" s="595">
        <f t="shared" si="211"/>
        <v>0</v>
      </c>
      <c r="L1351" s="595">
        <f t="shared" si="211"/>
        <v>0</v>
      </c>
      <c r="M1351" s="595">
        <f t="shared" si="211"/>
        <v>0</v>
      </c>
      <c r="N1351" s="595">
        <f t="shared" si="211"/>
        <v>0</v>
      </c>
      <c r="O1351" s="595">
        <f t="shared" si="211"/>
        <v>0</v>
      </c>
    </row>
    <row r="1352" spans="1:15" ht="21" hidden="1" customHeight="1" outlineLevel="1" thickBot="1">
      <c r="A1352" s="2175" t="s">
        <v>1225</v>
      </c>
      <c r="B1352" s="2176"/>
      <c r="C1352" s="2176"/>
      <c r="D1352" s="2176"/>
      <c r="E1352" s="2176"/>
      <c r="F1352" s="2176"/>
      <c r="G1352" s="2177"/>
      <c r="H1352" s="2178">
        <f>SUM(H1351:O1351)</f>
        <v>98.516800000000018</v>
      </c>
      <c r="I1352" s="2176"/>
      <c r="J1352" s="2176"/>
      <c r="K1352" s="2176"/>
      <c r="L1352" s="2176"/>
      <c r="M1352" s="2176"/>
      <c r="N1352" s="2176"/>
      <c r="O1352" s="2179"/>
    </row>
    <row r="1353" spans="1:15" ht="21" hidden="1" customHeight="1" outlineLevel="1" thickBot="1">
      <c r="A1353" s="146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143"/>
    </row>
    <row r="1354" spans="1:15" ht="21" hidden="1" customHeight="1" outlineLevel="1" thickBot="1">
      <c r="A1354" s="2245" t="s">
        <v>497</v>
      </c>
      <c r="B1354" s="2246"/>
      <c r="C1354" s="2246"/>
      <c r="D1354" s="2246"/>
      <c r="E1354" s="2246"/>
      <c r="F1354" s="2246"/>
      <c r="G1354" s="2246"/>
      <c r="H1354" s="2246"/>
      <c r="I1354" s="2246"/>
      <c r="J1354" s="2246"/>
      <c r="K1354" s="2246"/>
      <c r="L1354" s="2246"/>
      <c r="M1354" s="2246"/>
      <c r="N1354" s="2246"/>
      <c r="O1354" s="2247"/>
    </row>
    <row r="1355" spans="1:15" ht="21" hidden="1" customHeight="1" outlineLevel="2">
      <c r="A1355" s="274" t="s">
        <v>264</v>
      </c>
      <c r="B1355" s="275"/>
      <c r="C1355" s="275">
        <v>4.6100000000000003</v>
      </c>
      <c r="D1355" s="275">
        <v>1</v>
      </c>
      <c r="E1355" s="275">
        <v>16</v>
      </c>
      <c r="F1355" s="276">
        <v>16</v>
      </c>
      <c r="G1355" s="275">
        <v>4.6100000000000003</v>
      </c>
      <c r="H1355" s="275"/>
      <c r="I1355" s="275">
        <v>41.305600000000005</v>
      </c>
      <c r="J1355" s="275"/>
      <c r="K1355" s="275"/>
      <c r="L1355" s="275"/>
      <c r="M1355" s="275"/>
      <c r="N1355" s="275"/>
      <c r="O1355" s="275"/>
    </row>
    <row r="1356" spans="1:15" ht="21" hidden="1" customHeight="1" outlineLevel="2">
      <c r="A1356" s="32"/>
      <c r="B1356" s="32"/>
      <c r="C1356" s="32">
        <v>2</v>
      </c>
      <c r="D1356" s="32">
        <v>1</v>
      </c>
      <c r="E1356" s="32">
        <v>31</v>
      </c>
      <c r="F1356" s="46">
        <v>31</v>
      </c>
      <c r="G1356" s="32">
        <v>2</v>
      </c>
      <c r="H1356" s="32"/>
      <c r="I1356" s="32">
        <v>34.720000000000006</v>
      </c>
      <c r="J1356" s="32"/>
      <c r="K1356" s="32"/>
      <c r="L1356" s="32"/>
      <c r="M1356" s="32"/>
      <c r="N1356" s="32"/>
      <c r="O1356" s="32"/>
    </row>
    <row r="1357" spans="1:15" ht="21" hidden="1" customHeight="1" outlineLevel="2">
      <c r="A1357" s="32"/>
      <c r="B1357" s="32"/>
      <c r="C1357" s="32">
        <v>1.8</v>
      </c>
      <c r="D1357" s="32">
        <v>1</v>
      </c>
      <c r="E1357" s="32">
        <v>104</v>
      </c>
      <c r="F1357" s="46">
        <v>104</v>
      </c>
      <c r="G1357" s="32">
        <v>1.8</v>
      </c>
      <c r="H1357" s="32"/>
      <c r="I1357" s="32">
        <v>104.83200000000002</v>
      </c>
      <c r="J1357" s="32"/>
      <c r="K1357" s="32"/>
      <c r="L1357" s="32"/>
      <c r="M1357" s="32"/>
      <c r="N1357" s="32"/>
      <c r="O1357" s="32"/>
    </row>
    <row r="1358" spans="1:15" ht="21" hidden="1" customHeight="1" outlineLevel="2">
      <c r="A1358" s="32"/>
      <c r="B1358" s="32"/>
      <c r="C1358" s="32">
        <v>2.8</v>
      </c>
      <c r="D1358" s="32">
        <v>1</v>
      </c>
      <c r="E1358" s="32">
        <v>23</v>
      </c>
      <c r="F1358" s="46">
        <v>23</v>
      </c>
      <c r="G1358" s="32">
        <v>2.8</v>
      </c>
      <c r="H1358" s="32"/>
      <c r="I1358" s="32">
        <v>36.064</v>
      </c>
      <c r="J1358" s="32"/>
      <c r="K1358" s="32"/>
      <c r="L1358" s="32"/>
      <c r="M1358" s="32"/>
      <c r="N1358" s="32"/>
      <c r="O1358" s="32"/>
    </row>
    <row r="1359" spans="1:15" ht="21" hidden="1" customHeight="1" outlineLevel="2">
      <c r="A1359" s="32"/>
      <c r="B1359" s="32"/>
      <c r="C1359" s="32">
        <v>3.7</v>
      </c>
      <c r="D1359" s="32">
        <v>1</v>
      </c>
      <c r="E1359" s="32">
        <v>17</v>
      </c>
      <c r="F1359" s="46">
        <v>17</v>
      </c>
      <c r="G1359" s="32">
        <v>3.7</v>
      </c>
      <c r="H1359" s="32"/>
      <c r="I1359" s="32">
        <v>35.224000000000011</v>
      </c>
      <c r="J1359" s="32"/>
      <c r="K1359" s="32"/>
      <c r="L1359" s="32"/>
      <c r="M1359" s="32"/>
      <c r="N1359" s="32"/>
      <c r="O1359" s="32"/>
    </row>
    <row r="1360" spans="1:15" ht="21" hidden="1" customHeight="1" outlineLevel="2">
      <c r="A1360" s="32"/>
      <c r="B1360" s="32"/>
      <c r="C1360" s="32">
        <v>4</v>
      </c>
      <c r="D1360" s="32">
        <v>1</v>
      </c>
      <c r="E1360" s="32">
        <v>131</v>
      </c>
      <c r="F1360" s="46">
        <v>131</v>
      </c>
      <c r="G1360" s="32">
        <v>4</v>
      </c>
      <c r="H1360" s="32"/>
      <c r="I1360" s="32">
        <v>293.44000000000005</v>
      </c>
      <c r="J1360" s="32"/>
      <c r="K1360" s="32"/>
      <c r="L1360" s="32"/>
      <c r="M1360" s="32"/>
      <c r="N1360" s="32"/>
      <c r="O1360" s="32"/>
    </row>
    <row r="1361" spans="1:15" ht="21" hidden="1" customHeight="1" outlineLevel="2">
      <c r="A1361" s="54" t="s">
        <v>265</v>
      </c>
      <c r="B1361" s="32"/>
      <c r="C1361" s="32">
        <v>1.8</v>
      </c>
      <c r="D1361" s="32">
        <v>1</v>
      </c>
      <c r="E1361" s="32">
        <v>25</v>
      </c>
      <c r="F1361" s="46">
        <v>25</v>
      </c>
      <c r="G1361" s="32">
        <v>1.8</v>
      </c>
      <c r="H1361" s="32"/>
      <c r="I1361" s="32">
        <v>25.200000000000006</v>
      </c>
      <c r="J1361" s="32"/>
      <c r="K1361" s="32"/>
      <c r="L1361" s="32"/>
      <c r="M1361" s="32"/>
      <c r="N1361" s="32"/>
      <c r="O1361" s="32"/>
    </row>
    <row r="1362" spans="1:15" ht="21" hidden="1" customHeight="1" outlineLevel="2">
      <c r="A1362" s="32"/>
      <c r="B1362" s="32"/>
      <c r="C1362" s="32">
        <v>1.5</v>
      </c>
      <c r="D1362" s="32">
        <v>1</v>
      </c>
      <c r="E1362" s="32">
        <v>18</v>
      </c>
      <c r="F1362" s="46">
        <v>18</v>
      </c>
      <c r="G1362" s="32">
        <v>1.5</v>
      </c>
      <c r="H1362" s="32"/>
      <c r="I1362" s="32">
        <v>15.120000000000001</v>
      </c>
      <c r="J1362" s="32"/>
      <c r="K1362" s="32"/>
      <c r="L1362" s="32"/>
      <c r="M1362" s="32"/>
      <c r="N1362" s="32"/>
      <c r="O1362" s="32"/>
    </row>
    <row r="1363" spans="1:15" ht="21" hidden="1" customHeight="1" outlineLevel="2">
      <c r="A1363" s="54" t="s">
        <v>441</v>
      </c>
      <c r="B1363" s="32"/>
      <c r="C1363" s="32">
        <v>2</v>
      </c>
      <c r="D1363" s="32">
        <v>1</v>
      </c>
      <c r="E1363" s="32">
        <v>72</v>
      </c>
      <c r="F1363" s="46">
        <v>72</v>
      </c>
      <c r="G1363" s="32">
        <v>2</v>
      </c>
      <c r="H1363" s="32"/>
      <c r="I1363" s="32">
        <v>80.640000000000015</v>
      </c>
      <c r="J1363" s="32"/>
      <c r="K1363" s="32"/>
      <c r="L1363" s="32"/>
      <c r="M1363" s="32"/>
      <c r="N1363" s="32"/>
      <c r="O1363" s="32"/>
    </row>
    <row r="1364" spans="1:15" ht="21" hidden="1" customHeight="1" outlineLevel="2">
      <c r="A1364" s="202"/>
      <c r="B1364" s="203"/>
      <c r="C1364" s="203"/>
      <c r="D1364" s="203"/>
      <c r="E1364" s="203"/>
      <c r="F1364" s="203"/>
      <c r="G1364" s="204"/>
      <c r="H1364" s="205">
        <v>0</v>
      </c>
      <c r="I1364" s="205">
        <v>666.54560000000015</v>
      </c>
      <c r="J1364" s="205">
        <v>0</v>
      </c>
      <c r="K1364" s="205">
        <v>0</v>
      </c>
      <c r="L1364" s="205">
        <v>0</v>
      </c>
      <c r="M1364" s="205">
        <v>0</v>
      </c>
      <c r="N1364" s="205">
        <v>0</v>
      </c>
      <c r="O1364" s="205">
        <v>0</v>
      </c>
    </row>
    <row r="1365" spans="1:15" ht="21" hidden="1" customHeight="1" outlineLevel="2">
      <c r="A1365" s="202" t="s">
        <v>266</v>
      </c>
      <c r="B1365" s="203"/>
      <c r="C1365" s="203"/>
      <c r="D1365" s="203"/>
      <c r="E1365" s="203"/>
      <c r="F1365" s="203"/>
      <c r="G1365" s="204"/>
      <c r="H1365" s="202">
        <v>666.54560000000015</v>
      </c>
      <c r="I1365" s="203"/>
      <c r="J1365" s="203"/>
      <c r="K1365" s="203"/>
      <c r="L1365" s="203"/>
      <c r="M1365" s="203"/>
      <c r="N1365" s="203"/>
      <c r="O1365" s="203"/>
    </row>
    <row r="1366" spans="1:15" ht="21" hidden="1" customHeight="1" outlineLevel="2">
      <c r="A1366" s="68"/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8"/>
    </row>
    <row r="1367" spans="1:15" ht="21" hidden="1" customHeight="1" outlineLevel="2" thickBot="1">
      <c r="A1367" s="68"/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8"/>
    </row>
    <row r="1368" spans="1:15" ht="21" hidden="1" customHeight="1" outlineLevel="1" collapsed="1">
      <c r="A1368" s="2180" t="s">
        <v>1226</v>
      </c>
      <c r="B1368" s="2181"/>
      <c r="C1368" s="2181"/>
      <c r="D1368" s="2181"/>
      <c r="E1368" s="2181"/>
      <c r="F1368" s="2181"/>
      <c r="G1368" s="2182"/>
      <c r="H1368" s="595">
        <f>H1364</f>
        <v>0</v>
      </c>
      <c r="I1368" s="595">
        <f>I1364</f>
        <v>666.54560000000015</v>
      </c>
      <c r="J1368" s="595">
        <f t="shared" ref="J1368:O1368" si="212">J1364</f>
        <v>0</v>
      </c>
      <c r="K1368" s="595">
        <f t="shared" si="212"/>
        <v>0</v>
      </c>
      <c r="L1368" s="595">
        <f t="shared" si="212"/>
        <v>0</v>
      </c>
      <c r="M1368" s="595">
        <f t="shared" si="212"/>
        <v>0</v>
      </c>
      <c r="N1368" s="595">
        <f t="shared" si="212"/>
        <v>0</v>
      </c>
      <c r="O1368" s="595">
        <f t="shared" si="212"/>
        <v>0</v>
      </c>
    </row>
    <row r="1369" spans="1:15" ht="21" hidden="1" customHeight="1" outlineLevel="1" thickBot="1">
      <c r="A1369" s="2175" t="s">
        <v>1227</v>
      </c>
      <c r="B1369" s="2176"/>
      <c r="C1369" s="2176"/>
      <c r="D1369" s="2176"/>
      <c r="E1369" s="2176"/>
      <c r="F1369" s="2176"/>
      <c r="G1369" s="2177"/>
      <c r="H1369" s="2178">
        <f>SUM(H1368:O1368)</f>
        <v>666.54560000000015</v>
      </c>
      <c r="I1369" s="2176"/>
      <c r="J1369" s="2176"/>
      <c r="K1369" s="2176"/>
      <c r="L1369" s="2176"/>
      <c r="M1369" s="2176"/>
      <c r="N1369" s="2176"/>
      <c r="O1369" s="2179"/>
    </row>
    <row r="1370" spans="1:15" ht="18.75" hidden="1" customHeight="1" outlineLevel="1" thickBot="1">
      <c r="A1370" s="3"/>
      <c r="B1370" s="3"/>
      <c r="C1370" s="3"/>
      <c r="D1370" s="3"/>
      <c r="E1370" s="3"/>
      <c r="F1370" s="125"/>
      <c r="G1370" s="3"/>
      <c r="H1370" s="3"/>
      <c r="I1370" s="3"/>
      <c r="J1370" s="3"/>
      <c r="K1370" s="3"/>
      <c r="L1370" s="3"/>
      <c r="M1370" s="3"/>
      <c r="N1370" s="3"/>
      <c r="O1370" s="3"/>
    </row>
    <row r="1371" spans="1:15" ht="21" customHeight="1" collapsed="1">
      <c r="A1371" s="2136" t="s">
        <v>1228</v>
      </c>
      <c r="B1371" s="2137"/>
      <c r="C1371" s="2137"/>
      <c r="D1371" s="2137"/>
      <c r="E1371" s="2137"/>
      <c r="F1371" s="2137"/>
      <c r="G1371" s="2138"/>
      <c r="H1371" s="593">
        <f t="shared" ref="H1371:O1371" si="213">H1368+H1351+H1340+H1104</f>
        <v>407.53499999999997</v>
      </c>
      <c r="I1371" s="593">
        <f t="shared" si="213"/>
        <v>1354.2144000000003</v>
      </c>
      <c r="J1371" s="593">
        <f t="shared" si="213"/>
        <v>785.85</v>
      </c>
      <c r="K1371" s="593">
        <f t="shared" si="213"/>
        <v>928.83749999999998</v>
      </c>
      <c r="L1371" s="593">
        <f t="shared" si="213"/>
        <v>775.93599999999992</v>
      </c>
      <c r="M1371" s="593">
        <f t="shared" si="213"/>
        <v>1040.0999999999999</v>
      </c>
      <c r="N1371" s="593">
        <f t="shared" si="213"/>
        <v>2503.6000000000004</v>
      </c>
      <c r="O1371" s="594">
        <f t="shared" si="213"/>
        <v>3767.04</v>
      </c>
    </row>
    <row r="1372" spans="1:15" ht="21" customHeight="1" thickBot="1">
      <c r="A1372" s="2139" t="s">
        <v>1229</v>
      </c>
      <c r="B1372" s="2140"/>
      <c r="C1372" s="2140"/>
      <c r="D1372" s="2140"/>
      <c r="E1372" s="2140"/>
      <c r="F1372" s="2140"/>
      <c r="G1372" s="2141"/>
      <c r="H1372" s="2133">
        <f>SUM(H1371:O1371)</f>
        <v>11563.1129</v>
      </c>
      <c r="I1372" s="2134"/>
      <c r="J1372" s="2134"/>
      <c r="K1372" s="2134"/>
      <c r="L1372" s="2134"/>
      <c r="M1372" s="2134"/>
      <c r="N1372" s="2134"/>
      <c r="O1372" s="2135"/>
    </row>
    <row r="1373" spans="1:15" ht="21" customHeight="1" thickBot="1">
      <c r="A1373" s="3"/>
      <c r="B1373" s="3"/>
      <c r="C1373" s="3"/>
      <c r="D1373" s="3"/>
      <c r="E1373" s="3"/>
      <c r="F1373" s="125"/>
      <c r="G1373" s="3"/>
      <c r="H1373" s="3"/>
      <c r="I1373" s="3"/>
      <c r="J1373" s="3"/>
      <c r="K1373" s="3"/>
      <c r="L1373" s="3"/>
      <c r="M1373" s="3"/>
      <c r="N1373" s="3"/>
      <c r="O1373" s="3"/>
    </row>
    <row r="1374" spans="1:15" ht="21" customHeight="1" thickBot="1">
      <c r="A1374" s="2123" t="s">
        <v>494</v>
      </c>
      <c r="B1374" s="2124"/>
      <c r="C1374" s="2124"/>
      <c r="D1374" s="2124"/>
      <c r="E1374" s="2124"/>
      <c r="F1374" s="2124"/>
      <c r="G1374" s="2124"/>
      <c r="H1374" s="2124"/>
      <c r="I1374" s="2124"/>
      <c r="J1374" s="2124"/>
      <c r="K1374" s="2124"/>
      <c r="L1374" s="2124"/>
      <c r="M1374" s="2124"/>
      <c r="N1374" s="2124"/>
      <c r="O1374" s="2125"/>
    </row>
    <row r="1375" spans="1:15" ht="21" hidden="1" customHeight="1" outlineLevel="1">
      <c r="A1375" s="154"/>
      <c r="B1375" s="253"/>
      <c r="C1375" s="253"/>
      <c r="D1375" s="253"/>
      <c r="E1375" s="253"/>
      <c r="F1375" s="253"/>
      <c r="G1375" s="253"/>
      <c r="H1375" s="253"/>
      <c r="I1375" s="253"/>
      <c r="J1375" s="253"/>
      <c r="K1375" s="253"/>
      <c r="L1375" s="253"/>
      <c r="M1375" s="253"/>
      <c r="N1375" s="253"/>
      <c r="O1375" s="334"/>
    </row>
    <row r="1376" spans="1:15" ht="21" hidden="1" customHeight="1" outlineLevel="1">
      <c r="A1376" s="277" t="s">
        <v>453</v>
      </c>
      <c r="B1376" s="5"/>
      <c r="C1376" s="5">
        <v>3.5</v>
      </c>
      <c r="D1376" s="5">
        <v>1</v>
      </c>
      <c r="E1376" s="5">
        <v>2</v>
      </c>
      <c r="F1376" s="5">
        <f t="shared" ref="F1376:F1387" si="214">+E1376*D1376</f>
        <v>2</v>
      </c>
      <c r="G1376" s="5">
        <f t="shared" ref="G1376:G1407" si="215">+C1376</f>
        <v>3.5</v>
      </c>
      <c r="H1376" s="5"/>
      <c r="I1376" s="5"/>
      <c r="J1376" s="5"/>
      <c r="K1376" s="5">
        <f>1.55*G1376*F1376</f>
        <v>10.85</v>
      </c>
      <c r="L1376" s="5"/>
      <c r="M1376" s="5"/>
      <c r="N1376" s="5"/>
      <c r="O1376" s="278"/>
    </row>
    <row r="1377" spans="1:15" ht="21" hidden="1" customHeight="1" outlineLevel="1">
      <c r="A1377" s="145"/>
      <c r="B1377" s="5"/>
      <c r="C1377" s="5">
        <v>3.5</v>
      </c>
      <c r="D1377" s="5">
        <v>1</v>
      </c>
      <c r="E1377" s="5">
        <v>1</v>
      </c>
      <c r="F1377" s="5">
        <f t="shared" si="214"/>
        <v>1</v>
      </c>
      <c r="G1377" s="5">
        <f t="shared" si="215"/>
        <v>3.5</v>
      </c>
      <c r="H1377" s="5"/>
      <c r="I1377" s="5"/>
      <c r="J1377" s="5">
        <f>+G1377*F1377</f>
        <v>3.5</v>
      </c>
      <c r="K1377" s="5"/>
      <c r="L1377" s="5"/>
      <c r="M1377" s="5"/>
      <c r="N1377" s="5"/>
      <c r="O1377" s="278"/>
    </row>
    <row r="1378" spans="1:15" ht="21" hidden="1" customHeight="1" outlineLevel="1">
      <c r="A1378" s="145"/>
      <c r="B1378" s="5"/>
      <c r="C1378" s="5">
        <v>5</v>
      </c>
      <c r="D1378" s="5">
        <v>1</v>
      </c>
      <c r="E1378" s="5">
        <v>3</v>
      </c>
      <c r="F1378" s="5">
        <f t="shared" si="214"/>
        <v>3</v>
      </c>
      <c r="G1378" s="5">
        <f t="shared" si="215"/>
        <v>5</v>
      </c>
      <c r="H1378" s="5"/>
      <c r="I1378" s="5"/>
      <c r="J1378" s="5">
        <f>+G1378*F1378</f>
        <v>15</v>
      </c>
      <c r="K1378" s="5"/>
      <c r="L1378" s="5"/>
      <c r="M1378" s="5"/>
      <c r="N1378" s="5"/>
      <c r="O1378" s="278"/>
    </row>
    <row r="1379" spans="1:15" ht="21" hidden="1" customHeight="1" outlineLevel="1">
      <c r="A1379" s="145"/>
      <c r="B1379" s="5"/>
      <c r="C1379" s="5">
        <v>3</v>
      </c>
      <c r="D1379" s="5">
        <v>1</v>
      </c>
      <c r="E1379" s="5">
        <v>2</v>
      </c>
      <c r="F1379" s="5">
        <f t="shared" si="214"/>
        <v>2</v>
      </c>
      <c r="G1379" s="5">
        <f t="shared" si="215"/>
        <v>3</v>
      </c>
      <c r="H1379" s="5"/>
      <c r="I1379" s="5"/>
      <c r="J1379" s="5"/>
      <c r="K1379" s="5"/>
      <c r="L1379" s="5">
        <f>2.24*G1379*F1379</f>
        <v>13.440000000000001</v>
      </c>
      <c r="M1379" s="5"/>
      <c r="N1379" s="5"/>
      <c r="O1379" s="278"/>
    </row>
    <row r="1380" spans="1:15" ht="21" hidden="1" customHeight="1" outlineLevel="1">
      <c r="A1380" s="145"/>
      <c r="B1380" s="5"/>
      <c r="C1380" s="5">
        <v>6.2</v>
      </c>
      <c r="D1380" s="5">
        <v>1</v>
      </c>
      <c r="E1380" s="5">
        <v>2</v>
      </c>
      <c r="F1380" s="5">
        <f t="shared" si="214"/>
        <v>2</v>
      </c>
      <c r="G1380" s="5">
        <f t="shared" si="215"/>
        <v>6.2</v>
      </c>
      <c r="H1380" s="5"/>
      <c r="I1380" s="5"/>
      <c r="J1380" s="5"/>
      <c r="K1380" s="5"/>
      <c r="L1380" s="5">
        <f>2.24*G1380*F1380</f>
        <v>27.776000000000003</v>
      </c>
      <c r="M1380" s="5"/>
      <c r="N1380" s="5"/>
      <c r="O1380" s="278"/>
    </row>
    <row r="1381" spans="1:15" ht="21" hidden="1" customHeight="1" outlineLevel="1">
      <c r="A1381" s="145"/>
      <c r="B1381" s="5"/>
      <c r="C1381" s="5">
        <v>6</v>
      </c>
      <c r="D1381" s="5">
        <v>1</v>
      </c>
      <c r="E1381" s="5">
        <v>6</v>
      </c>
      <c r="F1381" s="5">
        <f t="shared" si="214"/>
        <v>6</v>
      </c>
      <c r="G1381" s="5">
        <f t="shared" si="215"/>
        <v>6</v>
      </c>
      <c r="H1381" s="5"/>
      <c r="I1381" s="5"/>
      <c r="J1381" s="5"/>
      <c r="K1381" s="5">
        <f>1.55*G1381*F1381</f>
        <v>55.800000000000004</v>
      </c>
      <c r="L1381" s="5"/>
      <c r="M1381" s="5"/>
      <c r="N1381" s="5"/>
      <c r="O1381" s="278"/>
    </row>
    <row r="1382" spans="1:15" ht="21" hidden="1" customHeight="1" outlineLevel="1">
      <c r="A1382" s="145"/>
      <c r="B1382" s="5"/>
      <c r="C1382" s="5">
        <v>6</v>
      </c>
      <c r="D1382" s="5">
        <v>1</v>
      </c>
      <c r="E1382" s="5">
        <v>3</v>
      </c>
      <c r="F1382" s="5">
        <f t="shared" si="214"/>
        <v>3</v>
      </c>
      <c r="G1382" s="5">
        <f t="shared" si="215"/>
        <v>6</v>
      </c>
      <c r="H1382" s="5"/>
      <c r="I1382" s="5"/>
      <c r="J1382" s="5">
        <f>+G1382*F1382</f>
        <v>18</v>
      </c>
      <c r="K1382" s="5"/>
      <c r="L1382" s="5"/>
      <c r="M1382" s="5"/>
      <c r="N1382" s="5"/>
      <c r="O1382" s="278"/>
    </row>
    <row r="1383" spans="1:15" ht="21" hidden="1" customHeight="1" outlineLevel="1">
      <c r="A1383" s="145"/>
      <c r="B1383" s="5"/>
      <c r="C1383" s="5">
        <v>8</v>
      </c>
      <c r="D1383" s="5">
        <v>1</v>
      </c>
      <c r="E1383" s="5">
        <v>3</v>
      </c>
      <c r="F1383" s="5">
        <f t="shared" si="214"/>
        <v>3</v>
      </c>
      <c r="G1383" s="5">
        <f t="shared" si="215"/>
        <v>8</v>
      </c>
      <c r="H1383" s="5"/>
      <c r="I1383" s="5"/>
      <c r="J1383" s="5">
        <f>+G1383*F1383</f>
        <v>24</v>
      </c>
      <c r="K1383" s="5"/>
      <c r="L1383" s="5"/>
      <c r="M1383" s="5"/>
      <c r="N1383" s="5"/>
      <c r="O1383" s="278"/>
    </row>
    <row r="1384" spans="1:15" ht="21" hidden="1" customHeight="1" outlineLevel="1">
      <c r="A1384" s="145"/>
      <c r="B1384" s="5"/>
      <c r="C1384" s="5">
        <v>8</v>
      </c>
      <c r="D1384" s="5">
        <v>1</v>
      </c>
      <c r="E1384" s="5">
        <v>3</v>
      </c>
      <c r="F1384" s="5">
        <f t="shared" si="214"/>
        <v>3</v>
      </c>
      <c r="G1384" s="5">
        <f t="shared" si="215"/>
        <v>8</v>
      </c>
      <c r="H1384" s="5"/>
      <c r="I1384" s="5"/>
      <c r="J1384" s="5"/>
      <c r="K1384" s="5">
        <f>1.55*G1384*F1384</f>
        <v>37.200000000000003</v>
      </c>
      <c r="L1384" s="5"/>
      <c r="M1384" s="5"/>
      <c r="N1384" s="5"/>
      <c r="O1384" s="278"/>
    </row>
    <row r="1385" spans="1:15" ht="21" hidden="1" customHeight="1" outlineLevel="1">
      <c r="A1385" s="145"/>
      <c r="B1385" s="5"/>
      <c r="C1385" s="5">
        <v>8</v>
      </c>
      <c r="D1385" s="5">
        <v>1</v>
      </c>
      <c r="E1385" s="5">
        <v>1</v>
      </c>
      <c r="F1385" s="5">
        <f t="shared" si="214"/>
        <v>1</v>
      </c>
      <c r="G1385" s="5">
        <f t="shared" si="215"/>
        <v>8</v>
      </c>
      <c r="H1385" s="5"/>
      <c r="I1385" s="5"/>
      <c r="J1385" s="5"/>
      <c r="K1385" s="5"/>
      <c r="L1385" s="5">
        <f>2.24*G1385*F1385</f>
        <v>17.920000000000002</v>
      </c>
      <c r="M1385" s="5"/>
      <c r="N1385" s="5"/>
      <c r="O1385" s="278"/>
    </row>
    <row r="1386" spans="1:15" ht="21" hidden="1" customHeight="1" outlineLevel="1">
      <c r="A1386" s="145"/>
      <c r="B1386" s="5"/>
      <c r="C1386" s="5">
        <v>8</v>
      </c>
      <c r="D1386" s="5">
        <v>1</v>
      </c>
      <c r="E1386" s="5">
        <v>1</v>
      </c>
      <c r="F1386" s="5">
        <f t="shared" si="214"/>
        <v>1</v>
      </c>
      <c r="G1386" s="5">
        <f t="shared" si="215"/>
        <v>8</v>
      </c>
      <c r="H1386" s="5"/>
      <c r="I1386" s="5"/>
      <c r="J1386" s="5"/>
      <c r="K1386" s="5"/>
      <c r="L1386" s="5"/>
      <c r="M1386" s="5">
        <f>3*G1386*F1386</f>
        <v>24</v>
      </c>
      <c r="N1386" s="5"/>
      <c r="O1386" s="278"/>
    </row>
    <row r="1387" spans="1:15" ht="21" hidden="1" customHeight="1" outlineLevel="1">
      <c r="A1387" s="145"/>
      <c r="B1387" s="5"/>
      <c r="C1387" s="5">
        <v>5</v>
      </c>
      <c r="D1387" s="5">
        <v>1</v>
      </c>
      <c r="E1387" s="5">
        <v>2</v>
      </c>
      <c r="F1387" s="5">
        <f t="shared" si="214"/>
        <v>2</v>
      </c>
      <c r="G1387" s="5">
        <f t="shared" si="215"/>
        <v>5</v>
      </c>
      <c r="H1387" s="5"/>
      <c r="I1387" s="5"/>
      <c r="J1387" s="5"/>
      <c r="K1387" s="5"/>
      <c r="L1387" s="5"/>
      <c r="M1387" s="5">
        <f>3*G1387*F1387</f>
        <v>30</v>
      </c>
      <c r="N1387" s="5"/>
      <c r="O1387" s="278"/>
    </row>
    <row r="1388" spans="1:15" ht="21" hidden="1" customHeight="1" outlineLevel="1">
      <c r="A1388" s="145"/>
      <c r="B1388" s="5"/>
      <c r="C1388" s="5">
        <v>5</v>
      </c>
      <c r="D1388" s="5">
        <v>1</v>
      </c>
      <c r="E1388" s="5">
        <v>2</v>
      </c>
      <c r="F1388" s="5">
        <v>4</v>
      </c>
      <c r="G1388" s="5">
        <f t="shared" si="215"/>
        <v>5</v>
      </c>
      <c r="H1388" s="5"/>
      <c r="I1388" s="5"/>
      <c r="J1388" s="5"/>
      <c r="K1388" s="5"/>
      <c r="L1388" s="5">
        <f>2.24*G1388*F1388</f>
        <v>44.800000000000004</v>
      </c>
      <c r="M1388" s="5"/>
      <c r="N1388" s="5"/>
      <c r="O1388" s="278"/>
    </row>
    <row r="1389" spans="1:15" ht="21" hidden="1" customHeight="1" outlineLevel="1">
      <c r="A1389" s="145"/>
      <c r="B1389" s="5"/>
      <c r="C1389" s="5">
        <v>7</v>
      </c>
      <c r="D1389" s="5">
        <v>1</v>
      </c>
      <c r="E1389" s="5">
        <v>1</v>
      </c>
      <c r="F1389" s="5">
        <f t="shared" ref="F1389:F1407" si="216">+E1389*D1389</f>
        <v>1</v>
      </c>
      <c r="G1389" s="5">
        <f t="shared" si="215"/>
        <v>7</v>
      </c>
      <c r="H1389" s="5"/>
      <c r="I1389" s="5"/>
      <c r="J1389" s="5"/>
      <c r="K1389" s="5">
        <f>1.55*G1389*F1389</f>
        <v>10.85</v>
      </c>
      <c r="L1389" s="5"/>
      <c r="M1389" s="5"/>
      <c r="N1389" s="5"/>
      <c r="O1389" s="278"/>
    </row>
    <row r="1390" spans="1:15" ht="21" hidden="1" customHeight="1" outlineLevel="1">
      <c r="A1390" s="145"/>
      <c r="B1390" s="5"/>
      <c r="C1390" s="5">
        <v>7</v>
      </c>
      <c r="D1390" s="5">
        <v>1</v>
      </c>
      <c r="E1390" s="5">
        <v>1</v>
      </c>
      <c r="F1390" s="5">
        <f t="shared" si="216"/>
        <v>1</v>
      </c>
      <c r="G1390" s="5">
        <f t="shared" si="215"/>
        <v>7</v>
      </c>
      <c r="H1390" s="5"/>
      <c r="I1390" s="5"/>
      <c r="J1390" s="5"/>
      <c r="K1390" s="5"/>
      <c r="L1390" s="5"/>
      <c r="M1390" s="5">
        <f>3*G1390*F1390</f>
        <v>21</v>
      </c>
      <c r="N1390" s="5"/>
      <c r="O1390" s="278"/>
    </row>
    <row r="1391" spans="1:15" ht="21" hidden="1" customHeight="1" outlineLevel="1">
      <c r="A1391" s="145"/>
      <c r="B1391" s="5"/>
      <c r="C1391" s="5">
        <v>7</v>
      </c>
      <c r="D1391" s="5">
        <v>1</v>
      </c>
      <c r="E1391" s="5">
        <v>2</v>
      </c>
      <c r="F1391" s="5">
        <f t="shared" si="216"/>
        <v>2</v>
      </c>
      <c r="G1391" s="5">
        <f t="shared" si="215"/>
        <v>7</v>
      </c>
      <c r="H1391" s="5"/>
      <c r="I1391" s="5"/>
      <c r="J1391" s="5"/>
      <c r="K1391" s="5"/>
      <c r="L1391" s="5">
        <f>2.24*G1391*F1391</f>
        <v>31.360000000000003</v>
      </c>
      <c r="M1391" s="5"/>
      <c r="N1391" s="5"/>
      <c r="O1391" s="278"/>
    </row>
    <row r="1392" spans="1:15" ht="21" hidden="1" customHeight="1" outlineLevel="1">
      <c r="A1392" s="145"/>
      <c r="B1392" s="5"/>
      <c r="C1392" s="5">
        <v>3.5</v>
      </c>
      <c r="D1392" s="5">
        <v>1</v>
      </c>
      <c r="E1392" s="5">
        <v>2</v>
      </c>
      <c r="F1392" s="5">
        <f t="shared" si="216"/>
        <v>2</v>
      </c>
      <c r="G1392" s="5">
        <f t="shared" si="215"/>
        <v>3.5</v>
      </c>
      <c r="H1392" s="5"/>
      <c r="I1392" s="5"/>
      <c r="J1392" s="5"/>
      <c r="K1392" s="5">
        <f>1.55*G1392*F1392</f>
        <v>10.85</v>
      </c>
      <c r="L1392" s="5"/>
      <c r="M1392" s="5"/>
      <c r="N1392" s="5"/>
      <c r="O1392" s="278"/>
    </row>
    <row r="1393" spans="1:15" ht="21" hidden="1" customHeight="1" outlineLevel="1">
      <c r="A1393" s="145"/>
      <c r="B1393" s="5"/>
      <c r="C1393" s="5">
        <v>6.5</v>
      </c>
      <c r="D1393" s="5">
        <v>1</v>
      </c>
      <c r="E1393" s="5">
        <v>2</v>
      </c>
      <c r="F1393" s="5">
        <f t="shared" si="216"/>
        <v>2</v>
      </c>
      <c r="G1393" s="5">
        <f t="shared" si="215"/>
        <v>6.5</v>
      </c>
      <c r="H1393" s="5"/>
      <c r="I1393" s="5"/>
      <c r="J1393" s="5"/>
      <c r="K1393" s="5"/>
      <c r="L1393" s="5">
        <f>2.24*G1393*F1393</f>
        <v>29.120000000000005</v>
      </c>
      <c r="M1393" s="5"/>
      <c r="N1393" s="5"/>
      <c r="O1393" s="278"/>
    </row>
    <row r="1394" spans="1:15" ht="21" hidden="1" customHeight="1" outlineLevel="1">
      <c r="A1394" s="145"/>
      <c r="B1394" s="5"/>
      <c r="C1394" s="5">
        <v>6.5</v>
      </c>
      <c r="D1394" s="5">
        <v>1</v>
      </c>
      <c r="E1394" s="5">
        <v>2</v>
      </c>
      <c r="F1394" s="5">
        <f t="shared" si="216"/>
        <v>2</v>
      </c>
      <c r="G1394" s="5">
        <f t="shared" si="215"/>
        <v>6.5</v>
      </c>
      <c r="H1394" s="5"/>
      <c r="I1394" s="5"/>
      <c r="J1394" s="5"/>
      <c r="K1394" s="5">
        <f>1.55*G1394*F1394</f>
        <v>20.150000000000002</v>
      </c>
      <c r="L1394" s="5"/>
      <c r="M1394" s="5"/>
      <c r="N1394" s="5"/>
      <c r="O1394" s="278"/>
    </row>
    <row r="1395" spans="1:15" ht="21" hidden="1" customHeight="1" outlineLevel="1">
      <c r="A1395" s="145"/>
      <c r="B1395" s="5"/>
      <c r="C1395" s="5">
        <v>4.5</v>
      </c>
      <c r="D1395" s="5">
        <v>1</v>
      </c>
      <c r="E1395" s="5">
        <v>1</v>
      </c>
      <c r="F1395" s="5">
        <f t="shared" si="216"/>
        <v>1</v>
      </c>
      <c r="G1395" s="5">
        <f t="shared" si="215"/>
        <v>4.5</v>
      </c>
      <c r="H1395" s="5"/>
      <c r="I1395" s="5"/>
      <c r="J1395" s="5"/>
      <c r="K1395" s="5">
        <f>1.55*G1395*F1395</f>
        <v>6.9750000000000005</v>
      </c>
      <c r="L1395" s="5"/>
      <c r="M1395" s="5"/>
      <c r="N1395" s="5"/>
      <c r="O1395" s="278"/>
    </row>
    <row r="1396" spans="1:15" ht="21" hidden="1" customHeight="1" outlineLevel="1">
      <c r="A1396" s="145"/>
      <c r="B1396" s="5"/>
      <c r="C1396" s="5">
        <v>5.5</v>
      </c>
      <c r="D1396" s="5">
        <v>1</v>
      </c>
      <c r="E1396" s="5">
        <v>2</v>
      </c>
      <c r="F1396" s="5">
        <f t="shared" si="216"/>
        <v>2</v>
      </c>
      <c r="G1396" s="5">
        <f t="shared" si="215"/>
        <v>5.5</v>
      </c>
      <c r="H1396" s="5"/>
      <c r="I1396" s="5"/>
      <c r="J1396" s="5"/>
      <c r="K1396" s="5">
        <f>1.55*G1396*F1396</f>
        <v>17.05</v>
      </c>
      <c r="L1396" s="5"/>
      <c r="M1396" s="5"/>
      <c r="N1396" s="5"/>
      <c r="O1396" s="278"/>
    </row>
    <row r="1397" spans="1:15" ht="21" hidden="1" customHeight="1" outlineLevel="1">
      <c r="A1397" s="145"/>
      <c r="B1397" s="5"/>
      <c r="C1397" s="5">
        <v>5.5</v>
      </c>
      <c r="D1397" s="5">
        <v>1</v>
      </c>
      <c r="E1397" s="5">
        <v>1</v>
      </c>
      <c r="F1397" s="5">
        <f t="shared" si="216"/>
        <v>1</v>
      </c>
      <c r="G1397" s="5">
        <f t="shared" si="215"/>
        <v>5.5</v>
      </c>
      <c r="H1397" s="5"/>
      <c r="I1397" s="5"/>
      <c r="J1397" s="5"/>
      <c r="K1397" s="5"/>
      <c r="L1397" s="5">
        <f>2.24*G1397*F1397</f>
        <v>12.32</v>
      </c>
      <c r="M1397" s="5"/>
      <c r="N1397" s="5"/>
      <c r="O1397" s="278"/>
    </row>
    <row r="1398" spans="1:15" ht="21" hidden="1" customHeight="1" outlineLevel="1">
      <c r="A1398" s="145"/>
      <c r="B1398" s="5"/>
      <c r="C1398" s="5">
        <v>9</v>
      </c>
      <c r="D1398" s="5">
        <v>1</v>
      </c>
      <c r="E1398" s="5">
        <v>1</v>
      </c>
      <c r="F1398" s="5">
        <f t="shared" si="216"/>
        <v>1</v>
      </c>
      <c r="G1398" s="5">
        <f t="shared" si="215"/>
        <v>9</v>
      </c>
      <c r="H1398" s="5"/>
      <c r="I1398" s="5"/>
      <c r="J1398" s="5"/>
      <c r="K1398" s="5">
        <f>1.55*G1398*F1398</f>
        <v>13.950000000000001</v>
      </c>
      <c r="L1398" s="5"/>
      <c r="M1398" s="5"/>
      <c r="N1398" s="5"/>
      <c r="O1398" s="278"/>
    </row>
    <row r="1399" spans="1:15" ht="21" hidden="1" customHeight="1" outlineLevel="1">
      <c r="A1399" s="145"/>
      <c r="B1399" s="5"/>
      <c r="C1399" s="5">
        <v>9</v>
      </c>
      <c r="D1399" s="5">
        <v>1</v>
      </c>
      <c r="E1399" s="5">
        <v>1</v>
      </c>
      <c r="F1399" s="5">
        <f t="shared" si="216"/>
        <v>1</v>
      </c>
      <c r="G1399" s="5">
        <f t="shared" si="215"/>
        <v>9</v>
      </c>
      <c r="H1399" s="5"/>
      <c r="I1399" s="5"/>
      <c r="J1399" s="5"/>
      <c r="K1399" s="5"/>
      <c r="L1399" s="5">
        <f>2.24*G1399*F1399</f>
        <v>20.160000000000004</v>
      </c>
      <c r="M1399" s="5"/>
      <c r="N1399" s="5"/>
      <c r="O1399" s="278"/>
    </row>
    <row r="1400" spans="1:15" ht="21" hidden="1" customHeight="1" outlineLevel="1">
      <c r="A1400" s="145"/>
      <c r="B1400" s="5"/>
      <c r="C1400" s="5">
        <v>3</v>
      </c>
      <c r="D1400" s="5">
        <v>1</v>
      </c>
      <c r="E1400" s="5">
        <v>1</v>
      </c>
      <c r="F1400" s="5">
        <f t="shared" si="216"/>
        <v>1</v>
      </c>
      <c r="G1400" s="5">
        <f t="shared" si="215"/>
        <v>3</v>
      </c>
      <c r="H1400" s="5"/>
      <c r="I1400" s="5"/>
      <c r="J1400" s="5"/>
      <c r="K1400" s="5">
        <f>1.55*G1400*F1400</f>
        <v>4.6500000000000004</v>
      </c>
      <c r="L1400" s="5"/>
      <c r="M1400" s="5"/>
      <c r="N1400" s="5"/>
      <c r="O1400" s="278"/>
    </row>
    <row r="1401" spans="1:15" ht="21" hidden="1" customHeight="1" outlineLevel="1">
      <c r="A1401" s="145"/>
      <c r="B1401" s="5"/>
      <c r="C1401" s="5">
        <v>3</v>
      </c>
      <c r="D1401" s="5">
        <v>1</v>
      </c>
      <c r="E1401" s="5">
        <v>1</v>
      </c>
      <c r="F1401" s="5">
        <f t="shared" si="216"/>
        <v>1</v>
      </c>
      <c r="G1401" s="5">
        <f t="shared" si="215"/>
        <v>3</v>
      </c>
      <c r="H1401" s="5"/>
      <c r="I1401" s="5"/>
      <c r="J1401" s="5">
        <f>+G1401*F1401</f>
        <v>3</v>
      </c>
      <c r="K1401" s="5"/>
      <c r="L1401" s="5"/>
      <c r="M1401" s="5"/>
      <c r="N1401" s="5"/>
      <c r="O1401" s="278"/>
    </row>
    <row r="1402" spans="1:15" ht="21" hidden="1" customHeight="1" outlineLevel="1">
      <c r="A1402" s="145"/>
      <c r="B1402" s="5"/>
      <c r="C1402" s="5">
        <v>4</v>
      </c>
      <c r="D1402" s="5">
        <v>1</v>
      </c>
      <c r="E1402" s="5">
        <v>3</v>
      </c>
      <c r="F1402" s="5">
        <f t="shared" si="216"/>
        <v>3</v>
      </c>
      <c r="G1402" s="5">
        <f t="shared" si="215"/>
        <v>4</v>
      </c>
      <c r="H1402" s="5"/>
      <c r="I1402" s="5"/>
      <c r="J1402" s="5">
        <f>+G1402*F1402</f>
        <v>12</v>
      </c>
      <c r="K1402" s="5"/>
      <c r="L1402" s="5"/>
      <c r="M1402" s="5"/>
      <c r="N1402" s="5"/>
      <c r="O1402" s="278"/>
    </row>
    <row r="1403" spans="1:15" ht="21" hidden="1" customHeight="1" outlineLevel="1">
      <c r="A1403" s="145"/>
      <c r="B1403" s="5"/>
      <c r="C1403" s="5">
        <v>7.2</v>
      </c>
      <c r="D1403" s="5">
        <v>1</v>
      </c>
      <c r="E1403" s="5">
        <v>1</v>
      </c>
      <c r="F1403" s="5">
        <f t="shared" si="216"/>
        <v>1</v>
      </c>
      <c r="G1403" s="5">
        <f t="shared" si="215"/>
        <v>7.2</v>
      </c>
      <c r="H1403" s="5"/>
      <c r="I1403" s="5"/>
      <c r="J1403" s="5"/>
      <c r="K1403" s="5">
        <f>1.55*G1403*F1403</f>
        <v>11.16</v>
      </c>
      <c r="L1403" s="5"/>
      <c r="M1403" s="5"/>
      <c r="N1403" s="5"/>
      <c r="O1403" s="278"/>
    </row>
    <row r="1404" spans="1:15" ht="21" hidden="1" customHeight="1" outlineLevel="1">
      <c r="A1404" s="145"/>
      <c r="B1404" s="5"/>
      <c r="C1404" s="5">
        <v>7.2</v>
      </c>
      <c r="D1404" s="5">
        <v>1</v>
      </c>
      <c r="E1404" s="5">
        <v>1</v>
      </c>
      <c r="F1404" s="5">
        <f t="shared" si="216"/>
        <v>1</v>
      </c>
      <c r="G1404" s="5">
        <f t="shared" si="215"/>
        <v>7.2</v>
      </c>
      <c r="H1404" s="5"/>
      <c r="I1404" s="5"/>
      <c r="J1404" s="5"/>
      <c r="K1404" s="5"/>
      <c r="L1404" s="5">
        <f>2.24*G1404*F1404</f>
        <v>16.128000000000004</v>
      </c>
      <c r="M1404" s="5"/>
      <c r="N1404" s="5"/>
      <c r="O1404" s="278"/>
    </row>
    <row r="1405" spans="1:15" ht="21" hidden="1" customHeight="1" outlineLevel="1">
      <c r="A1405" s="145"/>
      <c r="B1405" s="5"/>
      <c r="C1405" s="5">
        <v>3</v>
      </c>
      <c r="D1405" s="5">
        <v>1</v>
      </c>
      <c r="E1405" s="5">
        <v>2</v>
      </c>
      <c r="F1405" s="5">
        <f t="shared" si="216"/>
        <v>2</v>
      </c>
      <c r="G1405" s="5">
        <f t="shared" si="215"/>
        <v>3</v>
      </c>
      <c r="H1405" s="5"/>
      <c r="I1405" s="5"/>
      <c r="J1405" s="5"/>
      <c r="K1405" s="5"/>
      <c r="L1405" s="5">
        <f>2.24*G1405*F1405</f>
        <v>13.440000000000001</v>
      </c>
      <c r="M1405" s="5"/>
      <c r="N1405" s="5"/>
      <c r="O1405" s="278"/>
    </row>
    <row r="1406" spans="1:15" ht="21" hidden="1" customHeight="1" outlineLevel="1">
      <c r="A1406" s="145"/>
      <c r="B1406" s="5"/>
      <c r="C1406" s="5">
        <f>(0.55*2)+(0.45*2)+(0.05*2)</f>
        <v>2.1</v>
      </c>
      <c r="D1406" s="5">
        <v>1</v>
      </c>
      <c r="E1406" s="5">
        <v>140</v>
      </c>
      <c r="F1406" s="5">
        <f t="shared" si="216"/>
        <v>140</v>
      </c>
      <c r="G1406" s="5">
        <f t="shared" si="215"/>
        <v>2.1</v>
      </c>
      <c r="H1406" s="5"/>
      <c r="I1406" s="5">
        <f>0.56*G1406*F1406</f>
        <v>164.64000000000001</v>
      </c>
      <c r="J1406" s="5"/>
      <c r="K1406" s="5"/>
      <c r="L1406" s="5"/>
      <c r="M1406" s="5"/>
      <c r="N1406" s="5"/>
      <c r="O1406" s="278"/>
    </row>
    <row r="1407" spans="1:15" ht="21" hidden="1" customHeight="1" outlineLevel="1">
      <c r="A1407" s="145"/>
      <c r="B1407" s="5"/>
      <c r="C1407" s="5">
        <f>0.55+(0.05*2)</f>
        <v>0.65</v>
      </c>
      <c r="D1407" s="5">
        <v>1</v>
      </c>
      <c r="E1407" s="5">
        <v>140</v>
      </c>
      <c r="F1407" s="5">
        <f t="shared" si="216"/>
        <v>140</v>
      </c>
      <c r="G1407" s="5">
        <f t="shared" si="215"/>
        <v>0.65</v>
      </c>
      <c r="H1407" s="5"/>
      <c r="I1407" s="5">
        <f>0.56*G1407*F1407</f>
        <v>50.960000000000008</v>
      </c>
      <c r="J1407" s="5"/>
      <c r="K1407" s="5"/>
      <c r="L1407" s="5"/>
      <c r="M1407" s="5"/>
      <c r="N1407" s="5"/>
      <c r="O1407" s="278"/>
    </row>
    <row r="1408" spans="1:15" ht="21" hidden="1" customHeight="1" outlineLevel="1">
      <c r="A1408" s="2129"/>
      <c r="B1408" s="2130"/>
      <c r="C1408" s="2130"/>
      <c r="D1408" s="2130"/>
      <c r="E1408" s="2130"/>
      <c r="F1408" s="2130"/>
      <c r="G1408" s="2130"/>
      <c r="H1408" s="561">
        <f t="shared" ref="H1408:O1408" si="217">SUM(H1376:H1407)</f>
        <v>0</v>
      </c>
      <c r="I1408" s="561">
        <f t="shared" si="217"/>
        <v>215.60000000000002</v>
      </c>
      <c r="J1408" s="561">
        <f t="shared" si="217"/>
        <v>75.5</v>
      </c>
      <c r="K1408" s="561">
        <f t="shared" si="217"/>
        <v>199.48499999999999</v>
      </c>
      <c r="L1408" s="561">
        <f t="shared" si="217"/>
        <v>226.46400000000003</v>
      </c>
      <c r="M1408" s="561">
        <f t="shared" si="217"/>
        <v>75</v>
      </c>
      <c r="N1408" s="561">
        <f t="shared" si="217"/>
        <v>0</v>
      </c>
      <c r="O1408" s="562">
        <f t="shared" si="217"/>
        <v>0</v>
      </c>
    </row>
    <row r="1409" spans="1:15" ht="21" hidden="1" customHeight="1" outlineLevel="1">
      <c r="A1409" s="2129"/>
      <c r="B1409" s="2130"/>
      <c r="C1409" s="2130"/>
      <c r="D1409" s="2130"/>
      <c r="E1409" s="2130"/>
      <c r="F1409" s="2130"/>
      <c r="G1409" s="2130"/>
      <c r="H1409" s="2130">
        <f>SUM(H1408:O1408)</f>
        <v>792.04900000000009</v>
      </c>
      <c r="I1409" s="2130"/>
      <c r="J1409" s="2130"/>
      <c r="K1409" s="2130"/>
      <c r="L1409" s="2130"/>
      <c r="M1409" s="2130"/>
      <c r="N1409" s="2130"/>
      <c r="O1409" s="2170"/>
    </row>
    <row r="1410" spans="1:15" ht="21" hidden="1" customHeight="1" outlineLevel="1">
      <c r="A1410" s="14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278"/>
    </row>
    <row r="1411" spans="1:15" ht="21" hidden="1" customHeight="1" outlineLevel="1">
      <c r="A1411" s="277" t="s">
        <v>454</v>
      </c>
      <c r="B1411" s="5"/>
      <c r="C1411" s="5">
        <v>3</v>
      </c>
      <c r="D1411" s="5">
        <v>1</v>
      </c>
      <c r="E1411" s="5">
        <v>1</v>
      </c>
      <c r="F1411" s="5">
        <f t="shared" ref="F1411:F1439" si="218">+E1411*D1411</f>
        <v>1</v>
      </c>
      <c r="G1411" s="5">
        <f t="shared" ref="G1411:G1439" si="219">+C1411</f>
        <v>3</v>
      </c>
      <c r="H1411" s="5"/>
      <c r="I1411" s="5"/>
      <c r="J1411" s="5"/>
      <c r="K1411" s="5">
        <f>1.55*G1411*F1411</f>
        <v>4.6500000000000004</v>
      </c>
      <c r="L1411" s="5"/>
      <c r="M1411" s="5"/>
      <c r="N1411" s="5"/>
      <c r="O1411" s="278"/>
    </row>
    <row r="1412" spans="1:15" ht="21" hidden="1" customHeight="1" outlineLevel="1">
      <c r="A1412" s="145"/>
      <c r="B1412" s="5"/>
      <c r="C1412" s="5">
        <v>3</v>
      </c>
      <c r="D1412" s="5">
        <v>1</v>
      </c>
      <c r="E1412" s="5">
        <v>1</v>
      </c>
      <c r="F1412" s="5">
        <f t="shared" si="218"/>
        <v>1</v>
      </c>
      <c r="G1412" s="5">
        <f t="shared" si="219"/>
        <v>3</v>
      </c>
      <c r="H1412" s="5"/>
      <c r="I1412" s="5"/>
      <c r="J1412" s="5">
        <f>+G1412*F1412</f>
        <v>3</v>
      </c>
      <c r="K1412" s="5"/>
      <c r="L1412" s="5"/>
      <c r="M1412" s="5"/>
      <c r="N1412" s="5"/>
      <c r="O1412" s="278"/>
    </row>
    <row r="1413" spans="1:15" ht="21" hidden="1" customHeight="1" outlineLevel="1">
      <c r="A1413" s="145"/>
      <c r="B1413" s="5"/>
      <c r="C1413" s="5">
        <v>9</v>
      </c>
      <c r="D1413" s="5">
        <v>1</v>
      </c>
      <c r="E1413" s="5">
        <v>3</v>
      </c>
      <c r="F1413" s="5">
        <f t="shared" si="218"/>
        <v>3</v>
      </c>
      <c r="G1413" s="5">
        <f t="shared" si="219"/>
        <v>9</v>
      </c>
      <c r="H1413" s="5"/>
      <c r="I1413" s="5"/>
      <c r="J1413" s="5">
        <f>+G1413*F1413</f>
        <v>27</v>
      </c>
      <c r="K1413" s="5"/>
      <c r="L1413" s="5"/>
      <c r="M1413" s="5"/>
      <c r="N1413" s="5"/>
      <c r="O1413" s="278"/>
    </row>
    <row r="1414" spans="1:15" ht="21" hidden="1" customHeight="1" outlineLevel="1">
      <c r="A1414" s="145"/>
      <c r="B1414" s="5"/>
      <c r="C1414" s="5">
        <v>9</v>
      </c>
      <c r="D1414" s="5">
        <v>1</v>
      </c>
      <c r="E1414" s="5">
        <v>1</v>
      </c>
      <c r="F1414" s="5">
        <f t="shared" si="218"/>
        <v>1</v>
      </c>
      <c r="G1414" s="5">
        <f t="shared" si="219"/>
        <v>9</v>
      </c>
      <c r="H1414" s="5"/>
      <c r="I1414" s="5"/>
      <c r="J1414" s="5"/>
      <c r="K1414" s="5">
        <f>1.55*G1414*F1414</f>
        <v>13.950000000000001</v>
      </c>
      <c r="L1414" s="5"/>
      <c r="M1414" s="5"/>
      <c r="N1414" s="5"/>
      <c r="O1414" s="278"/>
    </row>
    <row r="1415" spans="1:15" ht="21" hidden="1" customHeight="1" outlineLevel="1">
      <c r="A1415" s="145"/>
      <c r="B1415" s="5"/>
      <c r="C1415" s="5">
        <v>9</v>
      </c>
      <c r="D1415" s="5">
        <v>1</v>
      </c>
      <c r="E1415" s="5">
        <v>1</v>
      </c>
      <c r="F1415" s="5">
        <f t="shared" si="218"/>
        <v>1</v>
      </c>
      <c r="G1415" s="5">
        <f t="shared" si="219"/>
        <v>9</v>
      </c>
      <c r="H1415" s="5"/>
      <c r="I1415" s="5"/>
      <c r="J1415" s="5"/>
      <c r="K1415" s="5"/>
      <c r="L1415" s="5">
        <f>2.24*G1415*F1415</f>
        <v>20.160000000000004</v>
      </c>
      <c r="M1415" s="5"/>
      <c r="N1415" s="5"/>
      <c r="O1415" s="278"/>
    </row>
    <row r="1416" spans="1:15" ht="21" hidden="1" customHeight="1" outlineLevel="1">
      <c r="A1416" s="145"/>
      <c r="B1416" s="5"/>
      <c r="C1416" s="5">
        <v>3.8</v>
      </c>
      <c r="D1416" s="5">
        <v>1</v>
      </c>
      <c r="E1416" s="5">
        <v>1</v>
      </c>
      <c r="F1416" s="5">
        <f t="shared" si="218"/>
        <v>1</v>
      </c>
      <c r="G1416" s="5">
        <f t="shared" si="219"/>
        <v>3.8</v>
      </c>
      <c r="H1416" s="5"/>
      <c r="I1416" s="5"/>
      <c r="J1416" s="5"/>
      <c r="K1416" s="5"/>
      <c r="L1416" s="5">
        <f>2.24*G1416*F1416</f>
        <v>8.5120000000000005</v>
      </c>
      <c r="M1416" s="5"/>
      <c r="N1416" s="5"/>
      <c r="O1416" s="278"/>
    </row>
    <row r="1417" spans="1:15" ht="21" hidden="1" customHeight="1" outlineLevel="1">
      <c r="A1417" s="145"/>
      <c r="B1417" s="5"/>
      <c r="C1417" s="5">
        <v>3.8</v>
      </c>
      <c r="D1417" s="5">
        <v>1</v>
      </c>
      <c r="E1417" s="5">
        <v>1</v>
      </c>
      <c r="F1417" s="5">
        <f t="shared" si="218"/>
        <v>1</v>
      </c>
      <c r="G1417" s="5">
        <f t="shared" si="219"/>
        <v>3.8</v>
      </c>
      <c r="H1417" s="5"/>
      <c r="I1417" s="5"/>
      <c r="J1417" s="5"/>
      <c r="K1417" s="5">
        <f>1.55*G1417*F1417</f>
        <v>5.89</v>
      </c>
      <c r="L1417" s="5"/>
      <c r="M1417" s="5"/>
      <c r="N1417" s="5"/>
      <c r="O1417" s="278"/>
    </row>
    <row r="1418" spans="1:15" ht="21" hidden="1" customHeight="1" outlineLevel="1">
      <c r="A1418" s="145"/>
      <c r="B1418" s="5"/>
      <c r="C1418" s="5">
        <v>5</v>
      </c>
      <c r="D1418" s="5">
        <v>1</v>
      </c>
      <c r="E1418" s="5">
        <v>1</v>
      </c>
      <c r="F1418" s="5">
        <f t="shared" si="218"/>
        <v>1</v>
      </c>
      <c r="G1418" s="5">
        <f t="shared" si="219"/>
        <v>5</v>
      </c>
      <c r="H1418" s="5"/>
      <c r="I1418" s="5"/>
      <c r="J1418" s="5"/>
      <c r="K1418" s="5">
        <f>1.55*G1418*F1418</f>
        <v>7.75</v>
      </c>
      <c r="L1418" s="5"/>
      <c r="M1418" s="5"/>
      <c r="N1418" s="5"/>
      <c r="O1418" s="278"/>
    </row>
    <row r="1419" spans="1:15" ht="21" hidden="1" customHeight="1" outlineLevel="1">
      <c r="A1419" s="145"/>
      <c r="B1419" s="5"/>
      <c r="C1419" s="5">
        <v>5</v>
      </c>
      <c r="D1419" s="5">
        <v>1</v>
      </c>
      <c r="E1419" s="5">
        <v>2</v>
      </c>
      <c r="F1419" s="5">
        <f t="shared" si="218"/>
        <v>2</v>
      </c>
      <c r="G1419" s="5">
        <f t="shared" si="219"/>
        <v>5</v>
      </c>
      <c r="H1419" s="5"/>
      <c r="I1419" s="5"/>
      <c r="J1419" s="5">
        <f>+G1419*F1419</f>
        <v>10</v>
      </c>
      <c r="K1419" s="5"/>
      <c r="L1419" s="5"/>
      <c r="M1419" s="5"/>
      <c r="N1419" s="5"/>
      <c r="O1419" s="278"/>
    </row>
    <row r="1420" spans="1:15" ht="21" hidden="1" customHeight="1" outlineLevel="1">
      <c r="A1420" s="145"/>
      <c r="B1420" s="5"/>
      <c r="C1420" s="5">
        <v>4.5</v>
      </c>
      <c r="D1420" s="5">
        <v>1</v>
      </c>
      <c r="E1420" s="5">
        <v>3</v>
      </c>
      <c r="F1420" s="5">
        <f t="shared" si="218"/>
        <v>3</v>
      </c>
      <c r="G1420" s="5">
        <f t="shared" si="219"/>
        <v>4.5</v>
      </c>
      <c r="H1420" s="5"/>
      <c r="I1420" s="5"/>
      <c r="J1420" s="5">
        <f>+G1420*F1420</f>
        <v>13.5</v>
      </c>
      <c r="K1420" s="5"/>
      <c r="L1420" s="5"/>
      <c r="M1420" s="5"/>
      <c r="N1420" s="5"/>
      <c r="O1420" s="278"/>
    </row>
    <row r="1421" spans="1:15" ht="21" hidden="1" customHeight="1" outlineLevel="1">
      <c r="A1421" s="145"/>
      <c r="B1421" s="5"/>
      <c r="C1421" s="5">
        <v>12</v>
      </c>
      <c r="D1421" s="5">
        <v>1</v>
      </c>
      <c r="E1421" s="5">
        <v>1</v>
      </c>
      <c r="F1421" s="5">
        <f t="shared" si="218"/>
        <v>1</v>
      </c>
      <c r="G1421" s="5">
        <f t="shared" si="219"/>
        <v>12</v>
      </c>
      <c r="H1421" s="5"/>
      <c r="I1421" s="5"/>
      <c r="J1421" s="5"/>
      <c r="K1421" s="5">
        <f>1.55*G1421*F1421</f>
        <v>18.600000000000001</v>
      </c>
      <c r="L1421" s="5"/>
      <c r="M1421" s="5"/>
      <c r="N1421" s="5"/>
      <c r="O1421" s="278"/>
    </row>
    <row r="1422" spans="1:15" ht="21" hidden="1" customHeight="1" outlineLevel="1">
      <c r="A1422" s="145"/>
      <c r="B1422" s="5"/>
      <c r="C1422" s="5">
        <v>12</v>
      </c>
      <c r="D1422" s="5">
        <v>1</v>
      </c>
      <c r="E1422" s="5">
        <v>1</v>
      </c>
      <c r="F1422" s="5">
        <f t="shared" si="218"/>
        <v>1</v>
      </c>
      <c r="G1422" s="5">
        <f t="shared" si="219"/>
        <v>12</v>
      </c>
      <c r="H1422" s="5"/>
      <c r="I1422" s="5"/>
      <c r="J1422" s="5"/>
      <c r="K1422" s="5"/>
      <c r="L1422" s="5">
        <f>2.24*G1422*F1422</f>
        <v>26.880000000000003</v>
      </c>
      <c r="M1422" s="5"/>
      <c r="N1422" s="5"/>
      <c r="O1422" s="278"/>
    </row>
    <row r="1423" spans="1:15" ht="21" hidden="1" customHeight="1" outlineLevel="1">
      <c r="A1423" s="145"/>
      <c r="B1423" s="5"/>
      <c r="C1423" s="5">
        <v>10.5</v>
      </c>
      <c r="D1423" s="5">
        <v>1</v>
      </c>
      <c r="E1423" s="5">
        <v>1</v>
      </c>
      <c r="F1423" s="5">
        <f t="shared" si="218"/>
        <v>1</v>
      </c>
      <c r="G1423" s="5">
        <f t="shared" si="219"/>
        <v>10.5</v>
      </c>
      <c r="H1423" s="5"/>
      <c r="I1423" s="5"/>
      <c r="J1423" s="5"/>
      <c r="K1423" s="5"/>
      <c r="L1423" s="5">
        <f>2.24*G1423*F1423</f>
        <v>23.520000000000003</v>
      </c>
      <c r="M1423" s="5"/>
      <c r="N1423" s="5"/>
      <c r="O1423" s="278"/>
    </row>
    <row r="1424" spans="1:15" ht="21" hidden="1" customHeight="1" outlineLevel="1">
      <c r="A1424" s="145"/>
      <c r="B1424" s="5"/>
      <c r="C1424" s="5">
        <v>10.5</v>
      </c>
      <c r="D1424" s="5">
        <v>1</v>
      </c>
      <c r="E1424" s="5">
        <v>1</v>
      </c>
      <c r="F1424" s="5">
        <f t="shared" si="218"/>
        <v>1</v>
      </c>
      <c r="G1424" s="5">
        <f t="shared" si="219"/>
        <v>10.5</v>
      </c>
      <c r="H1424" s="5"/>
      <c r="I1424" s="5"/>
      <c r="J1424" s="5"/>
      <c r="K1424" s="5">
        <f>1.55*G1424*F1424</f>
        <v>16.275000000000002</v>
      </c>
      <c r="L1424" s="5"/>
      <c r="M1424" s="5"/>
      <c r="N1424" s="5"/>
      <c r="O1424" s="278"/>
    </row>
    <row r="1425" spans="1:15" ht="21" hidden="1" customHeight="1" outlineLevel="1">
      <c r="A1425" s="145"/>
      <c r="B1425" s="5"/>
      <c r="C1425" s="5">
        <v>5.5</v>
      </c>
      <c r="D1425" s="5">
        <v>1</v>
      </c>
      <c r="E1425" s="5">
        <v>6</v>
      </c>
      <c r="F1425" s="5">
        <f t="shared" si="218"/>
        <v>6</v>
      </c>
      <c r="G1425" s="5">
        <f t="shared" si="219"/>
        <v>5.5</v>
      </c>
      <c r="H1425" s="5"/>
      <c r="I1425" s="5"/>
      <c r="J1425" s="5"/>
      <c r="K1425" s="5">
        <f>1.55*G1425*F1425</f>
        <v>51.150000000000006</v>
      </c>
      <c r="L1425" s="5"/>
      <c r="M1425" s="5"/>
      <c r="N1425" s="5"/>
      <c r="O1425" s="278"/>
    </row>
    <row r="1426" spans="1:15" ht="21" hidden="1" customHeight="1" outlineLevel="1">
      <c r="A1426" s="145"/>
      <c r="B1426" s="5"/>
      <c r="C1426" s="5">
        <v>7.5</v>
      </c>
      <c r="D1426" s="5">
        <v>1</v>
      </c>
      <c r="E1426" s="5">
        <v>3</v>
      </c>
      <c r="F1426" s="5">
        <f t="shared" si="218"/>
        <v>3</v>
      </c>
      <c r="G1426" s="5">
        <f t="shared" si="219"/>
        <v>7.5</v>
      </c>
      <c r="H1426" s="5"/>
      <c r="I1426" s="5"/>
      <c r="J1426" s="5">
        <f>+G1426*F1426</f>
        <v>22.5</v>
      </c>
      <c r="K1426" s="5"/>
      <c r="L1426" s="5"/>
      <c r="M1426" s="5"/>
      <c r="N1426" s="5"/>
      <c r="O1426" s="278"/>
    </row>
    <row r="1427" spans="1:15" ht="21" hidden="1" customHeight="1" outlineLevel="1">
      <c r="A1427" s="145"/>
      <c r="B1427" s="5"/>
      <c r="C1427" s="5">
        <v>8</v>
      </c>
      <c r="D1427" s="5">
        <v>1</v>
      </c>
      <c r="E1427" s="5">
        <v>3</v>
      </c>
      <c r="F1427" s="5">
        <f t="shared" si="218"/>
        <v>3</v>
      </c>
      <c r="G1427" s="5">
        <f t="shared" si="219"/>
        <v>8</v>
      </c>
      <c r="H1427" s="5"/>
      <c r="I1427" s="5"/>
      <c r="J1427" s="5">
        <f>+G1427*F1427</f>
        <v>24</v>
      </c>
      <c r="K1427" s="5"/>
      <c r="L1427" s="5"/>
      <c r="M1427" s="5"/>
      <c r="N1427" s="5"/>
      <c r="O1427" s="278"/>
    </row>
    <row r="1428" spans="1:15" ht="21" hidden="1" customHeight="1" outlineLevel="1">
      <c r="A1428" s="145"/>
      <c r="B1428" s="5"/>
      <c r="C1428" s="5">
        <v>6.5</v>
      </c>
      <c r="D1428" s="5">
        <v>1</v>
      </c>
      <c r="E1428" s="5">
        <v>2</v>
      </c>
      <c r="F1428" s="5">
        <f t="shared" si="218"/>
        <v>2</v>
      </c>
      <c r="G1428" s="5">
        <f t="shared" si="219"/>
        <v>6.5</v>
      </c>
      <c r="H1428" s="5"/>
      <c r="I1428" s="5"/>
      <c r="J1428" s="5"/>
      <c r="K1428" s="5">
        <f>1.55*G1428*F1428</f>
        <v>20.150000000000002</v>
      </c>
      <c r="L1428" s="5"/>
      <c r="M1428" s="5"/>
      <c r="N1428" s="5"/>
      <c r="O1428" s="278"/>
    </row>
    <row r="1429" spans="1:15" ht="21" hidden="1" customHeight="1" outlineLevel="1">
      <c r="A1429" s="145"/>
      <c r="B1429" s="5"/>
      <c r="C1429" s="5">
        <v>6.5</v>
      </c>
      <c r="D1429" s="5">
        <v>1</v>
      </c>
      <c r="E1429" s="5">
        <v>2</v>
      </c>
      <c r="F1429" s="5">
        <f t="shared" si="218"/>
        <v>2</v>
      </c>
      <c r="G1429" s="5">
        <f t="shared" si="219"/>
        <v>6.5</v>
      </c>
      <c r="H1429" s="5"/>
      <c r="I1429" s="5"/>
      <c r="J1429" s="5"/>
      <c r="K1429" s="5"/>
      <c r="L1429" s="5">
        <f>2.24*G1429*F1429</f>
        <v>29.120000000000005</v>
      </c>
      <c r="M1429" s="5"/>
      <c r="N1429" s="5"/>
      <c r="O1429" s="278"/>
    </row>
    <row r="1430" spans="1:15" ht="21" hidden="1" customHeight="1" outlineLevel="1">
      <c r="A1430" s="145"/>
      <c r="B1430" s="5"/>
      <c r="C1430" s="5">
        <v>9.5</v>
      </c>
      <c r="D1430" s="5">
        <v>1</v>
      </c>
      <c r="E1430" s="5">
        <v>1</v>
      </c>
      <c r="F1430" s="5">
        <f t="shared" si="218"/>
        <v>1</v>
      </c>
      <c r="G1430" s="5">
        <f t="shared" si="219"/>
        <v>9.5</v>
      </c>
      <c r="H1430" s="5"/>
      <c r="I1430" s="5"/>
      <c r="J1430" s="5"/>
      <c r="K1430" s="5"/>
      <c r="L1430" s="5">
        <f>2.24*G1430*F1430</f>
        <v>21.28</v>
      </c>
      <c r="M1430" s="5"/>
      <c r="N1430" s="5"/>
      <c r="O1430" s="278"/>
    </row>
    <row r="1431" spans="1:15" ht="21" hidden="1" customHeight="1" outlineLevel="1">
      <c r="A1431" s="145"/>
      <c r="B1431" s="5"/>
      <c r="C1431" s="5">
        <v>9.5</v>
      </c>
      <c r="D1431" s="5">
        <v>1</v>
      </c>
      <c r="E1431" s="5">
        <v>1</v>
      </c>
      <c r="F1431" s="5">
        <f t="shared" si="218"/>
        <v>1</v>
      </c>
      <c r="G1431" s="5">
        <f t="shared" si="219"/>
        <v>9.5</v>
      </c>
      <c r="H1431" s="5"/>
      <c r="I1431" s="5"/>
      <c r="J1431" s="5"/>
      <c r="K1431" s="5">
        <f>1.55*G1431*F1431</f>
        <v>14.725</v>
      </c>
      <c r="L1431" s="5"/>
      <c r="M1431" s="5"/>
      <c r="N1431" s="5"/>
      <c r="O1431" s="278"/>
    </row>
    <row r="1432" spans="1:15" ht="21" hidden="1" customHeight="1" outlineLevel="1">
      <c r="A1432" s="145"/>
      <c r="B1432" s="5"/>
      <c r="C1432" s="5">
        <v>3</v>
      </c>
      <c r="D1432" s="5">
        <v>1</v>
      </c>
      <c r="E1432" s="5">
        <v>1</v>
      </c>
      <c r="F1432" s="5">
        <f t="shared" si="218"/>
        <v>1</v>
      </c>
      <c r="G1432" s="5">
        <f t="shared" si="219"/>
        <v>3</v>
      </c>
      <c r="H1432" s="5"/>
      <c r="I1432" s="5"/>
      <c r="J1432" s="5"/>
      <c r="K1432" s="5">
        <f>1.55*G1432*F1432</f>
        <v>4.6500000000000004</v>
      </c>
      <c r="L1432" s="5"/>
      <c r="M1432" s="5"/>
      <c r="N1432" s="5"/>
      <c r="O1432" s="278"/>
    </row>
    <row r="1433" spans="1:15" ht="21" hidden="1" customHeight="1" outlineLevel="1">
      <c r="A1433" s="145"/>
      <c r="B1433" s="5"/>
      <c r="C1433" s="5">
        <v>3</v>
      </c>
      <c r="D1433" s="5">
        <v>1</v>
      </c>
      <c r="E1433" s="5">
        <v>1</v>
      </c>
      <c r="F1433" s="5">
        <f t="shared" si="218"/>
        <v>1</v>
      </c>
      <c r="G1433" s="5">
        <f t="shared" si="219"/>
        <v>3</v>
      </c>
      <c r="H1433" s="5"/>
      <c r="I1433" s="5"/>
      <c r="J1433" s="5">
        <f>+G1433*F1433</f>
        <v>3</v>
      </c>
      <c r="K1433" s="5"/>
      <c r="L1433" s="5"/>
      <c r="M1433" s="5"/>
      <c r="N1433" s="5"/>
      <c r="O1433" s="278"/>
    </row>
    <row r="1434" spans="1:15" ht="21" hidden="1" customHeight="1" outlineLevel="1">
      <c r="A1434" s="145"/>
      <c r="B1434" s="5"/>
      <c r="C1434" s="5">
        <v>4.7</v>
      </c>
      <c r="D1434" s="5">
        <v>1</v>
      </c>
      <c r="E1434" s="5">
        <v>3</v>
      </c>
      <c r="F1434" s="5">
        <f t="shared" si="218"/>
        <v>3</v>
      </c>
      <c r="G1434" s="5">
        <f t="shared" si="219"/>
        <v>4.7</v>
      </c>
      <c r="H1434" s="5"/>
      <c r="I1434" s="5"/>
      <c r="J1434" s="5">
        <f>+G1434*F1434</f>
        <v>14.100000000000001</v>
      </c>
      <c r="K1434" s="5"/>
      <c r="L1434" s="5"/>
      <c r="M1434" s="5"/>
      <c r="N1434" s="5"/>
      <c r="O1434" s="278"/>
    </row>
    <row r="1435" spans="1:15" ht="21" hidden="1" customHeight="1" outlineLevel="1">
      <c r="A1435" s="145"/>
      <c r="B1435" s="5"/>
      <c r="C1435" s="5">
        <v>7.9</v>
      </c>
      <c r="D1435" s="5">
        <v>1</v>
      </c>
      <c r="E1435" s="5">
        <v>1</v>
      </c>
      <c r="F1435" s="5">
        <f t="shared" si="218"/>
        <v>1</v>
      </c>
      <c r="G1435" s="5">
        <f t="shared" si="219"/>
        <v>7.9</v>
      </c>
      <c r="H1435" s="5"/>
      <c r="I1435" s="5"/>
      <c r="J1435" s="5"/>
      <c r="K1435" s="5">
        <f>1.55*G1435*F1435</f>
        <v>12.245000000000001</v>
      </c>
      <c r="L1435" s="5"/>
      <c r="M1435" s="5"/>
      <c r="N1435" s="5"/>
      <c r="O1435" s="278"/>
    </row>
    <row r="1436" spans="1:15" ht="21" hidden="1" customHeight="1" outlineLevel="1">
      <c r="A1436" s="145"/>
      <c r="B1436" s="5"/>
      <c r="C1436" s="5">
        <v>7.9</v>
      </c>
      <c r="D1436" s="5">
        <v>1</v>
      </c>
      <c r="E1436" s="5">
        <v>1</v>
      </c>
      <c r="F1436" s="5">
        <f t="shared" si="218"/>
        <v>1</v>
      </c>
      <c r="G1436" s="5">
        <f t="shared" si="219"/>
        <v>7.9</v>
      </c>
      <c r="H1436" s="5"/>
      <c r="I1436" s="5"/>
      <c r="J1436" s="5"/>
      <c r="K1436" s="5"/>
      <c r="L1436" s="5">
        <f>2.24*G1436*F1436</f>
        <v>17.696000000000002</v>
      </c>
      <c r="M1436" s="5"/>
      <c r="N1436" s="5"/>
      <c r="O1436" s="278"/>
    </row>
    <row r="1437" spans="1:15" ht="21" hidden="1" customHeight="1" outlineLevel="1">
      <c r="A1437" s="145"/>
      <c r="B1437" s="5"/>
      <c r="C1437" s="5">
        <v>3</v>
      </c>
      <c r="D1437" s="5">
        <v>1</v>
      </c>
      <c r="E1437" s="5">
        <v>2</v>
      </c>
      <c r="F1437" s="5">
        <f t="shared" si="218"/>
        <v>2</v>
      </c>
      <c r="G1437" s="5">
        <f t="shared" si="219"/>
        <v>3</v>
      </c>
      <c r="H1437" s="5"/>
      <c r="I1437" s="5"/>
      <c r="J1437" s="5"/>
      <c r="K1437" s="5"/>
      <c r="L1437" s="5">
        <f>2.24*G1437*F1437</f>
        <v>13.440000000000001</v>
      </c>
      <c r="M1437" s="5"/>
      <c r="N1437" s="5"/>
      <c r="O1437" s="278"/>
    </row>
    <row r="1438" spans="1:15" ht="21" hidden="1" customHeight="1" outlineLevel="1">
      <c r="A1438" s="145"/>
      <c r="B1438" s="5"/>
      <c r="C1438" s="5">
        <f>(0.55*2)+(0.45*2)+(0.05*2)</f>
        <v>2.1</v>
      </c>
      <c r="D1438" s="5">
        <v>1</v>
      </c>
      <c r="E1438" s="5">
        <v>137</v>
      </c>
      <c r="F1438" s="5">
        <f t="shared" si="218"/>
        <v>137</v>
      </c>
      <c r="G1438" s="5">
        <f t="shared" si="219"/>
        <v>2.1</v>
      </c>
      <c r="H1438" s="5"/>
      <c r="I1438" s="5">
        <f>0.56*G1438*F1438</f>
        <v>161.11200000000002</v>
      </c>
      <c r="J1438" s="5"/>
      <c r="K1438" s="5"/>
      <c r="L1438" s="5"/>
      <c r="M1438" s="5"/>
      <c r="N1438" s="5"/>
      <c r="O1438" s="278"/>
    </row>
    <row r="1439" spans="1:15" ht="21" hidden="1" customHeight="1" outlineLevel="1">
      <c r="A1439" s="145"/>
      <c r="B1439" s="5"/>
      <c r="C1439" s="5">
        <f>0.55+(0.05*2)</f>
        <v>0.65</v>
      </c>
      <c r="D1439" s="5">
        <v>1</v>
      </c>
      <c r="E1439" s="5">
        <v>137</v>
      </c>
      <c r="F1439" s="5">
        <f t="shared" si="218"/>
        <v>137</v>
      </c>
      <c r="G1439" s="5">
        <f t="shared" si="219"/>
        <v>0.65</v>
      </c>
      <c r="H1439" s="5"/>
      <c r="I1439" s="5">
        <f>0.56*G1439*F1439</f>
        <v>49.868000000000009</v>
      </c>
      <c r="J1439" s="5"/>
      <c r="K1439" s="5"/>
      <c r="L1439" s="5"/>
      <c r="M1439" s="5"/>
      <c r="N1439" s="5"/>
      <c r="O1439" s="278"/>
    </row>
    <row r="1440" spans="1:15" ht="21" hidden="1" customHeight="1" outlineLevel="1">
      <c r="A1440" s="2129"/>
      <c r="B1440" s="2130"/>
      <c r="C1440" s="2130"/>
      <c r="D1440" s="2130"/>
      <c r="E1440" s="2130"/>
      <c r="F1440" s="2130"/>
      <c r="G1440" s="2130"/>
      <c r="H1440" s="561">
        <f t="shared" ref="H1440:O1440" si="220">SUM(H1411:H1439)</f>
        <v>0</v>
      </c>
      <c r="I1440" s="561">
        <f t="shared" si="220"/>
        <v>210.98000000000002</v>
      </c>
      <c r="J1440" s="561">
        <f t="shared" si="220"/>
        <v>117.1</v>
      </c>
      <c r="K1440" s="561">
        <f t="shared" si="220"/>
        <v>170.03500000000003</v>
      </c>
      <c r="L1440" s="561">
        <f t="shared" si="220"/>
        <v>160.608</v>
      </c>
      <c r="M1440" s="561">
        <f t="shared" si="220"/>
        <v>0</v>
      </c>
      <c r="N1440" s="561">
        <f t="shared" si="220"/>
        <v>0</v>
      </c>
      <c r="O1440" s="562">
        <f t="shared" si="220"/>
        <v>0</v>
      </c>
    </row>
    <row r="1441" spans="1:15" ht="21" hidden="1" customHeight="1" outlineLevel="1">
      <c r="A1441" s="2129"/>
      <c r="B1441" s="2130"/>
      <c r="C1441" s="2130"/>
      <c r="D1441" s="2130"/>
      <c r="E1441" s="2130"/>
      <c r="F1441" s="2130"/>
      <c r="G1441" s="2130"/>
      <c r="H1441" s="2130">
        <f>SUM(H1440:O1440)</f>
        <v>658.72300000000007</v>
      </c>
      <c r="I1441" s="2130"/>
      <c r="J1441" s="2130"/>
      <c r="K1441" s="2130"/>
      <c r="L1441" s="2130"/>
      <c r="M1441" s="2130"/>
      <c r="N1441" s="2130"/>
      <c r="O1441" s="2170"/>
    </row>
    <row r="1442" spans="1:15" ht="21" hidden="1" customHeight="1" outlineLevel="1">
      <c r="A1442" s="14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278"/>
    </row>
    <row r="1443" spans="1:15" ht="21" hidden="1" customHeight="1" outlineLevel="1">
      <c r="A1443" s="277" t="s">
        <v>455</v>
      </c>
      <c r="B1443" s="5"/>
      <c r="C1443" s="5">
        <v>3</v>
      </c>
      <c r="D1443" s="5">
        <v>1</v>
      </c>
      <c r="E1443" s="5">
        <v>2</v>
      </c>
      <c r="F1443" s="5">
        <f t="shared" ref="F1443:F1478" si="221">+D1443*E1443</f>
        <v>2</v>
      </c>
      <c r="G1443" s="5">
        <f t="shared" ref="G1443:G1478" si="222">+C1443</f>
        <v>3</v>
      </c>
      <c r="H1443" s="5"/>
      <c r="I1443" s="5"/>
      <c r="J1443" s="5"/>
      <c r="K1443" s="5"/>
      <c r="L1443" s="5"/>
      <c r="M1443" s="5">
        <f>3*G1443*F1443</f>
        <v>18</v>
      </c>
      <c r="N1443" s="5"/>
      <c r="O1443" s="278"/>
    </row>
    <row r="1444" spans="1:15" ht="21" hidden="1" customHeight="1" outlineLevel="1">
      <c r="A1444" s="145"/>
      <c r="B1444" s="5"/>
      <c r="C1444" s="5">
        <v>4</v>
      </c>
      <c r="D1444" s="5">
        <v>1</v>
      </c>
      <c r="E1444" s="5">
        <v>1</v>
      </c>
      <c r="F1444" s="5">
        <f t="shared" si="221"/>
        <v>1</v>
      </c>
      <c r="G1444" s="5">
        <f t="shared" si="222"/>
        <v>4</v>
      </c>
      <c r="H1444" s="5"/>
      <c r="I1444" s="5"/>
      <c r="J1444" s="5"/>
      <c r="K1444" s="5"/>
      <c r="L1444" s="5"/>
      <c r="M1444" s="5"/>
      <c r="N1444" s="5">
        <f>4*G1444*F1444</f>
        <v>16</v>
      </c>
      <c r="O1444" s="278"/>
    </row>
    <row r="1445" spans="1:15" ht="21" hidden="1" customHeight="1" outlineLevel="1">
      <c r="A1445" s="145"/>
      <c r="B1445" s="5"/>
      <c r="C1445" s="5">
        <v>4</v>
      </c>
      <c r="D1445" s="5">
        <v>1</v>
      </c>
      <c r="E1445" s="5">
        <v>1</v>
      </c>
      <c r="F1445" s="5">
        <f t="shared" si="221"/>
        <v>1</v>
      </c>
      <c r="G1445" s="5">
        <f t="shared" si="222"/>
        <v>4</v>
      </c>
      <c r="H1445" s="5"/>
      <c r="I1445" s="5"/>
      <c r="J1445" s="5"/>
      <c r="K1445" s="5"/>
      <c r="L1445" s="5"/>
      <c r="M1445" s="5">
        <f>3*G1445*F1445</f>
        <v>12</v>
      </c>
      <c r="N1445" s="5"/>
      <c r="O1445" s="278"/>
    </row>
    <row r="1446" spans="1:15" ht="21" hidden="1" customHeight="1" outlineLevel="1">
      <c r="A1446" s="145"/>
      <c r="B1446" s="5"/>
      <c r="C1446" s="5">
        <v>4.5</v>
      </c>
      <c r="D1446" s="5">
        <v>1</v>
      </c>
      <c r="E1446" s="5">
        <v>3</v>
      </c>
      <c r="F1446" s="5">
        <f t="shared" si="221"/>
        <v>3</v>
      </c>
      <c r="G1446" s="5">
        <f t="shared" si="222"/>
        <v>4.5</v>
      </c>
      <c r="H1446" s="5"/>
      <c r="I1446" s="5"/>
      <c r="J1446" s="5"/>
      <c r="K1446" s="5"/>
      <c r="L1446" s="5"/>
      <c r="M1446" s="5">
        <f>3*G1446*F1446</f>
        <v>40.5</v>
      </c>
      <c r="N1446" s="5"/>
      <c r="O1446" s="278"/>
    </row>
    <row r="1447" spans="1:15" ht="21" hidden="1" customHeight="1" outlineLevel="1">
      <c r="A1447" s="145"/>
      <c r="B1447" s="5"/>
      <c r="C1447" s="5">
        <v>4.5</v>
      </c>
      <c r="D1447" s="5">
        <v>1</v>
      </c>
      <c r="E1447" s="5">
        <v>1</v>
      </c>
      <c r="F1447" s="5">
        <f t="shared" si="221"/>
        <v>1</v>
      </c>
      <c r="G1447" s="5">
        <f t="shared" si="222"/>
        <v>4.5</v>
      </c>
      <c r="H1447" s="5"/>
      <c r="I1447" s="5"/>
      <c r="J1447" s="5"/>
      <c r="K1447" s="5"/>
      <c r="L1447" s="5"/>
      <c r="M1447" s="5"/>
      <c r="N1447" s="5">
        <f>4*G1447*F1447</f>
        <v>18</v>
      </c>
      <c r="O1447" s="278"/>
    </row>
    <row r="1448" spans="1:15" ht="21" hidden="1" customHeight="1" outlineLevel="1">
      <c r="A1448" s="145"/>
      <c r="B1448" s="5"/>
      <c r="C1448" s="5">
        <v>4.5</v>
      </c>
      <c r="D1448" s="5">
        <v>1</v>
      </c>
      <c r="E1448" s="5">
        <v>1</v>
      </c>
      <c r="F1448" s="5">
        <f t="shared" si="221"/>
        <v>1</v>
      </c>
      <c r="G1448" s="5">
        <f t="shared" si="222"/>
        <v>4.5</v>
      </c>
      <c r="H1448" s="5"/>
      <c r="I1448" s="5"/>
      <c r="J1448" s="5"/>
      <c r="K1448" s="5"/>
      <c r="L1448" s="5"/>
      <c r="M1448" s="5"/>
      <c r="N1448" s="5"/>
      <c r="O1448" s="278">
        <f>6.4*G1448*F1448</f>
        <v>28.8</v>
      </c>
    </row>
    <row r="1449" spans="1:15" ht="21" hidden="1" customHeight="1" outlineLevel="1">
      <c r="A1449" s="145"/>
      <c r="B1449" s="5"/>
      <c r="C1449" s="5">
        <v>9</v>
      </c>
      <c r="D1449" s="5">
        <v>1</v>
      </c>
      <c r="E1449" s="5">
        <v>1</v>
      </c>
      <c r="F1449" s="5">
        <f t="shared" si="221"/>
        <v>1</v>
      </c>
      <c r="G1449" s="5">
        <f t="shared" si="222"/>
        <v>9</v>
      </c>
      <c r="H1449" s="5"/>
      <c r="I1449" s="5"/>
      <c r="J1449" s="5"/>
      <c r="K1449" s="5"/>
      <c r="L1449" s="5"/>
      <c r="M1449" s="5"/>
      <c r="N1449" s="5"/>
      <c r="O1449" s="278">
        <f>6.4*G1449*F1449</f>
        <v>57.6</v>
      </c>
    </row>
    <row r="1450" spans="1:15" ht="21" hidden="1" customHeight="1" outlineLevel="1">
      <c r="A1450" s="145"/>
      <c r="B1450" s="5"/>
      <c r="C1450" s="5">
        <v>9</v>
      </c>
      <c r="D1450" s="5">
        <v>1</v>
      </c>
      <c r="E1450" s="5">
        <v>1</v>
      </c>
      <c r="F1450" s="5">
        <f t="shared" si="221"/>
        <v>1</v>
      </c>
      <c r="G1450" s="5">
        <f t="shared" si="222"/>
        <v>9</v>
      </c>
      <c r="H1450" s="5"/>
      <c r="I1450" s="5"/>
      <c r="J1450" s="5"/>
      <c r="K1450" s="5"/>
      <c r="L1450" s="5"/>
      <c r="M1450" s="5"/>
      <c r="N1450" s="5">
        <f>4*G1450*F1450</f>
        <v>36</v>
      </c>
      <c r="O1450" s="278"/>
    </row>
    <row r="1451" spans="1:15" ht="21" hidden="1" customHeight="1" outlineLevel="1">
      <c r="A1451" s="145"/>
      <c r="B1451" s="5"/>
      <c r="C1451" s="5">
        <v>3</v>
      </c>
      <c r="D1451" s="5">
        <v>1</v>
      </c>
      <c r="E1451" s="5">
        <v>4</v>
      </c>
      <c r="F1451" s="5">
        <f t="shared" si="221"/>
        <v>4</v>
      </c>
      <c r="G1451" s="5">
        <f t="shared" si="222"/>
        <v>3</v>
      </c>
      <c r="H1451" s="5"/>
      <c r="I1451" s="5"/>
      <c r="J1451" s="5"/>
      <c r="K1451" s="5">
        <f>1.55*G1451*F1451</f>
        <v>18.600000000000001</v>
      </c>
      <c r="L1451" s="5"/>
      <c r="M1451" s="5"/>
      <c r="N1451" s="5"/>
      <c r="O1451" s="278"/>
    </row>
    <row r="1452" spans="1:15" ht="21" hidden="1" customHeight="1" outlineLevel="1">
      <c r="A1452" s="145"/>
      <c r="B1452" s="5"/>
      <c r="C1452" s="5">
        <v>3</v>
      </c>
      <c r="D1452" s="5">
        <v>1</v>
      </c>
      <c r="E1452" s="5">
        <v>2</v>
      </c>
      <c r="F1452" s="5">
        <f t="shared" si="221"/>
        <v>2</v>
      </c>
      <c r="G1452" s="5">
        <f t="shared" si="222"/>
        <v>3</v>
      </c>
      <c r="H1452" s="5"/>
      <c r="I1452" s="5"/>
      <c r="J1452" s="5"/>
      <c r="K1452" s="5"/>
      <c r="L1452" s="5">
        <f>2.24*G1452*F1452</f>
        <v>13.440000000000001</v>
      </c>
      <c r="M1452" s="5"/>
      <c r="N1452" s="5"/>
      <c r="O1452" s="278"/>
    </row>
    <row r="1453" spans="1:15" ht="21" hidden="1" customHeight="1" outlineLevel="1">
      <c r="A1453" s="145"/>
      <c r="B1453" s="5"/>
      <c r="C1453" s="5">
        <v>5.5</v>
      </c>
      <c r="D1453" s="5">
        <v>1</v>
      </c>
      <c r="E1453" s="5">
        <v>5</v>
      </c>
      <c r="F1453" s="5">
        <f t="shared" si="221"/>
        <v>5</v>
      </c>
      <c r="G1453" s="5">
        <f t="shared" si="222"/>
        <v>5.5</v>
      </c>
      <c r="H1453" s="5"/>
      <c r="I1453" s="5"/>
      <c r="J1453" s="5"/>
      <c r="K1453" s="5"/>
      <c r="L1453" s="5"/>
      <c r="M1453" s="5"/>
      <c r="N1453" s="5"/>
      <c r="O1453" s="278">
        <f>6.4*G1453*F1453</f>
        <v>176</v>
      </c>
    </row>
    <row r="1454" spans="1:15" ht="21" hidden="1" customHeight="1" outlineLevel="1">
      <c r="A1454" s="145"/>
      <c r="B1454" s="5"/>
      <c r="C1454" s="5">
        <v>5.5</v>
      </c>
      <c r="D1454" s="5">
        <v>1</v>
      </c>
      <c r="E1454" s="5">
        <v>2</v>
      </c>
      <c r="F1454" s="5">
        <f t="shared" si="221"/>
        <v>2</v>
      </c>
      <c r="G1454" s="5">
        <f t="shared" si="222"/>
        <v>5.5</v>
      </c>
      <c r="H1454" s="5"/>
      <c r="I1454" s="5"/>
      <c r="J1454" s="5"/>
      <c r="K1454" s="5"/>
      <c r="L1454" s="5"/>
      <c r="M1454" s="5"/>
      <c r="N1454" s="5">
        <f>4*G1454*F1454</f>
        <v>44</v>
      </c>
      <c r="O1454" s="278"/>
    </row>
    <row r="1455" spans="1:15" ht="21" hidden="1" customHeight="1" outlineLevel="1">
      <c r="A1455" s="145"/>
      <c r="B1455" s="5"/>
      <c r="C1455" s="5">
        <v>7.5</v>
      </c>
      <c r="D1455" s="5">
        <v>1</v>
      </c>
      <c r="E1455" s="5">
        <v>1</v>
      </c>
      <c r="F1455" s="5">
        <f t="shared" si="221"/>
        <v>1</v>
      </c>
      <c r="G1455" s="5">
        <f t="shared" si="222"/>
        <v>7.5</v>
      </c>
      <c r="H1455" s="5"/>
      <c r="I1455" s="5"/>
      <c r="J1455" s="5"/>
      <c r="K1455" s="5"/>
      <c r="L1455" s="5"/>
      <c r="M1455" s="5"/>
      <c r="N1455" s="5">
        <f>4*G1455*F1455</f>
        <v>30</v>
      </c>
      <c r="O1455" s="278"/>
    </row>
    <row r="1456" spans="1:15" ht="21" hidden="1" customHeight="1" outlineLevel="1">
      <c r="A1456" s="145"/>
      <c r="B1456" s="5"/>
      <c r="C1456" s="5">
        <v>9</v>
      </c>
      <c r="D1456" s="5">
        <v>1</v>
      </c>
      <c r="E1456" s="5">
        <v>4</v>
      </c>
      <c r="F1456" s="5">
        <f t="shared" si="221"/>
        <v>4</v>
      </c>
      <c r="G1456" s="5">
        <f t="shared" si="222"/>
        <v>9</v>
      </c>
      <c r="H1456" s="5"/>
      <c r="I1456" s="5"/>
      <c r="J1456" s="5"/>
      <c r="K1456" s="5"/>
      <c r="L1456" s="5"/>
      <c r="M1456" s="5"/>
      <c r="N1456" s="5">
        <f>4*G1456*F1456</f>
        <v>144</v>
      </c>
      <c r="O1456" s="278"/>
    </row>
    <row r="1457" spans="1:15" ht="21" hidden="1" customHeight="1" outlineLevel="1">
      <c r="A1457" s="145"/>
      <c r="B1457" s="5"/>
      <c r="C1457" s="5">
        <v>9</v>
      </c>
      <c r="D1457" s="5">
        <v>1</v>
      </c>
      <c r="E1457" s="5">
        <v>1</v>
      </c>
      <c r="F1457" s="5">
        <f t="shared" si="221"/>
        <v>1</v>
      </c>
      <c r="G1457" s="5">
        <f t="shared" si="222"/>
        <v>9</v>
      </c>
      <c r="H1457" s="5"/>
      <c r="I1457" s="5"/>
      <c r="J1457" s="5"/>
      <c r="K1457" s="5"/>
      <c r="L1457" s="5"/>
      <c r="M1457" s="5"/>
      <c r="N1457" s="5"/>
      <c r="O1457" s="278">
        <f>6.4*G1457*F1457</f>
        <v>57.6</v>
      </c>
    </row>
    <row r="1458" spans="1:15" ht="21" hidden="1" customHeight="1" outlineLevel="1">
      <c r="A1458" s="145"/>
      <c r="B1458" s="5"/>
      <c r="C1458" s="5">
        <v>9.5</v>
      </c>
      <c r="D1458" s="5">
        <v>1</v>
      </c>
      <c r="E1458" s="5">
        <v>1</v>
      </c>
      <c r="F1458" s="5">
        <f t="shared" si="221"/>
        <v>1</v>
      </c>
      <c r="G1458" s="5">
        <f t="shared" si="222"/>
        <v>9.5</v>
      </c>
      <c r="H1458" s="5"/>
      <c r="I1458" s="5"/>
      <c r="J1458" s="5"/>
      <c r="K1458" s="5"/>
      <c r="L1458" s="5"/>
      <c r="M1458" s="5"/>
      <c r="N1458" s="5"/>
      <c r="O1458" s="278"/>
    </row>
    <row r="1459" spans="1:15" ht="21" hidden="1" customHeight="1" outlineLevel="1">
      <c r="A1459" s="145"/>
      <c r="B1459" s="5"/>
      <c r="C1459" s="5">
        <v>9.5</v>
      </c>
      <c r="D1459" s="5">
        <v>1</v>
      </c>
      <c r="E1459" s="5">
        <v>1</v>
      </c>
      <c r="F1459" s="5">
        <f t="shared" si="221"/>
        <v>1</v>
      </c>
      <c r="G1459" s="5">
        <f t="shared" si="222"/>
        <v>9.5</v>
      </c>
      <c r="H1459" s="5"/>
      <c r="I1459" s="5"/>
      <c r="J1459" s="5"/>
      <c r="K1459" s="5"/>
      <c r="L1459" s="5"/>
      <c r="M1459" s="5"/>
      <c r="N1459" s="5">
        <f>4*G1459*F1459</f>
        <v>38</v>
      </c>
      <c r="O1459" s="278"/>
    </row>
    <row r="1460" spans="1:15" ht="21" hidden="1" customHeight="1" outlineLevel="1">
      <c r="A1460" s="145"/>
      <c r="B1460" s="5"/>
      <c r="C1460" s="5">
        <v>3.5</v>
      </c>
      <c r="D1460" s="5">
        <v>1</v>
      </c>
      <c r="E1460" s="5">
        <v>3</v>
      </c>
      <c r="F1460" s="5">
        <f t="shared" si="221"/>
        <v>3</v>
      </c>
      <c r="G1460" s="5">
        <f t="shared" si="222"/>
        <v>3.5</v>
      </c>
      <c r="H1460" s="5"/>
      <c r="I1460" s="5"/>
      <c r="J1460" s="5"/>
      <c r="K1460" s="5"/>
      <c r="L1460" s="5">
        <f>2.24*G1460*F1460</f>
        <v>23.520000000000003</v>
      </c>
      <c r="M1460" s="5"/>
      <c r="N1460" s="5"/>
      <c r="O1460" s="278"/>
    </row>
    <row r="1461" spans="1:15" ht="21" hidden="1" customHeight="1" outlineLevel="1">
      <c r="A1461" s="145"/>
      <c r="B1461" s="5"/>
      <c r="C1461" s="5">
        <v>7</v>
      </c>
      <c r="D1461" s="5">
        <v>1</v>
      </c>
      <c r="E1461" s="5">
        <v>1</v>
      </c>
      <c r="F1461" s="5">
        <f t="shared" si="221"/>
        <v>1</v>
      </c>
      <c r="G1461" s="5">
        <f t="shared" si="222"/>
        <v>7</v>
      </c>
      <c r="H1461" s="5"/>
      <c r="I1461" s="5"/>
      <c r="J1461" s="5"/>
      <c r="K1461" s="5"/>
      <c r="L1461" s="5"/>
      <c r="M1461" s="5">
        <f>3*G1461*F1461</f>
        <v>21</v>
      </c>
      <c r="N1461" s="5"/>
      <c r="O1461" s="278"/>
    </row>
    <row r="1462" spans="1:15" ht="21" hidden="1" customHeight="1" outlineLevel="1">
      <c r="A1462" s="145"/>
      <c r="B1462" s="5"/>
      <c r="C1462" s="5">
        <v>7</v>
      </c>
      <c r="D1462" s="5">
        <v>1</v>
      </c>
      <c r="E1462" s="5">
        <v>2</v>
      </c>
      <c r="F1462" s="5">
        <f t="shared" si="221"/>
        <v>2</v>
      </c>
      <c r="G1462" s="5">
        <f t="shared" si="222"/>
        <v>7</v>
      </c>
      <c r="H1462" s="5"/>
      <c r="I1462" s="5"/>
      <c r="J1462" s="5"/>
      <c r="K1462" s="5"/>
      <c r="L1462" s="5">
        <f>2.24*G1462*F1462</f>
        <v>31.360000000000003</v>
      </c>
      <c r="M1462" s="5"/>
      <c r="N1462" s="5"/>
      <c r="O1462" s="278"/>
    </row>
    <row r="1463" spans="1:15" ht="21" hidden="1" customHeight="1" outlineLevel="1">
      <c r="A1463" s="145"/>
      <c r="B1463" s="5"/>
      <c r="C1463" s="5">
        <v>10</v>
      </c>
      <c r="D1463" s="5">
        <v>1</v>
      </c>
      <c r="E1463" s="5">
        <v>1</v>
      </c>
      <c r="F1463" s="5">
        <f t="shared" si="221"/>
        <v>1</v>
      </c>
      <c r="G1463" s="5">
        <f t="shared" si="222"/>
        <v>10</v>
      </c>
      <c r="H1463" s="5"/>
      <c r="I1463" s="5"/>
      <c r="J1463" s="5"/>
      <c r="K1463" s="5"/>
      <c r="L1463" s="5"/>
      <c r="M1463" s="5"/>
      <c r="N1463" s="5">
        <f>4*G1463*F1463</f>
        <v>40</v>
      </c>
      <c r="O1463" s="278"/>
    </row>
    <row r="1464" spans="1:15" ht="21" hidden="1" customHeight="1" outlineLevel="1">
      <c r="A1464" s="145"/>
      <c r="B1464" s="5"/>
      <c r="C1464" s="5">
        <v>10</v>
      </c>
      <c r="D1464" s="5">
        <v>1</v>
      </c>
      <c r="E1464" s="5">
        <v>1</v>
      </c>
      <c r="F1464" s="5">
        <f t="shared" si="221"/>
        <v>1</v>
      </c>
      <c r="G1464" s="5">
        <f t="shared" si="222"/>
        <v>10</v>
      </c>
      <c r="H1464" s="5"/>
      <c r="I1464" s="5"/>
      <c r="J1464" s="5"/>
      <c r="K1464" s="5"/>
      <c r="L1464" s="5"/>
      <c r="M1464" s="5"/>
      <c r="N1464" s="5"/>
      <c r="O1464" s="278">
        <f>6.4*G1464*F1464</f>
        <v>64</v>
      </c>
    </row>
    <row r="1465" spans="1:15" ht="21" hidden="1" customHeight="1" outlineLevel="1">
      <c r="A1465" s="145"/>
      <c r="B1465" s="5"/>
      <c r="C1465" s="5">
        <v>12</v>
      </c>
      <c r="D1465" s="5">
        <v>1</v>
      </c>
      <c r="E1465" s="5">
        <v>1</v>
      </c>
      <c r="F1465" s="5">
        <f t="shared" si="221"/>
        <v>1</v>
      </c>
      <c r="G1465" s="5">
        <f t="shared" si="222"/>
        <v>12</v>
      </c>
      <c r="H1465" s="5"/>
      <c r="I1465" s="5"/>
      <c r="J1465" s="5"/>
      <c r="K1465" s="5"/>
      <c r="L1465" s="5"/>
      <c r="M1465" s="5"/>
      <c r="N1465" s="5"/>
      <c r="O1465" s="278">
        <f>6.4*G1465*F1465</f>
        <v>76.800000000000011</v>
      </c>
    </row>
    <row r="1466" spans="1:15" ht="21" hidden="1" customHeight="1" outlineLevel="1">
      <c r="A1466" s="145"/>
      <c r="B1466" s="5"/>
      <c r="C1466" s="5">
        <v>12</v>
      </c>
      <c r="D1466" s="5">
        <v>1</v>
      </c>
      <c r="E1466" s="5">
        <v>1</v>
      </c>
      <c r="F1466" s="5">
        <f t="shared" si="221"/>
        <v>1</v>
      </c>
      <c r="G1466" s="5">
        <f t="shared" si="222"/>
        <v>12</v>
      </c>
      <c r="H1466" s="5"/>
      <c r="I1466" s="5"/>
      <c r="J1466" s="5"/>
      <c r="K1466" s="5"/>
      <c r="L1466" s="5"/>
      <c r="M1466" s="5"/>
      <c r="N1466" s="5">
        <f>4*G1466*F1466</f>
        <v>48</v>
      </c>
      <c r="O1466" s="278"/>
    </row>
    <row r="1467" spans="1:15" ht="21" hidden="1" customHeight="1" outlineLevel="1">
      <c r="A1467" s="145"/>
      <c r="B1467" s="5"/>
      <c r="C1467" s="5">
        <v>3.5</v>
      </c>
      <c r="D1467" s="5">
        <v>1</v>
      </c>
      <c r="E1467" s="5">
        <v>3</v>
      </c>
      <c r="F1467" s="5">
        <f t="shared" si="221"/>
        <v>3</v>
      </c>
      <c r="G1467" s="5">
        <f t="shared" si="222"/>
        <v>3.5</v>
      </c>
      <c r="H1467" s="5"/>
      <c r="I1467" s="5"/>
      <c r="J1467" s="5"/>
      <c r="K1467" s="5"/>
      <c r="L1467" s="5"/>
      <c r="M1467" s="5"/>
      <c r="N1467" s="5"/>
      <c r="O1467" s="278">
        <f>6.4*G1467*F1467</f>
        <v>67.2</v>
      </c>
    </row>
    <row r="1468" spans="1:15" ht="21" hidden="1" customHeight="1" outlineLevel="1">
      <c r="A1468" s="145"/>
      <c r="B1468" s="5"/>
      <c r="C1468" s="5">
        <v>3.5</v>
      </c>
      <c r="D1468" s="5">
        <v>1</v>
      </c>
      <c r="E1468" s="5">
        <v>1</v>
      </c>
      <c r="F1468" s="5">
        <f t="shared" si="221"/>
        <v>1</v>
      </c>
      <c r="G1468" s="5">
        <f t="shared" si="222"/>
        <v>3.5</v>
      </c>
      <c r="H1468" s="5"/>
      <c r="I1468" s="5"/>
      <c r="J1468" s="5"/>
      <c r="K1468" s="5"/>
      <c r="L1468" s="5"/>
      <c r="M1468" s="5"/>
      <c r="N1468" s="5">
        <f>4*G1468*F1468</f>
        <v>14</v>
      </c>
      <c r="O1468" s="278"/>
    </row>
    <row r="1469" spans="1:15" ht="21" hidden="1" customHeight="1" outlineLevel="1">
      <c r="A1469" s="145"/>
      <c r="B1469" s="5"/>
      <c r="C1469" s="5">
        <v>3.8</v>
      </c>
      <c r="D1469" s="5">
        <v>1</v>
      </c>
      <c r="E1469" s="5">
        <v>1</v>
      </c>
      <c r="F1469" s="5">
        <f t="shared" si="221"/>
        <v>1</v>
      </c>
      <c r="G1469" s="5">
        <f t="shared" si="222"/>
        <v>3.8</v>
      </c>
      <c r="H1469" s="5"/>
      <c r="I1469" s="5"/>
      <c r="J1469" s="5"/>
      <c r="K1469" s="5"/>
      <c r="L1469" s="5">
        <f>2.24*G1469*F1469</f>
        <v>8.5120000000000005</v>
      </c>
      <c r="M1469" s="5"/>
      <c r="N1469" s="5"/>
      <c r="O1469" s="278"/>
    </row>
    <row r="1470" spans="1:15" ht="21" hidden="1" customHeight="1" outlineLevel="1">
      <c r="A1470" s="145"/>
      <c r="B1470" s="5"/>
      <c r="C1470" s="5">
        <v>3.8</v>
      </c>
      <c r="D1470" s="5">
        <v>1</v>
      </c>
      <c r="E1470" s="5">
        <v>2</v>
      </c>
      <c r="F1470" s="5">
        <f t="shared" si="221"/>
        <v>2</v>
      </c>
      <c r="G1470" s="5">
        <f t="shared" si="222"/>
        <v>3.8</v>
      </c>
      <c r="H1470" s="5"/>
      <c r="I1470" s="5"/>
      <c r="J1470" s="5"/>
      <c r="K1470" s="5">
        <f>1.55*G1470*F1470</f>
        <v>11.78</v>
      </c>
      <c r="L1470" s="5"/>
      <c r="M1470" s="5"/>
      <c r="N1470" s="5"/>
      <c r="O1470" s="278"/>
    </row>
    <row r="1471" spans="1:15" ht="21" hidden="1" customHeight="1" outlineLevel="1">
      <c r="A1471" s="145"/>
      <c r="B1471" s="5"/>
      <c r="C1471" s="5">
        <v>6.5</v>
      </c>
      <c r="D1471" s="5">
        <v>1</v>
      </c>
      <c r="E1471" s="5">
        <v>1</v>
      </c>
      <c r="F1471" s="5">
        <f t="shared" si="221"/>
        <v>1</v>
      </c>
      <c r="G1471" s="5">
        <f t="shared" si="222"/>
        <v>6.5</v>
      </c>
      <c r="H1471" s="5"/>
      <c r="I1471" s="5"/>
      <c r="J1471" s="5"/>
      <c r="K1471" s="5"/>
      <c r="L1471" s="5"/>
      <c r="M1471" s="5"/>
      <c r="N1471" s="5">
        <f>4*G1471*F1471</f>
        <v>26</v>
      </c>
      <c r="O1471" s="278"/>
    </row>
    <row r="1472" spans="1:15" ht="21" hidden="1" customHeight="1" outlineLevel="1">
      <c r="A1472" s="145"/>
      <c r="B1472" s="5"/>
      <c r="C1472" s="5">
        <v>6.5</v>
      </c>
      <c r="D1472" s="5">
        <v>1</v>
      </c>
      <c r="E1472" s="5">
        <v>1</v>
      </c>
      <c r="F1472" s="5">
        <f t="shared" si="221"/>
        <v>1</v>
      </c>
      <c r="G1472" s="5">
        <f t="shared" si="222"/>
        <v>6.5</v>
      </c>
      <c r="H1472" s="5"/>
      <c r="I1472" s="5"/>
      <c r="J1472" s="5"/>
      <c r="K1472" s="5"/>
      <c r="L1472" s="5"/>
      <c r="M1472" s="5"/>
      <c r="N1472" s="5"/>
      <c r="O1472" s="278">
        <f>6.4*G1472*F1472</f>
        <v>41.6</v>
      </c>
    </row>
    <row r="1473" spans="1:15" ht="21" hidden="1" customHeight="1" outlineLevel="1">
      <c r="A1473" s="145"/>
      <c r="B1473" s="5"/>
      <c r="C1473" s="5">
        <v>3.9</v>
      </c>
      <c r="D1473" s="5">
        <v>1</v>
      </c>
      <c r="E1473" s="5">
        <v>2</v>
      </c>
      <c r="F1473" s="5">
        <f t="shared" si="221"/>
        <v>2</v>
      </c>
      <c r="G1473" s="5">
        <f t="shared" si="222"/>
        <v>3.9</v>
      </c>
      <c r="H1473" s="5"/>
      <c r="I1473" s="5"/>
      <c r="J1473" s="5"/>
      <c r="K1473" s="5"/>
      <c r="L1473" s="5"/>
      <c r="M1473" s="5"/>
      <c r="N1473" s="5">
        <f>4*G1473*F1473</f>
        <v>31.2</v>
      </c>
      <c r="O1473" s="278"/>
    </row>
    <row r="1474" spans="1:15" ht="21" hidden="1" customHeight="1" outlineLevel="1">
      <c r="A1474" s="145"/>
      <c r="B1474" s="5"/>
      <c r="C1474" s="5">
        <v>3.9</v>
      </c>
      <c r="D1474" s="5">
        <v>1</v>
      </c>
      <c r="E1474" s="5">
        <v>3</v>
      </c>
      <c r="F1474" s="5">
        <f t="shared" si="221"/>
        <v>3</v>
      </c>
      <c r="G1474" s="5">
        <f t="shared" si="222"/>
        <v>3.9</v>
      </c>
      <c r="H1474" s="5"/>
      <c r="I1474" s="5"/>
      <c r="J1474" s="5"/>
      <c r="K1474" s="5"/>
      <c r="L1474" s="5"/>
      <c r="M1474" s="5">
        <f>3*G1474*F1474</f>
        <v>35.099999999999994</v>
      </c>
      <c r="N1474" s="5"/>
      <c r="O1474" s="278"/>
    </row>
    <row r="1475" spans="1:15" ht="21" hidden="1" customHeight="1" outlineLevel="1">
      <c r="A1475" s="145"/>
      <c r="B1475" s="5"/>
      <c r="C1475" s="5">
        <f>(0.55*2)+(0.45*2)+(0.05*2)</f>
        <v>2.1</v>
      </c>
      <c r="D1475" s="5">
        <v>1</v>
      </c>
      <c r="E1475" s="5">
        <v>123</v>
      </c>
      <c r="F1475" s="5">
        <f t="shared" si="221"/>
        <v>123</v>
      </c>
      <c r="G1475" s="5">
        <f t="shared" si="222"/>
        <v>2.1</v>
      </c>
      <c r="H1475" s="5"/>
      <c r="I1475" s="5">
        <f>0.56*G1475*F1475</f>
        <v>144.64800000000002</v>
      </c>
      <c r="J1475" s="5"/>
      <c r="K1475" s="5"/>
      <c r="L1475" s="5"/>
      <c r="M1475" s="5"/>
      <c r="N1475" s="5"/>
      <c r="O1475" s="278"/>
    </row>
    <row r="1476" spans="1:15" ht="21" hidden="1" customHeight="1" outlineLevel="1">
      <c r="A1476" s="145"/>
      <c r="B1476" s="5"/>
      <c r="C1476" s="5">
        <f>0.55+(0.05*2)</f>
        <v>0.65</v>
      </c>
      <c r="D1476" s="5">
        <v>1</v>
      </c>
      <c r="E1476" s="5">
        <v>123</v>
      </c>
      <c r="F1476" s="5">
        <f t="shared" si="221"/>
        <v>123</v>
      </c>
      <c r="G1476" s="5">
        <f t="shared" si="222"/>
        <v>0.65</v>
      </c>
      <c r="H1476" s="5"/>
      <c r="I1476" s="5">
        <f>0.56*G1476*F1476</f>
        <v>44.772000000000006</v>
      </c>
      <c r="J1476" s="5"/>
      <c r="K1476" s="5"/>
      <c r="L1476" s="5"/>
      <c r="M1476" s="5"/>
      <c r="N1476" s="5"/>
      <c r="O1476" s="278"/>
    </row>
    <row r="1477" spans="1:15" ht="21" hidden="1" customHeight="1" outlineLevel="1">
      <c r="A1477" s="145"/>
      <c r="B1477" s="5"/>
      <c r="C1477" s="5">
        <f>(0.55*2)+(0.45*2)+(0.05*2)</f>
        <v>2.1</v>
      </c>
      <c r="D1477" s="5">
        <v>1</v>
      </c>
      <c r="E1477" s="5">
        <v>19</v>
      </c>
      <c r="F1477" s="5">
        <f t="shared" si="221"/>
        <v>19</v>
      </c>
      <c r="G1477" s="5">
        <f t="shared" si="222"/>
        <v>2.1</v>
      </c>
      <c r="H1477" s="5"/>
      <c r="I1477" s="5"/>
      <c r="J1477" s="5">
        <f>+G1477*F1477</f>
        <v>39.9</v>
      </c>
      <c r="K1477" s="5"/>
      <c r="L1477" s="5"/>
      <c r="M1477" s="5"/>
      <c r="N1477" s="5"/>
      <c r="O1477" s="278"/>
    </row>
    <row r="1478" spans="1:15" ht="21" hidden="1" customHeight="1" outlineLevel="1">
      <c r="A1478" s="145"/>
      <c r="B1478" s="5"/>
      <c r="C1478" s="5">
        <f>0.55+(0.05*2)</f>
        <v>0.65</v>
      </c>
      <c r="D1478" s="5">
        <v>1</v>
      </c>
      <c r="E1478" s="5">
        <v>19</v>
      </c>
      <c r="F1478" s="5">
        <f t="shared" si="221"/>
        <v>19</v>
      </c>
      <c r="G1478" s="5">
        <f t="shared" si="222"/>
        <v>0.65</v>
      </c>
      <c r="H1478" s="5"/>
      <c r="I1478" s="5"/>
      <c r="J1478" s="5">
        <f>+G1478*F1478</f>
        <v>12.35</v>
      </c>
      <c r="K1478" s="5"/>
      <c r="L1478" s="5"/>
      <c r="M1478" s="5"/>
      <c r="N1478" s="5"/>
      <c r="O1478" s="278"/>
    </row>
    <row r="1479" spans="1:15" ht="21" hidden="1" customHeight="1" outlineLevel="1">
      <c r="A1479" s="2129"/>
      <c r="B1479" s="2130"/>
      <c r="C1479" s="2130"/>
      <c r="D1479" s="2130"/>
      <c r="E1479" s="2130"/>
      <c r="F1479" s="2130"/>
      <c r="G1479" s="2130"/>
      <c r="H1479" s="561">
        <f t="shared" ref="H1479:O1479" si="223">SUM(H1443:H1478)</f>
        <v>0</v>
      </c>
      <c r="I1479" s="561">
        <f t="shared" si="223"/>
        <v>189.42000000000002</v>
      </c>
      <c r="J1479" s="561">
        <f t="shared" si="223"/>
        <v>52.25</v>
      </c>
      <c r="K1479" s="561">
        <f t="shared" si="223"/>
        <v>30.380000000000003</v>
      </c>
      <c r="L1479" s="561">
        <f t="shared" si="223"/>
        <v>76.832000000000008</v>
      </c>
      <c r="M1479" s="561">
        <f t="shared" si="223"/>
        <v>126.6</v>
      </c>
      <c r="N1479" s="561">
        <f t="shared" si="223"/>
        <v>485.2</v>
      </c>
      <c r="O1479" s="562">
        <f t="shared" si="223"/>
        <v>569.6</v>
      </c>
    </row>
    <row r="1480" spans="1:15" ht="21" hidden="1" customHeight="1" outlineLevel="1">
      <c r="A1480" s="2129"/>
      <c r="B1480" s="2130"/>
      <c r="C1480" s="2130"/>
      <c r="D1480" s="2130"/>
      <c r="E1480" s="2130"/>
      <c r="F1480" s="2130"/>
      <c r="G1480" s="2130"/>
      <c r="H1480" s="2130">
        <f>SUM(H1479:O1479)</f>
        <v>1530.2820000000002</v>
      </c>
      <c r="I1480" s="2130"/>
      <c r="J1480" s="2130"/>
      <c r="K1480" s="2130"/>
      <c r="L1480" s="2130"/>
      <c r="M1480" s="2130"/>
      <c r="N1480" s="2130"/>
      <c r="O1480" s="2170"/>
    </row>
    <row r="1481" spans="1:15" ht="21" hidden="1" customHeight="1" outlineLevel="1">
      <c r="A1481" s="14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278"/>
    </row>
    <row r="1482" spans="1:15" ht="21" hidden="1" customHeight="1" outlineLevel="1">
      <c r="A1482" s="277" t="s">
        <v>456</v>
      </c>
      <c r="B1482" s="5"/>
      <c r="C1482" s="5">
        <v>3</v>
      </c>
      <c r="D1482" s="5">
        <v>1</v>
      </c>
      <c r="E1482" s="5">
        <v>2</v>
      </c>
      <c r="F1482" s="5">
        <f t="shared" ref="F1482:F1505" si="224">+D1482*E1482</f>
        <v>2</v>
      </c>
      <c r="G1482" s="5">
        <f t="shared" ref="G1482:G1505" si="225">+C1482</f>
        <v>3</v>
      </c>
      <c r="H1482" s="5"/>
      <c r="I1482" s="5"/>
      <c r="J1482" s="5"/>
      <c r="K1482" s="5">
        <f>1.55*G1482*F1482</f>
        <v>9.3000000000000007</v>
      </c>
      <c r="L1482" s="5"/>
      <c r="M1482" s="5"/>
      <c r="N1482" s="5"/>
      <c r="O1482" s="278"/>
    </row>
    <row r="1483" spans="1:15" ht="21" hidden="1" customHeight="1" outlineLevel="1">
      <c r="A1483" s="145"/>
      <c r="B1483" s="5"/>
      <c r="C1483" s="5">
        <v>4</v>
      </c>
      <c r="D1483" s="5">
        <v>1</v>
      </c>
      <c r="E1483" s="5">
        <v>2</v>
      </c>
      <c r="F1483" s="5">
        <f t="shared" si="224"/>
        <v>2</v>
      </c>
      <c r="G1483" s="5">
        <f t="shared" si="225"/>
        <v>4</v>
      </c>
      <c r="H1483" s="5"/>
      <c r="I1483" s="5"/>
      <c r="J1483" s="5"/>
      <c r="K1483" s="5">
        <f>1.55*G1483*F1483</f>
        <v>12.4</v>
      </c>
      <c r="L1483" s="5"/>
      <c r="M1483" s="5"/>
      <c r="N1483" s="5"/>
      <c r="O1483" s="278"/>
    </row>
    <row r="1484" spans="1:15" ht="21" hidden="1" customHeight="1" outlineLevel="1">
      <c r="A1484" s="145"/>
      <c r="B1484" s="5"/>
      <c r="C1484" s="5">
        <v>6</v>
      </c>
      <c r="D1484" s="5">
        <v>1</v>
      </c>
      <c r="E1484" s="5">
        <v>3</v>
      </c>
      <c r="F1484" s="5">
        <f t="shared" si="224"/>
        <v>3</v>
      </c>
      <c r="G1484" s="5">
        <f t="shared" si="225"/>
        <v>6</v>
      </c>
      <c r="H1484" s="5"/>
      <c r="I1484" s="5"/>
      <c r="J1484" s="5">
        <f>+G1484*F1484</f>
        <v>18</v>
      </c>
      <c r="K1484" s="5"/>
      <c r="L1484" s="5"/>
      <c r="M1484" s="5"/>
      <c r="N1484" s="5"/>
      <c r="O1484" s="278"/>
    </row>
    <row r="1485" spans="1:15" ht="21" hidden="1" customHeight="1" outlineLevel="1">
      <c r="A1485" s="145"/>
      <c r="B1485" s="5"/>
      <c r="C1485" s="5">
        <v>3</v>
      </c>
      <c r="D1485" s="5">
        <v>1</v>
      </c>
      <c r="E1485" s="5">
        <v>1</v>
      </c>
      <c r="F1485" s="5">
        <f t="shared" si="224"/>
        <v>1</v>
      </c>
      <c r="G1485" s="5">
        <f t="shared" si="225"/>
        <v>3</v>
      </c>
      <c r="H1485" s="5"/>
      <c r="I1485" s="5"/>
      <c r="J1485" s="5"/>
      <c r="K1485" s="5">
        <f>1.55*G1485*F1485</f>
        <v>4.6500000000000004</v>
      </c>
      <c r="L1485" s="5"/>
      <c r="M1485" s="5"/>
      <c r="N1485" s="5"/>
      <c r="O1485" s="278"/>
    </row>
    <row r="1486" spans="1:15" ht="21" hidden="1" customHeight="1" outlineLevel="1">
      <c r="A1486" s="145"/>
      <c r="B1486" s="5"/>
      <c r="C1486" s="5">
        <v>3</v>
      </c>
      <c r="D1486" s="5">
        <v>1</v>
      </c>
      <c r="E1486" s="5">
        <v>1</v>
      </c>
      <c r="F1486" s="5">
        <f t="shared" si="224"/>
        <v>1</v>
      </c>
      <c r="G1486" s="5">
        <f t="shared" si="225"/>
        <v>3</v>
      </c>
      <c r="H1486" s="5"/>
      <c r="I1486" s="5"/>
      <c r="J1486" s="5"/>
      <c r="K1486" s="5"/>
      <c r="L1486" s="5">
        <f>2.24*G1486*F1486</f>
        <v>6.7200000000000006</v>
      </c>
      <c r="M1486" s="5"/>
      <c r="N1486" s="5"/>
      <c r="O1486" s="278"/>
    </row>
    <row r="1487" spans="1:15" ht="21" hidden="1" customHeight="1" outlineLevel="1">
      <c r="A1487" s="145"/>
      <c r="B1487" s="5"/>
      <c r="C1487" s="5">
        <v>7.1</v>
      </c>
      <c r="D1487" s="5">
        <v>1</v>
      </c>
      <c r="E1487" s="5">
        <v>1</v>
      </c>
      <c r="F1487" s="5">
        <f t="shared" si="224"/>
        <v>1</v>
      </c>
      <c r="G1487" s="5">
        <f t="shared" si="225"/>
        <v>7.1</v>
      </c>
      <c r="H1487" s="5"/>
      <c r="I1487" s="5"/>
      <c r="J1487" s="5"/>
      <c r="K1487" s="5"/>
      <c r="L1487" s="5"/>
      <c r="M1487" s="5"/>
      <c r="N1487" s="5"/>
      <c r="O1487" s="278"/>
    </row>
    <row r="1488" spans="1:15" ht="21" hidden="1" customHeight="1" outlineLevel="1">
      <c r="A1488" s="145"/>
      <c r="B1488" s="5"/>
      <c r="C1488" s="5">
        <v>7.1</v>
      </c>
      <c r="D1488" s="5">
        <v>1</v>
      </c>
      <c r="E1488" s="5">
        <v>1</v>
      </c>
      <c r="F1488" s="5">
        <f t="shared" si="224"/>
        <v>1</v>
      </c>
      <c r="G1488" s="5">
        <f t="shared" si="225"/>
        <v>7.1</v>
      </c>
      <c r="H1488" s="5"/>
      <c r="I1488" s="5"/>
      <c r="J1488" s="5"/>
      <c r="K1488" s="5">
        <f>1.55*G1488*F1488</f>
        <v>11.004999999999999</v>
      </c>
      <c r="L1488" s="5"/>
      <c r="M1488" s="5"/>
      <c r="N1488" s="5"/>
      <c r="O1488" s="278"/>
    </row>
    <row r="1489" spans="1:15" ht="21" hidden="1" customHeight="1" outlineLevel="1">
      <c r="A1489" s="145"/>
      <c r="B1489" s="5"/>
      <c r="C1489" s="5">
        <v>4.5</v>
      </c>
      <c r="D1489" s="5">
        <v>1</v>
      </c>
      <c r="E1489" s="5">
        <v>2</v>
      </c>
      <c r="F1489" s="5">
        <f t="shared" si="224"/>
        <v>2</v>
      </c>
      <c r="G1489" s="5">
        <f t="shared" si="225"/>
        <v>4.5</v>
      </c>
      <c r="H1489" s="5"/>
      <c r="I1489" s="5"/>
      <c r="J1489" s="5"/>
      <c r="K1489" s="5">
        <f>1.55*G1489*F1489</f>
        <v>13.950000000000001</v>
      </c>
      <c r="L1489" s="5"/>
      <c r="M1489" s="5"/>
      <c r="N1489" s="5"/>
      <c r="O1489" s="278"/>
    </row>
    <row r="1490" spans="1:15" ht="21" hidden="1" customHeight="1" outlineLevel="1">
      <c r="A1490" s="145"/>
      <c r="B1490" s="5"/>
      <c r="C1490" s="5">
        <v>6.5</v>
      </c>
      <c r="D1490" s="5">
        <v>1</v>
      </c>
      <c r="E1490" s="5">
        <v>2</v>
      </c>
      <c r="F1490" s="5">
        <f t="shared" si="224"/>
        <v>2</v>
      </c>
      <c r="G1490" s="5">
        <f t="shared" si="225"/>
        <v>6.5</v>
      </c>
      <c r="H1490" s="5"/>
      <c r="I1490" s="5"/>
      <c r="J1490" s="5"/>
      <c r="K1490" s="5">
        <f>1.55*G1490*F1490</f>
        <v>20.150000000000002</v>
      </c>
      <c r="L1490" s="5"/>
      <c r="M1490" s="5"/>
      <c r="N1490" s="5"/>
      <c r="O1490" s="278"/>
    </row>
    <row r="1491" spans="1:15" ht="21" hidden="1" customHeight="1" outlineLevel="1">
      <c r="A1491" s="145"/>
      <c r="B1491" s="5"/>
      <c r="C1491" s="5">
        <v>7</v>
      </c>
      <c r="D1491" s="5">
        <v>1</v>
      </c>
      <c r="E1491" s="5">
        <v>3</v>
      </c>
      <c r="F1491" s="5">
        <f t="shared" si="224"/>
        <v>3</v>
      </c>
      <c r="G1491" s="5">
        <f t="shared" si="225"/>
        <v>7</v>
      </c>
      <c r="H1491" s="5"/>
      <c r="I1491" s="5"/>
      <c r="J1491" s="5">
        <f>+G1491*F1491</f>
        <v>21</v>
      </c>
      <c r="K1491" s="5"/>
      <c r="L1491" s="5"/>
      <c r="M1491" s="5"/>
      <c r="N1491" s="5"/>
      <c r="O1491" s="278"/>
    </row>
    <row r="1492" spans="1:15" ht="21" hidden="1" customHeight="1" outlineLevel="1">
      <c r="A1492" s="145"/>
      <c r="B1492" s="5"/>
      <c r="C1492" s="5">
        <v>9</v>
      </c>
      <c r="D1492" s="5">
        <v>1</v>
      </c>
      <c r="E1492" s="5">
        <v>1</v>
      </c>
      <c r="F1492" s="5">
        <f t="shared" si="224"/>
        <v>1</v>
      </c>
      <c r="G1492" s="5">
        <f t="shared" si="225"/>
        <v>9</v>
      </c>
      <c r="H1492" s="5"/>
      <c r="I1492" s="5"/>
      <c r="J1492" s="5"/>
      <c r="K1492" s="5">
        <f>1.55*G1492*F1492</f>
        <v>13.950000000000001</v>
      </c>
      <c r="L1492" s="5"/>
      <c r="M1492" s="5"/>
      <c r="N1492" s="5"/>
      <c r="O1492" s="278"/>
    </row>
    <row r="1493" spans="1:15" ht="21" hidden="1" customHeight="1" outlineLevel="1">
      <c r="A1493" s="145"/>
      <c r="B1493" s="5"/>
      <c r="C1493" s="5">
        <v>9</v>
      </c>
      <c r="D1493" s="5">
        <v>1</v>
      </c>
      <c r="E1493" s="5">
        <v>1</v>
      </c>
      <c r="F1493" s="5">
        <f t="shared" si="224"/>
        <v>1</v>
      </c>
      <c r="G1493" s="5">
        <f t="shared" si="225"/>
        <v>9</v>
      </c>
      <c r="H1493" s="5"/>
      <c r="I1493" s="5"/>
      <c r="J1493" s="5"/>
      <c r="K1493" s="5"/>
      <c r="L1493" s="5">
        <f>2.24*G1493*F1493</f>
        <v>20.160000000000004</v>
      </c>
      <c r="M1493" s="5"/>
      <c r="N1493" s="5"/>
      <c r="O1493" s="278"/>
    </row>
    <row r="1494" spans="1:15" ht="21" hidden="1" customHeight="1" outlineLevel="1">
      <c r="A1494" s="145"/>
      <c r="B1494" s="5"/>
      <c r="C1494" s="5">
        <v>9.5</v>
      </c>
      <c r="D1494" s="5">
        <v>1</v>
      </c>
      <c r="E1494" s="5">
        <v>1</v>
      </c>
      <c r="F1494" s="5">
        <f t="shared" si="224"/>
        <v>1</v>
      </c>
      <c r="G1494" s="5">
        <f t="shared" si="225"/>
        <v>9.5</v>
      </c>
      <c r="H1494" s="5"/>
      <c r="I1494" s="5"/>
      <c r="J1494" s="5"/>
      <c r="K1494" s="5"/>
      <c r="L1494" s="5">
        <f>2.24*G1494*F1494</f>
        <v>21.28</v>
      </c>
      <c r="M1494" s="5"/>
      <c r="N1494" s="5"/>
      <c r="O1494" s="278"/>
    </row>
    <row r="1495" spans="1:15" ht="21" hidden="1" customHeight="1" outlineLevel="1">
      <c r="A1495" s="145"/>
      <c r="B1495" s="5"/>
      <c r="C1495" s="5">
        <v>9.5</v>
      </c>
      <c r="D1495" s="5">
        <v>1</v>
      </c>
      <c r="E1495" s="5">
        <v>1</v>
      </c>
      <c r="F1495" s="5">
        <f t="shared" si="224"/>
        <v>1</v>
      </c>
      <c r="G1495" s="5">
        <f t="shared" si="225"/>
        <v>9.5</v>
      </c>
      <c r="H1495" s="5"/>
      <c r="I1495" s="5"/>
      <c r="J1495" s="5"/>
      <c r="K1495" s="5">
        <f>1.55*G1495*F1495</f>
        <v>14.725</v>
      </c>
      <c r="L1495" s="5"/>
      <c r="M1495" s="5"/>
      <c r="N1495" s="5"/>
      <c r="O1495" s="278"/>
    </row>
    <row r="1496" spans="1:15" ht="21" hidden="1" customHeight="1" outlineLevel="1">
      <c r="A1496" s="145"/>
      <c r="B1496" s="5"/>
      <c r="C1496" s="5">
        <v>4.5</v>
      </c>
      <c r="D1496" s="5">
        <v>1</v>
      </c>
      <c r="E1496" s="5">
        <v>2</v>
      </c>
      <c r="F1496" s="5">
        <f t="shared" si="224"/>
        <v>2</v>
      </c>
      <c r="G1496" s="5">
        <f t="shared" si="225"/>
        <v>4.5</v>
      </c>
      <c r="H1496" s="5"/>
      <c r="I1496" s="5"/>
      <c r="J1496" s="5">
        <f>+G1496*F1496</f>
        <v>9</v>
      </c>
      <c r="K1496" s="5"/>
      <c r="L1496" s="5"/>
      <c r="M1496" s="5"/>
      <c r="N1496" s="5"/>
      <c r="O1496" s="278"/>
    </row>
    <row r="1497" spans="1:15" ht="21" hidden="1" customHeight="1" outlineLevel="1">
      <c r="A1497" s="145"/>
      <c r="B1497" s="5"/>
      <c r="C1497" s="5">
        <v>3.8</v>
      </c>
      <c r="D1497" s="5">
        <v>1</v>
      </c>
      <c r="E1497" s="5">
        <v>2</v>
      </c>
      <c r="F1497" s="5">
        <f t="shared" si="224"/>
        <v>2</v>
      </c>
      <c r="G1497" s="5">
        <f t="shared" si="225"/>
        <v>3.8</v>
      </c>
      <c r="H1497" s="5"/>
      <c r="I1497" s="5"/>
      <c r="J1497" s="5"/>
      <c r="K1497" s="5"/>
      <c r="L1497" s="5">
        <f>2.24*G1497*F1497</f>
        <v>17.024000000000001</v>
      </c>
      <c r="M1497" s="5"/>
      <c r="N1497" s="5"/>
      <c r="O1497" s="278"/>
    </row>
    <row r="1498" spans="1:15" ht="21" hidden="1" customHeight="1" outlineLevel="1">
      <c r="A1498" s="145"/>
      <c r="B1498" s="5"/>
      <c r="C1498" s="5">
        <v>3.8</v>
      </c>
      <c r="D1498" s="5">
        <v>1</v>
      </c>
      <c r="E1498" s="5">
        <v>1</v>
      </c>
      <c r="F1498" s="5">
        <f t="shared" si="224"/>
        <v>1</v>
      </c>
      <c r="G1498" s="5">
        <f t="shared" si="225"/>
        <v>3.8</v>
      </c>
      <c r="H1498" s="5"/>
      <c r="I1498" s="5"/>
      <c r="J1498" s="5"/>
      <c r="K1498" s="5">
        <f>1.55*G1498*F1498</f>
        <v>5.89</v>
      </c>
      <c r="L1498" s="5"/>
      <c r="M1498" s="5"/>
      <c r="N1498" s="5"/>
      <c r="O1498" s="278"/>
    </row>
    <row r="1499" spans="1:15" ht="21" hidden="1" customHeight="1" outlineLevel="1">
      <c r="A1499" s="145"/>
      <c r="B1499" s="5"/>
      <c r="C1499" s="5">
        <v>7.5</v>
      </c>
      <c r="D1499" s="5">
        <v>1</v>
      </c>
      <c r="E1499" s="5">
        <v>3</v>
      </c>
      <c r="F1499" s="5">
        <f t="shared" si="224"/>
        <v>3</v>
      </c>
      <c r="G1499" s="5">
        <f t="shared" si="225"/>
        <v>7.5</v>
      </c>
      <c r="H1499" s="5"/>
      <c r="I1499" s="5"/>
      <c r="J1499" s="5">
        <f>+G1499*F1499</f>
        <v>22.5</v>
      </c>
      <c r="K1499" s="5"/>
      <c r="L1499" s="5"/>
      <c r="M1499" s="5"/>
      <c r="N1499" s="5"/>
      <c r="O1499" s="278"/>
    </row>
    <row r="1500" spans="1:15" ht="21" hidden="1" customHeight="1" outlineLevel="1">
      <c r="A1500" s="145"/>
      <c r="B1500" s="5"/>
      <c r="C1500" s="5">
        <v>9.1</v>
      </c>
      <c r="D1500" s="5">
        <v>1</v>
      </c>
      <c r="E1500" s="5">
        <v>1</v>
      </c>
      <c r="F1500" s="5">
        <f t="shared" si="224"/>
        <v>1</v>
      </c>
      <c r="G1500" s="5">
        <f t="shared" si="225"/>
        <v>9.1</v>
      </c>
      <c r="H1500" s="5"/>
      <c r="I1500" s="5"/>
      <c r="J1500" s="5"/>
      <c r="K1500" s="5">
        <f>1.55*G1500*F1500</f>
        <v>14.105</v>
      </c>
      <c r="L1500" s="5"/>
      <c r="M1500" s="5"/>
      <c r="N1500" s="5"/>
      <c r="O1500" s="278"/>
    </row>
    <row r="1501" spans="1:15" ht="21" hidden="1" customHeight="1" outlineLevel="1">
      <c r="A1501" s="145"/>
      <c r="B1501" s="5"/>
      <c r="C1501" s="5">
        <v>9.1</v>
      </c>
      <c r="D1501" s="5">
        <v>1</v>
      </c>
      <c r="E1501" s="5">
        <v>1</v>
      </c>
      <c r="F1501" s="5">
        <f t="shared" si="224"/>
        <v>1</v>
      </c>
      <c r="G1501" s="5">
        <f t="shared" si="225"/>
        <v>9.1</v>
      </c>
      <c r="H1501" s="5"/>
      <c r="I1501" s="5"/>
      <c r="J1501" s="5"/>
      <c r="K1501" s="5"/>
      <c r="L1501" s="5">
        <f>2.24*G1501*F1501</f>
        <v>20.384</v>
      </c>
      <c r="M1501" s="5"/>
      <c r="N1501" s="5"/>
      <c r="O1501" s="278"/>
    </row>
    <row r="1502" spans="1:15" ht="21" hidden="1" customHeight="1" outlineLevel="1">
      <c r="A1502" s="145"/>
      <c r="B1502" s="5"/>
      <c r="C1502" s="5">
        <v>4</v>
      </c>
      <c r="D1502" s="5">
        <v>1</v>
      </c>
      <c r="E1502" s="5">
        <v>1</v>
      </c>
      <c r="F1502" s="5">
        <f t="shared" si="224"/>
        <v>1</v>
      </c>
      <c r="G1502" s="5">
        <f t="shared" si="225"/>
        <v>4</v>
      </c>
      <c r="H1502" s="5"/>
      <c r="I1502" s="5"/>
      <c r="J1502" s="5"/>
      <c r="K1502" s="5"/>
      <c r="L1502" s="5">
        <f>2.24*G1502*F1502</f>
        <v>8.9600000000000009</v>
      </c>
      <c r="M1502" s="5"/>
      <c r="N1502" s="5"/>
      <c r="O1502" s="278"/>
    </row>
    <row r="1503" spans="1:15" ht="21" hidden="1" customHeight="1" outlineLevel="1">
      <c r="A1503" s="145"/>
      <c r="B1503" s="5"/>
      <c r="C1503" s="5">
        <v>4</v>
      </c>
      <c r="D1503" s="5">
        <v>1</v>
      </c>
      <c r="E1503" s="5">
        <v>1</v>
      </c>
      <c r="F1503" s="5">
        <f t="shared" si="224"/>
        <v>1</v>
      </c>
      <c r="G1503" s="5">
        <f t="shared" si="225"/>
        <v>4</v>
      </c>
      <c r="H1503" s="5"/>
      <c r="I1503" s="5"/>
      <c r="J1503" s="5"/>
      <c r="K1503" s="5">
        <f>1.55*G1503*F1503</f>
        <v>6.2</v>
      </c>
      <c r="L1503" s="5"/>
      <c r="M1503" s="5"/>
      <c r="N1503" s="5"/>
      <c r="O1503" s="278"/>
    </row>
    <row r="1504" spans="1:15" ht="21" hidden="1" customHeight="1" outlineLevel="1">
      <c r="A1504" s="145"/>
      <c r="B1504" s="5"/>
      <c r="C1504" s="5">
        <v>2.1</v>
      </c>
      <c r="D1504" s="5">
        <v>1</v>
      </c>
      <c r="E1504" s="5">
        <v>80</v>
      </c>
      <c r="F1504" s="5">
        <f t="shared" si="224"/>
        <v>80</v>
      </c>
      <c r="G1504" s="5">
        <f t="shared" si="225"/>
        <v>2.1</v>
      </c>
      <c r="H1504" s="5"/>
      <c r="I1504" s="5">
        <f>0.56*G1504*F1504</f>
        <v>94.080000000000013</v>
      </c>
      <c r="J1504" s="5"/>
      <c r="K1504" s="5"/>
      <c r="L1504" s="5"/>
      <c r="M1504" s="5"/>
      <c r="N1504" s="5"/>
      <c r="O1504" s="278"/>
    </row>
    <row r="1505" spans="1:15" ht="21" hidden="1" customHeight="1" outlineLevel="1">
      <c r="A1505" s="145"/>
      <c r="B1505" s="5"/>
      <c r="C1505" s="5">
        <v>0.65</v>
      </c>
      <c r="D1505" s="5">
        <v>1</v>
      </c>
      <c r="E1505" s="5">
        <v>80</v>
      </c>
      <c r="F1505" s="5">
        <f t="shared" si="224"/>
        <v>80</v>
      </c>
      <c r="G1505" s="5">
        <f t="shared" si="225"/>
        <v>0.65</v>
      </c>
      <c r="H1505" s="5"/>
      <c r="I1505" s="5">
        <f>0.56*G1505*F1505</f>
        <v>29.120000000000005</v>
      </c>
      <c r="J1505" s="5"/>
      <c r="K1505" s="5"/>
      <c r="L1505" s="5"/>
      <c r="M1505" s="5"/>
      <c r="N1505" s="5"/>
      <c r="O1505" s="278"/>
    </row>
    <row r="1506" spans="1:15" ht="21" hidden="1" customHeight="1" outlineLevel="1">
      <c r="A1506" s="2129"/>
      <c r="B1506" s="2130"/>
      <c r="C1506" s="2130"/>
      <c r="D1506" s="2130"/>
      <c r="E1506" s="2130"/>
      <c r="F1506" s="2130"/>
      <c r="G1506" s="2130"/>
      <c r="H1506" s="561">
        <f t="shared" ref="H1506:O1506" si="226">SUM(H1482:H1505)</f>
        <v>0</v>
      </c>
      <c r="I1506" s="561">
        <f t="shared" si="226"/>
        <v>123.20000000000002</v>
      </c>
      <c r="J1506" s="561">
        <f t="shared" si="226"/>
        <v>70.5</v>
      </c>
      <c r="K1506" s="561">
        <f t="shared" si="226"/>
        <v>126.32500000000002</v>
      </c>
      <c r="L1506" s="561">
        <f t="shared" si="226"/>
        <v>94.527999999999992</v>
      </c>
      <c r="M1506" s="561">
        <f t="shared" si="226"/>
        <v>0</v>
      </c>
      <c r="N1506" s="561">
        <f t="shared" si="226"/>
        <v>0</v>
      </c>
      <c r="O1506" s="562">
        <f t="shared" si="226"/>
        <v>0</v>
      </c>
    </row>
    <row r="1507" spans="1:15" ht="21" hidden="1" customHeight="1" outlineLevel="1">
      <c r="A1507" s="2129"/>
      <c r="B1507" s="2130"/>
      <c r="C1507" s="2130"/>
      <c r="D1507" s="2130"/>
      <c r="E1507" s="2130"/>
      <c r="F1507" s="2130"/>
      <c r="G1507" s="2130"/>
      <c r="H1507" s="2130">
        <f>SUM(H1506:O1506)</f>
        <v>414.553</v>
      </c>
      <c r="I1507" s="2130"/>
      <c r="J1507" s="2130"/>
      <c r="K1507" s="2130"/>
      <c r="L1507" s="2130"/>
      <c r="M1507" s="2130"/>
      <c r="N1507" s="2130"/>
      <c r="O1507" s="2170"/>
    </row>
    <row r="1508" spans="1:15" ht="21" hidden="1" customHeight="1" outlineLevel="1">
      <c r="A1508" s="14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278"/>
    </row>
    <row r="1509" spans="1:15" ht="21" hidden="1" customHeight="1" outlineLevel="1">
      <c r="A1509" s="277" t="s">
        <v>457</v>
      </c>
      <c r="B1509" s="5"/>
      <c r="C1509" s="5">
        <v>3.5</v>
      </c>
      <c r="D1509" s="5">
        <v>1</v>
      </c>
      <c r="E1509" s="5">
        <v>3</v>
      </c>
      <c r="F1509" s="5">
        <f t="shared" ref="F1509:F1525" si="227">+E1509*D1509</f>
        <v>3</v>
      </c>
      <c r="G1509" s="5">
        <f t="shared" ref="G1509:G1525" si="228">+C1509</f>
        <v>3.5</v>
      </c>
      <c r="H1509" s="5"/>
      <c r="I1509" s="5"/>
      <c r="J1509" s="5"/>
      <c r="K1509" s="5">
        <f>1.55*G1509*F1509</f>
        <v>16.274999999999999</v>
      </c>
      <c r="L1509" s="5"/>
      <c r="M1509" s="5"/>
      <c r="N1509" s="5"/>
      <c r="O1509" s="278"/>
    </row>
    <row r="1510" spans="1:15" ht="21" hidden="1" customHeight="1" outlineLevel="1">
      <c r="A1510" s="145"/>
      <c r="B1510" s="5"/>
      <c r="C1510" s="5">
        <v>6</v>
      </c>
      <c r="D1510" s="5">
        <v>1</v>
      </c>
      <c r="E1510" s="5">
        <v>3</v>
      </c>
      <c r="F1510" s="5">
        <f t="shared" si="227"/>
        <v>3</v>
      </c>
      <c r="G1510" s="5">
        <f t="shared" si="228"/>
        <v>6</v>
      </c>
      <c r="H1510" s="5"/>
      <c r="I1510" s="5"/>
      <c r="J1510" s="5">
        <f>+G1510*F1510</f>
        <v>18</v>
      </c>
      <c r="K1510" s="5"/>
      <c r="L1510" s="5"/>
      <c r="M1510" s="5"/>
      <c r="N1510" s="5"/>
      <c r="O1510" s="278"/>
    </row>
    <row r="1511" spans="1:15" ht="21" hidden="1" customHeight="1" outlineLevel="1">
      <c r="A1511" s="145"/>
      <c r="B1511" s="5"/>
      <c r="C1511" s="5">
        <v>3</v>
      </c>
      <c r="D1511" s="5">
        <v>1</v>
      </c>
      <c r="E1511" s="5">
        <v>2</v>
      </c>
      <c r="F1511" s="5">
        <f t="shared" si="227"/>
        <v>2</v>
      </c>
      <c r="G1511" s="5">
        <f t="shared" si="228"/>
        <v>3</v>
      </c>
      <c r="H1511" s="5"/>
      <c r="I1511" s="5"/>
      <c r="J1511" s="5"/>
      <c r="K1511" s="5"/>
      <c r="L1511" s="5">
        <f t="shared" ref="L1511:L1516" si="229">2.24*G1511*F1511</f>
        <v>13.440000000000001</v>
      </c>
      <c r="M1511" s="5"/>
      <c r="N1511" s="5"/>
      <c r="O1511" s="278"/>
    </row>
    <row r="1512" spans="1:15" ht="21" hidden="1" customHeight="1" outlineLevel="1">
      <c r="A1512" s="145"/>
      <c r="B1512" s="5"/>
      <c r="C1512" s="5">
        <v>6.9</v>
      </c>
      <c r="D1512" s="5">
        <v>1</v>
      </c>
      <c r="E1512" s="5">
        <v>2</v>
      </c>
      <c r="F1512" s="5">
        <f t="shared" si="227"/>
        <v>2</v>
      </c>
      <c r="G1512" s="5">
        <f t="shared" si="228"/>
        <v>6.9</v>
      </c>
      <c r="H1512" s="5"/>
      <c r="I1512" s="5"/>
      <c r="J1512" s="5"/>
      <c r="K1512" s="5"/>
      <c r="L1512" s="5">
        <f t="shared" si="229"/>
        <v>30.912000000000006</v>
      </c>
      <c r="M1512" s="5"/>
      <c r="N1512" s="5"/>
      <c r="O1512" s="278"/>
    </row>
    <row r="1513" spans="1:15" ht="21" hidden="1" customHeight="1" outlineLevel="1">
      <c r="A1513" s="145"/>
      <c r="B1513" s="5"/>
      <c r="C1513" s="5">
        <v>9</v>
      </c>
      <c r="D1513" s="5">
        <v>1</v>
      </c>
      <c r="E1513" s="5">
        <v>6</v>
      </c>
      <c r="F1513" s="5">
        <f t="shared" si="227"/>
        <v>6</v>
      </c>
      <c r="G1513" s="5">
        <f t="shared" si="228"/>
        <v>9</v>
      </c>
      <c r="H1513" s="5"/>
      <c r="I1513" s="5"/>
      <c r="J1513" s="5"/>
      <c r="K1513" s="5"/>
      <c r="L1513" s="5">
        <f t="shared" si="229"/>
        <v>120.96000000000002</v>
      </c>
      <c r="M1513" s="5"/>
      <c r="N1513" s="5"/>
      <c r="O1513" s="278"/>
    </row>
    <row r="1514" spans="1:15" ht="21" hidden="1" customHeight="1" outlineLevel="1">
      <c r="A1514" s="145"/>
      <c r="B1514" s="5"/>
      <c r="C1514" s="5">
        <v>9.5</v>
      </c>
      <c r="D1514" s="5">
        <v>1</v>
      </c>
      <c r="E1514" s="5">
        <v>2</v>
      </c>
      <c r="F1514" s="5">
        <f t="shared" si="227"/>
        <v>2</v>
      </c>
      <c r="G1514" s="5">
        <f t="shared" si="228"/>
        <v>9.5</v>
      </c>
      <c r="H1514" s="5"/>
      <c r="I1514" s="5"/>
      <c r="J1514" s="5"/>
      <c r="K1514" s="5"/>
      <c r="L1514" s="5">
        <f t="shared" si="229"/>
        <v>42.56</v>
      </c>
      <c r="M1514" s="5"/>
      <c r="N1514" s="5"/>
      <c r="O1514" s="278"/>
    </row>
    <row r="1515" spans="1:15" ht="21" hidden="1" customHeight="1" outlineLevel="1">
      <c r="A1515" s="145"/>
      <c r="B1515" s="5"/>
      <c r="C1515" s="5">
        <v>8</v>
      </c>
      <c r="D1515" s="5">
        <v>1</v>
      </c>
      <c r="E1515" s="5">
        <v>4</v>
      </c>
      <c r="F1515" s="5">
        <f t="shared" si="227"/>
        <v>4</v>
      </c>
      <c r="G1515" s="5">
        <f t="shared" si="228"/>
        <v>8</v>
      </c>
      <c r="H1515" s="5"/>
      <c r="I1515" s="5"/>
      <c r="J1515" s="5"/>
      <c r="K1515" s="5"/>
      <c r="L1515" s="5">
        <f t="shared" si="229"/>
        <v>71.680000000000007</v>
      </c>
      <c r="M1515" s="5"/>
      <c r="N1515" s="5"/>
      <c r="O1515" s="278"/>
    </row>
    <row r="1516" spans="1:15" ht="21" hidden="1" customHeight="1" outlineLevel="1">
      <c r="A1516" s="145"/>
      <c r="B1516" s="5"/>
      <c r="C1516" s="5">
        <v>6</v>
      </c>
      <c r="D1516" s="5">
        <v>1</v>
      </c>
      <c r="E1516" s="5">
        <v>5</v>
      </c>
      <c r="F1516" s="5">
        <f t="shared" si="227"/>
        <v>5</v>
      </c>
      <c r="G1516" s="5">
        <f t="shared" si="228"/>
        <v>6</v>
      </c>
      <c r="H1516" s="5"/>
      <c r="I1516" s="5"/>
      <c r="J1516" s="5"/>
      <c r="K1516" s="5"/>
      <c r="L1516" s="5">
        <f t="shared" si="229"/>
        <v>67.2</v>
      </c>
      <c r="M1516" s="5"/>
      <c r="N1516" s="5"/>
      <c r="O1516" s="278"/>
    </row>
    <row r="1517" spans="1:15" ht="21" hidden="1" customHeight="1" outlineLevel="1">
      <c r="A1517" s="145"/>
      <c r="B1517" s="5"/>
      <c r="C1517" s="5">
        <v>6</v>
      </c>
      <c r="D1517" s="5">
        <v>1</v>
      </c>
      <c r="E1517" s="5">
        <v>4</v>
      </c>
      <c r="F1517" s="5">
        <f t="shared" si="227"/>
        <v>4</v>
      </c>
      <c r="G1517" s="5">
        <f t="shared" si="228"/>
        <v>6</v>
      </c>
      <c r="H1517" s="5"/>
      <c r="I1517" s="5"/>
      <c r="J1517" s="5"/>
      <c r="K1517" s="5">
        <f>1.55*G1517*F1517</f>
        <v>37.200000000000003</v>
      </c>
      <c r="L1517" s="5"/>
      <c r="M1517" s="5"/>
      <c r="N1517" s="5"/>
      <c r="O1517" s="278"/>
    </row>
    <row r="1518" spans="1:15" ht="21" hidden="1" customHeight="1" outlineLevel="1">
      <c r="A1518" s="145"/>
      <c r="B1518" s="5"/>
      <c r="C1518" s="5">
        <v>9</v>
      </c>
      <c r="D1518" s="5">
        <v>1</v>
      </c>
      <c r="E1518" s="5">
        <v>6</v>
      </c>
      <c r="F1518" s="5">
        <f t="shared" si="227"/>
        <v>6</v>
      </c>
      <c r="G1518" s="5">
        <f t="shared" si="228"/>
        <v>9</v>
      </c>
      <c r="H1518" s="5"/>
      <c r="I1518" s="5"/>
      <c r="J1518" s="5">
        <f>+G1518*F1518</f>
        <v>54</v>
      </c>
      <c r="K1518" s="5"/>
      <c r="L1518" s="5"/>
      <c r="M1518" s="5"/>
      <c r="N1518" s="5"/>
      <c r="O1518" s="278"/>
    </row>
    <row r="1519" spans="1:15" ht="21" hidden="1" customHeight="1" outlineLevel="1">
      <c r="A1519" s="145"/>
      <c r="B1519" s="5"/>
      <c r="C1519" s="5">
        <v>7.5</v>
      </c>
      <c r="D1519" s="5">
        <v>1</v>
      </c>
      <c r="E1519" s="5">
        <v>3</v>
      </c>
      <c r="F1519" s="5">
        <f t="shared" si="227"/>
        <v>3</v>
      </c>
      <c r="G1519" s="5">
        <f t="shared" si="228"/>
        <v>7.5</v>
      </c>
      <c r="H1519" s="5"/>
      <c r="I1519" s="5"/>
      <c r="J1519" s="5">
        <f>+G1519*F1519</f>
        <v>22.5</v>
      </c>
      <c r="K1519" s="5"/>
      <c r="L1519" s="5"/>
      <c r="M1519" s="5"/>
      <c r="N1519" s="5"/>
      <c r="O1519" s="278"/>
    </row>
    <row r="1520" spans="1:15" ht="21" hidden="1" customHeight="1" outlineLevel="1">
      <c r="A1520" s="145"/>
      <c r="B1520" s="5"/>
      <c r="C1520" s="5">
        <v>3.8</v>
      </c>
      <c r="D1520" s="5">
        <v>1</v>
      </c>
      <c r="E1520" s="5">
        <v>3</v>
      </c>
      <c r="F1520" s="5">
        <f t="shared" si="227"/>
        <v>3</v>
      </c>
      <c r="G1520" s="5">
        <f t="shared" si="228"/>
        <v>3.8</v>
      </c>
      <c r="H1520" s="5"/>
      <c r="I1520" s="5"/>
      <c r="J1520" s="5"/>
      <c r="K1520" s="5">
        <f>1.55*G1520*F1520</f>
        <v>17.669999999999998</v>
      </c>
      <c r="L1520" s="5"/>
      <c r="M1520" s="5"/>
      <c r="N1520" s="5"/>
      <c r="O1520" s="278"/>
    </row>
    <row r="1521" spans="1:15" ht="21" hidden="1" customHeight="1" outlineLevel="1">
      <c r="A1521" s="145"/>
      <c r="B1521" s="5"/>
      <c r="C1521" s="5">
        <v>4.5</v>
      </c>
      <c r="D1521" s="5">
        <v>1</v>
      </c>
      <c r="E1521" s="5">
        <v>3</v>
      </c>
      <c r="F1521" s="5">
        <f t="shared" si="227"/>
        <v>3</v>
      </c>
      <c r="G1521" s="5">
        <f t="shared" si="228"/>
        <v>4.5</v>
      </c>
      <c r="H1521" s="5"/>
      <c r="I1521" s="5"/>
      <c r="J1521" s="5">
        <f>+G1521*F1521</f>
        <v>13.5</v>
      </c>
      <c r="K1521" s="5"/>
      <c r="L1521" s="5"/>
      <c r="M1521" s="5"/>
      <c r="N1521" s="5"/>
      <c r="O1521" s="278"/>
    </row>
    <row r="1522" spans="1:15" ht="21" hidden="1" customHeight="1" outlineLevel="1">
      <c r="A1522" s="145"/>
      <c r="B1522" s="5"/>
      <c r="C1522" s="5">
        <v>7.4</v>
      </c>
      <c r="D1522" s="5">
        <v>1</v>
      </c>
      <c r="E1522" s="5">
        <v>2</v>
      </c>
      <c r="F1522" s="5">
        <f t="shared" si="227"/>
        <v>2</v>
      </c>
      <c r="G1522" s="5">
        <f t="shared" si="228"/>
        <v>7.4</v>
      </c>
      <c r="H1522" s="5"/>
      <c r="I1522" s="5"/>
      <c r="J1522" s="5"/>
      <c r="K1522" s="5"/>
      <c r="L1522" s="5">
        <f>2.24*G1522*F1522</f>
        <v>33.152000000000008</v>
      </c>
      <c r="M1522" s="5"/>
      <c r="N1522" s="5"/>
      <c r="O1522" s="278"/>
    </row>
    <row r="1523" spans="1:15" ht="21" hidden="1" customHeight="1" outlineLevel="1">
      <c r="A1523" s="145"/>
      <c r="B1523" s="5"/>
      <c r="C1523" s="5">
        <v>4</v>
      </c>
      <c r="D1523" s="5">
        <v>1</v>
      </c>
      <c r="E1523" s="5">
        <v>2</v>
      </c>
      <c r="F1523" s="5">
        <f t="shared" si="227"/>
        <v>2</v>
      </c>
      <c r="G1523" s="5">
        <f t="shared" si="228"/>
        <v>4</v>
      </c>
      <c r="H1523" s="5"/>
      <c r="I1523" s="5"/>
      <c r="J1523" s="5"/>
      <c r="K1523" s="5"/>
      <c r="L1523" s="5">
        <f>2.24*G1523*F1523</f>
        <v>17.920000000000002</v>
      </c>
      <c r="M1523" s="5"/>
      <c r="N1523" s="5"/>
      <c r="O1523" s="278"/>
    </row>
    <row r="1524" spans="1:15" ht="21" hidden="1" customHeight="1" outlineLevel="1">
      <c r="A1524" s="145"/>
      <c r="B1524" s="5"/>
      <c r="C1524" s="5">
        <v>2.1</v>
      </c>
      <c r="D1524" s="5">
        <v>1</v>
      </c>
      <c r="E1524" s="5">
        <v>153</v>
      </c>
      <c r="F1524" s="5">
        <f t="shared" si="227"/>
        <v>153</v>
      </c>
      <c r="G1524" s="5">
        <f t="shared" si="228"/>
        <v>2.1</v>
      </c>
      <c r="H1524" s="5"/>
      <c r="I1524" s="5">
        <f>0.56*G1524*F1524</f>
        <v>179.92800000000003</v>
      </c>
      <c r="J1524" s="5"/>
      <c r="K1524" s="5"/>
      <c r="L1524" s="5"/>
      <c r="M1524" s="5"/>
      <c r="N1524" s="5"/>
      <c r="O1524" s="278"/>
    </row>
    <row r="1525" spans="1:15" ht="21" hidden="1" customHeight="1" outlineLevel="1">
      <c r="A1525" s="145"/>
      <c r="B1525" s="5"/>
      <c r="C1525" s="5">
        <v>0.65</v>
      </c>
      <c r="D1525" s="5">
        <v>1</v>
      </c>
      <c r="E1525" s="5">
        <v>153</v>
      </c>
      <c r="F1525" s="5">
        <f t="shared" si="227"/>
        <v>153</v>
      </c>
      <c r="G1525" s="5">
        <f t="shared" si="228"/>
        <v>0.65</v>
      </c>
      <c r="H1525" s="5"/>
      <c r="I1525" s="5">
        <f>0.56*G1525*F1525</f>
        <v>55.692000000000007</v>
      </c>
      <c r="J1525" s="5"/>
      <c r="K1525" s="5"/>
      <c r="L1525" s="5"/>
      <c r="M1525" s="5"/>
      <c r="N1525" s="5"/>
      <c r="O1525" s="278"/>
    </row>
    <row r="1526" spans="1:15" ht="21" hidden="1" customHeight="1" outlineLevel="1">
      <c r="A1526" s="2129"/>
      <c r="B1526" s="2130"/>
      <c r="C1526" s="2130"/>
      <c r="D1526" s="2130"/>
      <c r="E1526" s="2130"/>
      <c r="F1526" s="2130"/>
      <c r="G1526" s="2130"/>
      <c r="H1526" s="561">
        <f t="shared" ref="H1526:O1526" si="230">SUM(H1509:H1525)</f>
        <v>0</v>
      </c>
      <c r="I1526" s="561">
        <f t="shared" si="230"/>
        <v>235.62000000000003</v>
      </c>
      <c r="J1526" s="561">
        <f t="shared" si="230"/>
        <v>108</v>
      </c>
      <c r="K1526" s="561">
        <f t="shared" si="230"/>
        <v>71.144999999999996</v>
      </c>
      <c r="L1526" s="561">
        <f t="shared" si="230"/>
        <v>397.82400000000001</v>
      </c>
      <c r="M1526" s="561">
        <f t="shared" si="230"/>
        <v>0</v>
      </c>
      <c r="N1526" s="561">
        <f t="shared" si="230"/>
        <v>0</v>
      </c>
      <c r="O1526" s="562">
        <f t="shared" si="230"/>
        <v>0</v>
      </c>
    </row>
    <row r="1527" spans="1:15" ht="21" hidden="1" customHeight="1" outlineLevel="1">
      <c r="A1527" s="2129"/>
      <c r="B1527" s="2130"/>
      <c r="C1527" s="2130"/>
      <c r="D1527" s="2130"/>
      <c r="E1527" s="2130"/>
      <c r="F1527" s="2130"/>
      <c r="G1527" s="2130"/>
      <c r="H1527" s="2130">
        <f>SUM(H1526:O1526)</f>
        <v>812.58899999999994</v>
      </c>
      <c r="I1527" s="2130"/>
      <c r="J1527" s="2130"/>
      <c r="K1527" s="2130"/>
      <c r="L1527" s="2130"/>
      <c r="M1527" s="2130"/>
      <c r="N1527" s="2130"/>
      <c r="O1527" s="2170"/>
    </row>
    <row r="1528" spans="1:15" ht="21" hidden="1" customHeight="1" outlineLevel="1">
      <c r="A1528" s="14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278"/>
    </row>
    <row r="1529" spans="1:15" ht="21" hidden="1" customHeight="1" outlineLevel="1">
      <c r="A1529" s="277" t="s">
        <v>458</v>
      </c>
      <c r="B1529" s="5"/>
      <c r="C1529" s="5">
        <v>3</v>
      </c>
      <c r="D1529" s="5">
        <v>1</v>
      </c>
      <c r="E1529" s="5">
        <v>1</v>
      </c>
      <c r="F1529" s="5">
        <f t="shared" ref="F1529:F1553" si="231">+D1529*E1529</f>
        <v>1</v>
      </c>
      <c r="G1529" s="5">
        <f t="shared" ref="G1529:G1553" si="232">+C1529</f>
        <v>3</v>
      </c>
      <c r="H1529" s="5"/>
      <c r="I1529" s="5"/>
      <c r="J1529" s="5"/>
      <c r="K1529" s="5">
        <f>1.55*F1529*G1529</f>
        <v>4.6500000000000004</v>
      </c>
      <c r="L1529" s="5"/>
      <c r="M1529" s="5"/>
      <c r="N1529" s="5"/>
      <c r="O1529" s="278"/>
    </row>
    <row r="1530" spans="1:15" ht="21" hidden="1" customHeight="1" outlineLevel="1">
      <c r="A1530" s="145"/>
      <c r="B1530" s="5"/>
      <c r="C1530" s="5">
        <v>6</v>
      </c>
      <c r="D1530" s="5">
        <v>1</v>
      </c>
      <c r="E1530" s="5">
        <v>3</v>
      </c>
      <c r="F1530" s="5">
        <f t="shared" si="231"/>
        <v>3</v>
      </c>
      <c r="G1530" s="5">
        <f t="shared" si="232"/>
        <v>6</v>
      </c>
      <c r="H1530" s="5"/>
      <c r="I1530" s="5"/>
      <c r="J1530" s="5">
        <f>+F1530*G1530</f>
        <v>18</v>
      </c>
      <c r="K1530" s="5"/>
      <c r="L1530" s="5"/>
      <c r="M1530" s="5"/>
      <c r="N1530" s="5"/>
      <c r="O1530" s="278"/>
    </row>
    <row r="1531" spans="1:15" ht="21" hidden="1" customHeight="1" outlineLevel="1">
      <c r="A1531" s="145"/>
      <c r="B1531" s="5"/>
      <c r="C1531" s="5">
        <v>3</v>
      </c>
      <c r="D1531" s="5">
        <v>1</v>
      </c>
      <c r="E1531" s="5">
        <v>1</v>
      </c>
      <c r="F1531" s="5">
        <f t="shared" si="231"/>
        <v>1</v>
      </c>
      <c r="G1531" s="5">
        <f t="shared" si="232"/>
        <v>3</v>
      </c>
      <c r="H1531" s="5"/>
      <c r="I1531" s="5"/>
      <c r="J1531" s="5"/>
      <c r="K1531" s="5">
        <f>1.55*F1531*G1531</f>
        <v>4.6500000000000004</v>
      </c>
      <c r="L1531" s="5"/>
      <c r="M1531" s="5"/>
      <c r="N1531" s="5"/>
      <c r="O1531" s="278"/>
    </row>
    <row r="1532" spans="1:15" ht="21" hidden="1" customHeight="1" outlineLevel="1">
      <c r="A1532" s="145"/>
      <c r="B1532" s="5"/>
      <c r="C1532" s="5">
        <v>3</v>
      </c>
      <c r="D1532" s="5">
        <v>1</v>
      </c>
      <c r="E1532" s="5">
        <v>1</v>
      </c>
      <c r="F1532" s="5">
        <f t="shared" si="231"/>
        <v>1</v>
      </c>
      <c r="G1532" s="5">
        <f t="shared" si="232"/>
        <v>3</v>
      </c>
      <c r="H1532" s="5"/>
      <c r="I1532" s="5"/>
      <c r="J1532" s="5"/>
      <c r="K1532" s="5"/>
      <c r="L1532" s="5">
        <f>2.24*G1532*F1532</f>
        <v>6.7200000000000006</v>
      </c>
      <c r="M1532" s="5"/>
      <c r="N1532" s="5"/>
      <c r="O1532" s="278"/>
    </row>
    <row r="1533" spans="1:15" ht="21" hidden="1" customHeight="1" outlineLevel="1">
      <c r="A1533" s="145"/>
      <c r="B1533" s="5"/>
      <c r="C1533" s="5">
        <v>7.2</v>
      </c>
      <c r="D1533" s="5">
        <v>1</v>
      </c>
      <c r="E1533" s="5">
        <v>1</v>
      </c>
      <c r="F1533" s="5">
        <f t="shared" si="231"/>
        <v>1</v>
      </c>
      <c r="G1533" s="5">
        <f t="shared" si="232"/>
        <v>7.2</v>
      </c>
      <c r="H1533" s="5"/>
      <c r="I1533" s="5"/>
      <c r="J1533" s="5"/>
      <c r="K1533" s="5"/>
      <c r="L1533" s="5">
        <f>2.24*G1533*F1533</f>
        <v>16.128000000000004</v>
      </c>
      <c r="M1533" s="5"/>
      <c r="N1533" s="5"/>
      <c r="O1533" s="278"/>
    </row>
    <row r="1534" spans="1:15" ht="21" hidden="1" customHeight="1" outlineLevel="1">
      <c r="A1534" s="145"/>
      <c r="B1534" s="5"/>
      <c r="C1534" s="5">
        <v>7.2</v>
      </c>
      <c r="D1534" s="5">
        <v>1</v>
      </c>
      <c r="E1534" s="5">
        <v>1</v>
      </c>
      <c r="F1534" s="5">
        <f t="shared" si="231"/>
        <v>1</v>
      </c>
      <c r="G1534" s="5">
        <f t="shared" si="232"/>
        <v>7.2</v>
      </c>
      <c r="H1534" s="5"/>
      <c r="I1534" s="5"/>
      <c r="J1534" s="5"/>
      <c r="K1534" s="5">
        <f>1.55*F1534*G1534</f>
        <v>11.16</v>
      </c>
      <c r="L1534" s="5"/>
      <c r="M1534" s="5"/>
      <c r="N1534" s="5"/>
      <c r="O1534" s="278"/>
    </row>
    <row r="1535" spans="1:15" ht="21" hidden="1" customHeight="1" outlineLevel="1">
      <c r="A1535" s="145"/>
      <c r="B1535" s="5"/>
      <c r="C1535" s="5">
        <v>4.5</v>
      </c>
      <c r="D1535" s="5">
        <v>1</v>
      </c>
      <c r="E1535" s="5">
        <v>5</v>
      </c>
      <c r="F1535" s="5">
        <f t="shared" si="231"/>
        <v>5</v>
      </c>
      <c r="G1535" s="5">
        <f t="shared" si="232"/>
        <v>4.5</v>
      </c>
      <c r="H1535" s="5"/>
      <c r="I1535" s="5"/>
      <c r="J1535" s="5">
        <f>+F1535*G1535</f>
        <v>22.5</v>
      </c>
      <c r="K1535" s="5"/>
      <c r="L1535" s="5"/>
      <c r="M1535" s="5"/>
      <c r="N1535" s="5"/>
      <c r="O1535" s="278"/>
    </row>
    <row r="1536" spans="1:15" ht="21" hidden="1" customHeight="1" outlineLevel="1">
      <c r="A1536" s="145"/>
      <c r="B1536" s="5"/>
      <c r="C1536" s="5">
        <v>4.5</v>
      </c>
      <c r="D1536" s="5">
        <v>1</v>
      </c>
      <c r="E1536" s="5">
        <v>1</v>
      </c>
      <c r="F1536" s="5">
        <f t="shared" si="231"/>
        <v>1</v>
      </c>
      <c r="G1536" s="5">
        <f t="shared" si="232"/>
        <v>4.5</v>
      </c>
      <c r="H1536" s="5"/>
      <c r="I1536" s="5"/>
      <c r="J1536" s="5"/>
      <c r="K1536" s="5">
        <f>1.55*F1536*G1536</f>
        <v>6.9750000000000005</v>
      </c>
      <c r="L1536" s="5"/>
      <c r="M1536" s="5"/>
      <c r="N1536" s="5"/>
      <c r="O1536" s="278"/>
    </row>
    <row r="1537" spans="1:15" ht="21" hidden="1" customHeight="1" outlineLevel="1">
      <c r="A1537" s="145"/>
      <c r="B1537" s="5"/>
      <c r="C1537" s="5">
        <v>7.5</v>
      </c>
      <c r="D1537" s="5">
        <v>1</v>
      </c>
      <c r="E1537" s="5">
        <v>6</v>
      </c>
      <c r="F1537" s="5">
        <f t="shared" si="231"/>
        <v>6</v>
      </c>
      <c r="G1537" s="5">
        <f t="shared" si="232"/>
        <v>7.5</v>
      </c>
      <c r="H1537" s="5"/>
      <c r="I1537" s="5"/>
      <c r="J1537" s="5">
        <f>+F1537*G1537</f>
        <v>45</v>
      </c>
      <c r="K1537" s="5"/>
      <c r="L1537" s="5"/>
      <c r="M1537" s="5"/>
      <c r="N1537" s="5"/>
      <c r="O1537" s="278"/>
    </row>
    <row r="1538" spans="1:15" ht="21" hidden="1" customHeight="1" outlineLevel="1">
      <c r="A1538" s="145"/>
      <c r="B1538" s="5"/>
      <c r="C1538" s="5">
        <v>9</v>
      </c>
      <c r="D1538" s="5">
        <v>1</v>
      </c>
      <c r="E1538" s="5">
        <v>3</v>
      </c>
      <c r="F1538" s="5">
        <f t="shared" si="231"/>
        <v>3</v>
      </c>
      <c r="G1538" s="5">
        <f t="shared" si="232"/>
        <v>9</v>
      </c>
      <c r="H1538" s="5"/>
      <c r="I1538" s="5"/>
      <c r="J1538" s="5"/>
      <c r="K1538" s="5"/>
      <c r="L1538" s="5"/>
      <c r="M1538" s="5"/>
      <c r="N1538" s="5"/>
      <c r="O1538" s="278"/>
    </row>
    <row r="1539" spans="1:15" ht="21" hidden="1" customHeight="1" outlineLevel="1">
      <c r="A1539" s="145"/>
      <c r="B1539" s="5"/>
      <c r="C1539" s="5">
        <v>9</v>
      </c>
      <c r="D1539" s="5">
        <v>1</v>
      </c>
      <c r="E1539" s="5">
        <v>2</v>
      </c>
      <c r="F1539" s="5">
        <f t="shared" si="231"/>
        <v>2</v>
      </c>
      <c r="G1539" s="5">
        <f t="shared" si="232"/>
        <v>9</v>
      </c>
      <c r="H1539" s="5"/>
      <c r="I1539" s="5"/>
      <c r="J1539" s="5"/>
      <c r="K1539" s="5">
        <f>1.55*F1539*G1539</f>
        <v>27.900000000000002</v>
      </c>
      <c r="L1539" s="5"/>
      <c r="M1539" s="5"/>
      <c r="N1539" s="5"/>
      <c r="O1539" s="278"/>
    </row>
    <row r="1540" spans="1:15" ht="21" hidden="1" customHeight="1" outlineLevel="1">
      <c r="A1540" s="145"/>
      <c r="B1540" s="5"/>
      <c r="C1540" s="5">
        <v>9</v>
      </c>
      <c r="D1540" s="5">
        <v>1</v>
      </c>
      <c r="E1540" s="5">
        <v>2</v>
      </c>
      <c r="F1540" s="5">
        <f t="shared" si="231"/>
        <v>2</v>
      </c>
      <c r="G1540" s="5">
        <f t="shared" si="232"/>
        <v>9</v>
      </c>
      <c r="H1540" s="5"/>
      <c r="I1540" s="5"/>
      <c r="J1540" s="5"/>
      <c r="K1540" s="5"/>
      <c r="L1540" s="5">
        <f>2.24*G1540*F1540</f>
        <v>40.320000000000007</v>
      </c>
      <c r="M1540" s="5"/>
      <c r="N1540" s="5"/>
      <c r="O1540" s="278"/>
    </row>
    <row r="1541" spans="1:15" ht="21" hidden="1" customHeight="1" outlineLevel="1">
      <c r="A1541" s="145"/>
      <c r="B1541" s="5"/>
      <c r="C1541" s="5">
        <v>8</v>
      </c>
      <c r="D1541" s="5">
        <v>1</v>
      </c>
      <c r="E1541" s="5">
        <v>2</v>
      </c>
      <c r="F1541" s="5">
        <f t="shared" si="231"/>
        <v>2</v>
      </c>
      <c r="G1541" s="5">
        <f t="shared" si="232"/>
        <v>8</v>
      </c>
      <c r="H1541" s="5"/>
      <c r="I1541" s="5"/>
      <c r="J1541" s="5"/>
      <c r="K1541" s="5"/>
      <c r="L1541" s="5">
        <f>2.24*G1541*F1541</f>
        <v>35.840000000000003</v>
      </c>
      <c r="M1541" s="5"/>
      <c r="N1541" s="5"/>
      <c r="O1541" s="278"/>
    </row>
    <row r="1542" spans="1:15" ht="21" hidden="1" customHeight="1" outlineLevel="1">
      <c r="A1542" s="145"/>
      <c r="B1542" s="5"/>
      <c r="C1542" s="5">
        <v>8</v>
      </c>
      <c r="D1542" s="5">
        <v>1</v>
      </c>
      <c r="E1542" s="5">
        <v>2</v>
      </c>
      <c r="F1542" s="5">
        <f t="shared" si="231"/>
        <v>2</v>
      </c>
      <c r="G1542" s="5">
        <f t="shared" si="232"/>
        <v>8</v>
      </c>
      <c r="H1542" s="5"/>
      <c r="I1542" s="5"/>
      <c r="J1542" s="5"/>
      <c r="K1542" s="5">
        <f>1.55*F1542*G1542</f>
        <v>24.8</v>
      </c>
      <c r="L1542" s="5"/>
      <c r="M1542" s="5"/>
      <c r="N1542" s="5"/>
      <c r="O1542" s="278"/>
    </row>
    <row r="1543" spans="1:15" ht="21" hidden="1" customHeight="1" outlineLevel="1">
      <c r="A1543" s="145"/>
      <c r="B1543" s="5"/>
      <c r="C1543" s="5">
        <v>9.5</v>
      </c>
      <c r="D1543" s="5">
        <v>1</v>
      </c>
      <c r="E1543" s="5">
        <v>1</v>
      </c>
      <c r="F1543" s="5">
        <f t="shared" si="231"/>
        <v>1</v>
      </c>
      <c r="G1543" s="5">
        <f t="shared" si="232"/>
        <v>9.5</v>
      </c>
      <c r="H1543" s="5"/>
      <c r="I1543" s="5"/>
      <c r="J1543" s="5"/>
      <c r="K1543" s="5">
        <f>1.55*F1543*G1543</f>
        <v>14.725</v>
      </c>
      <c r="L1543" s="5"/>
      <c r="M1543" s="5"/>
      <c r="N1543" s="5"/>
      <c r="O1543" s="278"/>
    </row>
    <row r="1544" spans="1:15" ht="21" hidden="1" customHeight="1" outlineLevel="1">
      <c r="A1544" s="145"/>
      <c r="B1544" s="5"/>
      <c r="C1544" s="5">
        <v>9.5</v>
      </c>
      <c r="D1544" s="5">
        <v>1</v>
      </c>
      <c r="E1544" s="5">
        <v>1</v>
      </c>
      <c r="F1544" s="5">
        <f t="shared" si="231"/>
        <v>1</v>
      </c>
      <c r="G1544" s="5">
        <f t="shared" si="232"/>
        <v>9.5</v>
      </c>
      <c r="H1544" s="5"/>
      <c r="I1544" s="5"/>
      <c r="J1544" s="5"/>
      <c r="K1544" s="5"/>
      <c r="L1544" s="5">
        <f>2.24*G1544*F1544</f>
        <v>21.28</v>
      </c>
      <c r="M1544" s="5"/>
      <c r="N1544" s="5"/>
      <c r="O1544" s="278"/>
    </row>
    <row r="1545" spans="1:15" ht="21" hidden="1" customHeight="1" outlineLevel="1">
      <c r="A1545" s="145"/>
      <c r="B1545" s="5"/>
      <c r="C1545" s="5">
        <v>3</v>
      </c>
      <c r="D1545" s="5">
        <v>1</v>
      </c>
      <c r="E1545" s="5">
        <v>1</v>
      </c>
      <c r="F1545" s="5">
        <f t="shared" si="231"/>
        <v>1</v>
      </c>
      <c r="G1545" s="5">
        <f t="shared" si="232"/>
        <v>3</v>
      </c>
      <c r="H1545" s="5"/>
      <c r="I1545" s="5"/>
      <c r="J1545" s="5"/>
      <c r="K1545" s="5">
        <f>1.55*F1545*G1545</f>
        <v>4.6500000000000004</v>
      </c>
      <c r="L1545" s="5"/>
      <c r="M1545" s="5"/>
      <c r="N1545" s="5"/>
      <c r="O1545" s="278"/>
    </row>
    <row r="1546" spans="1:15" ht="21" hidden="1" customHeight="1" outlineLevel="1">
      <c r="A1546" s="145"/>
      <c r="B1546" s="5"/>
      <c r="C1546" s="5">
        <v>3</v>
      </c>
      <c r="D1546" s="5">
        <v>1</v>
      </c>
      <c r="E1546" s="5">
        <v>1</v>
      </c>
      <c r="F1546" s="5">
        <f t="shared" si="231"/>
        <v>1</v>
      </c>
      <c r="G1546" s="5">
        <f t="shared" si="232"/>
        <v>3</v>
      </c>
      <c r="H1546" s="5"/>
      <c r="I1546" s="5"/>
      <c r="J1546" s="5">
        <f>+F1546*G1546</f>
        <v>3</v>
      </c>
      <c r="K1546" s="5"/>
      <c r="L1546" s="5"/>
      <c r="M1546" s="5"/>
      <c r="N1546" s="5"/>
      <c r="O1546" s="278"/>
    </row>
    <row r="1547" spans="1:15" ht="21" hidden="1" customHeight="1" outlineLevel="1">
      <c r="A1547" s="145"/>
      <c r="B1547" s="5"/>
      <c r="C1547" s="5">
        <v>4.5</v>
      </c>
      <c r="D1547" s="5">
        <v>1</v>
      </c>
      <c r="E1547" s="5">
        <v>3</v>
      </c>
      <c r="F1547" s="5">
        <f t="shared" si="231"/>
        <v>3</v>
      </c>
      <c r="G1547" s="5">
        <f t="shared" si="232"/>
        <v>4.5</v>
      </c>
      <c r="H1547" s="5"/>
      <c r="I1547" s="5"/>
      <c r="J1547" s="5">
        <f>+F1547*G1547</f>
        <v>13.5</v>
      </c>
      <c r="K1547" s="5"/>
      <c r="L1547" s="5"/>
      <c r="M1547" s="5"/>
      <c r="N1547" s="5"/>
      <c r="O1547" s="278"/>
    </row>
    <row r="1548" spans="1:15" ht="21" hidden="1" customHeight="1" outlineLevel="1">
      <c r="A1548" s="145"/>
      <c r="B1548" s="5"/>
      <c r="C1548" s="5">
        <v>6.2</v>
      </c>
      <c r="D1548" s="5">
        <v>1</v>
      </c>
      <c r="E1548" s="5">
        <v>1</v>
      </c>
      <c r="F1548" s="5">
        <f t="shared" si="231"/>
        <v>1</v>
      </c>
      <c r="G1548" s="5">
        <f t="shared" si="232"/>
        <v>6.2</v>
      </c>
      <c r="H1548" s="5"/>
      <c r="I1548" s="5"/>
      <c r="J1548" s="5"/>
      <c r="K1548" s="5">
        <f>1.55*F1548*G1548</f>
        <v>9.6100000000000012</v>
      </c>
      <c r="L1548" s="5"/>
      <c r="M1548" s="5"/>
      <c r="N1548" s="5"/>
      <c r="O1548" s="278"/>
    </row>
    <row r="1549" spans="1:15" ht="21" hidden="1" customHeight="1" outlineLevel="1">
      <c r="A1549" s="145"/>
      <c r="B1549" s="5"/>
      <c r="C1549" s="5">
        <v>6.2</v>
      </c>
      <c r="D1549" s="5">
        <v>1</v>
      </c>
      <c r="E1549" s="5">
        <v>1</v>
      </c>
      <c r="F1549" s="5">
        <f t="shared" si="231"/>
        <v>1</v>
      </c>
      <c r="G1549" s="5">
        <f t="shared" si="232"/>
        <v>6.2</v>
      </c>
      <c r="H1549" s="5"/>
      <c r="I1549" s="5"/>
      <c r="J1549" s="5"/>
      <c r="K1549" s="5"/>
      <c r="L1549" s="5">
        <f>2.24*G1549*F1549</f>
        <v>13.888000000000002</v>
      </c>
      <c r="M1549" s="5"/>
      <c r="N1549" s="5"/>
      <c r="O1549" s="278"/>
    </row>
    <row r="1550" spans="1:15" ht="21" hidden="1" customHeight="1" outlineLevel="1">
      <c r="A1550" s="145"/>
      <c r="B1550" s="5"/>
      <c r="C1550" s="5">
        <v>3</v>
      </c>
      <c r="D1550" s="5">
        <v>1</v>
      </c>
      <c r="E1550" s="5">
        <v>1</v>
      </c>
      <c r="F1550" s="5">
        <f t="shared" si="231"/>
        <v>1</v>
      </c>
      <c r="G1550" s="5">
        <f t="shared" si="232"/>
        <v>3</v>
      </c>
      <c r="H1550" s="5"/>
      <c r="I1550" s="5"/>
      <c r="J1550" s="5"/>
      <c r="K1550" s="5"/>
      <c r="L1550" s="5">
        <f>2.24*G1550*F1550</f>
        <v>6.7200000000000006</v>
      </c>
      <c r="M1550" s="5"/>
      <c r="N1550" s="5"/>
      <c r="O1550" s="278"/>
    </row>
    <row r="1551" spans="1:15" ht="21" hidden="1" customHeight="1" outlineLevel="1">
      <c r="A1551" s="145"/>
      <c r="B1551" s="5"/>
      <c r="C1551" s="5">
        <v>3</v>
      </c>
      <c r="D1551" s="5">
        <v>1</v>
      </c>
      <c r="E1551" s="5">
        <v>1</v>
      </c>
      <c r="F1551" s="5">
        <f t="shared" si="231"/>
        <v>1</v>
      </c>
      <c r="G1551" s="5">
        <f t="shared" si="232"/>
        <v>3</v>
      </c>
      <c r="H1551" s="5"/>
      <c r="I1551" s="5"/>
      <c r="J1551" s="5"/>
      <c r="K1551" s="5">
        <f>1.55*F1551*G1551</f>
        <v>4.6500000000000004</v>
      </c>
      <c r="L1551" s="5"/>
      <c r="M1551" s="5"/>
      <c r="N1551" s="5"/>
      <c r="O1551" s="278"/>
    </row>
    <row r="1552" spans="1:15" ht="21" hidden="1" customHeight="1" outlineLevel="1">
      <c r="A1552" s="145"/>
      <c r="B1552" s="5"/>
      <c r="C1552" s="5">
        <v>2.1</v>
      </c>
      <c r="D1552" s="5">
        <v>1</v>
      </c>
      <c r="E1552" s="5">
        <v>148</v>
      </c>
      <c r="F1552" s="5">
        <f t="shared" si="231"/>
        <v>148</v>
      </c>
      <c r="G1552" s="5">
        <f t="shared" si="232"/>
        <v>2.1</v>
      </c>
      <c r="H1552" s="5"/>
      <c r="I1552" s="5">
        <f>0.56*G1552*F1552</f>
        <v>174.04800000000003</v>
      </c>
      <c r="J1552" s="5"/>
      <c r="K1552" s="5"/>
      <c r="L1552" s="5"/>
      <c r="M1552" s="5"/>
      <c r="N1552" s="5"/>
      <c r="O1552" s="278"/>
    </row>
    <row r="1553" spans="1:15" ht="21" hidden="1" customHeight="1" outlineLevel="1">
      <c r="A1553" s="145"/>
      <c r="B1553" s="5"/>
      <c r="C1553" s="5">
        <v>0.65</v>
      </c>
      <c r="D1553" s="5">
        <v>1</v>
      </c>
      <c r="E1553" s="5">
        <v>148</v>
      </c>
      <c r="F1553" s="5">
        <f t="shared" si="231"/>
        <v>148</v>
      </c>
      <c r="G1553" s="5">
        <f t="shared" si="232"/>
        <v>0.65</v>
      </c>
      <c r="H1553" s="5"/>
      <c r="I1553" s="5">
        <f>0.56*G1553*F1553</f>
        <v>53.872000000000007</v>
      </c>
      <c r="J1553" s="5"/>
      <c r="K1553" s="5"/>
      <c r="L1553" s="5"/>
      <c r="M1553" s="5"/>
      <c r="N1553" s="5"/>
      <c r="O1553" s="278"/>
    </row>
    <row r="1554" spans="1:15" ht="21" hidden="1" customHeight="1" outlineLevel="1">
      <c r="A1554" s="2129"/>
      <c r="B1554" s="2130"/>
      <c r="C1554" s="2130"/>
      <c r="D1554" s="2130"/>
      <c r="E1554" s="2130"/>
      <c r="F1554" s="2130"/>
      <c r="G1554" s="2130"/>
      <c r="H1554" s="561">
        <f t="shared" ref="H1554:O1554" si="233">SUM(H1529:H1553)</f>
        <v>0</v>
      </c>
      <c r="I1554" s="561">
        <f t="shared" si="233"/>
        <v>227.92000000000004</v>
      </c>
      <c r="J1554" s="561">
        <f t="shared" si="233"/>
        <v>102</v>
      </c>
      <c r="K1554" s="561">
        <f t="shared" si="233"/>
        <v>113.77000000000001</v>
      </c>
      <c r="L1554" s="561">
        <f t="shared" si="233"/>
        <v>140.89600000000002</v>
      </c>
      <c r="M1554" s="561">
        <f t="shared" si="233"/>
        <v>0</v>
      </c>
      <c r="N1554" s="561">
        <f t="shared" si="233"/>
        <v>0</v>
      </c>
      <c r="O1554" s="562">
        <f t="shared" si="233"/>
        <v>0</v>
      </c>
    </row>
    <row r="1555" spans="1:15" ht="21" hidden="1" customHeight="1" outlineLevel="1">
      <c r="A1555" s="2129"/>
      <c r="B1555" s="2130"/>
      <c r="C1555" s="2130"/>
      <c r="D1555" s="2130"/>
      <c r="E1555" s="2130"/>
      <c r="F1555" s="2130"/>
      <c r="G1555" s="2130"/>
      <c r="H1555" s="2130">
        <f>SUM(H1554:O1554)</f>
        <v>584.58600000000001</v>
      </c>
      <c r="I1555" s="2130"/>
      <c r="J1555" s="2130"/>
      <c r="K1555" s="2130"/>
      <c r="L1555" s="2130"/>
      <c r="M1555" s="2130"/>
      <c r="N1555" s="2130"/>
      <c r="O1555" s="2170"/>
    </row>
    <row r="1556" spans="1:15" ht="21" hidden="1" customHeight="1" outlineLevel="1">
      <c r="A1556" s="14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278"/>
    </row>
    <row r="1557" spans="1:15" ht="21" hidden="1" customHeight="1" outlineLevel="1">
      <c r="A1557" s="277" t="s">
        <v>459</v>
      </c>
      <c r="B1557" s="5"/>
      <c r="C1557" s="265">
        <v>2.4</v>
      </c>
      <c r="D1557" s="265">
        <v>1</v>
      </c>
      <c r="E1557" s="265">
        <v>1</v>
      </c>
      <c r="F1557" s="265">
        <f t="shared" ref="F1557:F1575" si="234">+D1557*E1557</f>
        <v>1</v>
      </c>
      <c r="G1557" s="265">
        <f t="shared" ref="G1557:G1575" si="235">+C1557</f>
        <v>2.4</v>
      </c>
      <c r="H1557" s="265"/>
      <c r="I1557" s="265"/>
      <c r="J1557" s="265">
        <f>+G1557*F1557</f>
        <v>2.4</v>
      </c>
      <c r="K1557" s="265"/>
      <c r="L1557" s="265"/>
      <c r="M1557" s="265"/>
      <c r="N1557" s="265"/>
      <c r="O1557" s="607"/>
    </row>
    <row r="1558" spans="1:15" ht="21" hidden="1" customHeight="1" outlineLevel="1">
      <c r="A1558" s="608"/>
      <c r="B1558" s="88"/>
      <c r="C1558" s="266">
        <v>7</v>
      </c>
      <c r="D1558" s="265">
        <v>1</v>
      </c>
      <c r="E1558" s="266">
        <v>3</v>
      </c>
      <c r="F1558" s="265">
        <f t="shared" si="234"/>
        <v>3</v>
      </c>
      <c r="G1558" s="265">
        <f t="shared" si="235"/>
        <v>7</v>
      </c>
      <c r="H1558" s="266"/>
      <c r="I1558" s="266"/>
      <c r="J1558" s="265">
        <f>+G1558*F1558</f>
        <v>21</v>
      </c>
      <c r="K1558" s="266"/>
      <c r="L1558" s="266"/>
      <c r="M1558" s="266"/>
      <c r="N1558" s="266"/>
      <c r="O1558" s="609"/>
    </row>
    <row r="1559" spans="1:15" ht="21" hidden="1" customHeight="1" outlineLevel="1">
      <c r="A1559" s="558"/>
      <c r="B1559" s="267"/>
      <c r="C1559" s="268">
        <v>4</v>
      </c>
      <c r="D1559" s="265">
        <v>1</v>
      </c>
      <c r="E1559" s="268">
        <v>1</v>
      </c>
      <c r="F1559" s="265">
        <f t="shared" si="234"/>
        <v>1</v>
      </c>
      <c r="G1559" s="265">
        <f t="shared" si="235"/>
        <v>4</v>
      </c>
      <c r="H1559" s="268"/>
      <c r="I1559" s="268"/>
      <c r="J1559" s="265"/>
      <c r="K1559" s="268">
        <f>1.55*G1559*F1559</f>
        <v>6.2</v>
      </c>
      <c r="L1559" s="268"/>
      <c r="M1559" s="268"/>
      <c r="N1559" s="268"/>
      <c r="O1559" s="610"/>
    </row>
    <row r="1560" spans="1:15" ht="21" hidden="1" customHeight="1" outlineLevel="1">
      <c r="A1560" s="558"/>
      <c r="B1560" s="267"/>
      <c r="C1560" s="268">
        <v>4</v>
      </c>
      <c r="D1560" s="265">
        <v>1</v>
      </c>
      <c r="E1560" s="268">
        <v>1</v>
      </c>
      <c r="F1560" s="265">
        <f t="shared" si="234"/>
        <v>1</v>
      </c>
      <c r="G1560" s="265">
        <f t="shared" si="235"/>
        <v>4</v>
      </c>
      <c r="H1560" s="268"/>
      <c r="I1560" s="268"/>
      <c r="J1560" s="265"/>
      <c r="K1560" s="268"/>
      <c r="L1560" s="268">
        <f>2.24*G1560*F1560</f>
        <v>8.9600000000000009</v>
      </c>
      <c r="M1560" s="268"/>
      <c r="N1560" s="268"/>
      <c r="O1560" s="610"/>
    </row>
    <row r="1561" spans="1:15" ht="21" hidden="1" customHeight="1" outlineLevel="1">
      <c r="A1561" s="611"/>
      <c r="B1561" s="267"/>
      <c r="C1561" s="268">
        <v>9</v>
      </c>
      <c r="D1561" s="265">
        <v>1</v>
      </c>
      <c r="E1561" s="268">
        <v>1</v>
      </c>
      <c r="F1561" s="265">
        <f t="shared" si="234"/>
        <v>1</v>
      </c>
      <c r="G1561" s="265">
        <f t="shared" si="235"/>
        <v>9</v>
      </c>
      <c r="H1561" s="268"/>
      <c r="I1561" s="268"/>
      <c r="J1561" s="265"/>
      <c r="K1561" s="268"/>
      <c r="L1561" s="268">
        <f>2.24*G1561*F1561</f>
        <v>20.160000000000004</v>
      </c>
      <c r="M1561" s="268"/>
      <c r="N1561" s="268"/>
      <c r="O1561" s="610"/>
    </row>
    <row r="1562" spans="1:15" ht="21" hidden="1" customHeight="1" outlineLevel="1">
      <c r="A1562" s="612"/>
      <c r="B1562" s="88"/>
      <c r="C1562" s="266">
        <v>9</v>
      </c>
      <c r="D1562" s="265">
        <v>1</v>
      </c>
      <c r="E1562" s="266">
        <v>1</v>
      </c>
      <c r="F1562" s="265">
        <f t="shared" si="234"/>
        <v>1</v>
      </c>
      <c r="G1562" s="265">
        <f t="shared" si="235"/>
        <v>9</v>
      </c>
      <c r="H1562" s="269"/>
      <c r="I1562" s="269"/>
      <c r="J1562" s="265"/>
      <c r="K1562" s="268">
        <f>1.55*G1562*F1562</f>
        <v>13.950000000000001</v>
      </c>
      <c r="L1562" s="268"/>
      <c r="M1562" s="269"/>
      <c r="N1562" s="269"/>
      <c r="O1562" s="613"/>
    </row>
    <row r="1563" spans="1:15" ht="21" hidden="1" customHeight="1" outlineLevel="1">
      <c r="A1563" s="612"/>
      <c r="B1563" s="88"/>
      <c r="C1563" s="266">
        <v>3</v>
      </c>
      <c r="D1563" s="265">
        <v>1</v>
      </c>
      <c r="E1563" s="266">
        <v>1</v>
      </c>
      <c r="F1563" s="265">
        <f t="shared" si="234"/>
        <v>1</v>
      </c>
      <c r="G1563" s="265">
        <f t="shared" si="235"/>
        <v>3</v>
      </c>
      <c r="H1563" s="266"/>
      <c r="I1563" s="266"/>
      <c r="J1563" s="265">
        <f>+G1563*F1563</f>
        <v>3</v>
      </c>
      <c r="K1563" s="268"/>
      <c r="L1563" s="268"/>
      <c r="M1563" s="266"/>
      <c r="N1563" s="266"/>
      <c r="O1563" s="614"/>
    </row>
    <row r="1564" spans="1:15" ht="21" hidden="1" customHeight="1" outlineLevel="1">
      <c r="A1564" s="608"/>
      <c r="B1564" s="88"/>
      <c r="C1564" s="266">
        <v>9</v>
      </c>
      <c r="D1564" s="265">
        <v>1</v>
      </c>
      <c r="E1564" s="266">
        <v>3</v>
      </c>
      <c r="F1564" s="265">
        <f t="shared" si="234"/>
        <v>3</v>
      </c>
      <c r="G1564" s="265">
        <f t="shared" si="235"/>
        <v>9</v>
      </c>
      <c r="H1564" s="266"/>
      <c r="I1564" s="266"/>
      <c r="J1564" s="265">
        <f>+G1564*F1564</f>
        <v>27</v>
      </c>
      <c r="K1564" s="268"/>
      <c r="L1564" s="268"/>
      <c r="M1564" s="266"/>
      <c r="N1564" s="266"/>
      <c r="O1564" s="609"/>
    </row>
    <row r="1565" spans="1:15" ht="21" hidden="1" customHeight="1" outlineLevel="1">
      <c r="A1565" s="558"/>
      <c r="B1565" s="267"/>
      <c r="C1565" s="268">
        <v>9.5</v>
      </c>
      <c r="D1565" s="265">
        <v>1</v>
      </c>
      <c r="E1565" s="268">
        <v>1</v>
      </c>
      <c r="F1565" s="265">
        <f t="shared" si="234"/>
        <v>1</v>
      </c>
      <c r="G1565" s="265">
        <f t="shared" si="235"/>
        <v>9.5</v>
      </c>
      <c r="H1565" s="268"/>
      <c r="I1565" s="268"/>
      <c r="J1565" s="265"/>
      <c r="K1565" s="268">
        <f>1.55*G1565*F1565</f>
        <v>14.725</v>
      </c>
      <c r="L1565" s="268"/>
      <c r="M1565" s="268"/>
      <c r="N1565" s="268"/>
      <c r="O1565" s="610"/>
    </row>
    <row r="1566" spans="1:15" ht="21" hidden="1" customHeight="1" outlineLevel="1">
      <c r="A1566" s="611"/>
      <c r="B1566" s="267"/>
      <c r="C1566" s="268">
        <v>9.5</v>
      </c>
      <c r="D1566" s="265">
        <v>1</v>
      </c>
      <c r="E1566" s="268">
        <v>1</v>
      </c>
      <c r="F1566" s="265">
        <f t="shared" si="234"/>
        <v>1</v>
      </c>
      <c r="G1566" s="265">
        <f t="shared" si="235"/>
        <v>9.5</v>
      </c>
      <c r="H1566" s="268"/>
      <c r="I1566" s="268"/>
      <c r="J1566" s="265"/>
      <c r="K1566" s="268">
        <f>1.55*G1566*F1566</f>
        <v>14.725</v>
      </c>
      <c r="L1566" s="268"/>
      <c r="M1566" s="268"/>
      <c r="N1566" s="268"/>
      <c r="O1566" s="610"/>
    </row>
    <row r="1567" spans="1:15" ht="21" hidden="1" customHeight="1" outlineLevel="1">
      <c r="A1567" s="611"/>
      <c r="B1567" s="267"/>
      <c r="C1567" s="268">
        <v>9</v>
      </c>
      <c r="D1567" s="265">
        <v>1</v>
      </c>
      <c r="E1567" s="268">
        <v>1</v>
      </c>
      <c r="F1567" s="265">
        <f t="shared" si="234"/>
        <v>1</v>
      </c>
      <c r="G1567" s="265">
        <f t="shared" si="235"/>
        <v>9</v>
      </c>
      <c r="H1567" s="268"/>
      <c r="I1567" s="268"/>
      <c r="J1567" s="265"/>
      <c r="K1567" s="268"/>
      <c r="L1567" s="268">
        <f>2.24*G1567*F1567</f>
        <v>20.160000000000004</v>
      </c>
      <c r="M1567" s="268"/>
      <c r="N1567" s="268"/>
      <c r="O1567" s="610"/>
    </row>
    <row r="1568" spans="1:15" ht="21" hidden="1" customHeight="1" outlineLevel="1">
      <c r="A1568" s="611"/>
      <c r="B1568" s="267"/>
      <c r="C1568" s="268">
        <v>9</v>
      </c>
      <c r="D1568" s="265">
        <v>1</v>
      </c>
      <c r="E1568" s="268">
        <v>1</v>
      </c>
      <c r="F1568" s="265">
        <f t="shared" si="234"/>
        <v>1</v>
      </c>
      <c r="G1568" s="265">
        <f t="shared" si="235"/>
        <v>9</v>
      </c>
      <c r="H1568" s="268"/>
      <c r="I1568" s="268"/>
      <c r="J1568" s="265"/>
      <c r="K1568" s="268"/>
      <c r="L1568" s="268">
        <f>2.24*G1568*F1568</f>
        <v>20.160000000000004</v>
      </c>
      <c r="M1568" s="268"/>
      <c r="N1568" s="268"/>
      <c r="O1568" s="610"/>
    </row>
    <row r="1569" spans="1:15" ht="21" hidden="1" customHeight="1" outlineLevel="1">
      <c r="A1569" s="611"/>
      <c r="B1569" s="267"/>
      <c r="C1569" s="268">
        <v>2</v>
      </c>
      <c r="D1569" s="265">
        <v>1</v>
      </c>
      <c r="E1569" s="268">
        <v>1</v>
      </c>
      <c r="F1569" s="265">
        <f t="shared" si="234"/>
        <v>1</v>
      </c>
      <c r="G1569" s="265">
        <f t="shared" si="235"/>
        <v>2</v>
      </c>
      <c r="H1569" s="268"/>
      <c r="I1569" s="268"/>
      <c r="J1569" s="265">
        <f>+G1569*F1569</f>
        <v>2</v>
      </c>
      <c r="K1569" s="268"/>
      <c r="L1569" s="268"/>
      <c r="M1569" s="268"/>
      <c r="N1569" s="268"/>
      <c r="O1569" s="610"/>
    </row>
    <row r="1570" spans="1:15" ht="21" hidden="1" customHeight="1" outlineLevel="1">
      <c r="A1570" s="611"/>
      <c r="B1570" s="267"/>
      <c r="C1570" s="268">
        <v>4.5</v>
      </c>
      <c r="D1570" s="265">
        <v>1</v>
      </c>
      <c r="E1570" s="268">
        <v>3</v>
      </c>
      <c r="F1570" s="265">
        <f t="shared" si="234"/>
        <v>3</v>
      </c>
      <c r="G1570" s="265">
        <f t="shared" si="235"/>
        <v>4.5</v>
      </c>
      <c r="H1570" s="268"/>
      <c r="I1570" s="268"/>
      <c r="J1570" s="265">
        <f>+G1570*F1570</f>
        <v>13.5</v>
      </c>
      <c r="K1570" s="268"/>
      <c r="L1570" s="268"/>
      <c r="M1570" s="268"/>
      <c r="N1570" s="268"/>
      <c r="O1570" s="610"/>
    </row>
    <row r="1571" spans="1:15" ht="21" hidden="1" customHeight="1" outlineLevel="1">
      <c r="A1571" s="558"/>
      <c r="B1571" s="267"/>
      <c r="C1571" s="268">
        <v>7.5</v>
      </c>
      <c r="D1571" s="265">
        <v>1</v>
      </c>
      <c r="E1571" s="268">
        <v>1</v>
      </c>
      <c r="F1571" s="265">
        <f t="shared" si="234"/>
        <v>1</v>
      </c>
      <c r="G1571" s="265">
        <f t="shared" si="235"/>
        <v>7.5</v>
      </c>
      <c r="H1571" s="268"/>
      <c r="I1571" s="268"/>
      <c r="J1571" s="268"/>
      <c r="K1571" s="268">
        <f>1.55*G1571*F1571</f>
        <v>11.625</v>
      </c>
      <c r="L1571" s="268"/>
      <c r="M1571" s="268"/>
      <c r="N1571" s="268"/>
      <c r="O1571" s="610"/>
    </row>
    <row r="1572" spans="1:15" ht="21" hidden="1" customHeight="1" outlineLevel="1">
      <c r="A1572" s="611"/>
      <c r="B1572" s="267"/>
      <c r="C1572" s="268">
        <v>7.5</v>
      </c>
      <c r="D1572" s="265">
        <v>1</v>
      </c>
      <c r="E1572" s="268">
        <v>1</v>
      </c>
      <c r="F1572" s="265">
        <f t="shared" si="234"/>
        <v>1</v>
      </c>
      <c r="G1572" s="265">
        <f t="shared" si="235"/>
        <v>7.5</v>
      </c>
      <c r="H1572" s="268"/>
      <c r="I1572" s="268"/>
      <c r="J1572" s="268"/>
      <c r="K1572" s="268"/>
      <c r="L1572" s="268">
        <f>2.24*G1572*F1572</f>
        <v>16.8</v>
      </c>
      <c r="M1572" s="268"/>
      <c r="N1572" s="268"/>
      <c r="O1572" s="610"/>
    </row>
    <row r="1573" spans="1:15" ht="21" hidden="1" customHeight="1" outlineLevel="1">
      <c r="A1573" s="558"/>
      <c r="B1573" s="267"/>
      <c r="C1573" s="268">
        <v>3</v>
      </c>
      <c r="D1573" s="265">
        <v>1</v>
      </c>
      <c r="E1573" s="268">
        <v>2</v>
      </c>
      <c r="F1573" s="265">
        <f t="shared" si="234"/>
        <v>2</v>
      </c>
      <c r="G1573" s="265">
        <f t="shared" si="235"/>
        <v>3</v>
      </c>
      <c r="H1573" s="268"/>
      <c r="I1573" s="268"/>
      <c r="J1573" s="268"/>
      <c r="K1573" s="268"/>
      <c r="L1573" s="268">
        <f>2.24*G1573*F1573</f>
        <v>13.440000000000001</v>
      </c>
      <c r="M1573" s="268"/>
      <c r="N1573" s="268"/>
      <c r="O1573" s="610"/>
    </row>
    <row r="1574" spans="1:15" ht="21" hidden="1" customHeight="1" outlineLevel="1">
      <c r="A1574" s="612"/>
      <c r="B1574" s="88"/>
      <c r="C1574" s="266">
        <v>2.1</v>
      </c>
      <c r="D1574" s="265">
        <v>1</v>
      </c>
      <c r="E1574" s="270">
        <v>82</v>
      </c>
      <c r="F1574" s="265">
        <f t="shared" si="234"/>
        <v>82</v>
      </c>
      <c r="G1574" s="265">
        <f t="shared" si="235"/>
        <v>2.1</v>
      </c>
      <c r="H1574" s="269"/>
      <c r="I1574" s="269">
        <f>0.56*G1574*F1574</f>
        <v>96.432000000000016</v>
      </c>
      <c r="J1574" s="269"/>
      <c r="K1574" s="269"/>
      <c r="L1574" s="269"/>
      <c r="M1574" s="269"/>
      <c r="N1574" s="269"/>
      <c r="O1574" s="613"/>
    </row>
    <row r="1575" spans="1:15" ht="21" hidden="1" customHeight="1" outlineLevel="1">
      <c r="A1575" s="612"/>
      <c r="B1575" s="88"/>
      <c r="C1575" s="266">
        <v>0.65</v>
      </c>
      <c r="D1575" s="265">
        <v>1</v>
      </c>
      <c r="E1575" s="270">
        <v>82</v>
      </c>
      <c r="F1575" s="265">
        <f t="shared" si="234"/>
        <v>82</v>
      </c>
      <c r="G1575" s="265">
        <f t="shared" si="235"/>
        <v>0.65</v>
      </c>
      <c r="H1575" s="266"/>
      <c r="I1575" s="269">
        <f>0.56*G1575*F1575</f>
        <v>29.848000000000003</v>
      </c>
      <c r="J1575" s="266"/>
      <c r="K1575" s="266"/>
      <c r="L1575" s="266"/>
      <c r="M1575" s="266"/>
      <c r="N1575" s="266"/>
      <c r="O1575" s="609"/>
    </row>
    <row r="1576" spans="1:15" ht="21" hidden="1" customHeight="1" outlineLevel="1">
      <c r="A1576" s="2129"/>
      <c r="B1576" s="2130"/>
      <c r="C1576" s="2130"/>
      <c r="D1576" s="2130"/>
      <c r="E1576" s="2130"/>
      <c r="F1576" s="2130"/>
      <c r="G1576" s="2130"/>
      <c r="H1576" s="561">
        <f t="shared" ref="H1576:O1576" si="236">SUM(H1557:H1575)</f>
        <v>0</v>
      </c>
      <c r="I1576" s="561">
        <f t="shared" si="236"/>
        <v>126.28000000000002</v>
      </c>
      <c r="J1576" s="561">
        <f t="shared" si="236"/>
        <v>68.900000000000006</v>
      </c>
      <c r="K1576" s="561">
        <f t="shared" si="236"/>
        <v>61.225000000000001</v>
      </c>
      <c r="L1576" s="561">
        <f t="shared" si="236"/>
        <v>99.68</v>
      </c>
      <c r="M1576" s="561">
        <f t="shared" si="236"/>
        <v>0</v>
      </c>
      <c r="N1576" s="561">
        <f t="shared" si="236"/>
        <v>0</v>
      </c>
      <c r="O1576" s="562">
        <f t="shared" si="236"/>
        <v>0</v>
      </c>
    </row>
    <row r="1577" spans="1:15" ht="21" hidden="1" customHeight="1" outlineLevel="1">
      <c r="A1577" s="2129"/>
      <c r="B1577" s="2130"/>
      <c r="C1577" s="2130"/>
      <c r="D1577" s="2130"/>
      <c r="E1577" s="2130"/>
      <c r="F1577" s="2130"/>
      <c r="G1577" s="2130"/>
      <c r="H1577" s="2130">
        <f>SUM(H1576:O1576)</f>
        <v>356.08500000000004</v>
      </c>
      <c r="I1577" s="2130"/>
      <c r="J1577" s="2130"/>
      <c r="K1577" s="2130"/>
      <c r="L1577" s="2130"/>
      <c r="M1577" s="2130"/>
      <c r="N1577" s="2130"/>
      <c r="O1577" s="2170"/>
    </row>
    <row r="1578" spans="1:15" ht="21" hidden="1" customHeight="1" outlineLevel="1">
      <c r="A1578" s="145"/>
      <c r="B1578" s="5"/>
      <c r="C1578" s="265"/>
      <c r="D1578" s="265"/>
      <c r="E1578" s="265"/>
      <c r="F1578" s="265"/>
      <c r="G1578" s="265"/>
      <c r="H1578" s="265"/>
      <c r="I1578" s="265"/>
      <c r="J1578" s="265"/>
      <c r="K1578" s="265"/>
      <c r="L1578" s="265"/>
      <c r="M1578" s="265"/>
      <c r="N1578" s="265"/>
      <c r="O1578" s="607"/>
    </row>
    <row r="1579" spans="1:15" ht="21" hidden="1" customHeight="1" outlineLevel="1">
      <c r="A1579" s="277" t="s">
        <v>460</v>
      </c>
      <c r="B1579" s="5"/>
      <c r="C1579" s="265">
        <v>2</v>
      </c>
      <c r="D1579" s="265">
        <v>1</v>
      </c>
      <c r="E1579" s="265">
        <v>1</v>
      </c>
      <c r="F1579" s="265">
        <f t="shared" ref="F1579:F1589" si="237">+E1579*D1579</f>
        <v>1</v>
      </c>
      <c r="G1579" s="265">
        <f t="shared" ref="G1579:G1589" si="238">+C1579</f>
        <v>2</v>
      </c>
      <c r="H1579" s="265"/>
      <c r="I1579" s="265"/>
      <c r="J1579" s="265">
        <f>+G1579*F1579</f>
        <v>2</v>
      </c>
      <c r="K1579" s="265"/>
      <c r="L1579" s="265"/>
      <c r="M1579" s="265"/>
      <c r="N1579" s="265"/>
      <c r="O1579" s="607"/>
    </row>
    <row r="1580" spans="1:15" ht="21" hidden="1" customHeight="1" outlineLevel="1">
      <c r="A1580" s="145"/>
      <c r="B1580" s="5"/>
      <c r="C1580" s="265">
        <v>9.5</v>
      </c>
      <c r="D1580" s="265">
        <v>1</v>
      </c>
      <c r="E1580" s="265">
        <v>3</v>
      </c>
      <c r="F1580" s="265">
        <f t="shared" si="237"/>
        <v>3</v>
      </c>
      <c r="G1580" s="265">
        <f t="shared" si="238"/>
        <v>9.5</v>
      </c>
      <c r="H1580" s="265"/>
      <c r="I1580" s="265"/>
      <c r="J1580" s="265">
        <f>+G1580*F1580</f>
        <v>28.5</v>
      </c>
      <c r="K1580" s="265"/>
      <c r="L1580" s="265"/>
      <c r="M1580" s="265"/>
      <c r="N1580" s="265"/>
      <c r="O1580" s="607"/>
    </row>
    <row r="1581" spans="1:15" ht="21" hidden="1" customHeight="1" outlineLevel="1">
      <c r="A1581" s="145"/>
      <c r="B1581" s="5"/>
      <c r="C1581" s="5">
        <v>2</v>
      </c>
      <c r="D1581" s="265">
        <v>1</v>
      </c>
      <c r="E1581" s="5">
        <v>1</v>
      </c>
      <c r="F1581" s="265">
        <f t="shared" si="237"/>
        <v>1</v>
      </c>
      <c r="G1581" s="265">
        <f t="shared" si="238"/>
        <v>2</v>
      </c>
      <c r="H1581" s="5"/>
      <c r="I1581" s="5"/>
      <c r="J1581" s="265">
        <f>+G1581*F1581</f>
        <v>2</v>
      </c>
      <c r="K1581" s="5"/>
      <c r="L1581" s="5"/>
      <c r="M1581" s="5"/>
      <c r="N1581" s="5"/>
      <c r="O1581" s="278"/>
    </row>
    <row r="1582" spans="1:15" ht="21" hidden="1" customHeight="1" outlineLevel="1">
      <c r="A1582" s="145"/>
      <c r="B1582" s="5"/>
      <c r="C1582" s="5">
        <v>3</v>
      </c>
      <c r="D1582" s="265">
        <v>1</v>
      </c>
      <c r="E1582" s="5">
        <v>2</v>
      </c>
      <c r="F1582" s="265">
        <f t="shared" si="237"/>
        <v>2</v>
      </c>
      <c r="G1582" s="265">
        <f t="shared" si="238"/>
        <v>3</v>
      </c>
      <c r="H1582" s="5"/>
      <c r="I1582" s="5"/>
      <c r="J1582" s="5"/>
      <c r="K1582" s="5"/>
      <c r="L1582" s="5">
        <f>2.24*G1582*F1582</f>
        <v>13.440000000000001</v>
      </c>
      <c r="M1582" s="5"/>
      <c r="N1582" s="5"/>
      <c r="O1582" s="278"/>
    </row>
    <row r="1583" spans="1:15" ht="21" hidden="1" customHeight="1" outlineLevel="1">
      <c r="A1583" s="145"/>
      <c r="B1583" s="5"/>
      <c r="C1583" s="5">
        <v>7.5</v>
      </c>
      <c r="D1583" s="265">
        <v>1</v>
      </c>
      <c r="E1583" s="5">
        <v>1</v>
      </c>
      <c r="F1583" s="265">
        <f t="shared" si="237"/>
        <v>1</v>
      </c>
      <c r="G1583" s="265">
        <f t="shared" si="238"/>
        <v>7.5</v>
      </c>
      <c r="H1583" s="5"/>
      <c r="I1583" s="5"/>
      <c r="J1583" s="5"/>
      <c r="K1583" s="5"/>
      <c r="L1583" s="5">
        <f>2.24*G1583*F1583</f>
        <v>16.8</v>
      </c>
      <c r="M1583" s="5"/>
      <c r="N1583" s="5"/>
      <c r="O1583" s="278"/>
    </row>
    <row r="1584" spans="1:15" ht="21" hidden="1" customHeight="1" outlineLevel="1">
      <c r="A1584" s="145"/>
      <c r="B1584" s="5"/>
      <c r="C1584" s="5">
        <v>7.5</v>
      </c>
      <c r="D1584" s="265">
        <v>1</v>
      </c>
      <c r="E1584" s="5">
        <v>1</v>
      </c>
      <c r="F1584" s="265">
        <f t="shared" si="237"/>
        <v>1</v>
      </c>
      <c r="G1584" s="265">
        <f t="shared" si="238"/>
        <v>7.5</v>
      </c>
      <c r="H1584" s="5"/>
      <c r="I1584" s="5"/>
      <c r="J1584" s="5"/>
      <c r="K1584" s="5">
        <f>1.55*G1584*F1584</f>
        <v>11.625</v>
      </c>
      <c r="L1584" s="5"/>
      <c r="M1584" s="5"/>
      <c r="N1584" s="5"/>
      <c r="O1584" s="278"/>
    </row>
    <row r="1585" spans="1:15" ht="21" hidden="1" customHeight="1" outlineLevel="1">
      <c r="A1585" s="145"/>
      <c r="B1585" s="5"/>
      <c r="C1585" s="5">
        <v>7.5</v>
      </c>
      <c r="D1585" s="265">
        <v>1</v>
      </c>
      <c r="E1585" s="5">
        <v>1</v>
      </c>
      <c r="F1585" s="265">
        <f t="shared" si="237"/>
        <v>1</v>
      </c>
      <c r="G1585" s="265">
        <f t="shared" si="238"/>
        <v>7.5</v>
      </c>
      <c r="H1585" s="5"/>
      <c r="I1585" s="5"/>
      <c r="J1585" s="5"/>
      <c r="K1585" s="5"/>
      <c r="L1585" s="5">
        <f>2.24*G1585*F1585</f>
        <v>16.8</v>
      </c>
      <c r="M1585" s="5"/>
      <c r="N1585" s="5"/>
      <c r="O1585" s="278"/>
    </row>
    <row r="1586" spans="1:15" ht="21" hidden="1" customHeight="1" outlineLevel="1">
      <c r="A1586" s="145"/>
      <c r="B1586" s="5"/>
      <c r="C1586" s="5">
        <v>7.5</v>
      </c>
      <c r="D1586" s="265">
        <v>1</v>
      </c>
      <c r="E1586" s="5">
        <v>1</v>
      </c>
      <c r="F1586" s="265">
        <f t="shared" si="237"/>
        <v>1</v>
      </c>
      <c r="G1586" s="265">
        <f t="shared" si="238"/>
        <v>7.5</v>
      </c>
      <c r="H1586" s="5"/>
      <c r="I1586" s="5"/>
      <c r="J1586" s="5"/>
      <c r="K1586" s="5">
        <f>1.55*G1586*F1586</f>
        <v>11.625</v>
      </c>
      <c r="L1586" s="5"/>
      <c r="M1586" s="5"/>
      <c r="N1586" s="5"/>
      <c r="O1586" s="278"/>
    </row>
    <row r="1587" spans="1:15" ht="21" hidden="1" customHeight="1" outlineLevel="1">
      <c r="A1587" s="145"/>
      <c r="B1587" s="5"/>
      <c r="C1587" s="5">
        <v>3</v>
      </c>
      <c r="D1587" s="265">
        <v>1</v>
      </c>
      <c r="E1587" s="5">
        <v>2</v>
      </c>
      <c r="F1587" s="265">
        <f t="shared" si="237"/>
        <v>2</v>
      </c>
      <c r="G1587" s="265">
        <f t="shared" si="238"/>
        <v>3</v>
      </c>
      <c r="H1587" s="5"/>
      <c r="I1587" s="5"/>
      <c r="J1587" s="5"/>
      <c r="K1587" s="5"/>
      <c r="L1587" s="5">
        <f>2.24*G1587*F1587</f>
        <v>13.440000000000001</v>
      </c>
      <c r="M1587" s="5"/>
      <c r="N1587" s="5"/>
      <c r="O1587" s="278"/>
    </row>
    <row r="1588" spans="1:15" ht="21" hidden="1" customHeight="1" outlineLevel="1">
      <c r="A1588" s="145"/>
      <c r="B1588" s="5"/>
      <c r="C1588" s="5">
        <v>2.1</v>
      </c>
      <c r="D1588" s="265">
        <v>1</v>
      </c>
      <c r="E1588" s="5">
        <v>38</v>
      </c>
      <c r="F1588" s="265">
        <f t="shared" si="237"/>
        <v>38</v>
      </c>
      <c r="G1588" s="265">
        <f t="shared" si="238"/>
        <v>2.1</v>
      </c>
      <c r="H1588" s="5"/>
      <c r="I1588" s="5">
        <f>0.56*G1588*F1588</f>
        <v>44.688000000000002</v>
      </c>
      <c r="J1588" s="5"/>
      <c r="K1588" s="5"/>
      <c r="L1588" s="5"/>
      <c r="M1588" s="5"/>
      <c r="N1588" s="5"/>
      <c r="O1588" s="278"/>
    </row>
    <row r="1589" spans="1:15" ht="21" hidden="1" customHeight="1" outlineLevel="1">
      <c r="A1589" s="145"/>
      <c r="B1589" s="5"/>
      <c r="C1589" s="5">
        <v>0.65</v>
      </c>
      <c r="D1589" s="265">
        <v>1</v>
      </c>
      <c r="E1589" s="5">
        <v>38</v>
      </c>
      <c r="F1589" s="265">
        <f t="shared" si="237"/>
        <v>38</v>
      </c>
      <c r="G1589" s="265">
        <f t="shared" si="238"/>
        <v>0.65</v>
      </c>
      <c r="H1589" s="5"/>
      <c r="I1589" s="5">
        <f>0.56*G1589*F1589</f>
        <v>13.832000000000003</v>
      </c>
      <c r="J1589" s="5"/>
      <c r="K1589" s="5"/>
      <c r="L1589" s="5"/>
      <c r="M1589" s="5"/>
      <c r="N1589" s="5"/>
      <c r="O1589" s="278"/>
    </row>
    <row r="1590" spans="1:15" ht="21" hidden="1" customHeight="1" outlineLevel="1">
      <c r="A1590" s="2129"/>
      <c r="B1590" s="2130"/>
      <c r="C1590" s="2130"/>
      <c r="D1590" s="2130"/>
      <c r="E1590" s="2130"/>
      <c r="F1590" s="2130"/>
      <c r="G1590" s="2130"/>
      <c r="H1590" s="561">
        <f t="shared" ref="H1590:O1590" si="239">SUM(H1579:H1589)</f>
        <v>0</v>
      </c>
      <c r="I1590" s="561">
        <f t="shared" si="239"/>
        <v>58.52</v>
      </c>
      <c r="J1590" s="561">
        <f t="shared" si="239"/>
        <v>32.5</v>
      </c>
      <c r="K1590" s="561">
        <f t="shared" si="239"/>
        <v>23.25</v>
      </c>
      <c r="L1590" s="561">
        <f t="shared" si="239"/>
        <v>60.480000000000004</v>
      </c>
      <c r="M1590" s="561">
        <f t="shared" si="239"/>
        <v>0</v>
      </c>
      <c r="N1590" s="561">
        <f t="shared" si="239"/>
        <v>0</v>
      </c>
      <c r="O1590" s="562">
        <f t="shared" si="239"/>
        <v>0</v>
      </c>
    </row>
    <row r="1591" spans="1:15" ht="21" hidden="1" customHeight="1" outlineLevel="1">
      <c r="A1591" s="2129"/>
      <c r="B1591" s="2130"/>
      <c r="C1591" s="2130"/>
      <c r="D1591" s="2130"/>
      <c r="E1591" s="2130"/>
      <c r="F1591" s="2130"/>
      <c r="G1591" s="2130"/>
      <c r="H1591" s="2130">
        <f>SUM(H1590:O1590)</f>
        <v>174.75</v>
      </c>
      <c r="I1591" s="2130"/>
      <c r="J1591" s="2130"/>
      <c r="K1591" s="2130"/>
      <c r="L1591" s="2130"/>
      <c r="M1591" s="2130"/>
      <c r="N1591" s="2130"/>
      <c r="O1591" s="2170"/>
    </row>
    <row r="1592" spans="1:15" ht="21" hidden="1" customHeight="1" outlineLevel="1">
      <c r="A1592" s="14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278"/>
    </row>
    <row r="1593" spans="1:15" ht="21" hidden="1" customHeight="1" outlineLevel="1">
      <c r="A1593" s="277" t="s">
        <v>461</v>
      </c>
      <c r="B1593" s="5"/>
      <c r="C1593" s="5">
        <v>6.8</v>
      </c>
      <c r="D1593" s="5">
        <v>1</v>
      </c>
      <c r="E1593" s="5">
        <v>3</v>
      </c>
      <c r="F1593" s="5">
        <f>+E1593*D1593</f>
        <v>3</v>
      </c>
      <c r="G1593" s="5">
        <f>+C1593</f>
        <v>6.8</v>
      </c>
      <c r="H1593" s="5"/>
      <c r="I1593" s="5"/>
      <c r="J1593" s="5">
        <f>+G1593*F1593</f>
        <v>20.399999999999999</v>
      </c>
      <c r="K1593" s="5"/>
      <c r="L1593" s="5"/>
      <c r="M1593" s="5"/>
      <c r="N1593" s="5"/>
      <c r="O1593" s="278"/>
    </row>
    <row r="1594" spans="1:15" ht="21" hidden="1" customHeight="1" outlineLevel="1">
      <c r="A1594" s="145"/>
      <c r="B1594" s="5"/>
      <c r="C1594" s="5">
        <v>6.9</v>
      </c>
      <c r="D1594" s="5">
        <v>1</v>
      </c>
      <c r="E1594" s="5">
        <v>2</v>
      </c>
      <c r="F1594" s="5">
        <f>+E1594*D1594</f>
        <v>2</v>
      </c>
      <c r="G1594" s="5">
        <f>+C1594</f>
        <v>6.9</v>
      </c>
      <c r="H1594" s="5"/>
      <c r="I1594" s="5"/>
      <c r="J1594" s="5"/>
      <c r="K1594" s="5">
        <f>1.55*G1594*F1594</f>
        <v>21.39</v>
      </c>
      <c r="L1594" s="5"/>
      <c r="M1594" s="5"/>
      <c r="N1594" s="5"/>
      <c r="O1594" s="278"/>
    </row>
    <row r="1595" spans="1:15" ht="21" hidden="1" customHeight="1" outlineLevel="1">
      <c r="A1595" s="145"/>
      <c r="B1595" s="5"/>
      <c r="C1595" s="5">
        <v>6.9</v>
      </c>
      <c r="D1595" s="5">
        <v>1</v>
      </c>
      <c r="E1595" s="5">
        <v>2</v>
      </c>
      <c r="F1595" s="5">
        <f>+E1595*D1595</f>
        <v>2</v>
      </c>
      <c r="G1595" s="5">
        <f>+C1595</f>
        <v>6.9</v>
      </c>
      <c r="H1595" s="5"/>
      <c r="I1595" s="5"/>
      <c r="J1595" s="5"/>
      <c r="K1595" s="5"/>
      <c r="L1595" s="5">
        <f>2.24*G1595*F1595</f>
        <v>30.912000000000006</v>
      </c>
      <c r="M1595" s="5"/>
      <c r="N1595" s="5"/>
      <c r="O1595" s="278"/>
    </row>
    <row r="1596" spans="1:15" ht="21" hidden="1" customHeight="1" outlineLevel="1">
      <c r="A1596" s="145"/>
      <c r="B1596" s="5"/>
      <c r="C1596" s="5">
        <v>2.1</v>
      </c>
      <c r="D1596" s="5">
        <v>1</v>
      </c>
      <c r="E1596" s="5">
        <v>28</v>
      </c>
      <c r="F1596" s="5">
        <f>+E1596*D1596</f>
        <v>28</v>
      </c>
      <c r="G1596" s="5">
        <f>+C1596</f>
        <v>2.1</v>
      </c>
      <c r="H1596" s="5"/>
      <c r="I1596" s="5">
        <f>0.56*G1596*F1596</f>
        <v>32.928000000000004</v>
      </c>
      <c r="J1596" s="5"/>
      <c r="K1596" s="5"/>
      <c r="L1596" s="5"/>
      <c r="M1596" s="5"/>
      <c r="N1596" s="5"/>
      <c r="O1596" s="278"/>
    </row>
    <row r="1597" spans="1:15" ht="21" hidden="1" customHeight="1" outlineLevel="1">
      <c r="A1597" s="145"/>
      <c r="B1597" s="5"/>
      <c r="C1597" s="5">
        <v>0.65</v>
      </c>
      <c r="D1597" s="5">
        <v>1</v>
      </c>
      <c r="E1597" s="5">
        <v>28</v>
      </c>
      <c r="F1597" s="5">
        <f>+E1597*D1597</f>
        <v>28</v>
      </c>
      <c r="G1597" s="5">
        <f>+C1597</f>
        <v>0.65</v>
      </c>
      <c r="H1597" s="5"/>
      <c r="I1597" s="5">
        <f>0.56*G1597*F1597</f>
        <v>10.192000000000002</v>
      </c>
      <c r="J1597" s="5"/>
      <c r="K1597" s="5"/>
      <c r="L1597" s="5"/>
      <c r="M1597" s="5"/>
      <c r="N1597" s="5"/>
      <c r="O1597" s="278"/>
    </row>
    <row r="1598" spans="1:15" ht="21" hidden="1" customHeight="1" outlineLevel="1">
      <c r="A1598" s="2129"/>
      <c r="B1598" s="2130"/>
      <c r="C1598" s="2130"/>
      <c r="D1598" s="2130"/>
      <c r="E1598" s="2130"/>
      <c r="F1598" s="2130"/>
      <c r="G1598" s="2130"/>
      <c r="H1598" s="561">
        <f t="shared" ref="H1598:O1598" si="240">SUM(H1593:H1597)</f>
        <v>0</v>
      </c>
      <c r="I1598" s="561">
        <f t="shared" si="240"/>
        <v>43.120000000000005</v>
      </c>
      <c r="J1598" s="561">
        <f t="shared" si="240"/>
        <v>20.399999999999999</v>
      </c>
      <c r="K1598" s="561">
        <f t="shared" si="240"/>
        <v>21.39</v>
      </c>
      <c r="L1598" s="561">
        <f t="shared" si="240"/>
        <v>30.912000000000006</v>
      </c>
      <c r="M1598" s="561">
        <f t="shared" si="240"/>
        <v>0</v>
      </c>
      <c r="N1598" s="561">
        <f t="shared" si="240"/>
        <v>0</v>
      </c>
      <c r="O1598" s="562">
        <f t="shared" si="240"/>
        <v>0</v>
      </c>
    </row>
    <row r="1599" spans="1:15" ht="21" hidden="1" customHeight="1" outlineLevel="1">
      <c r="A1599" s="2129"/>
      <c r="B1599" s="2130"/>
      <c r="C1599" s="2130"/>
      <c r="D1599" s="2130"/>
      <c r="E1599" s="2130"/>
      <c r="F1599" s="2130"/>
      <c r="G1599" s="2130"/>
      <c r="H1599" s="2130">
        <f>SUM(H1598:O1598)</f>
        <v>115.822</v>
      </c>
      <c r="I1599" s="2130"/>
      <c r="J1599" s="2130"/>
      <c r="K1599" s="2130"/>
      <c r="L1599" s="2130"/>
      <c r="M1599" s="2130"/>
      <c r="N1599" s="2130"/>
      <c r="O1599" s="2170"/>
    </row>
    <row r="1600" spans="1:15" ht="21" hidden="1" customHeight="1" outlineLevel="1">
      <c r="A1600" s="14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278"/>
    </row>
    <row r="1601" spans="1:15" ht="21" hidden="1" customHeight="1" outlineLevel="1">
      <c r="A1601" s="277" t="s">
        <v>462</v>
      </c>
      <c r="B1601" s="5"/>
      <c r="C1601" s="5">
        <v>3.5</v>
      </c>
      <c r="D1601" s="5">
        <v>1</v>
      </c>
      <c r="E1601" s="5">
        <v>1</v>
      </c>
      <c r="F1601" s="5">
        <f t="shared" ref="F1601:F1618" si="241">+D1601*E1601</f>
        <v>1</v>
      </c>
      <c r="G1601" s="5">
        <f t="shared" ref="G1601:G1618" si="242">+C1601</f>
        <v>3.5</v>
      </c>
      <c r="H1601" s="5"/>
      <c r="I1601" s="5"/>
      <c r="J1601" s="5"/>
      <c r="K1601" s="5"/>
      <c r="L1601" s="5">
        <f>2.24*G1601*F1601</f>
        <v>7.8400000000000007</v>
      </c>
      <c r="M1601" s="5"/>
      <c r="N1601" s="5"/>
      <c r="O1601" s="278"/>
    </row>
    <row r="1602" spans="1:15" ht="21" hidden="1" customHeight="1" outlineLevel="1">
      <c r="A1602" s="145"/>
      <c r="B1602" s="5"/>
      <c r="C1602" s="5">
        <v>3.5</v>
      </c>
      <c r="D1602" s="5">
        <v>1</v>
      </c>
      <c r="E1602" s="5">
        <v>2</v>
      </c>
      <c r="F1602" s="5">
        <f t="shared" si="241"/>
        <v>2</v>
      </c>
      <c r="G1602" s="5">
        <f t="shared" si="242"/>
        <v>3.5</v>
      </c>
      <c r="H1602" s="5"/>
      <c r="I1602" s="5"/>
      <c r="J1602" s="5"/>
      <c r="K1602" s="5">
        <f>1.55*G1602*F1602</f>
        <v>10.85</v>
      </c>
      <c r="L1602" s="5"/>
      <c r="M1602" s="5"/>
      <c r="N1602" s="5"/>
      <c r="O1602" s="278"/>
    </row>
    <row r="1603" spans="1:15" ht="21" hidden="1" customHeight="1" outlineLevel="1">
      <c r="A1603" s="145"/>
      <c r="B1603" s="5"/>
      <c r="C1603" s="5">
        <v>4</v>
      </c>
      <c r="D1603" s="5">
        <v>1</v>
      </c>
      <c r="E1603" s="5">
        <v>3</v>
      </c>
      <c r="F1603" s="5">
        <f t="shared" si="241"/>
        <v>3</v>
      </c>
      <c r="G1603" s="5">
        <f t="shared" si="242"/>
        <v>4</v>
      </c>
      <c r="H1603" s="5"/>
      <c r="I1603" s="5"/>
      <c r="J1603" s="5">
        <f>+G1603*F1603</f>
        <v>12</v>
      </c>
      <c r="K1603" s="5"/>
      <c r="L1603" s="5"/>
      <c r="M1603" s="5"/>
      <c r="N1603" s="5"/>
      <c r="O1603" s="278"/>
    </row>
    <row r="1604" spans="1:15" ht="21" hidden="1" customHeight="1" outlineLevel="1">
      <c r="A1604" s="145"/>
      <c r="B1604" s="5"/>
      <c r="C1604" s="5">
        <v>9.5</v>
      </c>
      <c r="D1604" s="5">
        <v>1</v>
      </c>
      <c r="E1604" s="5">
        <v>2</v>
      </c>
      <c r="F1604" s="5">
        <f t="shared" si="241"/>
        <v>2</v>
      </c>
      <c r="G1604" s="5">
        <f t="shared" si="242"/>
        <v>9.5</v>
      </c>
      <c r="H1604" s="5"/>
      <c r="I1604" s="5"/>
      <c r="J1604" s="5"/>
      <c r="K1604" s="5"/>
      <c r="L1604" s="5">
        <f>2.24*G1604*F1604</f>
        <v>42.56</v>
      </c>
      <c r="M1604" s="5"/>
      <c r="N1604" s="5"/>
      <c r="O1604" s="278"/>
    </row>
    <row r="1605" spans="1:15" ht="21" hidden="1" customHeight="1" outlineLevel="1">
      <c r="A1605" s="145"/>
      <c r="B1605" s="5"/>
      <c r="C1605" s="5">
        <v>5.7</v>
      </c>
      <c r="D1605" s="5">
        <v>1</v>
      </c>
      <c r="E1605" s="5">
        <v>2</v>
      </c>
      <c r="F1605" s="5">
        <f t="shared" si="241"/>
        <v>2</v>
      </c>
      <c r="G1605" s="5">
        <f t="shared" si="242"/>
        <v>5.7</v>
      </c>
      <c r="H1605" s="5"/>
      <c r="I1605" s="5"/>
      <c r="J1605" s="5"/>
      <c r="K1605" s="5"/>
      <c r="L1605" s="5">
        <f>2.24*G1605*F1605</f>
        <v>25.536000000000005</v>
      </c>
      <c r="M1605" s="5"/>
      <c r="N1605" s="5"/>
      <c r="O1605" s="278"/>
    </row>
    <row r="1606" spans="1:15" ht="21" hidden="1" customHeight="1" outlineLevel="1">
      <c r="A1606" s="145"/>
      <c r="B1606" s="5"/>
      <c r="C1606" s="5">
        <v>5.5</v>
      </c>
      <c r="D1606" s="5">
        <v>1</v>
      </c>
      <c r="E1606" s="5">
        <v>1</v>
      </c>
      <c r="F1606" s="5">
        <f t="shared" si="241"/>
        <v>1</v>
      </c>
      <c r="G1606" s="5">
        <f t="shared" si="242"/>
        <v>5.5</v>
      </c>
      <c r="H1606" s="5"/>
      <c r="I1606" s="5"/>
      <c r="J1606" s="5"/>
      <c r="K1606" s="5"/>
      <c r="L1606" s="5">
        <f>2.24*G1606*F1606</f>
        <v>12.32</v>
      </c>
      <c r="M1606" s="5"/>
      <c r="N1606" s="5"/>
      <c r="O1606" s="278"/>
    </row>
    <row r="1607" spans="1:15" ht="21" hidden="1" customHeight="1" outlineLevel="1">
      <c r="A1607" s="145"/>
      <c r="B1607" s="5"/>
      <c r="C1607" s="5">
        <v>5.5</v>
      </c>
      <c r="D1607" s="5">
        <v>1</v>
      </c>
      <c r="E1607" s="5">
        <v>2</v>
      </c>
      <c r="F1607" s="5">
        <f t="shared" si="241"/>
        <v>2</v>
      </c>
      <c r="G1607" s="5">
        <f t="shared" si="242"/>
        <v>5.5</v>
      </c>
      <c r="H1607" s="5"/>
      <c r="I1607" s="5"/>
      <c r="J1607" s="5"/>
      <c r="K1607" s="5">
        <f>1.55*G1607*F1607</f>
        <v>17.05</v>
      </c>
      <c r="L1607" s="5"/>
      <c r="M1607" s="5"/>
      <c r="N1607" s="5"/>
      <c r="O1607" s="278"/>
    </row>
    <row r="1608" spans="1:15" ht="21" hidden="1" customHeight="1" outlineLevel="1">
      <c r="A1608" s="145"/>
      <c r="B1608" s="5"/>
      <c r="C1608" s="5">
        <v>6</v>
      </c>
      <c r="D1608" s="5">
        <v>1</v>
      </c>
      <c r="E1608" s="5">
        <v>3</v>
      </c>
      <c r="F1608" s="5">
        <f t="shared" si="241"/>
        <v>3</v>
      </c>
      <c r="G1608" s="5">
        <f t="shared" si="242"/>
        <v>6</v>
      </c>
      <c r="H1608" s="5"/>
      <c r="I1608" s="5"/>
      <c r="J1608" s="5">
        <f>+G1608*F1608</f>
        <v>18</v>
      </c>
      <c r="K1608" s="5"/>
      <c r="L1608" s="5"/>
      <c r="M1608" s="5"/>
      <c r="N1608" s="5"/>
      <c r="O1608" s="278"/>
    </row>
    <row r="1609" spans="1:15" ht="21" hidden="1" customHeight="1" outlineLevel="1">
      <c r="A1609" s="145"/>
      <c r="B1609" s="5"/>
      <c r="C1609" s="5">
        <v>9.5</v>
      </c>
      <c r="D1609" s="5">
        <v>1</v>
      </c>
      <c r="E1609" s="5">
        <v>2</v>
      </c>
      <c r="F1609" s="5">
        <f t="shared" si="241"/>
        <v>2</v>
      </c>
      <c r="G1609" s="5">
        <f t="shared" si="242"/>
        <v>9.5</v>
      </c>
      <c r="H1609" s="5"/>
      <c r="I1609" s="5"/>
      <c r="J1609" s="5"/>
      <c r="K1609" s="5"/>
      <c r="L1609" s="5">
        <f>2.24*G1609*F1609</f>
        <v>42.56</v>
      </c>
      <c r="M1609" s="5"/>
      <c r="N1609" s="5"/>
      <c r="O1609" s="278"/>
    </row>
    <row r="1610" spans="1:15" ht="21" hidden="1" customHeight="1" outlineLevel="1">
      <c r="A1610" s="145"/>
      <c r="B1610" s="5"/>
      <c r="C1610" s="5">
        <v>3.5</v>
      </c>
      <c r="D1610" s="5">
        <v>1</v>
      </c>
      <c r="E1610" s="5">
        <v>1</v>
      </c>
      <c r="F1610" s="5">
        <f t="shared" si="241"/>
        <v>1</v>
      </c>
      <c r="G1610" s="5">
        <f t="shared" si="242"/>
        <v>3.5</v>
      </c>
      <c r="H1610" s="5"/>
      <c r="I1610" s="5"/>
      <c r="J1610" s="5"/>
      <c r="K1610" s="5">
        <f>1.55*G1610*F1610</f>
        <v>5.4249999999999998</v>
      </c>
      <c r="L1610" s="5"/>
      <c r="M1610" s="5"/>
      <c r="N1610" s="5"/>
      <c r="O1610" s="278"/>
    </row>
    <row r="1611" spans="1:15" ht="21" hidden="1" customHeight="1" outlineLevel="1">
      <c r="A1611" s="145"/>
      <c r="B1611" s="5"/>
      <c r="C1611" s="5">
        <v>3.5</v>
      </c>
      <c r="D1611" s="5">
        <v>1</v>
      </c>
      <c r="E1611" s="5">
        <v>2</v>
      </c>
      <c r="F1611" s="5">
        <f t="shared" si="241"/>
        <v>2</v>
      </c>
      <c r="G1611" s="5">
        <f t="shared" si="242"/>
        <v>3.5</v>
      </c>
      <c r="H1611" s="5"/>
      <c r="I1611" s="5"/>
      <c r="J1611" s="5">
        <f>+G1611*F1611</f>
        <v>7</v>
      </c>
      <c r="K1611" s="5"/>
      <c r="L1611" s="5"/>
      <c r="M1611" s="5"/>
      <c r="N1611" s="5"/>
      <c r="O1611" s="278"/>
    </row>
    <row r="1612" spans="1:15" ht="21" hidden="1" customHeight="1" outlineLevel="1">
      <c r="A1612" s="145"/>
      <c r="B1612" s="5"/>
      <c r="C1612" s="5">
        <v>9</v>
      </c>
      <c r="D1612" s="5">
        <v>1</v>
      </c>
      <c r="E1612" s="5">
        <v>3</v>
      </c>
      <c r="F1612" s="5">
        <f t="shared" si="241"/>
        <v>3</v>
      </c>
      <c r="G1612" s="5">
        <f t="shared" si="242"/>
        <v>9</v>
      </c>
      <c r="H1612" s="5"/>
      <c r="I1612" s="5"/>
      <c r="J1612" s="5">
        <f>+G1612*F1612</f>
        <v>27</v>
      </c>
      <c r="K1612" s="5"/>
      <c r="L1612" s="5"/>
      <c r="M1612" s="5"/>
      <c r="N1612" s="5"/>
      <c r="O1612" s="278"/>
    </row>
    <row r="1613" spans="1:15" ht="21" hidden="1" customHeight="1" outlineLevel="1">
      <c r="A1613" s="145"/>
      <c r="B1613" s="5"/>
      <c r="C1613" s="5">
        <v>9.3000000000000007</v>
      </c>
      <c r="D1613" s="5">
        <v>1</v>
      </c>
      <c r="E1613" s="5">
        <v>1</v>
      </c>
      <c r="F1613" s="5">
        <f t="shared" si="241"/>
        <v>1</v>
      </c>
      <c r="G1613" s="5">
        <f t="shared" si="242"/>
        <v>9.3000000000000007</v>
      </c>
      <c r="H1613" s="5"/>
      <c r="I1613" s="5"/>
      <c r="J1613" s="5"/>
      <c r="K1613" s="5">
        <f>1.55*G1613*F1613</f>
        <v>14.415000000000001</v>
      </c>
      <c r="L1613" s="5"/>
      <c r="M1613" s="5"/>
      <c r="N1613" s="5"/>
      <c r="O1613" s="278"/>
    </row>
    <row r="1614" spans="1:15" ht="21" hidden="1" customHeight="1" outlineLevel="1">
      <c r="A1614" s="145"/>
      <c r="B1614" s="5"/>
      <c r="C1614" s="5">
        <v>9.3000000000000007</v>
      </c>
      <c r="D1614" s="5">
        <v>1</v>
      </c>
      <c r="E1614" s="5">
        <v>1</v>
      </c>
      <c r="F1614" s="5">
        <f t="shared" si="241"/>
        <v>1</v>
      </c>
      <c r="G1614" s="5">
        <f t="shared" si="242"/>
        <v>9.3000000000000007</v>
      </c>
      <c r="H1614" s="5"/>
      <c r="I1614" s="5"/>
      <c r="J1614" s="5"/>
      <c r="K1614" s="5"/>
      <c r="L1614" s="5">
        <f>2.24*G1614*F1614</f>
        <v>20.832000000000004</v>
      </c>
      <c r="M1614" s="5"/>
      <c r="N1614" s="5"/>
      <c r="O1614" s="278"/>
    </row>
    <row r="1615" spans="1:15" ht="21" hidden="1" customHeight="1" outlineLevel="1">
      <c r="A1615" s="145"/>
      <c r="B1615" s="5"/>
      <c r="C1615" s="5">
        <v>4.5</v>
      </c>
      <c r="D1615" s="5">
        <v>1</v>
      </c>
      <c r="E1615" s="5">
        <v>1</v>
      </c>
      <c r="F1615" s="5">
        <f t="shared" si="241"/>
        <v>1</v>
      </c>
      <c r="G1615" s="5">
        <f t="shared" si="242"/>
        <v>4.5</v>
      </c>
      <c r="H1615" s="5"/>
      <c r="I1615" s="5"/>
      <c r="J1615" s="5"/>
      <c r="K1615" s="5"/>
      <c r="L1615" s="5">
        <f>2.24*G1615*F1615</f>
        <v>10.080000000000002</v>
      </c>
      <c r="M1615" s="5"/>
      <c r="N1615" s="5"/>
      <c r="O1615" s="278"/>
    </row>
    <row r="1616" spans="1:15" ht="21" hidden="1" customHeight="1" outlineLevel="1">
      <c r="A1616" s="145"/>
      <c r="B1616" s="5"/>
      <c r="C1616" s="5">
        <v>4.5</v>
      </c>
      <c r="D1616" s="5">
        <v>1</v>
      </c>
      <c r="E1616" s="5">
        <v>1</v>
      </c>
      <c r="F1616" s="5">
        <f t="shared" si="241"/>
        <v>1</v>
      </c>
      <c r="G1616" s="5">
        <f t="shared" si="242"/>
        <v>4.5</v>
      </c>
      <c r="H1616" s="5"/>
      <c r="I1616" s="5"/>
      <c r="J1616" s="5"/>
      <c r="K1616" s="5">
        <f>1.55*G1616*F1616</f>
        <v>6.9750000000000005</v>
      </c>
      <c r="L1616" s="5"/>
      <c r="M1616" s="5"/>
      <c r="N1616" s="5"/>
      <c r="O1616" s="278"/>
    </row>
    <row r="1617" spans="1:15" ht="21" hidden="1" customHeight="1" outlineLevel="1">
      <c r="A1617" s="145"/>
      <c r="B1617" s="5"/>
      <c r="C1617" s="5">
        <v>2.1</v>
      </c>
      <c r="D1617" s="5">
        <v>1</v>
      </c>
      <c r="E1617" s="5">
        <v>76</v>
      </c>
      <c r="F1617" s="5">
        <f t="shared" si="241"/>
        <v>76</v>
      </c>
      <c r="G1617" s="5">
        <f t="shared" si="242"/>
        <v>2.1</v>
      </c>
      <c r="H1617" s="5"/>
      <c r="I1617" s="5">
        <f>0.56*G1617*F1617</f>
        <v>89.376000000000005</v>
      </c>
      <c r="J1617" s="5"/>
      <c r="K1617" s="5"/>
      <c r="L1617" s="5"/>
      <c r="M1617" s="5"/>
      <c r="N1617" s="5"/>
      <c r="O1617" s="278"/>
    </row>
    <row r="1618" spans="1:15" ht="21" hidden="1" customHeight="1" outlineLevel="1">
      <c r="A1618" s="145"/>
      <c r="B1618" s="5"/>
      <c r="C1618" s="5">
        <v>0.65</v>
      </c>
      <c r="D1618" s="5">
        <v>1</v>
      </c>
      <c r="E1618" s="5">
        <v>76</v>
      </c>
      <c r="F1618" s="5">
        <f t="shared" si="241"/>
        <v>76</v>
      </c>
      <c r="G1618" s="5">
        <f t="shared" si="242"/>
        <v>0.65</v>
      </c>
      <c r="H1618" s="5"/>
      <c r="I1618" s="5">
        <f>0.56*G1618*F1618</f>
        <v>27.664000000000005</v>
      </c>
      <c r="J1618" s="5"/>
      <c r="K1618" s="5"/>
      <c r="L1618" s="5"/>
      <c r="M1618" s="5"/>
      <c r="N1618" s="5"/>
      <c r="O1618" s="278"/>
    </row>
    <row r="1619" spans="1:15" ht="21" hidden="1" customHeight="1" outlineLevel="1">
      <c r="A1619" s="2129"/>
      <c r="B1619" s="2130"/>
      <c r="C1619" s="2130"/>
      <c r="D1619" s="2130"/>
      <c r="E1619" s="2130"/>
      <c r="F1619" s="2130"/>
      <c r="G1619" s="2130"/>
      <c r="H1619" s="561">
        <f t="shared" ref="H1619:O1619" si="243">SUM(H1601:H1618)</f>
        <v>0</v>
      </c>
      <c r="I1619" s="561">
        <f t="shared" si="243"/>
        <v>117.04</v>
      </c>
      <c r="J1619" s="561">
        <f t="shared" si="243"/>
        <v>64</v>
      </c>
      <c r="K1619" s="561">
        <f t="shared" si="243"/>
        <v>54.714999999999996</v>
      </c>
      <c r="L1619" s="561">
        <f t="shared" si="243"/>
        <v>161.72800000000001</v>
      </c>
      <c r="M1619" s="561">
        <f t="shared" si="243"/>
        <v>0</v>
      </c>
      <c r="N1619" s="561">
        <f t="shared" si="243"/>
        <v>0</v>
      </c>
      <c r="O1619" s="562">
        <f t="shared" si="243"/>
        <v>0</v>
      </c>
    </row>
    <row r="1620" spans="1:15" ht="21" hidden="1" customHeight="1" outlineLevel="1">
      <c r="A1620" s="2129"/>
      <c r="B1620" s="2130"/>
      <c r="C1620" s="2130"/>
      <c r="D1620" s="2130"/>
      <c r="E1620" s="2130"/>
      <c r="F1620" s="2130"/>
      <c r="G1620" s="2130"/>
      <c r="H1620" s="2130">
        <f>SUM(H1619:O1619)</f>
        <v>397.48300000000006</v>
      </c>
      <c r="I1620" s="2130"/>
      <c r="J1620" s="2130"/>
      <c r="K1620" s="2130"/>
      <c r="L1620" s="2130"/>
      <c r="M1620" s="2130"/>
      <c r="N1620" s="2130"/>
      <c r="O1620" s="2170"/>
    </row>
    <row r="1621" spans="1:15" ht="21" hidden="1" customHeight="1" outlineLevel="1">
      <c r="A1621" s="14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278"/>
    </row>
    <row r="1622" spans="1:15" ht="21" hidden="1" customHeight="1" outlineLevel="1">
      <c r="A1622" s="277" t="s">
        <v>463</v>
      </c>
      <c r="B1622" s="5"/>
      <c r="C1622" s="5">
        <v>7</v>
      </c>
      <c r="D1622" s="5">
        <v>1</v>
      </c>
      <c r="E1622" s="5">
        <v>3</v>
      </c>
      <c r="F1622" s="5">
        <f t="shared" ref="F1622:F1633" si="244">+D1622*E1622</f>
        <v>3</v>
      </c>
      <c r="G1622" s="5">
        <f t="shared" ref="G1622:G1633" si="245">+C1622</f>
        <v>7</v>
      </c>
      <c r="H1622" s="5"/>
      <c r="I1622" s="5"/>
      <c r="J1622" s="5">
        <f>+F1622*G1622</f>
        <v>21</v>
      </c>
      <c r="K1622" s="5"/>
      <c r="L1622" s="5"/>
      <c r="M1622" s="5"/>
      <c r="N1622" s="5"/>
      <c r="O1622" s="278"/>
    </row>
    <row r="1623" spans="1:15" ht="21" hidden="1" customHeight="1" outlineLevel="1">
      <c r="A1623" s="145"/>
      <c r="B1623" s="5"/>
      <c r="C1623" s="5">
        <v>4.5</v>
      </c>
      <c r="D1623" s="5">
        <v>1</v>
      </c>
      <c r="E1623" s="5">
        <v>1</v>
      </c>
      <c r="F1623" s="5">
        <f t="shared" si="244"/>
        <v>1</v>
      </c>
      <c r="G1623" s="5">
        <f t="shared" si="245"/>
        <v>4.5</v>
      </c>
      <c r="H1623" s="5"/>
      <c r="I1623" s="5"/>
      <c r="J1623" s="5"/>
      <c r="K1623" s="5">
        <f>1.55*G1623*F1623</f>
        <v>6.9750000000000005</v>
      </c>
      <c r="L1623" s="5"/>
      <c r="M1623" s="5"/>
      <c r="N1623" s="5"/>
      <c r="O1623" s="278"/>
    </row>
    <row r="1624" spans="1:15" ht="21" hidden="1" customHeight="1" outlineLevel="1">
      <c r="A1624" s="145"/>
      <c r="B1624" s="5"/>
      <c r="C1624" s="5">
        <v>4.5</v>
      </c>
      <c r="D1624" s="5">
        <v>1</v>
      </c>
      <c r="E1624" s="5">
        <v>1</v>
      </c>
      <c r="F1624" s="5">
        <f t="shared" si="244"/>
        <v>1</v>
      </c>
      <c r="G1624" s="5">
        <f t="shared" si="245"/>
        <v>4.5</v>
      </c>
      <c r="H1624" s="5"/>
      <c r="I1624" s="5"/>
      <c r="J1624" s="5"/>
      <c r="K1624" s="5"/>
      <c r="L1624" s="5">
        <f>2.24*G1624*F1624</f>
        <v>10.080000000000002</v>
      </c>
      <c r="M1624" s="5"/>
      <c r="N1624" s="5"/>
      <c r="O1624" s="278"/>
    </row>
    <row r="1625" spans="1:15" ht="21" hidden="1" customHeight="1" outlineLevel="1">
      <c r="A1625" s="145"/>
      <c r="B1625" s="5"/>
      <c r="C1625" s="5">
        <v>8.1</v>
      </c>
      <c r="D1625" s="5">
        <v>1</v>
      </c>
      <c r="E1625" s="5">
        <v>1</v>
      </c>
      <c r="F1625" s="5">
        <f t="shared" si="244"/>
        <v>1</v>
      </c>
      <c r="G1625" s="5">
        <f t="shared" si="245"/>
        <v>8.1</v>
      </c>
      <c r="H1625" s="5"/>
      <c r="I1625" s="5"/>
      <c r="J1625" s="5"/>
      <c r="K1625" s="5"/>
      <c r="L1625" s="5">
        <f>2.24*G1625*F1625</f>
        <v>18.144000000000002</v>
      </c>
      <c r="M1625" s="5"/>
      <c r="N1625" s="5"/>
      <c r="O1625" s="278"/>
    </row>
    <row r="1626" spans="1:15" ht="21" hidden="1" customHeight="1" outlineLevel="1">
      <c r="A1626" s="145"/>
      <c r="B1626" s="5"/>
      <c r="C1626" s="5">
        <v>8.1</v>
      </c>
      <c r="D1626" s="5">
        <v>1</v>
      </c>
      <c r="E1626" s="5">
        <v>1</v>
      </c>
      <c r="F1626" s="5">
        <f t="shared" si="244"/>
        <v>1</v>
      </c>
      <c r="G1626" s="5">
        <f t="shared" si="245"/>
        <v>8.1</v>
      </c>
      <c r="H1626" s="5"/>
      <c r="I1626" s="5"/>
      <c r="J1626" s="5"/>
      <c r="K1626" s="5">
        <f>1.55*G1626*F1626</f>
        <v>12.555</v>
      </c>
      <c r="L1626" s="5"/>
      <c r="M1626" s="5"/>
      <c r="N1626" s="5"/>
      <c r="O1626" s="278"/>
    </row>
    <row r="1627" spans="1:15" ht="21" hidden="1" customHeight="1" outlineLevel="1">
      <c r="A1627" s="145"/>
      <c r="B1627" s="5"/>
      <c r="C1627" s="5">
        <v>5.3</v>
      </c>
      <c r="D1627" s="5">
        <v>1</v>
      </c>
      <c r="E1627" s="5">
        <v>3</v>
      </c>
      <c r="F1627" s="5">
        <f t="shared" si="244"/>
        <v>3</v>
      </c>
      <c r="G1627" s="5">
        <f t="shared" si="245"/>
        <v>5.3</v>
      </c>
      <c r="H1627" s="5"/>
      <c r="I1627" s="5"/>
      <c r="J1627" s="5">
        <f>+F1627*G1627</f>
        <v>15.899999999999999</v>
      </c>
      <c r="K1627" s="5"/>
      <c r="L1627" s="5"/>
      <c r="M1627" s="5"/>
      <c r="N1627" s="5"/>
      <c r="O1627" s="278"/>
    </row>
    <row r="1628" spans="1:15" ht="21" hidden="1" customHeight="1" outlineLevel="1">
      <c r="A1628" s="145"/>
      <c r="B1628" s="5"/>
      <c r="C1628" s="5">
        <v>8.1</v>
      </c>
      <c r="D1628" s="5">
        <v>1</v>
      </c>
      <c r="E1628" s="5">
        <v>1</v>
      </c>
      <c r="F1628" s="5">
        <f t="shared" si="244"/>
        <v>1</v>
      </c>
      <c r="G1628" s="5">
        <f t="shared" si="245"/>
        <v>8.1</v>
      </c>
      <c r="H1628" s="5"/>
      <c r="I1628" s="5"/>
      <c r="J1628" s="5"/>
      <c r="K1628" s="5">
        <f>1.55*G1628*F1628</f>
        <v>12.555</v>
      </c>
      <c r="L1628" s="5"/>
      <c r="M1628" s="5"/>
      <c r="N1628" s="5"/>
      <c r="O1628" s="278"/>
    </row>
    <row r="1629" spans="1:15" ht="21" hidden="1" customHeight="1" outlineLevel="1">
      <c r="A1629" s="145"/>
      <c r="B1629" s="5"/>
      <c r="C1629" s="5">
        <v>8.1</v>
      </c>
      <c r="D1629" s="5">
        <v>1</v>
      </c>
      <c r="E1629" s="5">
        <v>1</v>
      </c>
      <c r="F1629" s="5">
        <f t="shared" si="244"/>
        <v>1</v>
      </c>
      <c r="G1629" s="5">
        <f t="shared" si="245"/>
        <v>8.1</v>
      </c>
      <c r="H1629" s="5"/>
      <c r="I1629" s="5"/>
      <c r="J1629" s="5"/>
      <c r="K1629" s="5"/>
      <c r="L1629" s="5">
        <f>2.24*G1629*F1629</f>
        <v>18.144000000000002</v>
      </c>
      <c r="M1629" s="5"/>
      <c r="N1629" s="5"/>
      <c r="O1629" s="278"/>
    </row>
    <row r="1630" spans="1:15" ht="21" hidden="1" customHeight="1" outlineLevel="1">
      <c r="A1630" s="145"/>
      <c r="B1630" s="5"/>
      <c r="C1630" s="5">
        <v>4.5</v>
      </c>
      <c r="D1630" s="5">
        <v>1</v>
      </c>
      <c r="E1630" s="5">
        <v>1</v>
      </c>
      <c r="F1630" s="5">
        <f t="shared" si="244"/>
        <v>1</v>
      </c>
      <c r="G1630" s="5">
        <f t="shared" si="245"/>
        <v>4.5</v>
      </c>
      <c r="H1630" s="5"/>
      <c r="I1630" s="5"/>
      <c r="J1630" s="5"/>
      <c r="K1630" s="5"/>
      <c r="L1630" s="5">
        <f>2.24*G1630*F1630</f>
        <v>10.080000000000002</v>
      </c>
      <c r="M1630" s="5"/>
      <c r="N1630" s="5"/>
      <c r="O1630" s="278"/>
    </row>
    <row r="1631" spans="1:15" ht="21" hidden="1" customHeight="1" outlineLevel="1">
      <c r="A1631" s="145"/>
      <c r="B1631" s="5"/>
      <c r="C1631" s="5">
        <v>4.5</v>
      </c>
      <c r="D1631" s="5">
        <v>1</v>
      </c>
      <c r="E1631" s="5">
        <v>1</v>
      </c>
      <c r="F1631" s="5">
        <f t="shared" si="244"/>
        <v>1</v>
      </c>
      <c r="G1631" s="5">
        <f t="shared" si="245"/>
        <v>4.5</v>
      </c>
      <c r="H1631" s="5"/>
      <c r="I1631" s="5"/>
      <c r="J1631" s="5"/>
      <c r="K1631" s="5">
        <f>1.55*G1631*F1631</f>
        <v>6.9750000000000005</v>
      </c>
      <c r="L1631" s="5"/>
      <c r="M1631" s="5"/>
      <c r="N1631" s="5"/>
      <c r="O1631" s="278"/>
    </row>
    <row r="1632" spans="1:15" ht="21" hidden="1" customHeight="1" outlineLevel="1">
      <c r="A1632" s="145"/>
      <c r="B1632" s="5"/>
      <c r="C1632" s="5">
        <v>2.1</v>
      </c>
      <c r="D1632" s="5">
        <v>1</v>
      </c>
      <c r="E1632" s="5">
        <v>44</v>
      </c>
      <c r="F1632" s="5">
        <f t="shared" si="244"/>
        <v>44</v>
      </c>
      <c r="G1632" s="5">
        <f t="shared" si="245"/>
        <v>2.1</v>
      </c>
      <c r="H1632" s="5"/>
      <c r="I1632" s="5">
        <f>0.56*G1632*F1632</f>
        <v>51.744000000000007</v>
      </c>
      <c r="J1632" s="5"/>
      <c r="K1632" s="5"/>
      <c r="L1632" s="5"/>
      <c r="M1632" s="5"/>
      <c r="N1632" s="5"/>
      <c r="O1632" s="278"/>
    </row>
    <row r="1633" spans="1:15" ht="21" hidden="1" customHeight="1" outlineLevel="1">
      <c r="A1633" s="145"/>
      <c r="B1633" s="5"/>
      <c r="C1633" s="5">
        <v>0.65</v>
      </c>
      <c r="D1633" s="5">
        <v>1</v>
      </c>
      <c r="E1633" s="5">
        <v>44</v>
      </c>
      <c r="F1633" s="5">
        <f t="shared" si="244"/>
        <v>44</v>
      </c>
      <c r="G1633" s="5">
        <f t="shared" si="245"/>
        <v>0.65</v>
      </c>
      <c r="H1633" s="5"/>
      <c r="I1633" s="5">
        <f>0.56*G1633*F1633</f>
        <v>16.016000000000002</v>
      </c>
      <c r="J1633" s="5"/>
      <c r="K1633" s="5"/>
      <c r="L1633" s="5"/>
      <c r="M1633" s="5"/>
      <c r="N1633" s="5"/>
      <c r="O1633" s="278"/>
    </row>
    <row r="1634" spans="1:15" ht="21" hidden="1" customHeight="1" outlineLevel="1">
      <c r="A1634" s="2129"/>
      <c r="B1634" s="2130"/>
      <c r="C1634" s="2130"/>
      <c r="D1634" s="2130"/>
      <c r="E1634" s="2130"/>
      <c r="F1634" s="2130"/>
      <c r="G1634" s="2130"/>
      <c r="H1634" s="561">
        <f t="shared" ref="H1634:O1634" si="246">SUM(H1622:H1633)</f>
        <v>0</v>
      </c>
      <c r="I1634" s="561">
        <f t="shared" si="246"/>
        <v>67.760000000000005</v>
      </c>
      <c r="J1634" s="561">
        <f t="shared" si="246"/>
        <v>36.9</v>
      </c>
      <c r="K1634" s="561">
        <f t="shared" si="246"/>
        <v>39.06</v>
      </c>
      <c r="L1634" s="561">
        <f t="shared" si="246"/>
        <v>56.448000000000008</v>
      </c>
      <c r="M1634" s="561">
        <f t="shared" si="246"/>
        <v>0</v>
      </c>
      <c r="N1634" s="561">
        <f t="shared" si="246"/>
        <v>0</v>
      </c>
      <c r="O1634" s="562">
        <f t="shared" si="246"/>
        <v>0</v>
      </c>
    </row>
    <row r="1635" spans="1:15" ht="21" hidden="1" customHeight="1" outlineLevel="1">
      <c r="A1635" s="2129"/>
      <c r="B1635" s="2130"/>
      <c r="C1635" s="2130"/>
      <c r="D1635" s="2130"/>
      <c r="E1635" s="2130"/>
      <c r="F1635" s="2130"/>
      <c r="G1635" s="2130"/>
      <c r="H1635" s="2130">
        <f>SUM(H1634:O1634)</f>
        <v>200.16800000000001</v>
      </c>
      <c r="I1635" s="2130"/>
      <c r="J1635" s="2130"/>
      <c r="K1635" s="2130"/>
      <c r="L1635" s="2130"/>
      <c r="M1635" s="2130"/>
      <c r="N1635" s="2130"/>
      <c r="O1635" s="2170"/>
    </row>
    <row r="1636" spans="1:15" ht="21" hidden="1" customHeight="1" outlineLevel="1">
      <c r="A1636" s="14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278"/>
    </row>
    <row r="1637" spans="1:15" ht="21" hidden="1" customHeight="1" outlineLevel="1">
      <c r="A1637" s="277" t="s">
        <v>464</v>
      </c>
      <c r="B1637" s="5"/>
      <c r="C1637" s="5">
        <v>3</v>
      </c>
      <c r="D1637" s="5">
        <v>1</v>
      </c>
      <c r="E1637" s="5">
        <v>1</v>
      </c>
      <c r="F1637" s="5">
        <f t="shared" ref="F1637:F1650" si="247">+D1637*E1637</f>
        <v>1</v>
      </c>
      <c r="G1637" s="5">
        <f t="shared" ref="G1637:G1650" si="248">+C1637</f>
        <v>3</v>
      </c>
      <c r="H1637" s="5"/>
      <c r="I1637" s="5"/>
      <c r="J1637" s="5"/>
      <c r="K1637" s="5">
        <f>1.55*G1637*F1637</f>
        <v>4.6500000000000004</v>
      </c>
      <c r="L1637" s="5"/>
      <c r="M1637" s="5"/>
      <c r="N1637" s="5"/>
      <c r="O1637" s="278"/>
    </row>
    <row r="1638" spans="1:15" ht="21" hidden="1" customHeight="1" outlineLevel="1">
      <c r="A1638" s="145"/>
      <c r="B1638" s="5"/>
      <c r="C1638" s="5">
        <v>9</v>
      </c>
      <c r="D1638" s="5">
        <v>1</v>
      </c>
      <c r="E1638" s="5">
        <v>3</v>
      </c>
      <c r="F1638" s="5">
        <f t="shared" si="247"/>
        <v>3</v>
      </c>
      <c r="G1638" s="5">
        <f t="shared" si="248"/>
        <v>9</v>
      </c>
      <c r="H1638" s="5"/>
      <c r="I1638" s="5"/>
      <c r="J1638" s="5">
        <f>+G1638*F1638</f>
        <v>27</v>
      </c>
      <c r="K1638" s="5"/>
      <c r="L1638" s="5"/>
      <c r="M1638" s="5"/>
      <c r="N1638" s="5"/>
      <c r="O1638" s="278"/>
    </row>
    <row r="1639" spans="1:15" ht="21" hidden="1" customHeight="1" outlineLevel="1">
      <c r="A1639" s="145"/>
      <c r="B1639" s="5"/>
      <c r="C1639" s="5">
        <v>4.5</v>
      </c>
      <c r="D1639" s="5">
        <v>1</v>
      </c>
      <c r="E1639" s="5">
        <v>1</v>
      </c>
      <c r="F1639" s="5">
        <f t="shared" si="247"/>
        <v>1</v>
      </c>
      <c r="G1639" s="5">
        <f t="shared" si="248"/>
        <v>4.5</v>
      </c>
      <c r="H1639" s="5"/>
      <c r="I1639" s="5"/>
      <c r="J1639" s="5"/>
      <c r="K1639" s="5">
        <f>1.55*G1639*F1639</f>
        <v>6.9750000000000005</v>
      </c>
      <c r="L1639" s="5"/>
      <c r="M1639" s="5"/>
      <c r="N1639" s="5"/>
      <c r="O1639" s="278"/>
    </row>
    <row r="1640" spans="1:15" ht="21" hidden="1" customHeight="1" outlineLevel="1">
      <c r="A1640" s="145"/>
      <c r="B1640" s="5"/>
      <c r="C1640" s="5">
        <v>4.5</v>
      </c>
      <c r="D1640" s="5">
        <v>1</v>
      </c>
      <c r="E1640" s="5">
        <v>1</v>
      </c>
      <c r="F1640" s="5">
        <f t="shared" si="247"/>
        <v>1</v>
      </c>
      <c r="G1640" s="5">
        <f t="shared" si="248"/>
        <v>4.5</v>
      </c>
      <c r="H1640" s="5"/>
      <c r="I1640" s="5"/>
      <c r="J1640" s="5"/>
      <c r="K1640" s="5"/>
      <c r="L1640" s="5">
        <f>2.24*G1640*F1640</f>
        <v>10.080000000000002</v>
      </c>
      <c r="M1640" s="5"/>
      <c r="N1640" s="5"/>
      <c r="O1640" s="278"/>
    </row>
    <row r="1641" spans="1:15" ht="21" hidden="1" customHeight="1" outlineLevel="1">
      <c r="A1641" s="145"/>
      <c r="B1641" s="5"/>
      <c r="C1641" s="5">
        <v>10</v>
      </c>
      <c r="D1641" s="5">
        <v>1</v>
      </c>
      <c r="E1641" s="5">
        <v>1</v>
      </c>
      <c r="F1641" s="5">
        <f t="shared" si="247"/>
        <v>1</v>
      </c>
      <c r="G1641" s="5">
        <f t="shared" si="248"/>
        <v>10</v>
      </c>
      <c r="H1641" s="5"/>
      <c r="I1641" s="5"/>
      <c r="J1641" s="5"/>
      <c r="K1641" s="5"/>
      <c r="L1641" s="5">
        <f>2.24*G1641*F1641</f>
        <v>22.400000000000002</v>
      </c>
      <c r="M1641" s="5"/>
      <c r="N1641" s="5"/>
      <c r="O1641" s="278"/>
    </row>
    <row r="1642" spans="1:15" ht="21" hidden="1" customHeight="1" outlineLevel="1">
      <c r="A1642" s="145"/>
      <c r="B1642" s="5"/>
      <c r="C1642" s="5">
        <v>10</v>
      </c>
      <c r="D1642" s="5">
        <v>1</v>
      </c>
      <c r="E1642" s="5">
        <v>1</v>
      </c>
      <c r="F1642" s="5">
        <f t="shared" si="247"/>
        <v>1</v>
      </c>
      <c r="G1642" s="5">
        <f t="shared" si="248"/>
        <v>10</v>
      </c>
      <c r="H1642" s="5"/>
      <c r="I1642" s="5"/>
      <c r="J1642" s="5"/>
      <c r="K1642" s="5">
        <f>1.55*G1642*F1642</f>
        <v>15.5</v>
      </c>
      <c r="L1642" s="5"/>
      <c r="M1642" s="5"/>
      <c r="N1642" s="5"/>
      <c r="O1642" s="278"/>
    </row>
    <row r="1643" spans="1:15" ht="21" hidden="1" customHeight="1" outlineLevel="1">
      <c r="A1643" s="145"/>
      <c r="B1643" s="5"/>
      <c r="C1643" s="5">
        <v>2.5</v>
      </c>
      <c r="D1643" s="5">
        <v>1</v>
      </c>
      <c r="E1643" s="5">
        <v>1</v>
      </c>
      <c r="F1643" s="5">
        <f t="shared" si="247"/>
        <v>1</v>
      </c>
      <c r="G1643" s="5">
        <f t="shared" si="248"/>
        <v>2.5</v>
      </c>
      <c r="H1643" s="5"/>
      <c r="I1643" s="5"/>
      <c r="J1643" s="5"/>
      <c r="K1643" s="5">
        <f>1.55*G1643*F1643</f>
        <v>3.875</v>
      </c>
      <c r="L1643" s="5"/>
      <c r="M1643" s="5"/>
      <c r="N1643" s="5"/>
      <c r="O1643" s="278"/>
    </row>
    <row r="1644" spans="1:15" ht="21" hidden="1" customHeight="1" outlineLevel="1">
      <c r="A1644" s="145"/>
      <c r="B1644" s="5"/>
      <c r="C1644" s="5">
        <v>5.2</v>
      </c>
      <c r="D1644" s="5">
        <v>1</v>
      </c>
      <c r="E1644" s="5">
        <v>3</v>
      </c>
      <c r="F1644" s="5">
        <f t="shared" si="247"/>
        <v>3</v>
      </c>
      <c r="G1644" s="5">
        <f t="shared" si="248"/>
        <v>5.2</v>
      </c>
      <c r="H1644" s="5"/>
      <c r="I1644" s="5"/>
      <c r="J1644" s="5">
        <f>+G1644*F1644</f>
        <v>15.600000000000001</v>
      </c>
      <c r="K1644" s="5"/>
      <c r="L1644" s="5"/>
      <c r="M1644" s="5"/>
      <c r="N1644" s="5"/>
      <c r="O1644" s="278"/>
    </row>
    <row r="1645" spans="1:15" ht="21" hidden="1" customHeight="1" outlineLevel="1">
      <c r="A1645" s="145"/>
      <c r="B1645" s="5"/>
      <c r="C1645" s="5">
        <v>10</v>
      </c>
      <c r="D1645" s="5">
        <v>1</v>
      </c>
      <c r="E1645" s="5">
        <v>1</v>
      </c>
      <c r="F1645" s="5">
        <f t="shared" si="247"/>
        <v>1</v>
      </c>
      <c r="G1645" s="5">
        <f t="shared" si="248"/>
        <v>10</v>
      </c>
      <c r="H1645" s="5"/>
      <c r="I1645" s="5"/>
      <c r="J1645" s="5"/>
      <c r="K1645" s="5">
        <f>1.55*G1645*F1645</f>
        <v>15.5</v>
      </c>
      <c r="L1645" s="5"/>
      <c r="M1645" s="5"/>
      <c r="N1645" s="5"/>
      <c r="O1645" s="278"/>
    </row>
    <row r="1646" spans="1:15" ht="21" hidden="1" customHeight="1" outlineLevel="1">
      <c r="A1646" s="145"/>
      <c r="B1646" s="5"/>
      <c r="C1646" s="5">
        <v>10</v>
      </c>
      <c r="D1646" s="5">
        <v>1</v>
      </c>
      <c r="E1646" s="5">
        <v>1</v>
      </c>
      <c r="F1646" s="5">
        <f t="shared" si="247"/>
        <v>1</v>
      </c>
      <c r="G1646" s="5">
        <f t="shared" si="248"/>
        <v>10</v>
      </c>
      <c r="H1646" s="5"/>
      <c r="I1646" s="5"/>
      <c r="J1646" s="5"/>
      <c r="K1646" s="5"/>
      <c r="L1646" s="5">
        <f>2.24*G1646*F1646</f>
        <v>22.400000000000002</v>
      </c>
      <c r="M1646" s="5"/>
      <c r="N1646" s="5"/>
      <c r="O1646" s="278"/>
    </row>
    <row r="1647" spans="1:15" ht="21" hidden="1" customHeight="1" outlineLevel="1">
      <c r="A1647" s="145"/>
      <c r="B1647" s="5"/>
      <c r="C1647" s="5">
        <v>3.9</v>
      </c>
      <c r="D1647" s="5">
        <v>1</v>
      </c>
      <c r="E1647" s="5">
        <v>1</v>
      </c>
      <c r="F1647" s="5">
        <f t="shared" si="247"/>
        <v>1</v>
      </c>
      <c r="G1647" s="5">
        <f t="shared" si="248"/>
        <v>3.9</v>
      </c>
      <c r="H1647" s="5"/>
      <c r="I1647" s="5"/>
      <c r="J1647" s="5"/>
      <c r="K1647" s="5"/>
      <c r="L1647" s="5">
        <f>2.24*G1647*F1647</f>
        <v>8.7360000000000007</v>
      </c>
      <c r="M1647" s="5"/>
      <c r="N1647" s="5"/>
      <c r="O1647" s="278"/>
    </row>
    <row r="1648" spans="1:15" ht="21" hidden="1" customHeight="1" outlineLevel="1">
      <c r="A1648" s="145"/>
      <c r="B1648" s="5"/>
      <c r="C1648" s="5">
        <v>3.9</v>
      </c>
      <c r="D1648" s="5">
        <v>1</v>
      </c>
      <c r="E1648" s="5">
        <v>1</v>
      </c>
      <c r="F1648" s="5">
        <f t="shared" si="247"/>
        <v>1</v>
      </c>
      <c r="G1648" s="5">
        <f t="shared" si="248"/>
        <v>3.9</v>
      </c>
      <c r="H1648" s="5"/>
      <c r="I1648" s="5"/>
      <c r="J1648" s="5"/>
      <c r="K1648" s="5">
        <f>1.55*G1648*F1648</f>
        <v>6.0449999999999999</v>
      </c>
      <c r="L1648" s="5"/>
      <c r="M1648" s="5"/>
      <c r="N1648" s="5"/>
      <c r="O1648" s="278"/>
    </row>
    <row r="1649" spans="1:15" ht="21" hidden="1" customHeight="1" outlineLevel="1">
      <c r="A1649" s="145"/>
      <c r="B1649" s="5"/>
      <c r="C1649" s="5">
        <v>2.1</v>
      </c>
      <c r="D1649" s="5">
        <v>1</v>
      </c>
      <c r="E1649" s="5">
        <v>50</v>
      </c>
      <c r="F1649" s="5">
        <f t="shared" si="247"/>
        <v>50</v>
      </c>
      <c r="G1649" s="5">
        <f t="shared" si="248"/>
        <v>2.1</v>
      </c>
      <c r="H1649" s="5"/>
      <c r="I1649" s="5">
        <f>0.56*G1649*F1649</f>
        <v>58.800000000000011</v>
      </c>
      <c r="J1649" s="5"/>
      <c r="K1649" s="5"/>
      <c r="L1649" s="5"/>
      <c r="M1649" s="5"/>
      <c r="N1649" s="5"/>
      <c r="O1649" s="278"/>
    </row>
    <row r="1650" spans="1:15" ht="21" hidden="1" customHeight="1" outlineLevel="1">
      <c r="A1650" s="145"/>
      <c r="B1650" s="5"/>
      <c r="C1650" s="5">
        <v>0.65</v>
      </c>
      <c r="D1650" s="5">
        <v>1</v>
      </c>
      <c r="E1650" s="5">
        <v>50</v>
      </c>
      <c r="F1650" s="5">
        <f t="shared" si="247"/>
        <v>50</v>
      </c>
      <c r="G1650" s="5">
        <f t="shared" si="248"/>
        <v>0.65</v>
      </c>
      <c r="H1650" s="5"/>
      <c r="I1650" s="5">
        <f>0.56*G1650*F1650</f>
        <v>18.200000000000003</v>
      </c>
      <c r="J1650" s="5"/>
      <c r="K1650" s="5"/>
      <c r="L1650" s="5"/>
      <c r="M1650" s="5"/>
      <c r="N1650" s="5"/>
      <c r="O1650" s="278"/>
    </row>
    <row r="1651" spans="1:15" ht="21" hidden="1" customHeight="1" outlineLevel="1">
      <c r="A1651" s="2129"/>
      <c r="B1651" s="2130"/>
      <c r="C1651" s="2130"/>
      <c r="D1651" s="2130"/>
      <c r="E1651" s="2130"/>
      <c r="F1651" s="2130"/>
      <c r="G1651" s="2130"/>
      <c r="H1651" s="561">
        <f t="shared" ref="H1651:O1651" si="249">SUM(H1637:H1650)</f>
        <v>0</v>
      </c>
      <c r="I1651" s="561">
        <f t="shared" si="249"/>
        <v>77.000000000000014</v>
      </c>
      <c r="J1651" s="561">
        <f t="shared" si="249"/>
        <v>42.6</v>
      </c>
      <c r="K1651" s="561">
        <f t="shared" si="249"/>
        <v>52.545000000000002</v>
      </c>
      <c r="L1651" s="561">
        <f t="shared" si="249"/>
        <v>63.616000000000014</v>
      </c>
      <c r="M1651" s="561">
        <f t="shared" si="249"/>
        <v>0</v>
      </c>
      <c r="N1651" s="561">
        <f t="shared" si="249"/>
        <v>0</v>
      </c>
      <c r="O1651" s="562">
        <f t="shared" si="249"/>
        <v>0</v>
      </c>
    </row>
    <row r="1652" spans="1:15" ht="21" hidden="1" customHeight="1" outlineLevel="1">
      <c r="A1652" s="2129"/>
      <c r="B1652" s="2130"/>
      <c r="C1652" s="2130"/>
      <c r="D1652" s="2130"/>
      <c r="E1652" s="2130"/>
      <c r="F1652" s="2130"/>
      <c r="G1652" s="2130"/>
      <c r="H1652" s="2130">
        <f>SUM(H1651:O1651)</f>
        <v>235.76100000000005</v>
      </c>
      <c r="I1652" s="2130"/>
      <c r="J1652" s="2130"/>
      <c r="K1652" s="2130"/>
      <c r="L1652" s="2130"/>
      <c r="M1652" s="2130"/>
      <c r="N1652" s="2130"/>
      <c r="O1652" s="2170"/>
    </row>
    <row r="1653" spans="1:15" ht="21" hidden="1" customHeight="1" outlineLevel="1">
      <c r="A1653" s="14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278"/>
    </row>
    <row r="1654" spans="1:15" ht="21" hidden="1" customHeight="1" outlineLevel="1">
      <c r="A1654" s="277" t="s">
        <v>465</v>
      </c>
      <c r="B1654" s="5"/>
      <c r="C1654" s="5">
        <v>8</v>
      </c>
      <c r="D1654" s="5">
        <v>1</v>
      </c>
      <c r="E1654" s="5">
        <v>2</v>
      </c>
      <c r="F1654" s="5">
        <f t="shared" ref="F1654:F1679" si="250">+D1654*E1654</f>
        <v>2</v>
      </c>
      <c r="G1654" s="5">
        <f t="shared" ref="G1654:G1679" si="251">+C1654</f>
        <v>8</v>
      </c>
      <c r="H1654" s="5"/>
      <c r="I1654" s="5"/>
      <c r="J1654" s="5"/>
      <c r="K1654" s="5">
        <f>1.55*G1654*F1654</f>
        <v>24.8</v>
      </c>
      <c r="L1654" s="5"/>
      <c r="M1654" s="5"/>
      <c r="N1654" s="5"/>
      <c r="O1654" s="278"/>
    </row>
    <row r="1655" spans="1:15" ht="21" hidden="1" customHeight="1" outlineLevel="1">
      <c r="A1655" s="145"/>
      <c r="B1655" s="5"/>
      <c r="C1655" s="5">
        <v>8</v>
      </c>
      <c r="D1655" s="5">
        <v>1</v>
      </c>
      <c r="E1655" s="5">
        <v>1</v>
      </c>
      <c r="F1655" s="5">
        <f t="shared" si="250"/>
        <v>1</v>
      </c>
      <c r="G1655" s="5">
        <f t="shared" si="251"/>
        <v>8</v>
      </c>
      <c r="H1655" s="5"/>
      <c r="I1655" s="5"/>
      <c r="J1655" s="5">
        <f>+G1655*F1655</f>
        <v>8</v>
      </c>
      <c r="K1655" s="5"/>
      <c r="L1655" s="5"/>
      <c r="M1655" s="5"/>
      <c r="N1655" s="5"/>
      <c r="O1655" s="278"/>
    </row>
    <row r="1656" spans="1:15" ht="21" hidden="1" customHeight="1" outlineLevel="1">
      <c r="A1656" s="145"/>
      <c r="B1656" s="5"/>
      <c r="C1656" s="5">
        <v>9</v>
      </c>
      <c r="D1656" s="5">
        <v>1</v>
      </c>
      <c r="E1656" s="5">
        <v>3</v>
      </c>
      <c r="F1656" s="5">
        <f t="shared" si="250"/>
        <v>3</v>
      </c>
      <c r="G1656" s="5">
        <f t="shared" si="251"/>
        <v>9</v>
      </c>
      <c r="H1656" s="5"/>
      <c r="I1656" s="5"/>
      <c r="J1656" s="5">
        <f>+G1656*F1656</f>
        <v>27</v>
      </c>
      <c r="K1656" s="5"/>
      <c r="L1656" s="5"/>
      <c r="M1656" s="5"/>
      <c r="N1656" s="5"/>
      <c r="O1656" s="278"/>
    </row>
    <row r="1657" spans="1:15" ht="21" hidden="1" customHeight="1" outlineLevel="1">
      <c r="A1657" s="145"/>
      <c r="B1657" s="5"/>
      <c r="C1657" s="5">
        <v>8</v>
      </c>
      <c r="D1657" s="5">
        <v>1</v>
      </c>
      <c r="E1657" s="5">
        <v>1</v>
      </c>
      <c r="F1657" s="5">
        <f t="shared" si="250"/>
        <v>1</v>
      </c>
      <c r="G1657" s="5">
        <f t="shared" si="251"/>
        <v>8</v>
      </c>
      <c r="H1657" s="5"/>
      <c r="I1657" s="5"/>
      <c r="J1657" s="5"/>
      <c r="K1657" s="5">
        <f>1.55*G1657*F1657</f>
        <v>12.4</v>
      </c>
      <c r="L1657" s="5"/>
      <c r="M1657" s="5"/>
      <c r="N1657" s="5"/>
      <c r="O1657" s="278"/>
    </row>
    <row r="1658" spans="1:15" ht="21" hidden="1" customHeight="1" outlineLevel="1">
      <c r="A1658" s="145"/>
      <c r="B1658" s="5"/>
      <c r="C1658" s="5">
        <v>8</v>
      </c>
      <c r="D1658" s="5">
        <v>1</v>
      </c>
      <c r="E1658" s="5">
        <v>1</v>
      </c>
      <c r="F1658" s="5">
        <f t="shared" si="250"/>
        <v>1</v>
      </c>
      <c r="G1658" s="5">
        <f t="shared" si="251"/>
        <v>8</v>
      </c>
      <c r="H1658" s="5"/>
      <c r="I1658" s="5"/>
      <c r="J1658" s="5"/>
      <c r="K1658" s="5"/>
      <c r="L1658" s="5">
        <f>2.24*G1658*F1658</f>
        <v>17.920000000000002</v>
      </c>
      <c r="M1658" s="5"/>
      <c r="N1658" s="5"/>
      <c r="O1658" s="278"/>
    </row>
    <row r="1659" spans="1:15" ht="21" hidden="1" customHeight="1" outlineLevel="1">
      <c r="A1659" s="145"/>
      <c r="B1659" s="5"/>
      <c r="C1659" s="5">
        <v>3.8</v>
      </c>
      <c r="D1659" s="5">
        <v>1</v>
      </c>
      <c r="E1659" s="5">
        <v>1</v>
      </c>
      <c r="F1659" s="5">
        <f t="shared" si="250"/>
        <v>1</v>
      </c>
      <c r="G1659" s="5">
        <f t="shared" si="251"/>
        <v>3.8</v>
      </c>
      <c r="H1659" s="5"/>
      <c r="I1659" s="5"/>
      <c r="J1659" s="5"/>
      <c r="K1659" s="5"/>
      <c r="L1659" s="5">
        <f>2.24*G1659*F1659</f>
        <v>8.5120000000000005</v>
      </c>
      <c r="M1659" s="5"/>
      <c r="N1659" s="5"/>
      <c r="O1659" s="278"/>
    </row>
    <row r="1660" spans="1:15" ht="21" hidden="1" customHeight="1" outlineLevel="1">
      <c r="A1660" s="145"/>
      <c r="B1660" s="5"/>
      <c r="C1660" s="5">
        <v>3.8</v>
      </c>
      <c r="D1660" s="5">
        <v>1</v>
      </c>
      <c r="E1660" s="5">
        <v>1</v>
      </c>
      <c r="F1660" s="5">
        <f t="shared" si="250"/>
        <v>1</v>
      </c>
      <c r="G1660" s="5">
        <f t="shared" si="251"/>
        <v>3.8</v>
      </c>
      <c r="H1660" s="5"/>
      <c r="I1660" s="5"/>
      <c r="J1660" s="5"/>
      <c r="K1660" s="5">
        <f>1.55*G1660*F1660</f>
        <v>5.89</v>
      </c>
      <c r="L1660" s="5"/>
      <c r="M1660" s="5"/>
      <c r="N1660" s="5"/>
      <c r="O1660" s="278"/>
    </row>
    <row r="1661" spans="1:15" ht="21" hidden="1" customHeight="1" outlineLevel="1">
      <c r="A1661" s="145"/>
      <c r="B1661" s="5"/>
      <c r="C1661" s="5">
        <v>5</v>
      </c>
      <c r="D1661" s="5">
        <v>1</v>
      </c>
      <c r="E1661" s="5">
        <v>2</v>
      </c>
      <c r="F1661" s="5">
        <f t="shared" si="250"/>
        <v>2</v>
      </c>
      <c r="G1661" s="5">
        <f t="shared" si="251"/>
        <v>5</v>
      </c>
      <c r="H1661" s="5"/>
      <c r="I1661" s="5"/>
      <c r="J1661" s="5"/>
      <c r="K1661" s="5">
        <f>1.55*G1661*F1661</f>
        <v>15.5</v>
      </c>
      <c r="L1661" s="5"/>
      <c r="M1661" s="5"/>
      <c r="N1661" s="5"/>
      <c r="O1661" s="278"/>
    </row>
    <row r="1662" spans="1:15" ht="21" hidden="1" customHeight="1" outlineLevel="1">
      <c r="A1662" s="145"/>
      <c r="B1662" s="5"/>
      <c r="C1662" s="5">
        <v>5</v>
      </c>
      <c r="D1662" s="5">
        <v>1</v>
      </c>
      <c r="E1662" s="5">
        <v>1</v>
      </c>
      <c r="F1662" s="5">
        <f t="shared" si="250"/>
        <v>1</v>
      </c>
      <c r="G1662" s="5">
        <f t="shared" si="251"/>
        <v>5</v>
      </c>
      <c r="H1662" s="5"/>
      <c r="I1662" s="5"/>
      <c r="J1662" s="5">
        <f>+G1662*F1662</f>
        <v>5</v>
      </c>
      <c r="K1662" s="5"/>
      <c r="L1662" s="5"/>
      <c r="M1662" s="5"/>
      <c r="N1662" s="5"/>
      <c r="O1662" s="278"/>
    </row>
    <row r="1663" spans="1:15" ht="21" hidden="1" customHeight="1" outlineLevel="1">
      <c r="A1663" s="145"/>
      <c r="B1663" s="5"/>
      <c r="C1663" s="5">
        <v>7</v>
      </c>
      <c r="D1663" s="5">
        <v>1</v>
      </c>
      <c r="E1663" s="5">
        <v>6</v>
      </c>
      <c r="F1663" s="5">
        <f t="shared" si="250"/>
        <v>6</v>
      </c>
      <c r="G1663" s="5">
        <f t="shared" si="251"/>
        <v>7</v>
      </c>
      <c r="H1663" s="5"/>
      <c r="I1663" s="5"/>
      <c r="J1663" s="5">
        <f>+G1663*F1663</f>
        <v>42</v>
      </c>
      <c r="K1663" s="5"/>
      <c r="L1663" s="5"/>
      <c r="M1663" s="5"/>
      <c r="N1663" s="5"/>
      <c r="O1663" s="278"/>
    </row>
    <row r="1664" spans="1:15" ht="21" hidden="1" customHeight="1" outlineLevel="1">
      <c r="A1664" s="145"/>
      <c r="B1664" s="5"/>
      <c r="C1664" s="5">
        <v>4</v>
      </c>
      <c r="D1664" s="5">
        <v>1</v>
      </c>
      <c r="E1664" s="5">
        <v>3</v>
      </c>
      <c r="F1664" s="5">
        <f t="shared" si="250"/>
        <v>3</v>
      </c>
      <c r="G1664" s="5">
        <f t="shared" si="251"/>
        <v>4</v>
      </c>
      <c r="H1664" s="5"/>
      <c r="I1664" s="5"/>
      <c r="J1664" s="5">
        <f>+G1664*F1664</f>
        <v>12</v>
      </c>
      <c r="K1664" s="5"/>
      <c r="L1664" s="5"/>
      <c r="M1664" s="5"/>
      <c r="N1664" s="5"/>
      <c r="O1664" s="278"/>
    </row>
    <row r="1665" spans="1:15" ht="21" hidden="1" customHeight="1" outlineLevel="1">
      <c r="A1665" s="145"/>
      <c r="B1665" s="5"/>
      <c r="C1665" s="5">
        <v>8</v>
      </c>
      <c r="D1665" s="5">
        <v>1</v>
      </c>
      <c r="E1665" s="5">
        <v>1</v>
      </c>
      <c r="F1665" s="5">
        <f t="shared" si="250"/>
        <v>1</v>
      </c>
      <c r="G1665" s="5">
        <f t="shared" si="251"/>
        <v>8</v>
      </c>
      <c r="H1665" s="5"/>
      <c r="I1665" s="5"/>
      <c r="J1665" s="5"/>
      <c r="K1665" s="5">
        <f>1.55*G1665*F1665</f>
        <v>12.4</v>
      </c>
      <c r="L1665" s="5"/>
      <c r="M1665" s="5"/>
      <c r="N1665" s="5"/>
      <c r="O1665" s="278"/>
    </row>
    <row r="1666" spans="1:15" ht="21" hidden="1" customHeight="1" outlineLevel="1">
      <c r="A1666" s="145"/>
      <c r="B1666" s="5"/>
      <c r="C1666" s="5">
        <v>8</v>
      </c>
      <c r="D1666" s="5">
        <v>1</v>
      </c>
      <c r="E1666" s="5">
        <v>1</v>
      </c>
      <c r="F1666" s="5">
        <f t="shared" si="250"/>
        <v>1</v>
      </c>
      <c r="G1666" s="5">
        <f t="shared" si="251"/>
        <v>8</v>
      </c>
      <c r="H1666" s="5"/>
      <c r="I1666" s="5"/>
      <c r="J1666" s="5"/>
      <c r="K1666" s="5"/>
      <c r="L1666" s="5">
        <f>2.24*G1666*F1666</f>
        <v>17.920000000000002</v>
      </c>
      <c r="M1666" s="5"/>
      <c r="N1666" s="5"/>
      <c r="O1666" s="278"/>
    </row>
    <row r="1667" spans="1:15" ht="21" hidden="1" customHeight="1" outlineLevel="1">
      <c r="A1667" s="145"/>
      <c r="B1667" s="5"/>
      <c r="C1667" s="5">
        <v>10</v>
      </c>
      <c r="D1667" s="5">
        <v>1</v>
      </c>
      <c r="E1667" s="5">
        <v>1</v>
      </c>
      <c r="F1667" s="5">
        <f t="shared" si="250"/>
        <v>1</v>
      </c>
      <c r="G1667" s="5">
        <f t="shared" si="251"/>
        <v>10</v>
      </c>
      <c r="H1667" s="5"/>
      <c r="I1667" s="5"/>
      <c r="J1667" s="5"/>
      <c r="K1667" s="5">
        <f>1.55*G1667*F1667</f>
        <v>15.5</v>
      </c>
      <c r="L1667" s="5"/>
      <c r="M1667" s="5"/>
      <c r="N1667" s="5"/>
      <c r="O1667" s="278"/>
    </row>
    <row r="1668" spans="1:15" ht="21" hidden="1" customHeight="1" outlineLevel="1">
      <c r="A1668" s="145"/>
      <c r="B1668" s="5"/>
      <c r="C1668" s="5">
        <v>10</v>
      </c>
      <c r="D1668" s="5">
        <v>1</v>
      </c>
      <c r="E1668" s="5">
        <v>1</v>
      </c>
      <c r="F1668" s="5">
        <f t="shared" si="250"/>
        <v>1</v>
      </c>
      <c r="G1668" s="5">
        <f t="shared" si="251"/>
        <v>10</v>
      </c>
      <c r="H1668" s="5"/>
      <c r="I1668" s="5"/>
      <c r="J1668" s="5"/>
      <c r="K1668" s="5"/>
      <c r="L1668" s="5">
        <f>2.24*G1668*F1668</f>
        <v>22.400000000000002</v>
      </c>
      <c r="M1668" s="5"/>
      <c r="N1668" s="5"/>
      <c r="O1668" s="278"/>
    </row>
    <row r="1669" spans="1:15" ht="21" hidden="1" customHeight="1" outlineLevel="1">
      <c r="A1669" s="145"/>
      <c r="B1669" s="5"/>
      <c r="C1669" s="5">
        <v>12</v>
      </c>
      <c r="D1669" s="5">
        <v>1</v>
      </c>
      <c r="E1669" s="5">
        <v>1</v>
      </c>
      <c r="F1669" s="5">
        <f t="shared" si="250"/>
        <v>1</v>
      </c>
      <c r="G1669" s="5">
        <f t="shared" si="251"/>
        <v>12</v>
      </c>
      <c r="H1669" s="5"/>
      <c r="I1669" s="5"/>
      <c r="J1669" s="5"/>
      <c r="K1669" s="5">
        <f>1.55*G1669*F1669</f>
        <v>18.600000000000001</v>
      </c>
      <c r="L1669" s="5"/>
      <c r="M1669" s="5"/>
      <c r="N1669" s="5"/>
      <c r="O1669" s="278"/>
    </row>
    <row r="1670" spans="1:15" ht="21" hidden="1" customHeight="1" outlineLevel="1">
      <c r="A1670" s="145"/>
      <c r="B1670" s="5"/>
      <c r="C1670" s="5">
        <v>12</v>
      </c>
      <c r="D1670" s="5">
        <v>1</v>
      </c>
      <c r="E1670" s="5">
        <v>1</v>
      </c>
      <c r="F1670" s="5">
        <f t="shared" si="250"/>
        <v>1</v>
      </c>
      <c r="G1670" s="5">
        <f t="shared" si="251"/>
        <v>12</v>
      </c>
      <c r="H1670" s="5"/>
      <c r="I1670" s="5"/>
      <c r="J1670" s="5"/>
      <c r="K1670" s="5"/>
      <c r="L1670" s="5">
        <f>2.24*G1670*F1670</f>
        <v>26.880000000000003</v>
      </c>
      <c r="M1670" s="5"/>
      <c r="N1670" s="5"/>
      <c r="O1670" s="278"/>
    </row>
    <row r="1671" spans="1:15" ht="21" hidden="1" customHeight="1" outlineLevel="1">
      <c r="A1671" s="145"/>
      <c r="B1671" s="5"/>
      <c r="C1671" s="5">
        <v>8.1999999999999993</v>
      </c>
      <c r="D1671" s="5">
        <v>1</v>
      </c>
      <c r="E1671" s="5">
        <v>2</v>
      </c>
      <c r="F1671" s="5">
        <f t="shared" si="250"/>
        <v>2</v>
      </c>
      <c r="G1671" s="5">
        <f t="shared" si="251"/>
        <v>8.1999999999999993</v>
      </c>
      <c r="H1671" s="5"/>
      <c r="I1671" s="5"/>
      <c r="J1671" s="5"/>
      <c r="K1671" s="5">
        <f>1.55*G1671*F1671</f>
        <v>25.419999999999998</v>
      </c>
      <c r="L1671" s="5"/>
      <c r="M1671" s="5"/>
      <c r="N1671" s="5"/>
      <c r="O1671" s="278"/>
    </row>
    <row r="1672" spans="1:15" ht="21" hidden="1" customHeight="1" outlineLevel="1">
      <c r="A1672" s="145"/>
      <c r="B1672" s="5"/>
      <c r="C1672" s="5">
        <v>8.1999999999999993</v>
      </c>
      <c r="D1672" s="5">
        <v>1</v>
      </c>
      <c r="E1672" s="5">
        <v>1</v>
      </c>
      <c r="F1672" s="5">
        <f t="shared" si="250"/>
        <v>1</v>
      </c>
      <c r="G1672" s="5">
        <f t="shared" si="251"/>
        <v>8.1999999999999993</v>
      </c>
      <c r="H1672" s="5"/>
      <c r="I1672" s="5"/>
      <c r="J1672" s="5">
        <f>+G1672*F1672</f>
        <v>8.1999999999999993</v>
      </c>
      <c r="K1672" s="5"/>
      <c r="L1672" s="5"/>
      <c r="M1672" s="5"/>
      <c r="N1672" s="5"/>
      <c r="O1672" s="278"/>
    </row>
    <row r="1673" spans="1:15" ht="21" hidden="1" customHeight="1" outlineLevel="1">
      <c r="A1673" s="145"/>
      <c r="B1673" s="5"/>
      <c r="C1673" s="5">
        <v>3.3</v>
      </c>
      <c r="D1673" s="5">
        <v>1</v>
      </c>
      <c r="E1673" s="5">
        <v>3</v>
      </c>
      <c r="F1673" s="5">
        <f t="shared" si="250"/>
        <v>3</v>
      </c>
      <c r="G1673" s="5">
        <f t="shared" si="251"/>
        <v>3.3</v>
      </c>
      <c r="H1673" s="5"/>
      <c r="I1673" s="5"/>
      <c r="J1673" s="5">
        <f>+G1673*F1673</f>
        <v>9.8999999999999986</v>
      </c>
      <c r="K1673" s="5"/>
      <c r="L1673" s="5"/>
      <c r="M1673" s="5"/>
      <c r="N1673" s="5"/>
      <c r="O1673" s="278"/>
    </row>
    <row r="1674" spans="1:15" ht="21" hidden="1" customHeight="1" outlineLevel="1">
      <c r="A1674" s="145"/>
      <c r="B1674" s="5"/>
      <c r="C1674" s="5">
        <v>4.4000000000000004</v>
      </c>
      <c r="D1674" s="5">
        <v>1</v>
      </c>
      <c r="E1674" s="5">
        <v>1</v>
      </c>
      <c r="F1674" s="5">
        <f t="shared" si="250"/>
        <v>1</v>
      </c>
      <c r="G1674" s="5">
        <f t="shared" si="251"/>
        <v>4.4000000000000004</v>
      </c>
      <c r="H1674" s="5"/>
      <c r="I1674" s="5"/>
      <c r="J1674" s="5"/>
      <c r="K1674" s="5">
        <f>1.55*G1674*F1674</f>
        <v>6.8200000000000012</v>
      </c>
      <c r="L1674" s="5"/>
      <c r="M1674" s="5"/>
      <c r="N1674" s="5"/>
      <c r="O1674" s="278"/>
    </row>
    <row r="1675" spans="1:15" ht="21" hidden="1" customHeight="1" outlineLevel="1">
      <c r="A1675" s="145"/>
      <c r="B1675" s="5"/>
      <c r="C1675" s="5">
        <v>4.4000000000000004</v>
      </c>
      <c r="D1675" s="5">
        <v>1</v>
      </c>
      <c r="E1675" s="5">
        <v>1</v>
      </c>
      <c r="F1675" s="5">
        <f t="shared" si="250"/>
        <v>1</v>
      </c>
      <c r="G1675" s="5">
        <f t="shared" si="251"/>
        <v>4.4000000000000004</v>
      </c>
      <c r="H1675" s="5"/>
      <c r="I1675" s="5"/>
      <c r="J1675" s="5"/>
      <c r="K1675" s="5"/>
      <c r="L1675" s="5">
        <f>2.24*G1675*F1675</f>
        <v>9.8560000000000016</v>
      </c>
      <c r="M1675" s="5"/>
      <c r="N1675" s="5"/>
      <c r="O1675" s="278"/>
    </row>
    <row r="1676" spans="1:15" ht="21" hidden="1" customHeight="1" outlineLevel="1">
      <c r="A1676" s="145"/>
      <c r="B1676" s="5"/>
      <c r="C1676" s="5">
        <v>8</v>
      </c>
      <c r="D1676" s="5">
        <v>1</v>
      </c>
      <c r="E1676" s="5">
        <v>1</v>
      </c>
      <c r="F1676" s="5">
        <f t="shared" si="250"/>
        <v>1</v>
      </c>
      <c r="G1676" s="5">
        <f t="shared" si="251"/>
        <v>8</v>
      </c>
      <c r="H1676" s="5"/>
      <c r="I1676" s="5"/>
      <c r="J1676" s="5"/>
      <c r="K1676" s="5"/>
      <c r="L1676" s="5">
        <f>2.24*G1676*F1676</f>
        <v>17.920000000000002</v>
      </c>
      <c r="M1676" s="5"/>
      <c r="N1676" s="5"/>
      <c r="O1676" s="278"/>
    </row>
    <row r="1677" spans="1:15" ht="21" hidden="1" customHeight="1" outlineLevel="1">
      <c r="A1677" s="145"/>
      <c r="B1677" s="5"/>
      <c r="C1677" s="5">
        <v>8</v>
      </c>
      <c r="D1677" s="5">
        <v>1</v>
      </c>
      <c r="E1677" s="5">
        <v>1</v>
      </c>
      <c r="F1677" s="5">
        <f t="shared" si="250"/>
        <v>1</v>
      </c>
      <c r="G1677" s="5">
        <f t="shared" si="251"/>
        <v>8</v>
      </c>
      <c r="H1677" s="5"/>
      <c r="I1677" s="5"/>
      <c r="J1677" s="5"/>
      <c r="K1677" s="5">
        <f>1.55*G1677*F1677</f>
        <v>12.4</v>
      </c>
      <c r="L1677" s="5"/>
      <c r="M1677" s="5"/>
      <c r="N1677" s="5"/>
      <c r="O1677" s="278"/>
    </row>
    <row r="1678" spans="1:15" ht="21" hidden="1" customHeight="1" outlineLevel="1">
      <c r="A1678" s="145"/>
      <c r="B1678" s="5"/>
      <c r="C1678" s="5">
        <v>2.1</v>
      </c>
      <c r="D1678" s="5">
        <v>1</v>
      </c>
      <c r="E1678" s="5">
        <v>132</v>
      </c>
      <c r="F1678" s="5">
        <f t="shared" si="250"/>
        <v>132</v>
      </c>
      <c r="G1678" s="5">
        <f t="shared" si="251"/>
        <v>2.1</v>
      </c>
      <c r="H1678" s="5"/>
      <c r="I1678" s="5">
        <f>0.56*G1678*F1678</f>
        <v>155.23200000000003</v>
      </c>
      <c r="J1678" s="5"/>
      <c r="K1678" s="5"/>
      <c r="L1678" s="5"/>
      <c r="M1678" s="5"/>
      <c r="N1678" s="5"/>
      <c r="O1678" s="278"/>
    </row>
    <row r="1679" spans="1:15" ht="21" hidden="1" customHeight="1" outlineLevel="1">
      <c r="A1679" s="145"/>
      <c r="B1679" s="5"/>
      <c r="C1679" s="5">
        <v>0.65</v>
      </c>
      <c r="D1679" s="5">
        <v>1</v>
      </c>
      <c r="E1679" s="5">
        <v>132</v>
      </c>
      <c r="F1679" s="5">
        <f t="shared" si="250"/>
        <v>132</v>
      </c>
      <c r="G1679" s="5">
        <f t="shared" si="251"/>
        <v>0.65</v>
      </c>
      <c r="H1679" s="5"/>
      <c r="I1679" s="5">
        <f>0.56*G1679*F1679</f>
        <v>48.048000000000009</v>
      </c>
      <c r="J1679" s="5"/>
      <c r="K1679" s="5"/>
      <c r="L1679" s="5"/>
      <c r="M1679" s="5"/>
      <c r="N1679" s="5"/>
      <c r="O1679" s="278"/>
    </row>
    <row r="1680" spans="1:15" ht="21" hidden="1" customHeight="1" outlineLevel="1">
      <c r="A1680" s="2129"/>
      <c r="B1680" s="2130"/>
      <c r="C1680" s="2130"/>
      <c r="D1680" s="2130"/>
      <c r="E1680" s="2130"/>
      <c r="F1680" s="2130"/>
      <c r="G1680" s="2130"/>
      <c r="H1680" s="561">
        <f t="shared" ref="H1680:O1680" si="252">SUM(H1654:H1679)</f>
        <v>0</v>
      </c>
      <c r="I1680" s="561">
        <f t="shared" si="252"/>
        <v>203.28000000000003</v>
      </c>
      <c r="J1680" s="561">
        <f t="shared" si="252"/>
        <v>112.1</v>
      </c>
      <c r="K1680" s="561">
        <f t="shared" si="252"/>
        <v>149.72999999999999</v>
      </c>
      <c r="L1680" s="561">
        <f t="shared" si="252"/>
        <v>121.408</v>
      </c>
      <c r="M1680" s="561">
        <f t="shared" si="252"/>
        <v>0</v>
      </c>
      <c r="N1680" s="561">
        <f t="shared" si="252"/>
        <v>0</v>
      </c>
      <c r="O1680" s="562">
        <f t="shared" si="252"/>
        <v>0</v>
      </c>
    </row>
    <row r="1681" spans="1:15" ht="21" hidden="1" customHeight="1" outlineLevel="1">
      <c r="A1681" s="2129"/>
      <c r="B1681" s="2130"/>
      <c r="C1681" s="2130"/>
      <c r="D1681" s="2130"/>
      <c r="E1681" s="2130"/>
      <c r="F1681" s="2130"/>
      <c r="G1681" s="2130"/>
      <c r="H1681" s="2130">
        <f>SUM(H1680:O1680)</f>
        <v>586.51800000000003</v>
      </c>
      <c r="I1681" s="2130"/>
      <c r="J1681" s="2130"/>
      <c r="K1681" s="2130"/>
      <c r="L1681" s="2130"/>
      <c r="M1681" s="2130"/>
      <c r="N1681" s="2130"/>
      <c r="O1681" s="2170"/>
    </row>
    <row r="1682" spans="1:15" ht="21" hidden="1" customHeight="1" outlineLevel="1">
      <c r="A1682" s="14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278"/>
    </row>
    <row r="1683" spans="1:15" ht="21" hidden="1" customHeight="1" outlineLevel="1">
      <c r="A1683" s="277" t="s">
        <v>466</v>
      </c>
      <c r="B1683" s="5"/>
      <c r="C1683" s="5">
        <v>3</v>
      </c>
      <c r="D1683" s="5">
        <v>1</v>
      </c>
      <c r="E1683" s="5">
        <v>1</v>
      </c>
      <c r="F1683" s="5">
        <f t="shared" ref="F1683:F1695" si="253">+D1683*E1683</f>
        <v>1</v>
      </c>
      <c r="G1683" s="5">
        <f t="shared" ref="G1683:G1695" si="254">+C1683</f>
        <v>3</v>
      </c>
      <c r="H1683" s="5"/>
      <c r="I1683" s="5"/>
      <c r="J1683" s="5"/>
      <c r="K1683" s="5">
        <f>1.55*G1683*F1683</f>
        <v>4.6500000000000004</v>
      </c>
      <c r="L1683" s="5"/>
      <c r="M1683" s="5"/>
      <c r="N1683" s="5"/>
      <c r="O1683" s="278"/>
    </row>
    <row r="1684" spans="1:15" ht="21" hidden="1" customHeight="1" outlineLevel="1">
      <c r="A1684" s="145"/>
      <c r="B1684" s="5"/>
      <c r="C1684" s="5">
        <v>9</v>
      </c>
      <c r="D1684" s="5">
        <v>1</v>
      </c>
      <c r="E1684" s="5">
        <v>3</v>
      </c>
      <c r="F1684" s="5">
        <f t="shared" si="253"/>
        <v>3</v>
      </c>
      <c r="G1684" s="5">
        <f t="shared" si="254"/>
        <v>9</v>
      </c>
      <c r="H1684" s="5"/>
      <c r="I1684" s="5"/>
      <c r="J1684" s="5">
        <f>+G1684*F1684</f>
        <v>27</v>
      </c>
      <c r="K1684" s="5"/>
      <c r="L1684" s="5"/>
      <c r="M1684" s="5"/>
      <c r="N1684" s="5"/>
      <c r="O1684" s="278"/>
    </row>
    <row r="1685" spans="1:15" ht="21" hidden="1" customHeight="1" outlineLevel="1">
      <c r="A1685" s="145"/>
      <c r="B1685" s="5"/>
      <c r="C1685" s="5">
        <v>4.5</v>
      </c>
      <c r="D1685" s="5">
        <v>1</v>
      </c>
      <c r="E1685" s="5">
        <v>2</v>
      </c>
      <c r="F1685" s="5">
        <f t="shared" si="253"/>
        <v>2</v>
      </c>
      <c r="G1685" s="5">
        <f t="shared" si="254"/>
        <v>4.5</v>
      </c>
      <c r="H1685" s="5"/>
      <c r="I1685" s="5"/>
      <c r="J1685" s="5"/>
      <c r="K1685" s="5"/>
      <c r="L1685" s="5">
        <f>2.24*G1685*F1685</f>
        <v>20.160000000000004</v>
      </c>
      <c r="M1685" s="5"/>
      <c r="N1685" s="5"/>
      <c r="O1685" s="278"/>
    </row>
    <row r="1686" spans="1:15" ht="21" hidden="1" customHeight="1" outlineLevel="1">
      <c r="A1686" s="145"/>
      <c r="B1686" s="5"/>
      <c r="C1686" s="5">
        <v>9.6999999999999993</v>
      </c>
      <c r="D1686" s="5">
        <v>1</v>
      </c>
      <c r="E1686" s="5">
        <v>1</v>
      </c>
      <c r="F1686" s="5">
        <f t="shared" si="253"/>
        <v>1</v>
      </c>
      <c r="G1686" s="5">
        <f t="shared" si="254"/>
        <v>9.6999999999999993</v>
      </c>
      <c r="H1686" s="5"/>
      <c r="I1686" s="5"/>
      <c r="J1686" s="5"/>
      <c r="K1686" s="5"/>
      <c r="L1686" s="5">
        <f>2.24*G1686*F1686</f>
        <v>21.728000000000002</v>
      </c>
      <c r="M1686" s="5"/>
      <c r="N1686" s="5"/>
      <c r="O1686" s="278"/>
    </row>
    <row r="1687" spans="1:15" ht="21" hidden="1" customHeight="1" outlineLevel="1">
      <c r="A1687" s="145"/>
      <c r="B1687" s="5"/>
      <c r="C1687" s="5">
        <v>9.6999999999999993</v>
      </c>
      <c r="D1687" s="5">
        <v>1</v>
      </c>
      <c r="E1687" s="5">
        <v>1</v>
      </c>
      <c r="F1687" s="5">
        <f t="shared" si="253"/>
        <v>1</v>
      </c>
      <c r="G1687" s="5">
        <f t="shared" si="254"/>
        <v>9.6999999999999993</v>
      </c>
      <c r="H1687" s="5"/>
      <c r="I1687" s="5"/>
      <c r="J1687" s="5"/>
      <c r="K1687" s="5">
        <f>1.55*G1687*F1687</f>
        <v>15.035</v>
      </c>
      <c r="L1687" s="5"/>
      <c r="M1687" s="5"/>
      <c r="N1687" s="5"/>
      <c r="O1687" s="278"/>
    </row>
    <row r="1688" spans="1:15" ht="21" hidden="1" customHeight="1" outlineLevel="1">
      <c r="A1688" s="145"/>
      <c r="B1688" s="5"/>
      <c r="C1688" s="5">
        <v>2.4</v>
      </c>
      <c r="D1688" s="5">
        <v>1</v>
      </c>
      <c r="E1688" s="5">
        <v>1</v>
      </c>
      <c r="F1688" s="5">
        <f t="shared" si="253"/>
        <v>1</v>
      </c>
      <c r="G1688" s="5">
        <f t="shared" si="254"/>
        <v>2.4</v>
      </c>
      <c r="H1688" s="5"/>
      <c r="I1688" s="5"/>
      <c r="J1688" s="5">
        <f>+G1688*F1688</f>
        <v>2.4</v>
      </c>
      <c r="K1688" s="5"/>
      <c r="L1688" s="5"/>
      <c r="M1688" s="5"/>
      <c r="N1688" s="5"/>
      <c r="O1688" s="278"/>
    </row>
    <row r="1689" spans="1:15" ht="21" hidden="1" customHeight="1" outlineLevel="1">
      <c r="A1689" s="145"/>
      <c r="B1689" s="5"/>
      <c r="C1689" s="5">
        <v>5</v>
      </c>
      <c r="D1689" s="5">
        <v>1</v>
      </c>
      <c r="E1689" s="5">
        <v>3</v>
      </c>
      <c r="F1689" s="5">
        <f t="shared" si="253"/>
        <v>3</v>
      </c>
      <c r="G1689" s="5">
        <f t="shared" si="254"/>
        <v>5</v>
      </c>
      <c r="H1689" s="5"/>
      <c r="I1689" s="5"/>
      <c r="J1689" s="5">
        <f>+G1689*F1689</f>
        <v>15</v>
      </c>
      <c r="K1689" s="5"/>
      <c r="L1689" s="5"/>
      <c r="M1689" s="5"/>
      <c r="N1689" s="5"/>
      <c r="O1689" s="278"/>
    </row>
    <row r="1690" spans="1:15" ht="21" hidden="1" customHeight="1" outlineLevel="1">
      <c r="A1690" s="145"/>
      <c r="B1690" s="5"/>
      <c r="C1690" s="5">
        <v>9.6999999999999993</v>
      </c>
      <c r="D1690" s="5">
        <v>1</v>
      </c>
      <c r="E1690" s="5">
        <v>1</v>
      </c>
      <c r="F1690" s="5">
        <f t="shared" si="253"/>
        <v>1</v>
      </c>
      <c r="G1690" s="5">
        <f t="shared" si="254"/>
        <v>9.6999999999999993</v>
      </c>
      <c r="H1690" s="5"/>
      <c r="I1690" s="5"/>
      <c r="J1690" s="5"/>
      <c r="K1690" s="5">
        <f>1.55*G1690*F1690</f>
        <v>15.035</v>
      </c>
      <c r="L1690" s="5"/>
      <c r="M1690" s="5"/>
      <c r="N1690" s="5"/>
      <c r="O1690" s="278"/>
    </row>
    <row r="1691" spans="1:15" ht="21" hidden="1" customHeight="1" outlineLevel="1">
      <c r="A1691" s="145"/>
      <c r="B1691" s="5"/>
      <c r="C1691" s="5">
        <v>9.6999999999999993</v>
      </c>
      <c r="D1691" s="5">
        <v>1</v>
      </c>
      <c r="E1691" s="5">
        <v>1</v>
      </c>
      <c r="F1691" s="5">
        <f t="shared" si="253"/>
        <v>1</v>
      </c>
      <c r="G1691" s="5">
        <f t="shared" si="254"/>
        <v>9.6999999999999993</v>
      </c>
      <c r="H1691" s="5"/>
      <c r="I1691" s="5"/>
      <c r="J1691" s="5"/>
      <c r="K1691" s="5"/>
      <c r="L1691" s="5">
        <f>2.24*G1691*F1691</f>
        <v>21.728000000000002</v>
      </c>
      <c r="M1691" s="5"/>
      <c r="N1691" s="5"/>
      <c r="O1691" s="278"/>
    </row>
    <row r="1692" spans="1:15" ht="21" hidden="1" customHeight="1" outlineLevel="1">
      <c r="A1692" s="145"/>
      <c r="B1692" s="5"/>
      <c r="C1692" s="5">
        <v>4.5</v>
      </c>
      <c r="D1692" s="5">
        <v>1</v>
      </c>
      <c r="E1692" s="5">
        <v>1</v>
      </c>
      <c r="F1692" s="5">
        <f t="shared" si="253"/>
        <v>1</v>
      </c>
      <c r="G1692" s="5">
        <f t="shared" si="254"/>
        <v>4.5</v>
      </c>
      <c r="H1692" s="5"/>
      <c r="I1692" s="5"/>
      <c r="J1692" s="5"/>
      <c r="K1692" s="5"/>
      <c r="L1692" s="5">
        <f>2.24*G1692*F1692</f>
        <v>10.080000000000002</v>
      </c>
      <c r="M1692" s="5"/>
      <c r="N1692" s="5"/>
      <c r="O1692" s="278"/>
    </row>
    <row r="1693" spans="1:15" ht="21" hidden="1" customHeight="1" outlineLevel="1">
      <c r="A1693" s="145"/>
      <c r="B1693" s="5"/>
      <c r="C1693" s="5">
        <v>4.5</v>
      </c>
      <c r="D1693" s="5">
        <v>1</v>
      </c>
      <c r="E1693" s="5">
        <v>1</v>
      </c>
      <c r="F1693" s="5">
        <f t="shared" si="253"/>
        <v>1</v>
      </c>
      <c r="G1693" s="5">
        <f t="shared" si="254"/>
        <v>4.5</v>
      </c>
      <c r="H1693" s="5"/>
      <c r="I1693" s="5"/>
      <c r="J1693" s="5"/>
      <c r="K1693" s="5">
        <f>1.55*G1693*F1693</f>
        <v>6.9750000000000005</v>
      </c>
      <c r="L1693" s="5"/>
      <c r="M1693" s="5"/>
      <c r="N1693" s="5"/>
      <c r="O1693" s="278"/>
    </row>
    <row r="1694" spans="1:15" ht="21" hidden="1" customHeight="1" outlineLevel="1">
      <c r="A1694" s="145"/>
      <c r="B1694" s="5"/>
      <c r="C1694" s="5">
        <v>2.1</v>
      </c>
      <c r="D1694" s="5">
        <v>1</v>
      </c>
      <c r="E1694" s="5">
        <v>50</v>
      </c>
      <c r="F1694" s="5">
        <f t="shared" si="253"/>
        <v>50</v>
      </c>
      <c r="G1694" s="5">
        <f t="shared" si="254"/>
        <v>2.1</v>
      </c>
      <c r="H1694" s="5"/>
      <c r="I1694" s="5">
        <f>0.56*G1694*F1694</f>
        <v>58.800000000000011</v>
      </c>
      <c r="J1694" s="5"/>
      <c r="K1694" s="5"/>
      <c r="L1694" s="5"/>
      <c r="M1694" s="5"/>
      <c r="N1694" s="5"/>
      <c r="O1694" s="278"/>
    </row>
    <row r="1695" spans="1:15" ht="21" hidden="1" customHeight="1" outlineLevel="1">
      <c r="A1695" s="145"/>
      <c r="B1695" s="5"/>
      <c r="C1695" s="5">
        <v>0.65</v>
      </c>
      <c r="D1695" s="5">
        <v>1</v>
      </c>
      <c r="E1695" s="5">
        <v>50</v>
      </c>
      <c r="F1695" s="5">
        <f t="shared" si="253"/>
        <v>50</v>
      </c>
      <c r="G1695" s="5">
        <f t="shared" si="254"/>
        <v>0.65</v>
      </c>
      <c r="H1695" s="5"/>
      <c r="I1695" s="5">
        <f>0.56*G1695*F1695</f>
        <v>18.200000000000003</v>
      </c>
      <c r="J1695" s="5"/>
      <c r="K1695" s="5"/>
      <c r="L1695" s="5"/>
      <c r="M1695" s="5"/>
      <c r="N1695" s="5"/>
      <c r="O1695" s="278"/>
    </row>
    <row r="1696" spans="1:15" ht="21" hidden="1" customHeight="1" outlineLevel="1">
      <c r="A1696" s="2129"/>
      <c r="B1696" s="2130"/>
      <c r="C1696" s="2130"/>
      <c r="D1696" s="2130"/>
      <c r="E1696" s="2130"/>
      <c r="F1696" s="2130"/>
      <c r="G1696" s="2130"/>
      <c r="H1696" s="561">
        <f t="shared" ref="H1696:O1696" si="255">SUM(H1683:H1695)</f>
        <v>0</v>
      </c>
      <c r="I1696" s="561">
        <f t="shared" si="255"/>
        <v>77.000000000000014</v>
      </c>
      <c r="J1696" s="561">
        <f t="shared" si="255"/>
        <v>44.4</v>
      </c>
      <c r="K1696" s="561">
        <f t="shared" si="255"/>
        <v>41.695</v>
      </c>
      <c r="L1696" s="561">
        <f t="shared" si="255"/>
        <v>73.696000000000012</v>
      </c>
      <c r="M1696" s="561">
        <f t="shared" si="255"/>
        <v>0</v>
      </c>
      <c r="N1696" s="561">
        <f t="shared" si="255"/>
        <v>0</v>
      </c>
      <c r="O1696" s="562">
        <f t="shared" si="255"/>
        <v>0</v>
      </c>
    </row>
    <row r="1697" spans="1:15" ht="21" hidden="1" customHeight="1" outlineLevel="1">
      <c r="A1697" s="2129"/>
      <c r="B1697" s="2130"/>
      <c r="C1697" s="2130"/>
      <c r="D1697" s="2130"/>
      <c r="E1697" s="2130"/>
      <c r="F1697" s="2130"/>
      <c r="G1697" s="2130"/>
      <c r="H1697" s="2130">
        <f>SUM(H1696:O1696)</f>
        <v>236.791</v>
      </c>
      <c r="I1697" s="2130"/>
      <c r="J1697" s="2130"/>
      <c r="K1697" s="2130"/>
      <c r="L1697" s="2130"/>
      <c r="M1697" s="2130"/>
      <c r="N1697" s="2130"/>
      <c r="O1697" s="2170"/>
    </row>
    <row r="1698" spans="1:15" ht="21" hidden="1" customHeight="1" outlineLevel="1">
      <c r="A1698" s="14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278"/>
    </row>
    <row r="1699" spans="1:15" ht="21" hidden="1" customHeight="1" outlineLevel="1">
      <c r="A1699" s="277" t="s">
        <v>467</v>
      </c>
      <c r="B1699" s="5"/>
      <c r="C1699" s="5">
        <v>8</v>
      </c>
      <c r="D1699" s="5">
        <v>1</v>
      </c>
      <c r="E1699" s="5">
        <v>3</v>
      </c>
      <c r="F1699" s="5">
        <f t="shared" ref="F1699:F1710" si="256">+D1699*E1699</f>
        <v>3</v>
      </c>
      <c r="G1699" s="5">
        <f t="shared" ref="G1699:G1710" si="257">+C1699</f>
        <v>8</v>
      </c>
      <c r="H1699" s="5"/>
      <c r="I1699" s="5"/>
      <c r="J1699" s="5">
        <f>+G1699*F1699</f>
        <v>24</v>
      </c>
      <c r="K1699" s="5"/>
      <c r="L1699" s="5"/>
      <c r="M1699" s="5"/>
      <c r="N1699" s="5"/>
      <c r="O1699" s="278"/>
    </row>
    <row r="1700" spans="1:15" ht="21" hidden="1" customHeight="1" outlineLevel="1">
      <c r="A1700" s="145"/>
      <c r="B1700" s="5"/>
      <c r="C1700" s="5">
        <v>2.4</v>
      </c>
      <c r="D1700" s="5">
        <v>1</v>
      </c>
      <c r="E1700" s="5">
        <v>1</v>
      </c>
      <c r="F1700" s="5">
        <f t="shared" si="256"/>
        <v>1</v>
      </c>
      <c r="G1700" s="5">
        <f t="shared" si="257"/>
        <v>2.4</v>
      </c>
      <c r="H1700" s="5"/>
      <c r="I1700" s="5"/>
      <c r="J1700" s="5">
        <f>+G1700*F1700</f>
        <v>2.4</v>
      </c>
      <c r="K1700" s="5"/>
      <c r="L1700" s="5"/>
      <c r="M1700" s="5"/>
      <c r="N1700" s="5"/>
      <c r="O1700" s="278"/>
    </row>
    <row r="1701" spans="1:15" ht="21" hidden="1" customHeight="1" outlineLevel="1">
      <c r="A1701" s="145"/>
      <c r="B1701" s="5"/>
      <c r="C1701" s="5">
        <v>5.3</v>
      </c>
      <c r="D1701" s="5">
        <v>1</v>
      </c>
      <c r="E1701" s="5">
        <v>3</v>
      </c>
      <c r="F1701" s="5">
        <f t="shared" si="256"/>
        <v>3</v>
      </c>
      <c r="G1701" s="5">
        <f t="shared" si="257"/>
        <v>5.3</v>
      </c>
      <c r="H1701" s="5"/>
      <c r="I1701" s="5"/>
      <c r="J1701" s="5">
        <f>+G1701*F1701</f>
        <v>15.899999999999999</v>
      </c>
      <c r="K1701" s="5"/>
      <c r="L1701" s="5"/>
      <c r="M1701" s="5"/>
      <c r="N1701" s="5"/>
      <c r="O1701" s="278"/>
    </row>
    <row r="1702" spans="1:15" ht="21" hidden="1" customHeight="1" outlineLevel="1">
      <c r="A1702" s="145"/>
      <c r="B1702" s="5"/>
      <c r="C1702" s="5">
        <v>4.5</v>
      </c>
      <c r="D1702" s="5">
        <v>1</v>
      </c>
      <c r="E1702" s="5">
        <v>2</v>
      </c>
      <c r="F1702" s="5">
        <f t="shared" si="256"/>
        <v>2</v>
      </c>
      <c r="G1702" s="5">
        <f t="shared" si="257"/>
        <v>4.5</v>
      </c>
      <c r="H1702" s="5"/>
      <c r="I1702" s="5"/>
      <c r="J1702" s="5"/>
      <c r="K1702" s="5"/>
      <c r="L1702" s="5">
        <f>2.24*G1702*F1702</f>
        <v>20.160000000000004</v>
      </c>
      <c r="M1702" s="5"/>
      <c r="N1702" s="5"/>
      <c r="O1702" s="278"/>
    </row>
    <row r="1703" spans="1:15" ht="21" hidden="1" customHeight="1" outlineLevel="1">
      <c r="A1703" s="145"/>
      <c r="B1703" s="5"/>
      <c r="C1703" s="5">
        <v>9.1</v>
      </c>
      <c r="D1703" s="5">
        <v>1</v>
      </c>
      <c r="E1703" s="5">
        <v>1</v>
      </c>
      <c r="F1703" s="5">
        <f t="shared" si="256"/>
        <v>1</v>
      </c>
      <c r="G1703" s="5">
        <f t="shared" si="257"/>
        <v>9.1</v>
      </c>
      <c r="H1703" s="5"/>
      <c r="I1703" s="5"/>
      <c r="J1703" s="5"/>
      <c r="K1703" s="5"/>
      <c r="L1703" s="5">
        <f>2.24*G1703*F1703</f>
        <v>20.384</v>
      </c>
      <c r="M1703" s="5"/>
      <c r="N1703" s="5"/>
      <c r="O1703" s="278"/>
    </row>
    <row r="1704" spans="1:15" ht="21" hidden="1" customHeight="1" outlineLevel="1">
      <c r="A1704" s="145"/>
      <c r="B1704" s="5"/>
      <c r="C1704" s="5">
        <v>9.1</v>
      </c>
      <c r="D1704" s="5">
        <v>1</v>
      </c>
      <c r="E1704" s="5">
        <v>1</v>
      </c>
      <c r="F1704" s="5">
        <f t="shared" si="256"/>
        <v>1</v>
      </c>
      <c r="G1704" s="5">
        <f t="shared" si="257"/>
        <v>9.1</v>
      </c>
      <c r="H1704" s="5"/>
      <c r="I1704" s="5"/>
      <c r="J1704" s="5"/>
      <c r="K1704" s="5">
        <f>1.55*G1704*F1704</f>
        <v>14.105</v>
      </c>
      <c r="L1704" s="5"/>
      <c r="M1704" s="5"/>
      <c r="N1704" s="5"/>
      <c r="O1704" s="278"/>
    </row>
    <row r="1705" spans="1:15" ht="21" hidden="1" customHeight="1" outlineLevel="1">
      <c r="A1705" s="145"/>
      <c r="B1705" s="5"/>
      <c r="C1705" s="5">
        <v>9.1</v>
      </c>
      <c r="D1705" s="5">
        <v>1</v>
      </c>
      <c r="E1705" s="5">
        <v>1</v>
      </c>
      <c r="F1705" s="5">
        <f t="shared" si="256"/>
        <v>1</v>
      </c>
      <c r="G1705" s="5">
        <f t="shared" si="257"/>
        <v>9.1</v>
      </c>
      <c r="H1705" s="5"/>
      <c r="I1705" s="5"/>
      <c r="J1705" s="5"/>
      <c r="K1705" s="5">
        <f>1.55*G1705*F1705</f>
        <v>14.105</v>
      </c>
      <c r="L1705" s="5"/>
      <c r="M1705" s="5"/>
      <c r="N1705" s="5"/>
      <c r="O1705" s="278"/>
    </row>
    <row r="1706" spans="1:15" ht="21" hidden="1" customHeight="1" outlineLevel="1">
      <c r="A1706" s="145"/>
      <c r="B1706" s="5"/>
      <c r="C1706" s="5">
        <v>9.1</v>
      </c>
      <c r="D1706" s="5">
        <v>1</v>
      </c>
      <c r="E1706" s="5">
        <v>1</v>
      </c>
      <c r="F1706" s="5">
        <f t="shared" si="256"/>
        <v>1</v>
      </c>
      <c r="G1706" s="5">
        <f t="shared" si="257"/>
        <v>9.1</v>
      </c>
      <c r="H1706" s="5"/>
      <c r="I1706" s="5"/>
      <c r="J1706" s="5"/>
      <c r="K1706" s="5"/>
      <c r="L1706" s="5">
        <f>2.24*G1706*F1706</f>
        <v>20.384</v>
      </c>
      <c r="M1706" s="5"/>
      <c r="N1706" s="5"/>
      <c r="O1706" s="278"/>
    </row>
    <row r="1707" spans="1:15" ht="21" hidden="1" customHeight="1" outlineLevel="1">
      <c r="A1707" s="145"/>
      <c r="B1707" s="5"/>
      <c r="C1707" s="5">
        <v>4.5</v>
      </c>
      <c r="D1707" s="5">
        <v>1</v>
      </c>
      <c r="E1707" s="5">
        <v>1</v>
      </c>
      <c r="F1707" s="5">
        <f t="shared" si="256"/>
        <v>1</v>
      </c>
      <c r="G1707" s="5">
        <f t="shared" si="257"/>
        <v>4.5</v>
      </c>
      <c r="H1707" s="5"/>
      <c r="I1707" s="5"/>
      <c r="J1707" s="5"/>
      <c r="K1707" s="5"/>
      <c r="L1707" s="5">
        <f>2.24*G1707*F1707</f>
        <v>10.080000000000002</v>
      </c>
      <c r="M1707" s="5"/>
      <c r="N1707" s="5"/>
      <c r="O1707" s="278"/>
    </row>
    <row r="1708" spans="1:15" ht="21" hidden="1" customHeight="1" outlineLevel="1">
      <c r="A1708" s="145"/>
      <c r="B1708" s="5"/>
      <c r="C1708" s="5">
        <v>4.5</v>
      </c>
      <c r="D1708" s="5">
        <v>1</v>
      </c>
      <c r="E1708" s="5">
        <v>1</v>
      </c>
      <c r="F1708" s="5">
        <f t="shared" si="256"/>
        <v>1</v>
      </c>
      <c r="G1708" s="5">
        <f t="shared" si="257"/>
        <v>4.5</v>
      </c>
      <c r="H1708" s="5"/>
      <c r="I1708" s="5"/>
      <c r="J1708" s="5"/>
      <c r="K1708" s="5">
        <f>1.55*G1708*F1708</f>
        <v>6.9750000000000005</v>
      </c>
      <c r="L1708" s="5"/>
      <c r="M1708" s="5"/>
      <c r="N1708" s="5"/>
      <c r="O1708" s="278"/>
    </row>
    <row r="1709" spans="1:15" ht="21" hidden="1" customHeight="1" outlineLevel="1">
      <c r="A1709" s="145"/>
      <c r="B1709" s="5"/>
      <c r="C1709" s="5">
        <v>2.1</v>
      </c>
      <c r="D1709" s="5">
        <v>1</v>
      </c>
      <c r="E1709" s="5">
        <v>48</v>
      </c>
      <c r="F1709" s="5">
        <f t="shared" si="256"/>
        <v>48</v>
      </c>
      <c r="G1709" s="5">
        <f t="shared" si="257"/>
        <v>2.1</v>
      </c>
      <c r="H1709" s="5"/>
      <c r="I1709" s="5">
        <f>0.56*G1709*F1709</f>
        <v>56.448000000000008</v>
      </c>
      <c r="J1709" s="5"/>
      <c r="K1709" s="5"/>
      <c r="L1709" s="5"/>
      <c r="M1709" s="5"/>
      <c r="N1709" s="5"/>
      <c r="O1709" s="278"/>
    </row>
    <row r="1710" spans="1:15" ht="21" hidden="1" customHeight="1" outlineLevel="1">
      <c r="A1710" s="145"/>
      <c r="B1710" s="5"/>
      <c r="C1710" s="5">
        <v>0.65</v>
      </c>
      <c r="D1710" s="5">
        <v>1</v>
      </c>
      <c r="E1710" s="5">
        <v>48</v>
      </c>
      <c r="F1710" s="5">
        <f t="shared" si="256"/>
        <v>48</v>
      </c>
      <c r="G1710" s="5">
        <f t="shared" si="257"/>
        <v>0.65</v>
      </c>
      <c r="H1710" s="5"/>
      <c r="I1710" s="5">
        <f>0.56*G1710*F1710</f>
        <v>17.472000000000001</v>
      </c>
      <c r="J1710" s="5"/>
      <c r="K1710" s="5"/>
      <c r="L1710" s="5"/>
      <c r="M1710" s="5"/>
      <c r="N1710" s="5"/>
      <c r="O1710" s="278"/>
    </row>
    <row r="1711" spans="1:15" ht="21" hidden="1" customHeight="1" outlineLevel="1">
      <c r="A1711" s="2129"/>
      <c r="B1711" s="2130"/>
      <c r="C1711" s="2130"/>
      <c r="D1711" s="2130"/>
      <c r="E1711" s="2130"/>
      <c r="F1711" s="2130"/>
      <c r="G1711" s="2130"/>
      <c r="H1711" s="561">
        <f t="shared" ref="H1711:O1711" si="258">SUM(H1698:H1710)</f>
        <v>0</v>
      </c>
      <c r="I1711" s="561">
        <f t="shared" si="258"/>
        <v>73.920000000000016</v>
      </c>
      <c r="J1711" s="561">
        <f t="shared" si="258"/>
        <v>42.3</v>
      </c>
      <c r="K1711" s="561">
        <f t="shared" si="258"/>
        <v>35.185000000000002</v>
      </c>
      <c r="L1711" s="561">
        <f t="shared" si="258"/>
        <v>71.00800000000001</v>
      </c>
      <c r="M1711" s="561">
        <f t="shared" si="258"/>
        <v>0</v>
      </c>
      <c r="N1711" s="561">
        <f t="shared" si="258"/>
        <v>0</v>
      </c>
      <c r="O1711" s="562">
        <f t="shared" si="258"/>
        <v>0</v>
      </c>
    </row>
    <row r="1712" spans="1:15" ht="21" hidden="1" customHeight="1" outlineLevel="1">
      <c r="A1712" s="2129"/>
      <c r="B1712" s="2130"/>
      <c r="C1712" s="2130"/>
      <c r="D1712" s="2130"/>
      <c r="E1712" s="2130"/>
      <c r="F1712" s="2130"/>
      <c r="G1712" s="2130"/>
      <c r="H1712" s="2130">
        <f>SUM(H1711:O1711)</f>
        <v>222.41300000000004</v>
      </c>
      <c r="I1712" s="2130"/>
      <c r="J1712" s="2130"/>
      <c r="K1712" s="2130"/>
      <c r="L1712" s="2130"/>
      <c r="M1712" s="2130"/>
      <c r="N1712" s="2130"/>
      <c r="O1712" s="2170"/>
    </row>
    <row r="1713" spans="1:15" ht="21" hidden="1" customHeight="1" outlineLevel="1">
      <c r="A1713" s="14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278"/>
    </row>
    <row r="1714" spans="1:15" ht="21" hidden="1" customHeight="1" outlineLevel="1">
      <c r="A1714" s="277" t="s">
        <v>468</v>
      </c>
      <c r="B1714" s="5"/>
      <c r="C1714" s="5">
        <v>9</v>
      </c>
      <c r="D1714" s="5">
        <v>1</v>
      </c>
      <c r="E1714" s="5">
        <v>3</v>
      </c>
      <c r="F1714" s="5">
        <f t="shared" ref="F1714:F1727" si="259">+D1714*E1714</f>
        <v>3</v>
      </c>
      <c r="G1714" s="5">
        <f t="shared" ref="G1714:G1727" si="260">+C1714</f>
        <v>9</v>
      </c>
      <c r="H1714" s="5"/>
      <c r="I1714" s="5"/>
      <c r="J1714" s="5">
        <f>+F1714*G1714</f>
        <v>27</v>
      </c>
      <c r="K1714" s="5"/>
      <c r="L1714" s="5"/>
      <c r="M1714" s="5"/>
      <c r="N1714" s="5"/>
      <c r="O1714" s="278"/>
    </row>
    <row r="1715" spans="1:15" ht="21" hidden="1" customHeight="1" outlineLevel="1">
      <c r="A1715" s="145"/>
      <c r="B1715" s="5"/>
      <c r="C1715" s="5">
        <v>9</v>
      </c>
      <c r="D1715" s="5">
        <v>1</v>
      </c>
      <c r="E1715" s="5">
        <v>1</v>
      </c>
      <c r="F1715" s="5">
        <f t="shared" si="259"/>
        <v>1</v>
      </c>
      <c r="G1715" s="5">
        <f t="shared" si="260"/>
        <v>9</v>
      </c>
      <c r="H1715" s="5"/>
      <c r="I1715" s="5"/>
      <c r="J1715" s="5"/>
      <c r="K1715" s="5">
        <f>1.55*G1715*F1715</f>
        <v>13.950000000000001</v>
      </c>
      <c r="L1715" s="5"/>
      <c r="M1715" s="5"/>
      <c r="N1715" s="5"/>
      <c r="O1715" s="278"/>
    </row>
    <row r="1716" spans="1:15" ht="21" hidden="1" customHeight="1" outlineLevel="1">
      <c r="A1716" s="145"/>
      <c r="B1716" s="5"/>
      <c r="C1716" s="5">
        <v>9</v>
      </c>
      <c r="D1716" s="5">
        <v>1</v>
      </c>
      <c r="E1716" s="5">
        <v>1</v>
      </c>
      <c r="F1716" s="5">
        <f t="shared" si="259"/>
        <v>1</v>
      </c>
      <c r="G1716" s="5">
        <f t="shared" si="260"/>
        <v>9</v>
      </c>
      <c r="H1716" s="5"/>
      <c r="I1716" s="5"/>
      <c r="J1716" s="5"/>
      <c r="K1716" s="5"/>
      <c r="L1716" s="5">
        <f>2.24*G1716*F1716</f>
        <v>20.160000000000004</v>
      </c>
      <c r="M1716" s="5"/>
      <c r="N1716" s="5"/>
      <c r="O1716" s="278"/>
    </row>
    <row r="1717" spans="1:15" ht="21" hidden="1" customHeight="1" outlineLevel="1">
      <c r="A1717" s="145"/>
      <c r="B1717" s="5"/>
      <c r="C1717" s="5">
        <v>4.0999999999999996</v>
      </c>
      <c r="D1717" s="5">
        <v>1</v>
      </c>
      <c r="E1717" s="5">
        <v>1</v>
      </c>
      <c r="F1717" s="5">
        <f t="shared" si="259"/>
        <v>1</v>
      </c>
      <c r="G1717" s="5">
        <f t="shared" si="260"/>
        <v>4.0999999999999996</v>
      </c>
      <c r="H1717" s="5"/>
      <c r="I1717" s="5"/>
      <c r="J1717" s="5"/>
      <c r="K1717" s="5">
        <f>1.55*G1717*F1717</f>
        <v>6.3549999999999995</v>
      </c>
      <c r="L1717" s="5"/>
      <c r="M1717" s="5"/>
      <c r="N1717" s="5"/>
      <c r="O1717" s="278"/>
    </row>
    <row r="1718" spans="1:15" ht="21" hidden="1" customHeight="1" outlineLevel="1">
      <c r="A1718" s="145"/>
      <c r="B1718" s="5"/>
      <c r="C1718" s="5">
        <v>4.0999999999999996</v>
      </c>
      <c r="D1718" s="5">
        <v>1</v>
      </c>
      <c r="E1718" s="5">
        <v>1</v>
      </c>
      <c r="F1718" s="5">
        <f t="shared" si="259"/>
        <v>1</v>
      </c>
      <c r="G1718" s="5">
        <f t="shared" si="260"/>
        <v>4.0999999999999996</v>
      </c>
      <c r="H1718" s="5"/>
      <c r="I1718" s="5"/>
      <c r="J1718" s="5"/>
      <c r="K1718" s="5"/>
      <c r="L1718" s="5">
        <f>2.24*G1718*F1718</f>
        <v>9.1839999999999993</v>
      </c>
      <c r="M1718" s="5"/>
      <c r="N1718" s="5"/>
      <c r="O1718" s="278"/>
    </row>
    <row r="1719" spans="1:15" ht="21" hidden="1" customHeight="1" outlineLevel="1">
      <c r="A1719" s="145"/>
      <c r="B1719" s="5"/>
      <c r="C1719" s="5">
        <v>10</v>
      </c>
      <c r="D1719" s="5">
        <v>1</v>
      </c>
      <c r="E1719" s="5">
        <v>1</v>
      </c>
      <c r="F1719" s="5">
        <f t="shared" si="259"/>
        <v>1</v>
      </c>
      <c r="G1719" s="5">
        <f t="shared" si="260"/>
        <v>10</v>
      </c>
      <c r="H1719" s="5"/>
      <c r="I1719" s="5"/>
      <c r="J1719" s="5"/>
      <c r="K1719" s="5">
        <f>1.55*G1719*F1719</f>
        <v>15.5</v>
      </c>
      <c r="L1719" s="5"/>
      <c r="M1719" s="5"/>
      <c r="N1719" s="5"/>
      <c r="O1719" s="278"/>
    </row>
    <row r="1720" spans="1:15" ht="21" hidden="1" customHeight="1" outlineLevel="1">
      <c r="A1720" s="145"/>
      <c r="B1720" s="5"/>
      <c r="C1720" s="5">
        <v>10</v>
      </c>
      <c r="D1720" s="5">
        <v>1</v>
      </c>
      <c r="E1720" s="5">
        <v>1</v>
      </c>
      <c r="F1720" s="5">
        <f t="shared" si="259"/>
        <v>1</v>
      </c>
      <c r="G1720" s="5">
        <f t="shared" si="260"/>
        <v>10</v>
      </c>
      <c r="H1720" s="5"/>
      <c r="I1720" s="5"/>
      <c r="J1720" s="5"/>
      <c r="K1720" s="5"/>
      <c r="L1720" s="5">
        <f>2.24*G1720*F1720</f>
        <v>22.400000000000002</v>
      </c>
      <c r="M1720" s="5"/>
      <c r="N1720" s="5"/>
      <c r="O1720" s="278"/>
    </row>
    <row r="1721" spans="1:15" ht="21" hidden="1" customHeight="1" outlineLevel="1">
      <c r="A1721" s="145"/>
      <c r="B1721" s="5"/>
      <c r="C1721" s="5">
        <v>8.3000000000000007</v>
      </c>
      <c r="D1721" s="5">
        <v>1</v>
      </c>
      <c r="E1721" s="5">
        <v>3</v>
      </c>
      <c r="F1721" s="5">
        <f t="shared" si="259"/>
        <v>3</v>
      </c>
      <c r="G1721" s="5">
        <f t="shared" si="260"/>
        <v>8.3000000000000007</v>
      </c>
      <c r="H1721" s="5"/>
      <c r="I1721" s="5"/>
      <c r="J1721" s="5">
        <f>+F1721*G1721</f>
        <v>24.900000000000002</v>
      </c>
      <c r="K1721" s="5"/>
      <c r="L1721" s="5"/>
      <c r="M1721" s="5"/>
      <c r="N1721" s="5"/>
      <c r="O1721" s="278"/>
    </row>
    <row r="1722" spans="1:15" ht="21" hidden="1" customHeight="1" outlineLevel="1">
      <c r="A1722" s="145"/>
      <c r="B1722" s="5"/>
      <c r="C1722" s="5">
        <v>8.6999999999999993</v>
      </c>
      <c r="D1722" s="5">
        <v>1</v>
      </c>
      <c r="E1722" s="5">
        <v>1</v>
      </c>
      <c r="F1722" s="5">
        <f t="shared" si="259"/>
        <v>1</v>
      </c>
      <c r="G1722" s="5">
        <f t="shared" si="260"/>
        <v>8.6999999999999993</v>
      </c>
      <c r="H1722" s="5"/>
      <c r="I1722" s="5"/>
      <c r="J1722" s="5"/>
      <c r="K1722" s="5">
        <f>1.55*G1722*F1722</f>
        <v>13.484999999999999</v>
      </c>
      <c r="L1722" s="5"/>
      <c r="M1722" s="5"/>
      <c r="N1722" s="5"/>
      <c r="O1722" s="278"/>
    </row>
    <row r="1723" spans="1:15" ht="21" hidden="1" customHeight="1" outlineLevel="1">
      <c r="A1723" s="145"/>
      <c r="B1723" s="5"/>
      <c r="C1723" s="5">
        <v>8.6999999999999993</v>
      </c>
      <c r="D1723" s="5">
        <v>1</v>
      </c>
      <c r="E1723" s="5">
        <v>1</v>
      </c>
      <c r="F1723" s="5">
        <f t="shared" si="259"/>
        <v>1</v>
      </c>
      <c r="G1723" s="5">
        <f t="shared" si="260"/>
        <v>8.6999999999999993</v>
      </c>
      <c r="H1723" s="5"/>
      <c r="I1723" s="5"/>
      <c r="J1723" s="5"/>
      <c r="K1723" s="5"/>
      <c r="L1723" s="5">
        <f>2.24*G1723*F1723</f>
        <v>19.488</v>
      </c>
      <c r="M1723" s="5"/>
      <c r="N1723" s="5"/>
      <c r="O1723" s="278"/>
    </row>
    <row r="1724" spans="1:15" ht="21" hidden="1" customHeight="1" outlineLevel="1">
      <c r="A1724" s="145"/>
      <c r="B1724" s="5"/>
      <c r="C1724" s="5">
        <v>4.5</v>
      </c>
      <c r="D1724" s="5">
        <v>1</v>
      </c>
      <c r="E1724" s="5">
        <v>1</v>
      </c>
      <c r="F1724" s="5">
        <f t="shared" si="259"/>
        <v>1</v>
      </c>
      <c r="G1724" s="5">
        <f t="shared" si="260"/>
        <v>4.5</v>
      </c>
      <c r="H1724" s="5"/>
      <c r="I1724" s="5"/>
      <c r="J1724" s="5"/>
      <c r="K1724" s="5">
        <f>1.55*G1724*F1724</f>
        <v>6.9750000000000005</v>
      </c>
      <c r="L1724" s="5"/>
      <c r="M1724" s="5"/>
      <c r="N1724" s="5"/>
      <c r="O1724" s="278"/>
    </row>
    <row r="1725" spans="1:15" ht="21" hidden="1" customHeight="1" outlineLevel="1">
      <c r="A1725" s="145"/>
      <c r="B1725" s="5"/>
      <c r="C1725" s="5">
        <v>4.5</v>
      </c>
      <c r="D1725" s="5">
        <v>1</v>
      </c>
      <c r="E1725" s="5">
        <v>1</v>
      </c>
      <c r="F1725" s="5">
        <f t="shared" si="259"/>
        <v>1</v>
      </c>
      <c r="G1725" s="5">
        <f t="shared" si="260"/>
        <v>4.5</v>
      </c>
      <c r="H1725" s="5"/>
      <c r="I1725" s="5"/>
      <c r="J1725" s="5"/>
      <c r="K1725" s="5"/>
      <c r="L1725" s="5">
        <f>2.24*G1725*F1725</f>
        <v>10.080000000000002</v>
      </c>
      <c r="M1725" s="5"/>
      <c r="N1725" s="5"/>
      <c r="O1725" s="278"/>
    </row>
    <row r="1726" spans="1:15" ht="21" hidden="1" customHeight="1" outlineLevel="1">
      <c r="A1726" s="145"/>
      <c r="B1726" s="5"/>
      <c r="C1726" s="5">
        <v>2.1</v>
      </c>
      <c r="D1726" s="5">
        <v>1</v>
      </c>
      <c r="E1726" s="5">
        <v>73</v>
      </c>
      <c r="F1726" s="5">
        <f t="shared" si="259"/>
        <v>73</v>
      </c>
      <c r="G1726" s="5">
        <f t="shared" si="260"/>
        <v>2.1</v>
      </c>
      <c r="H1726" s="5"/>
      <c r="I1726" s="5">
        <f>0.56*G1726*F1726</f>
        <v>85.848000000000013</v>
      </c>
      <c r="J1726" s="5"/>
      <c r="K1726" s="5"/>
      <c r="L1726" s="5"/>
      <c r="M1726" s="5"/>
      <c r="N1726" s="5"/>
      <c r="O1726" s="278"/>
    </row>
    <row r="1727" spans="1:15" ht="21" hidden="1" customHeight="1" outlineLevel="1">
      <c r="A1727" s="145"/>
      <c r="B1727" s="5"/>
      <c r="C1727" s="5">
        <v>0.65</v>
      </c>
      <c r="D1727" s="5">
        <v>1</v>
      </c>
      <c r="E1727" s="5">
        <v>73</v>
      </c>
      <c r="F1727" s="5">
        <f t="shared" si="259"/>
        <v>73</v>
      </c>
      <c r="G1727" s="5">
        <f t="shared" si="260"/>
        <v>0.65</v>
      </c>
      <c r="H1727" s="5"/>
      <c r="I1727" s="5">
        <f>0.56*G1727*F1727</f>
        <v>26.572000000000003</v>
      </c>
      <c r="J1727" s="5"/>
      <c r="K1727" s="5"/>
      <c r="L1727" s="5"/>
      <c r="M1727" s="5"/>
      <c r="N1727" s="5"/>
      <c r="O1727" s="278"/>
    </row>
    <row r="1728" spans="1:15" ht="21" hidden="1" customHeight="1" outlineLevel="1">
      <c r="A1728" s="2129"/>
      <c r="B1728" s="2130"/>
      <c r="C1728" s="2130"/>
      <c r="D1728" s="2130"/>
      <c r="E1728" s="2130"/>
      <c r="F1728" s="2130"/>
      <c r="G1728" s="2130"/>
      <c r="H1728" s="561">
        <f t="shared" ref="H1728:O1728" si="261">SUM(H1714:H1727)</f>
        <v>0</v>
      </c>
      <c r="I1728" s="561">
        <f t="shared" si="261"/>
        <v>112.42000000000002</v>
      </c>
      <c r="J1728" s="561">
        <f t="shared" si="261"/>
        <v>51.900000000000006</v>
      </c>
      <c r="K1728" s="561">
        <f t="shared" si="261"/>
        <v>56.265000000000001</v>
      </c>
      <c r="L1728" s="561">
        <f t="shared" si="261"/>
        <v>81.311999999999998</v>
      </c>
      <c r="M1728" s="561">
        <f t="shared" si="261"/>
        <v>0</v>
      </c>
      <c r="N1728" s="561">
        <f t="shared" si="261"/>
        <v>0</v>
      </c>
      <c r="O1728" s="562">
        <f t="shared" si="261"/>
        <v>0</v>
      </c>
    </row>
    <row r="1729" spans="1:15" ht="21" hidden="1" customHeight="1" outlineLevel="1">
      <c r="A1729" s="2129"/>
      <c r="B1729" s="2130"/>
      <c r="C1729" s="2130"/>
      <c r="D1729" s="2130"/>
      <c r="E1729" s="2130"/>
      <c r="F1729" s="2130"/>
      <c r="G1729" s="2130"/>
      <c r="H1729" s="2130">
        <f>SUM(H1728:O1728)</f>
        <v>301.89700000000005</v>
      </c>
      <c r="I1729" s="2130"/>
      <c r="J1729" s="2130"/>
      <c r="K1729" s="2130"/>
      <c r="L1729" s="2130"/>
      <c r="M1729" s="2130"/>
      <c r="N1729" s="2130"/>
      <c r="O1729" s="2170"/>
    </row>
    <row r="1730" spans="1:15" ht="21" hidden="1" customHeight="1" outlineLevel="1">
      <c r="A1730" s="14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278"/>
    </row>
    <row r="1731" spans="1:15" ht="21" hidden="1" customHeight="1" outlineLevel="1">
      <c r="A1731" s="277" t="s">
        <v>469</v>
      </c>
      <c r="B1731" s="5"/>
      <c r="C1731" s="5">
        <v>2.4</v>
      </c>
      <c r="D1731" s="5">
        <v>1</v>
      </c>
      <c r="E1731" s="5">
        <v>1</v>
      </c>
      <c r="F1731" s="5">
        <f t="shared" ref="F1731:F1744" si="262">+D1731*E1731</f>
        <v>1</v>
      </c>
      <c r="G1731" s="5">
        <f t="shared" ref="G1731:G1744" si="263">+C1731</f>
        <v>2.4</v>
      </c>
      <c r="H1731" s="5"/>
      <c r="I1731" s="5"/>
      <c r="J1731" s="5">
        <f>+G1731*F1731</f>
        <v>2.4</v>
      </c>
      <c r="K1731" s="5"/>
      <c r="L1731" s="5"/>
      <c r="M1731" s="5"/>
      <c r="N1731" s="5"/>
      <c r="O1731" s="278"/>
    </row>
    <row r="1732" spans="1:15" ht="21" hidden="1" customHeight="1" outlineLevel="1">
      <c r="A1732" s="145"/>
      <c r="B1732" s="5"/>
      <c r="C1732" s="5">
        <v>9</v>
      </c>
      <c r="D1732" s="5">
        <v>1</v>
      </c>
      <c r="E1732" s="5">
        <v>3</v>
      </c>
      <c r="F1732" s="5">
        <f t="shared" si="262"/>
        <v>3</v>
      </c>
      <c r="G1732" s="5">
        <f t="shared" si="263"/>
        <v>9</v>
      </c>
      <c r="H1732" s="5"/>
      <c r="I1732" s="5"/>
      <c r="J1732" s="5">
        <f>+G1732*F1732</f>
        <v>27</v>
      </c>
      <c r="K1732" s="5"/>
      <c r="L1732" s="5"/>
      <c r="M1732" s="5"/>
      <c r="N1732" s="5"/>
      <c r="O1732" s="278"/>
    </row>
    <row r="1733" spans="1:15" ht="21" hidden="1" customHeight="1" outlineLevel="1">
      <c r="A1733" s="145"/>
      <c r="B1733" s="5"/>
      <c r="C1733" s="5">
        <v>4.5</v>
      </c>
      <c r="D1733" s="5">
        <v>1</v>
      </c>
      <c r="E1733" s="5">
        <v>1</v>
      </c>
      <c r="F1733" s="5">
        <f t="shared" si="262"/>
        <v>1</v>
      </c>
      <c r="G1733" s="5">
        <f t="shared" si="263"/>
        <v>4.5</v>
      </c>
      <c r="H1733" s="5"/>
      <c r="I1733" s="5"/>
      <c r="J1733" s="5"/>
      <c r="K1733" s="5">
        <f>1.55*G1733*F1733</f>
        <v>6.9750000000000005</v>
      </c>
      <c r="L1733" s="5"/>
      <c r="M1733" s="5"/>
      <c r="N1733" s="5"/>
      <c r="O1733" s="278"/>
    </row>
    <row r="1734" spans="1:15" ht="21" hidden="1" customHeight="1" outlineLevel="1">
      <c r="A1734" s="145"/>
      <c r="B1734" s="5"/>
      <c r="C1734" s="5">
        <v>4.5</v>
      </c>
      <c r="D1734" s="5">
        <v>1</v>
      </c>
      <c r="E1734" s="5">
        <v>1</v>
      </c>
      <c r="F1734" s="5">
        <f t="shared" si="262"/>
        <v>1</v>
      </c>
      <c r="G1734" s="5">
        <f t="shared" si="263"/>
        <v>4.5</v>
      </c>
      <c r="H1734" s="5"/>
      <c r="I1734" s="5"/>
      <c r="J1734" s="5"/>
      <c r="K1734" s="5"/>
      <c r="L1734" s="5">
        <f>2.24*G1734*F1734</f>
        <v>10.080000000000002</v>
      </c>
      <c r="M1734" s="5"/>
      <c r="N1734" s="5"/>
      <c r="O1734" s="278"/>
    </row>
    <row r="1735" spans="1:15" ht="21" hidden="1" customHeight="1" outlineLevel="1">
      <c r="A1735" s="145"/>
      <c r="B1735" s="5"/>
      <c r="C1735" s="5">
        <v>10</v>
      </c>
      <c r="D1735" s="5">
        <v>1</v>
      </c>
      <c r="E1735" s="5">
        <v>1</v>
      </c>
      <c r="F1735" s="5">
        <f t="shared" si="262"/>
        <v>1</v>
      </c>
      <c r="G1735" s="5">
        <f t="shared" si="263"/>
        <v>10</v>
      </c>
      <c r="H1735" s="5"/>
      <c r="I1735" s="5"/>
      <c r="J1735" s="5"/>
      <c r="K1735" s="5">
        <f>1.55*G1735*F1735</f>
        <v>15.5</v>
      </c>
      <c r="L1735" s="5"/>
      <c r="M1735" s="5"/>
      <c r="N1735" s="5"/>
      <c r="O1735" s="278"/>
    </row>
    <row r="1736" spans="1:15" ht="21" hidden="1" customHeight="1" outlineLevel="1">
      <c r="A1736" s="145"/>
      <c r="B1736" s="5"/>
      <c r="C1736" s="5">
        <v>10</v>
      </c>
      <c r="D1736" s="5">
        <v>1</v>
      </c>
      <c r="E1736" s="5">
        <v>1</v>
      </c>
      <c r="F1736" s="5">
        <f t="shared" si="262"/>
        <v>1</v>
      </c>
      <c r="G1736" s="5">
        <f t="shared" si="263"/>
        <v>10</v>
      </c>
      <c r="H1736" s="5"/>
      <c r="I1736" s="5"/>
      <c r="J1736" s="5"/>
      <c r="K1736" s="5"/>
      <c r="L1736" s="5">
        <f>2.24*G1736*F1736</f>
        <v>22.400000000000002</v>
      </c>
      <c r="M1736" s="5"/>
      <c r="N1736" s="5"/>
      <c r="O1736" s="278"/>
    </row>
    <row r="1737" spans="1:15" ht="21" hidden="1" customHeight="1" outlineLevel="1">
      <c r="A1737" s="145"/>
      <c r="B1737" s="5"/>
      <c r="C1737" s="5">
        <v>2.8</v>
      </c>
      <c r="D1737" s="5">
        <v>1</v>
      </c>
      <c r="E1737" s="5">
        <v>1</v>
      </c>
      <c r="F1737" s="5">
        <f t="shared" si="262"/>
        <v>1</v>
      </c>
      <c r="G1737" s="5">
        <f t="shared" si="263"/>
        <v>2.8</v>
      </c>
      <c r="H1737" s="5"/>
      <c r="I1737" s="5"/>
      <c r="J1737" s="5"/>
      <c r="K1737" s="5">
        <f>1.55*G1737*F1737</f>
        <v>4.34</v>
      </c>
      <c r="L1737" s="5"/>
      <c r="M1737" s="5"/>
      <c r="N1737" s="5"/>
      <c r="O1737" s="278"/>
    </row>
    <row r="1738" spans="1:15" ht="21" hidden="1" customHeight="1" outlineLevel="1">
      <c r="A1738" s="145"/>
      <c r="B1738" s="5"/>
      <c r="C1738" s="5">
        <v>5.2</v>
      </c>
      <c r="D1738" s="5">
        <v>1</v>
      </c>
      <c r="E1738" s="5">
        <v>3</v>
      </c>
      <c r="F1738" s="5">
        <f t="shared" si="262"/>
        <v>3</v>
      </c>
      <c r="G1738" s="5">
        <f t="shared" si="263"/>
        <v>5.2</v>
      </c>
      <c r="H1738" s="5"/>
      <c r="I1738" s="5"/>
      <c r="J1738" s="5">
        <f>+G1738*F1738</f>
        <v>15.600000000000001</v>
      </c>
      <c r="K1738" s="5"/>
      <c r="L1738" s="5"/>
      <c r="M1738" s="5"/>
      <c r="N1738" s="5"/>
      <c r="O1738" s="278"/>
    </row>
    <row r="1739" spans="1:15" ht="21" hidden="1" customHeight="1" outlineLevel="1">
      <c r="A1739" s="145"/>
      <c r="B1739" s="5"/>
      <c r="C1739" s="5">
        <v>10</v>
      </c>
      <c r="D1739" s="5">
        <v>1</v>
      </c>
      <c r="E1739" s="5">
        <v>1</v>
      </c>
      <c r="F1739" s="5">
        <f t="shared" si="262"/>
        <v>1</v>
      </c>
      <c r="G1739" s="5">
        <f t="shared" si="263"/>
        <v>10</v>
      </c>
      <c r="H1739" s="5"/>
      <c r="I1739" s="5"/>
      <c r="J1739" s="5"/>
      <c r="K1739" s="5">
        <f>1.55*G1739*F1739</f>
        <v>15.5</v>
      </c>
      <c r="L1739" s="5"/>
      <c r="M1739" s="5"/>
      <c r="N1739" s="5"/>
      <c r="O1739" s="278"/>
    </row>
    <row r="1740" spans="1:15" ht="21" hidden="1" customHeight="1" outlineLevel="1">
      <c r="A1740" s="145"/>
      <c r="B1740" s="5"/>
      <c r="C1740" s="5">
        <v>10</v>
      </c>
      <c r="D1740" s="5">
        <v>1</v>
      </c>
      <c r="E1740" s="5">
        <v>1</v>
      </c>
      <c r="F1740" s="5">
        <f t="shared" si="262"/>
        <v>1</v>
      </c>
      <c r="G1740" s="5">
        <f t="shared" si="263"/>
        <v>10</v>
      </c>
      <c r="H1740" s="5"/>
      <c r="I1740" s="5"/>
      <c r="J1740" s="5"/>
      <c r="K1740" s="5"/>
      <c r="L1740" s="5">
        <f>2.24*G1740*F1740</f>
        <v>22.400000000000002</v>
      </c>
      <c r="M1740" s="5"/>
      <c r="N1740" s="5"/>
      <c r="O1740" s="278"/>
    </row>
    <row r="1741" spans="1:15" ht="21" hidden="1" customHeight="1" outlineLevel="1">
      <c r="A1741" s="145"/>
      <c r="B1741" s="5"/>
      <c r="C1741" s="5">
        <v>3.9</v>
      </c>
      <c r="D1741" s="5">
        <v>1</v>
      </c>
      <c r="E1741" s="5">
        <v>1</v>
      </c>
      <c r="F1741" s="5">
        <f t="shared" si="262"/>
        <v>1</v>
      </c>
      <c r="G1741" s="5">
        <f t="shared" si="263"/>
        <v>3.9</v>
      </c>
      <c r="H1741" s="5"/>
      <c r="I1741" s="5"/>
      <c r="J1741" s="5"/>
      <c r="K1741" s="5">
        <f>1.55*G1741*F1741</f>
        <v>6.0449999999999999</v>
      </c>
      <c r="L1741" s="5"/>
      <c r="M1741" s="5"/>
      <c r="N1741" s="5"/>
      <c r="O1741" s="278"/>
    </row>
    <row r="1742" spans="1:15" ht="21" hidden="1" customHeight="1" outlineLevel="1">
      <c r="A1742" s="145"/>
      <c r="B1742" s="5"/>
      <c r="C1742" s="5">
        <v>3.9</v>
      </c>
      <c r="D1742" s="5">
        <v>1</v>
      </c>
      <c r="E1742" s="5">
        <v>1</v>
      </c>
      <c r="F1742" s="5">
        <f t="shared" si="262"/>
        <v>1</v>
      </c>
      <c r="G1742" s="5">
        <f t="shared" si="263"/>
        <v>3.9</v>
      </c>
      <c r="H1742" s="5"/>
      <c r="I1742" s="5"/>
      <c r="J1742" s="5"/>
      <c r="K1742" s="5"/>
      <c r="L1742" s="5">
        <f>2.24*G1742*F1742</f>
        <v>8.7360000000000007</v>
      </c>
      <c r="M1742" s="5"/>
      <c r="N1742" s="5"/>
      <c r="O1742" s="278"/>
    </row>
    <row r="1743" spans="1:15" ht="21" hidden="1" customHeight="1" outlineLevel="1">
      <c r="A1743" s="145"/>
      <c r="B1743" s="5"/>
      <c r="C1743" s="5">
        <v>2.1</v>
      </c>
      <c r="D1743" s="5">
        <v>1</v>
      </c>
      <c r="E1743" s="5">
        <v>50</v>
      </c>
      <c r="F1743" s="5">
        <f t="shared" si="262"/>
        <v>50</v>
      </c>
      <c r="G1743" s="5">
        <f t="shared" si="263"/>
        <v>2.1</v>
      </c>
      <c r="H1743" s="5"/>
      <c r="I1743" s="5">
        <f>0.56*G1743*F1743</f>
        <v>58.800000000000011</v>
      </c>
      <c r="J1743" s="5"/>
      <c r="K1743" s="5"/>
      <c r="L1743" s="5"/>
      <c r="M1743" s="5"/>
      <c r="N1743" s="5"/>
      <c r="O1743" s="278"/>
    </row>
    <row r="1744" spans="1:15" ht="21" hidden="1" customHeight="1" outlineLevel="1">
      <c r="A1744" s="145"/>
      <c r="B1744" s="5"/>
      <c r="C1744" s="5">
        <v>0.65</v>
      </c>
      <c r="D1744" s="5">
        <v>1</v>
      </c>
      <c r="E1744" s="5">
        <v>50</v>
      </c>
      <c r="F1744" s="5">
        <f t="shared" si="262"/>
        <v>50</v>
      </c>
      <c r="G1744" s="5">
        <f t="shared" si="263"/>
        <v>0.65</v>
      </c>
      <c r="H1744" s="5"/>
      <c r="I1744" s="5">
        <f>0.56*G1744*F1744</f>
        <v>18.200000000000003</v>
      </c>
      <c r="J1744" s="5"/>
      <c r="K1744" s="5"/>
      <c r="L1744" s="5"/>
      <c r="M1744" s="5"/>
      <c r="N1744" s="5"/>
      <c r="O1744" s="278"/>
    </row>
    <row r="1745" spans="1:15" ht="21" hidden="1" customHeight="1" outlineLevel="1">
      <c r="A1745" s="2129"/>
      <c r="B1745" s="2130"/>
      <c r="C1745" s="2130"/>
      <c r="D1745" s="2130"/>
      <c r="E1745" s="2130"/>
      <c r="F1745" s="2130"/>
      <c r="G1745" s="2130"/>
      <c r="H1745" s="561">
        <f t="shared" ref="H1745:O1745" si="264">SUM(H1731:H1744)</f>
        <v>0</v>
      </c>
      <c r="I1745" s="561">
        <f t="shared" si="264"/>
        <v>77.000000000000014</v>
      </c>
      <c r="J1745" s="561">
        <f t="shared" si="264"/>
        <v>45</v>
      </c>
      <c r="K1745" s="561">
        <f t="shared" si="264"/>
        <v>48.36</v>
      </c>
      <c r="L1745" s="561">
        <f t="shared" si="264"/>
        <v>63.616000000000014</v>
      </c>
      <c r="M1745" s="561">
        <f t="shared" si="264"/>
        <v>0</v>
      </c>
      <c r="N1745" s="561">
        <f t="shared" si="264"/>
        <v>0</v>
      </c>
      <c r="O1745" s="562">
        <f t="shared" si="264"/>
        <v>0</v>
      </c>
    </row>
    <row r="1746" spans="1:15" ht="21" hidden="1" customHeight="1" outlineLevel="1">
      <c r="A1746" s="2129"/>
      <c r="B1746" s="2130"/>
      <c r="C1746" s="2130"/>
      <c r="D1746" s="2130"/>
      <c r="E1746" s="2130"/>
      <c r="F1746" s="2130"/>
      <c r="G1746" s="2130"/>
      <c r="H1746" s="2130">
        <f>SUM(H1745:O1745)</f>
        <v>233.97600000000003</v>
      </c>
      <c r="I1746" s="2130"/>
      <c r="J1746" s="2130"/>
      <c r="K1746" s="2130"/>
      <c r="L1746" s="2130"/>
      <c r="M1746" s="2130"/>
      <c r="N1746" s="2130"/>
      <c r="O1746" s="2170"/>
    </row>
    <row r="1747" spans="1:15" ht="21" hidden="1" customHeight="1" outlineLevel="1">
      <c r="A1747" s="14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278"/>
    </row>
    <row r="1748" spans="1:15" ht="21" hidden="1" customHeight="1" outlineLevel="1">
      <c r="A1748" s="277" t="s">
        <v>470</v>
      </c>
      <c r="B1748" s="5"/>
      <c r="C1748" s="5">
        <v>3</v>
      </c>
      <c r="D1748" s="5">
        <v>1</v>
      </c>
      <c r="E1748" s="5">
        <v>2</v>
      </c>
      <c r="F1748" s="5">
        <f t="shared" ref="F1748:F1775" si="265">+E1748*D1748</f>
        <v>2</v>
      </c>
      <c r="G1748" s="5">
        <f t="shared" ref="G1748:G1775" si="266">+C1748</f>
        <v>3</v>
      </c>
      <c r="H1748" s="5"/>
      <c r="I1748" s="5"/>
      <c r="J1748" s="5">
        <f>+G1748*F1748</f>
        <v>6</v>
      </c>
      <c r="K1748" s="5"/>
      <c r="L1748" s="5"/>
      <c r="M1748" s="5"/>
      <c r="N1748" s="5"/>
      <c r="O1748" s="278"/>
    </row>
    <row r="1749" spans="1:15" ht="21" hidden="1" customHeight="1" outlineLevel="1">
      <c r="A1749" s="145"/>
      <c r="B1749" s="5"/>
      <c r="C1749" s="5">
        <v>7</v>
      </c>
      <c r="D1749" s="5">
        <v>1</v>
      </c>
      <c r="E1749" s="5">
        <v>3</v>
      </c>
      <c r="F1749" s="5">
        <f t="shared" si="265"/>
        <v>3</v>
      </c>
      <c r="G1749" s="5">
        <f t="shared" si="266"/>
        <v>7</v>
      </c>
      <c r="H1749" s="5"/>
      <c r="I1749" s="5"/>
      <c r="J1749" s="5">
        <f>+G1749*F1749</f>
        <v>21</v>
      </c>
      <c r="K1749" s="5"/>
      <c r="L1749" s="5"/>
      <c r="M1749" s="5"/>
      <c r="N1749" s="5"/>
      <c r="O1749" s="278"/>
    </row>
    <row r="1750" spans="1:15" ht="21" hidden="1" customHeight="1" outlineLevel="1">
      <c r="A1750" s="145"/>
      <c r="B1750" s="5"/>
      <c r="C1750" s="5">
        <v>4.5</v>
      </c>
      <c r="D1750" s="5">
        <v>1</v>
      </c>
      <c r="E1750" s="5">
        <v>1</v>
      </c>
      <c r="F1750" s="5">
        <f t="shared" si="265"/>
        <v>1</v>
      </c>
      <c r="G1750" s="5">
        <f t="shared" si="266"/>
        <v>4.5</v>
      </c>
      <c r="H1750" s="5"/>
      <c r="I1750" s="5"/>
      <c r="J1750" s="5"/>
      <c r="K1750" s="5">
        <f>1.55*G1750*F1750</f>
        <v>6.9750000000000005</v>
      </c>
      <c r="L1750" s="5"/>
      <c r="M1750" s="5"/>
      <c r="N1750" s="5"/>
      <c r="O1750" s="278"/>
    </row>
    <row r="1751" spans="1:15" ht="21" hidden="1" customHeight="1" outlineLevel="1">
      <c r="A1751" s="145"/>
      <c r="B1751" s="5"/>
      <c r="C1751" s="5">
        <v>4.5</v>
      </c>
      <c r="D1751" s="5">
        <v>1</v>
      </c>
      <c r="E1751" s="5">
        <v>1</v>
      </c>
      <c r="F1751" s="5">
        <f t="shared" si="265"/>
        <v>1</v>
      </c>
      <c r="G1751" s="5">
        <f t="shared" si="266"/>
        <v>4.5</v>
      </c>
      <c r="H1751" s="5"/>
      <c r="I1751" s="5"/>
      <c r="J1751" s="5"/>
      <c r="K1751" s="5"/>
      <c r="L1751" s="5">
        <f>2.24*G1751*F1751</f>
        <v>10.080000000000002</v>
      </c>
      <c r="M1751" s="5"/>
      <c r="N1751" s="5"/>
      <c r="O1751" s="278"/>
    </row>
    <row r="1752" spans="1:15" ht="21" hidden="1" customHeight="1" outlineLevel="1">
      <c r="A1752" s="145"/>
      <c r="B1752" s="5"/>
      <c r="C1752" s="5">
        <v>8.8000000000000007</v>
      </c>
      <c r="D1752" s="5">
        <v>1</v>
      </c>
      <c r="E1752" s="5">
        <v>1</v>
      </c>
      <c r="F1752" s="5">
        <f t="shared" si="265"/>
        <v>1</v>
      </c>
      <c r="G1752" s="5">
        <f t="shared" si="266"/>
        <v>8.8000000000000007</v>
      </c>
      <c r="H1752" s="5"/>
      <c r="I1752" s="5"/>
      <c r="J1752" s="5"/>
      <c r="K1752" s="5">
        <f>1.55*G1752*F1752</f>
        <v>13.640000000000002</v>
      </c>
      <c r="L1752" s="5"/>
      <c r="M1752" s="5"/>
      <c r="N1752" s="5"/>
      <c r="O1752" s="278"/>
    </row>
    <row r="1753" spans="1:15" ht="21" hidden="1" customHeight="1" outlineLevel="1">
      <c r="A1753" s="145"/>
      <c r="B1753" s="5"/>
      <c r="C1753" s="5">
        <v>8.8000000000000007</v>
      </c>
      <c r="D1753" s="5">
        <v>1</v>
      </c>
      <c r="E1753" s="5">
        <v>1</v>
      </c>
      <c r="F1753" s="5">
        <f t="shared" si="265"/>
        <v>1</v>
      </c>
      <c r="G1753" s="5">
        <f t="shared" si="266"/>
        <v>8.8000000000000007</v>
      </c>
      <c r="H1753" s="5"/>
      <c r="I1753" s="5"/>
      <c r="J1753" s="5"/>
      <c r="K1753" s="5"/>
      <c r="L1753" s="5">
        <f>2.24*G1753*F1753</f>
        <v>19.712000000000003</v>
      </c>
      <c r="M1753" s="5"/>
      <c r="N1753" s="5"/>
      <c r="O1753" s="278"/>
    </row>
    <row r="1754" spans="1:15" ht="21" hidden="1" customHeight="1" outlineLevel="1">
      <c r="A1754" s="145"/>
      <c r="B1754" s="5"/>
      <c r="C1754" s="5">
        <v>5</v>
      </c>
      <c r="D1754" s="5">
        <v>1</v>
      </c>
      <c r="E1754" s="5">
        <v>2</v>
      </c>
      <c r="F1754" s="5">
        <f t="shared" si="265"/>
        <v>2</v>
      </c>
      <c r="G1754" s="5">
        <f t="shared" si="266"/>
        <v>5</v>
      </c>
      <c r="H1754" s="5"/>
      <c r="I1754" s="5"/>
      <c r="J1754" s="5"/>
      <c r="K1754" s="5">
        <f>1.55*G1754*F1754</f>
        <v>15.5</v>
      </c>
      <c r="L1754" s="5"/>
      <c r="M1754" s="5"/>
      <c r="N1754" s="5"/>
      <c r="O1754" s="278"/>
    </row>
    <row r="1755" spans="1:15" ht="21" hidden="1" customHeight="1" outlineLevel="1">
      <c r="A1755" s="145"/>
      <c r="B1755" s="5"/>
      <c r="C1755" s="5">
        <v>5</v>
      </c>
      <c r="D1755" s="5">
        <v>1</v>
      </c>
      <c r="E1755" s="5">
        <v>3</v>
      </c>
      <c r="F1755" s="5">
        <f t="shared" si="265"/>
        <v>3</v>
      </c>
      <c r="G1755" s="5">
        <f t="shared" si="266"/>
        <v>5</v>
      </c>
      <c r="H1755" s="5"/>
      <c r="I1755" s="5"/>
      <c r="J1755" s="5">
        <f>+G1755*F1755</f>
        <v>15</v>
      </c>
      <c r="K1755" s="5"/>
      <c r="L1755" s="5"/>
      <c r="M1755" s="5"/>
      <c r="N1755" s="5"/>
      <c r="O1755" s="278"/>
    </row>
    <row r="1756" spans="1:15" ht="21" hidden="1" customHeight="1" outlineLevel="1">
      <c r="A1756" s="145"/>
      <c r="B1756" s="5"/>
      <c r="C1756" s="5">
        <v>7</v>
      </c>
      <c r="D1756" s="5">
        <v>1</v>
      </c>
      <c r="E1756" s="5">
        <v>3</v>
      </c>
      <c r="F1756" s="5">
        <f t="shared" si="265"/>
        <v>3</v>
      </c>
      <c r="G1756" s="5">
        <f t="shared" si="266"/>
        <v>7</v>
      </c>
      <c r="H1756" s="5"/>
      <c r="I1756" s="5"/>
      <c r="J1756" s="5">
        <f>+G1756*F1756</f>
        <v>21</v>
      </c>
      <c r="K1756" s="5"/>
      <c r="L1756" s="5"/>
      <c r="M1756" s="5"/>
      <c r="N1756" s="5"/>
      <c r="O1756" s="278"/>
    </row>
    <row r="1757" spans="1:15" ht="21" hidden="1" customHeight="1" outlineLevel="1">
      <c r="A1757" s="145"/>
      <c r="B1757" s="5"/>
      <c r="C1757" s="5">
        <v>4</v>
      </c>
      <c r="D1757" s="5">
        <v>1</v>
      </c>
      <c r="E1757" s="5">
        <v>3</v>
      </c>
      <c r="F1757" s="5">
        <f t="shared" si="265"/>
        <v>3</v>
      </c>
      <c r="G1757" s="5">
        <f t="shared" si="266"/>
        <v>4</v>
      </c>
      <c r="H1757" s="5"/>
      <c r="I1757" s="5"/>
      <c r="J1757" s="5">
        <f>+G1757*F1757</f>
        <v>12</v>
      </c>
      <c r="K1757" s="5"/>
      <c r="L1757" s="5"/>
      <c r="M1757" s="5"/>
      <c r="N1757" s="5"/>
      <c r="O1757" s="278"/>
    </row>
    <row r="1758" spans="1:15" ht="21" hidden="1" customHeight="1" outlineLevel="1">
      <c r="A1758" s="145"/>
      <c r="B1758" s="5"/>
      <c r="C1758" s="5">
        <v>8</v>
      </c>
      <c r="D1758" s="5">
        <v>1</v>
      </c>
      <c r="E1758" s="5">
        <v>3</v>
      </c>
      <c r="F1758" s="5">
        <f t="shared" si="265"/>
        <v>3</v>
      </c>
      <c r="G1758" s="5">
        <f t="shared" si="266"/>
        <v>8</v>
      </c>
      <c r="H1758" s="5"/>
      <c r="I1758" s="5"/>
      <c r="J1758" s="5">
        <f>+G1758*F1758</f>
        <v>24</v>
      </c>
      <c r="K1758" s="5"/>
      <c r="L1758" s="5"/>
      <c r="M1758" s="5"/>
      <c r="N1758" s="5"/>
      <c r="O1758" s="278"/>
    </row>
    <row r="1759" spans="1:15" ht="21" hidden="1" customHeight="1" outlineLevel="1">
      <c r="A1759" s="145"/>
      <c r="B1759" s="5"/>
      <c r="C1759" s="5">
        <v>9.5</v>
      </c>
      <c r="D1759" s="5">
        <v>1</v>
      </c>
      <c r="E1759" s="5">
        <v>1</v>
      </c>
      <c r="F1759" s="5">
        <f t="shared" si="265"/>
        <v>1</v>
      </c>
      <c r="G1759" s="5">
        <f t="shared" si="266"/>
        <v>9.5</v>
      </c>
      <c r="H1759" s="5"/>
      <c r="I1759" s="5"/>
      <c r="J1759" s="5"/>
      <c r="K1759" s="5">
        <f>1.55*G1759*F1759</f>
        <v>14.725</v>
      </c>
      <c r="L1759" s="5"/>
      <c r="M1759" s="5"/>
      <c r="N1759" s="5"/>
      <c r="O1759" s="278"/>
    </row>
    <row r="1760" spans="1:15" ht="21" hidden="1" customHeight="1" outlineLevel="1">
      <c r="A1760" s="145"/>
      <c r="B1760" s="5"/>
      <c r="C1760" s="5">
        <v>9.5</v>
      </c>
      <c r="D1760" s="5">
        <v>1</v>
      </c>
      <c r="E1760" s="5">
        <v>1</v>
      </c>
      <c r="F1760" s="5">
        <f t="shared" si="265"/>
        <v>1</v>
      </c>
      <c r="G1760" s="5">
        <f t="shared" si="266"/>
        <v>9.5</v>
      </c>
      <c r="H1760" s="5"/>
      <c r="I1760" s="5"/>
      <c r="J1760" s="5"/>
      <c r="K1760" s="5"/>
      <c r="L1760" s="5">
        <f>2.24*G1760*F1760</f>
        <v>21.28</v>
      </c>
      <c r="M1760" s="5"/>
      <c r="N1760" s="5"/>
      <c r="O1760" s="278"/>
    </row>
    <row r="1761" spans="1:15" ht="21" hidden="1" customHeight="1" outlineLevel="1">
      <c r="A1761" s="145"/>
      <c r="B1761" s="5"/>
      <c r="C1761" s="5">
        <v>10.5</v>
      </c>
      <c r="D1761" s="5">
        <v>1</v>
      </c>
      <c r="E1761" s="5">
        <v>1</v>
      </c>
      <c r="F1761" s="5">
        <f t="shared" si="265"/>
        <v>1</v>
      </c>
      <c r="G1761" s="5">
        <f t="shared" si="266"/>
        <v>10.5</v>
      </c>
      <c r="H1761" s="5"/>
      <c r="I1761" s="5"/>
      <c r="J1761" s="5"/>
      <c r="K1761" s="5">
        <f>1.55*G1761*F1761</f>
        <v>16.275000000000002</v>
      </c>
      <c r="L1761" s="5"/>
      <c r="M1761" s="5"/>
      <c r="N1761" s="5"/>
      <c r="O1761" s="278"/>
    </row>
    <row r="1762" spans="1:15" ht="21" hidden="1" customHeight="1" outlineLevel="1">
      <c r="A1762" s="145"/>
      <c r="B1762" s="5"/>
      <c r="C1762" s="5">
        <v>10.5</v>
      </c>
      <c r="D1762" s="5">
        <v>1</v>
      </c>
      <c r="E1762" s="5">
        <v>1</v>
      </c>
      <c r="F1762" s="5">
        <f t="shared" si="265"/>
        <v>1</v>
      </c>
      <c r="G1762" s="5">
        <f t="shared" si="266"/>
        <v>10.5</v>
      </c>
      <c r="H1762" s="5"/>
      <c r="I1762" s="5"/>
      <c r="J1762" s="5"/>
      <c r="K1762" s="5"/>
      <c r="L1762" s="5">
        <f>2.24*G1762*F1762</f>
        <v>23.520000000000003</v>
      </c>
      <c r="M1762" s="5"/>
      <c r="N1762" s="5"/>
      <c r="O1762" s="278"/>
    </row>
    <row r="1763" spans="1:15" ht="21" hidden="1" customHeight="1" outlineLevel="1">
      <c r="A1763" s="145"/>
      <c r="B1763" s="5"/>
      <c r="C1763" s="5">
        <v>7.5</v>
      </c>
      <c r="D1763" s="5">
        <v>1</v>
      </c>
      <c r="E1763" s="5">
        <v>1</v>
      </c>
      <c r="F1763" s="5">
        <f t="shared" si="265"/>
        <v>1</v>
      </c>
      <c r="G1763" s="5">
        <f t="shared" si="266"/>
        <v>7.5</v>
      </c>
      <c r="H1763" s="5"/>
      <c r="I1763" s="5"/>
      <c r="J1763" s="5"/>
      <c r="K1763" s="5">
        <f>1.55*G1763*F1763</f>
        <v>11.625</v>
      </c>
      <c r="L1763" s="5"/>
      <c r="M1763" s="5"/>
      <c r="N1763" s="5"/>
      <c r="O1763" s="278"/>
    </row>
    <row r="1764" spans="1:15" ht="21" hidden="1" customHeight="1" outlineLevel="1">
      <c r="A1764" s="145"/>
      <c r="B1764" s="5"/>
      <c r="C1764" s="5">
        <v>7.5</v>
      </c>
      <c r="D1764" s="5">
        <v>1</v>
      </c>
      <c r="E1764" s="5">
        <v>1</v>
      </c>
      <c r="F1764" s="5">
        <f t="shared" si="265"/>
        <v>1</v>
      </c>
      <c r="G1764" s="5">
        <f t="shared" si="266"/>
        <v>7.5</v>
      </c>
      <c r="H1764" s="5"/>
      <c r="I1764" s="5"/>
      <c r="J1764" s="5"/>
      <c r="K1764" s="5"/>
      <c r="L1764" s="5">
        <f>2.24*G1764*F1764</f>
        <v>16.8</v>
      </c>
      <c r="M1764" s="5"/>
      <c r="N1764" s="5"/>
      <c r="O1764" s="278"/>
    </row>
    <row r="1765" spans="1:15" ht="21" hidden="1" customHeight="1" outlineLevel="1">
      <c r="A1765" s="145"/>
      <c r="B1765" s="5"/>
      <c r="C1765" s="5">
        <v>6</v>
      </c>
      <c r="D1765" s="5">
        <v>1</v>
      </c>
      <c r="E1765" s="5">
        <v>1</v>
      </c>
      <c r="F1765" s="5">
        <f t="shared" si="265"/>
        <v>1</v>
      </c>
      <c r="G1765" s="5">
        <f t="shared" si="266"/>
        <v>6</v>
      </c>
      <c r="H1765" s="5"/>
      <c r="I1765" s="5"/>
      <c r="J1765" s="5"/>
      <c r="K1765" s="5">
        <f>1.55*G1765*F1765</f>
        <v>9.3000000000000007</v>
      </c>
      <c r="L1765" s="5"/>
      <c r="M1765" s="5"/>
      <c r="N1765" s="5"/>
      <c r="O1765" s="278"/>
    </row>
    <row r="1766" spans="1:15" ht="21" hidden="1" customHeight="1" outlineLevel="1">
      <c r="A1766" s="145"/>
      <c r="B1766" s="5"/>
      <c r="C1766" s="5">
        <v>6</v>
      </c>
      <c r="D1766" s="5">
        <v>1</v>
      </c>
      <c r="E1766" s="5">
        <v>1</v>
      </c>
      <c r="F1766" s="5">
        <f t="shared" si="265"/>
        <v>1</v>
      </c>
      <c r="G1766" s="5">
        <f t="shared" si="266"/>
        <v>6</v>
      </c>
      <c r="H1766" s="5"/>
      <c r="I1766" s="5"/>
      <c r="J1766" s="5"/>
      <c r="K1766" s="5"/>
      <c r="L1766" s="5">
        <f>2.24*G1766*F1766</f>
        <v>13.440000000000001</v>
      </c>
      <c r="M1766" s="5"/>
      <c r="N1766" s="5"/>
      <c r="O1766" s="278"/>
    </row>
    <row r="1767" spans="1:15" ht="21" hidden="1" customHeight="1" outlineLevel="1">
      <c r="A1767" s="145"/>
      <c r="B1767" s="5"/>
      <c r="C1767" s="5">
        <v>8</v>
      </c>
      <c r="D1767" s="5">
        <v>1</v>
      </c>
      <c r="E1767" s="5">
        <v>2</v>
      </c>
      <c r="F1767" s="5">
        <f t="shared" si="265"/>
        <v>2</v>
      </c>
      <c r="G1767" s="5">
        <f t="shared" si="266"/>
        <v>8</v>
      </c>
      <c r="H1767" s="5"/>
      <c r="I1767" s="5"/>
      <c r="J1767" s="5"/>
      <c r="K1767" s="5">
        <f>1.55*G1767*F1767</f>
        <v>24.8</v>
      </c>
      <c r="L1767" s="5"/>
      <c r="M1767" s="5"/>
      <c r="N1767" s="5"/>
      <c r="O1767" s="278"/>
    </row>
    <row r="1768" spans="1:15" ht="21" hidden="1" customHeight="1" outlineLevel="1">
      <c r="A1768" s="145"/>
      <c r="B1768" s="5"/>
      <c r="C1768" s="5">
        <v>8</v>
      </c>
      <c r="D1768" s="5">
        <v>1</v>
      </c>
      <c r="E1768" s="5">
        <v>1</v>
      </c>
      <c r="F1768" s="5">
        <f t="shared" si="265"/>
        <v>1</v>
      </c>
      <c r="G1768" s="5">
        <f t="shared" si="266"/>
        <v>8</v>
      </c>
      <c r="H1768" s="5"/>
      <c r="I1768" s="5"/>
      <c r="J1768" s="5">
        <f>+G1768*F1768</f>
        <v>8</v>
      </c>
      <c r="K1768" s="5"/>
      <c r="L1768" s="5"/>
      <c r="M1768" s="5"/>
      <c r="N1768" s="5"/>
      <c r="O1768" s="278"/>
    </row>
    <row r="1769" spans="1:15" ht="21" hidden="1" customHeight="1" outlineLevel="1">
      <c r="A1769" s="145"/>
      <c r="B1769" s="5"/>
      <c r="C1769" s="5">
        <v>9</v>
      </c>
      <c r="D1769" s="5">
        <v>1</v>
      </c>
      <c r="E1769" s="5">
        <v>3</v>
      </c>
      <c r="F1769" s="5">
        <f t="shared" si="265"/>
        <v>3</v>
      </c>
      <c r="G1769" s="5">
        <f t="shared" si="266"/>
        <v>9</v>
      </c>
      <c r="H1769" s="5"/>
      <c r="I1769" s="5"/>
      <c r="J1769" s="5">
        <f>+G1769*F1769</f>
        <v>27</v>
      </c>
      <c r="K1769" s="5"/>
      <c r="L1769" s="5"/>
      <c r="M1769" s="5"/>
      <c r="N1769" s="5"/>
      <c r="O1769" s="278"/>
    </row>
    <row r="1770" spans="1:15" ht="21" hidden="1" customHeight="1" outlineLevel="1">
      <c r="A1770" s="145"/>
      <c r="B1770" s="5"/>
      <c r="C1770" s="5">
        <v>4.2</v>
      </c>
      <c r="D1770" s="5">
        <v>1</v>
      </c>
      <c r="E1770" s="5">
        <v>1</v>
      </c>
      <c r="F1770" s="5">
        <f t="shared" si="265"/>
        <v>1</v>
      </c>
      <c r="G1770" s="5">
        <f t="shared" si="266"/>
        <v>4.2</v>
      </c>
      <c r="H1770" s="5"/>
      <c r="I1770" s="5"/>
      <c r="J1770" s="5"/>
      <c r="K1770" s="5">
        <f>1.55*G1770*F1770</f>
        <v>6.5100000000000007</v>
      </c>
      <c r="L1770" s="5"/>
      <c r="M1770" s="5"/>
      <c r="N1770" s="5"/>
      <c r="O1770" s="278"/>
    </row>
    <row r="1771" spans="1:15" ht="21" hidden="1" customHeight="1" outlineLevel="1">
      <c r="A1771" s="145"/>
      <c r="B1771" s="5"/>
      <c r="C1771" s="5">
        <v>4.2</v>
      </c>
      <c r="D1771" s="5">
        <v>1</v>
      </c>
      <c r="E1771" s="5">
        <v>1</v>
      </c>
      <c r="F1771" s="5">
        <f t="shared" si="265"/>
        <v>1</v>
      </c>
      <c r="G1771" s="5">
        <f t="shared" si="266"/>
        <v>4.2</v>
      </c>
      <c r="H1771" s="5"/>
      <c r="I1771" s="5"/>
      <c r="J1771" s="5"/>
      <c r="K1771" s="5"/>
      <c r="L1771" s="5">
        <f>2.24*G1771*F1771</f>
        <v>9.4080000000000013</v>
      </c>
      <c r="M1771" s="5"/>
      <c r="N1771" s="5"/>
      <c r="O1771" s="278"/>
    </row>
    <row r="1772" spans="1:15" ht="21" hidden="1" customHeight="1" outlineLevel="1">
      <c r="A1772" s="145"/>
      <c r="B1772" s="5"/>
      <c r="C1772" s="5">
        <v>8</v>
      </c>
      <c r="D1772" s="5">
        <v>1</v>
      </c>
      <c r="E1772" s="5">
        <v>1</v>
      </c>
      <c r="F1772" s="5">
        <f t="shared" si="265"/>
        <v>1</v>
      </c>
      <c r="G1772" s="5">
        <f t="shared" si="266"/>
        <v>8</v>
      </c>
      <c r="H1772" s="5"/>
      <c r="I1772" s="5"/>
      <c r="J1772" s="5"/>
      <c r="K1772" s="5">
        <f>1.55*G1772*F1772</f>
        <v>12.4</v>
      </c>
      <c r="L1772" s="5"/>
      <c r="M1772" s="5"/>
      <c r="N1772" s="5"/>
      <c r="O1772" s="278"/>
    </row>
    <row r="1773" spans="1:15" ht="21" hidden="1" customHeight="1" outlineLevel="1">
      <c r="A1773" s="145"/>
      <c r="B1773" s="5"/>
      <c r="C1773" s="5">
        <v>8</v>
      </c>
      <c r="D1773" s="5">
        <v>1</v>
      </c>
      <c r="E1773" s="5">
        <v>1</v>
      </c>
      <c r="F1773" s="5">
        <f t="shared" si="265"/>
        <v>1</v>
      </c>
      <c r="G1773" s="5">
        <f t="shared" si="266"/>
        <v>8</v>
      </c>
      <c r="H1773" s="5"/>
      <c r="I1773" s="5"/>
      <c r="J1773" s="5"/>
      <c r="K1773" s="5"/>
      <c r="L1773" s="5">
        <f>2.24*G1773*F1773</f>
        <v>17.920000000000002</v>
      </c>
      <c r="M1773" s="5"/>
      <c r="N1773" s="5"/>
      <c r="O1773" s="278"/>
    </row>
    <row r="1774" spans="1:15" ht="21" hidden="1" customHeight="1" outlineLevel="1">
      <c r="A1774" s="145"/>
      <c r="B1774" s="5"/>
      <c r="C1774" s="5">
        <v>2.1</v>
      </c>
      <c r="D1774" s="5">
        <v>1</v>
      </c>
      <c r="E1774" s="5">
        <v>152</v>
      </c>
      <c r="F1774" s="5">
        <f t="shared" si="265"/>
        <v>152</v>
      </c>
      <c r="G1774" s="5">
        <f t="shared" si="266"/>
        <v>2.1</v>
      </c>
      <c r="H1774" s="5"/>
      <c r="I1774" s="5">
        <f>0.56*G1774*F1774</f>
        <v>178.75200000000001</v>
      </c>
      <c r="J1774" s="5"/>
      <c r="K1774" s="5"/>
      <c r="L1774" s="5"/>
      <c r="M1774" s="5"/>
      <c r="N1774" s="5"/>
      <c r="O1774" s="278"/>
    </row>
    <row r="1775" spans="1:15" ht="21" hidden="1" customHeight="1" outlineLevel="1">
      <c r="A1775" s="145"/>
      <c r="B1775" s="5"/>
      <c r="C1775" s="5">
        <v>0.65</v>
      </c>
      <c r="D1775" s="5">
        <v>1</v>
      </c>
      <c r="E1775" s="5">
        <v>152</v>
      </c>
      <c r="F1775" s="5">
        <f t="shared" si="265"/>
        <v>152</v>
      </c>
      <c r="G1775" s="5">
        <f t="shared" si="266"/>
        <v>0.65</v>
      </c>
      <c r="H1775" s="5"/>
      <c r="I1775" s="5">
        <f>0.56*G1775*F1775</f>
        <v>55.32800000000001</v>
      </c>
      <c r="J1775" s="5"/>
      <c r="K1775" s="5"/>
      <c r="L1775" s="5"/>
      <c r="M1775" s="5"/>
      <c r="N1775" s="5"/>
      <c r="O1775" s="278"/>
    </row>
    <row r="1776" spans="1:15" ht="21" hidden="1" customHeight="1" outlineLevel="1">
      <c r="A1776" s="2129"/>
      <c r="B1776" s="2130"/>
      <c r="C1776" s="2130"/>
      <c r="D1776" s="2130"/>
      <c r="E1776" s="2130"/>
      <c r="F1776" s="2130"/>
      <c r="G1776" s="2130"/>
      <c r="H1776" s="561">
        <f t="shared" ref="H1776:O1776" si="267">SUM(H1748:H1775)</f>
        <v>0</v>
      </c>
      <c r="I1776" s="561">
        <f t="shared" si="267"/>
        <v>234.08</v>
      </c>
      <c r="J1776" s="561">
        <f t="shared" si="267"/>
        <v>134</v>
      </c>
      <c r="K1776" s="561">
        <f t="shared" si="267"/>
        <v>131.75</v>
      </c>
      <c r="L1776" s="561">
        <f t="shared" si="267"/>
        <v>132.16000000000003</v>
      </c>
      <c r="M1776" s="561">
        <f t="shared" si="267"/>
        <v>0</v>
      </c>
      <c r="N1776" s="561">
        <f t="shared" si="267"/>
        <v>0</v>
      </c>
      <c r="O1776" s="562">
        <f t="shared" si="267"/>
        <v>0</v>
      </c>
    </row>
    <row r="1777" spans="1:15" ht="21" hidden="1" customHeight="1" outlineLevel="1">
      <c r="A1777" s="2129"/>
      <c r="B1777" s="2130"/>
      <c r="C1777" s="2130"/>
      <c r="D1777" s="2130"/>
      <c r="E1777" s="2130"/>
      <c r="F1777" s="2130"/>
      <c r="G1777" s="2130"/>
      <c r="H1777" s="2130">
        <f>SUM(H1776:O1776)</f>
        <v>631.99</v>
      </c>
      <c r="I1777" s="2130"/>
      <c r="J1777" s="2130"/>
      <c r="K1777" s="2130"/>
      <c r="L1777" s="2130"/>
      <c r="M1777" s="2130"/>
      <c r="N1777" s="2130"/>
      <c r="O1777" s="2170"/>
    </row>
    <row r="1778" spans="1:15" ht="21" hidden="1" customHeight="1" outlineLevel="1">
      <c r="A1778" s="14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278"/>
    </row>
    <row r="1779" spans="1:15" ht="21" hidden="1" customHeight="1" outlineLevel="1">
      <c r="A1779" s="277" t="s">
        <v>471</v>
      </c>
      <c r="B1779" s="5"/>
      <c r="C1779" s="5">
        <v>9</v>
      </c>
      <c r="D1779" s="5">
        <v>1</v>
      </c>
      <c r="E1779" s="5">
        <v>3</v>
      </c>
      <c r="F1779" s="5">
        <f t="shared" ref="F1779:F1793" si="268">+D1779*E1779</f>
        <v>3</v>
      </c>
      <c r="G1779" s="5">
        <f t="shared" ref="G1779:G1793" si="269">+C1779</f>
        <v>9</v>
      </c>
      <c r="H1779" s="5"/>
      <c r="I1779" s="5"/>
      <c r="J1779" s="5">
        <f>+F1779*G1779</f>
        <v>27</v>
      </c>
      <c r="K1779" s="5"/>
      <c r="L1779" s="5"/>
      <c r="M1779" s="5"/>
      <c r="N1779" s="5"/>
      <c r="O1779" s="278"/>
    </row>
    <row r="1780" spans="1:15" ht="21" hidden="1" customHeight="1" outlineLevel="1">
      <c r="A1780" s="145"/>
      <c r="B1780" s="5"/>
      <c r="C1780" s="5">
        <v>9</v>
      </c>
      <c r="D1780" s="5">
        <v>1</v>
      </c>
      <c r="E1780" s="5">
        <v>1</v>
      </c>
      <c r="F1780" s="5">
        <f t="shared" si="268"/>
        <v>1</v>
      </c>
      <c r="G1780" s="5">
        <f t="shared" si="269"/>
        <v>9</v>
      </c>
      <c r="H1780" s="5"/>
      <c r="I1780" s="5"/>
      <c r="J1780" s="5"/>
      <c r="K1780" s="5">
        <f>1.55*F1780*G1780</f>
        <v>13.950000000000001</v>
      </c>
      <c r="L1780" s="5"/>
      <c r="M1780" s="5"/>
      <c r="N1780" s="5"/>
      <c r="O1780" s="278"/>
    </row>
    <row r="1781" spans="1:15" ht="21" hidden="1" customHeight="1" outlineLevel="1">
      <c r="A1781" s="145"/>
      <c r="B1781" s="5"/>
      <c r="C1781" s="5">
        <v>9</v>
      </c>
      <c r="D1781" s="5">
        <v>1</v>
      </c>
      <c r="E1781" s="5">
        <v>1</v>
      </c>
      <c r="F1781" s="5">
        <f t="shared" si="268"/>
        <v>1</v>
      </c>
      <c r="G1781" s="5">
        <f t="shared" si="269"/>
        <v>9</v>
      </c>
      <c r="H1781" s="5"/>
      <c r="I1781" s="5"/>
      <c r="J1781" s="5"/>
      <c r="K1781" s="5"/>
      <c r="L1781" s="5">
        <f>2.24*F1781*G1781</f>
        <v>20.160000000000004</v>
      </c>
      <c r="M1781" s="5"/>
      <c r="N1781" s="5"/>
      <c r="O1781" s="278"/>
    </row>
    <row r="1782" spans="1:15" ht="21" hidden="1" customHeight="1" outlineLevel="1">
      <c r="A1782" s="145"/>
      <c r="B1782" s="5"/>
      <c r="C1782" s="5">
        <v>3.9</v>
      </c>
      <c r="D1782" s="5">
        <v>1</v>
      </c>
      <c r="E1782" s="5">
        <v>1</v>
      </c>
      <c r="F1782" s="5">
        <f t="shared" si="268"/>
        <v>1</v>
      </c>
      <c r="G1782" s="5">
        <f t="shared" si="269"/>
        <v>3.9</v>
      </c>
      <c r="H1782" s="5"/>
      <c r="I1782" s="5"/>
      <c r="J1782" s="5"/>
      <c r="K1782" s="5">
        <f>1.55*F1782*G1782</f>
        <v>6.0449999999999999</v>
      </c>
      <c r="L1782" s="5"/>
      <c r="M1782" s="5"/>
      <c r="N1782" s="5"/>
      <c r="O1782" s="278"/>
    </row>
    <row r="1783" spans="1:15" ht="21" hidden="1" customHeight="1" outlineLevel="1">
      <c r="A1783" s="145"/>
      <c r="B1783" s="5"/>
      <c r="C1783" s="5">
        <v>3.9</v>
      </c>
      <c r="D1783" s="5">
        <v>1</v>
      </c>
      <c r="E1783" s="5">
        <v>1</v>
      </c>
      <c r="F1783" s="5">
        <f t="shared" si="268"/>
        <v>1</v>
      </c>
      <c r="G1783" s="5">
        <f t="shared" si="269"/>
        <v>3.9</v>
      </c>
      <c r="H1783" s="5"/>
      <c r="I1783" s="5"/>
      <c r="J1783" s="5"/>
      <c r="K1783" s="5"/>
      <c r="L1783" s="5">
        <f>2.24*F1783*G1783</f>
        <v>8.7360000000000007</v>
      </c>
      <c r="M1783" s="5"/>
      <c r="N1783" s="5"/>
      <c r="O1783" s="278"/>
    </row>
    <row r="1784" spans="1:15" ht="21" hidden="1" customHeight="1" outlineLevel="1">
      <c r="A1784" s="145"/>
      <c r="B1784" s="5"/>
      <c r="C1784" s="5">
        <v>3</v>
      </c>
      <c r="D1784" s="5">
        <v>1</v>
      </c>
      <c r="E1784" s="5">
        <v>2</v>
      </c>
      <c r="F1784" s="5">
        <f t="shared" si="268"/>
        <v>2</v>
      </c>
      <c r="G1784" s="5">
        <f t="shared" si="269"/>
        <v>3</v>
      </c>
      <c r="H1784" s="5"/>
      <c r="I1784" s="5"/>
      <c r="J1784" s="5">
        <f>+F1784*G1784</f>
        <v>6</v>
      </c>
      <c r="K1784" s="5"/>
      <c r="L1784" s="5"/>
      <c r="M1784" s="5"/>
      <c r="N1784" s="5"/>
      <c r="O1784" s="278"/>
    </row>
    <row r="1785" spans="1:15" ht="21" hidden="1" customHeight="1" outlineLevel="1">
      <c r="A1785" s="145"/>
      <c r="B1785" s="5"/>
      <c r="C1785" s="5">
        <v>8</v>
      </c>
      <c r="D1785" s="5">
        <v>1</v>
      </c>
      <c r="E1785" s="5">
        <v>3</v>
      </c>
      <c r="F1785" s="5">
        <f t="shared" si="268"/>
        <v>3</v>
      </c>
      <c r="G1785" s="5">
        <f t="shared" si="269"/>
        <v>8</v>
      </c>
      <c r="H1785" s="5"/>
      <c r="I1785" s="5"/>
      <c r="J1785" s="5">
        <f>+F1785*G1785</f>
        <v>24</v>
      </c>
      <c r="K1785" s="5"/>
      <c r="L1785" s="5"/>
      <c r="M1785" s="5"/>
      <c r="N1785" s="5"/>
      <c r="O1785" s="278"/>
    </row>
    <row r="1786" spans="1:15" ht="21" hidden="1" customHeight="1" outlineLevel="1">
      <c r="A1786" s="145"/>
      <c r="B1786" s="5"/>
      <c r="C1786" s="5">
        <v>8.4</v>
      </c>
      <c r="D1786" s="5">
        <v>1</v>
      </c>
      <c r="E1786" s="5">
        <v>1</v>
      </c>
      <c r="F1786" s="5">
        <f t="shared" si="268"/>
        <v>1</v>
      </c>
      <c r="G1786" s="5">
        <f t="shared" si="269"/>
        <v>8.4</v>
      </c>
      <c r="H1786" s="5"/>
      <c r="I1786" s="5"/>
      <c r="J1786" s="5"/>
      <c r="K1786" s="5">
        <f>1.55*F1786*G1786</f>
        <v>13.020000000000001</v>
      </c>
      <c r="L1786" s="5"/>
      <c r="M1786" s="5"/>
      <c r="N1786" s="5"/>
      <c r="O1786" s="278"/>
    </row>
    <row r="1787" spans="1:15" ht="21" hidden="1" customHeight="1" outlineLevel="1">
      <c r="A1787" s="145"/>
      <c r="B1787" s="5"/>
      <c r="C1787" s="5">
        <v>8.4</v>
      </c>
      <c r="D1787" s="5">
        <v>1</v>
      </c>
      <c r="E1787" s="5">
        <v>1</v>
      </c>
      <c r="F1787" s="5">
        <f t="shared" si="268"/>
        <v>1</v>
      </c>
      <c r="G1787" s="5">
        <f t="shared" si="269"/>
        <v>8.4</v>
      </c>
      <c r="H1787" s="5"/>
      <c r="I1787" s="5"/>
      <c r="J1787" s="5"/>
      <c r="K1787" s="5"/>
      <c r="L1787" s="5">
        <f>2.24*F1787*G1787</f>
        <v>18.816000000000003</v>
      </c>
      <c r="M1787" s="5"/>
      <c r="N1787" s="5"/>
      <c r="O1787" s="278"/>
    </row>
    <row r="1788" spans="1:15" ht="21" hidden="1" customHeight="1" outlineLevel="1">
      <c r="A1788" s="145"/>
      <c r="B1788" s="5"/>
      <c r="C1788" s="5">
        <v>4.5</v>
      </c>
      <c r="D1788" s="5">
        <v>1</v>
      </c>
      <c r="E1788" s="5">
        <v>1</v>
      </c>
      <c r="F1788" s="5">
        <f t="shared" si="268"/>
        <v>1</v>
      </c>
      <c r="G1788" s="5">
        <f t="shared" si="269"/>
        <v>4.5</v>
      </c>
      <c r="H1788" s="5"/>
      <c r="I1788" s="5"/>
      <c r="J1788" s="5"/>
      <c r="K1788" s="5">
        <f>1.55*F1788*G1788</f>
        <v>6.9750000000000005</v>
      </c>
      <c r="L1788" s="5"/>
      <c r="M1788" s="5"/>
      <c r="N1788" s="5"/>
      <c r="O1788" s="278"/>
    </row>
    <row r="1789" spans="1:15" ht="21" hidden="1" customHeight="1" outlineLevel="1">
      <c r="A1789" s="145"/>
      <c r="B1789" s="5"/>
      <c r="C1789" s="5">
        <v>4.5</v>
      </c>
      <c r="D1789" s="5">
        <v>1</v>
      </c>
      <c r="E1789" s="5">
        <v>1</v>
      </c>
      <c r="F1789" s="5">
        <f t="shared" si="268"/>
        <v>1</v>
      </c>
      <c r="G1789" s="5">
        <f t="shared" si="269"/>
        <v>4.5</v>
      </c>
      <c r="H1789" s="5"/>
      <c r="I1789" s="5"/>
      <c r="J1789" s="5"/>
      <c r="K1789" s="5"/>
      <c r="L1789" s="5">
        <f>2.24*F1789*G1789</f>
        <v>10.080000000000002</v>
      </c>
      <c r="M1789" s="5"/>
      <c r="N1789" s="5"/>
      <c r="O1789" s="278"/>
    </row>
    <row r="1790" spans="1:15" ht="21" hidden="1" customHeight="1" outlineLevel="1">
      <c r="A1790" s="145"/>
      <c r="B1790" s="5"/>
      <c r="C1790" s="5">
        <v>10</v>
      </c>
      <c r="D1790" s="5">
        <v>1</v>
      </c>
      <c r="E1790" s="5">
        <v>1</v>
      </c>
      <c r="F1790" s="5">
        <f t="shared" si="268"/>
        <v>1</v>
      </c>
      <c r="G1790" s="5">
        <f t="shared" si="269"/>
        <v>10</v>
      </c>
      <c r="H1790" s="5"/>
      <c r="I1790" s="5"/>
      <c r="J1790" s="5"/>
      <c r="K1790" s="5">
        <f>1.55*F1790*G1790</f>
        <v>15.5</v>
      </c>
      <c r="L1790" s="5"/>
      <c r="M1790" s="5"/>
      <c r="N1790" s="5"/>
      <c r="O1790" s="278"/>
    </row>
    <row r="1791" spans="1:15" ht="21" hidden="1" customHeight="1" outlineLevel="1">
      <c r="A1791" s="145"/>
      <c r="B1791" s="5"/>
      <c r="C1791" s="5">
        <v>10</v>
      </c>
      <c r="D1791" s="5">
        <v>1</v>
      </c>
      <c r="E1791" s="5">
        <v>1</v>
      </c>
      <c r="F1791" s="5">
        <f t="shared" si="268"/>
        <v>1</v>
      </c>
      <c r="G1791" s="5">
        <f t="shared" si="269"/>
        <v>10</v>
      </c>
      <c r="H1791" s="5"/>
      <c r="I1791" s="5"/>
      <c r="J1791" s="5"/>
      <c r="K1791" s="5"/>
      <c r="L1791" s="5">
        <f>2.24*F1791*G1791</f>
        <v>22.400000000000002</v>
      </c>
      <c r="M1791" s="5"/>
      <c r="N1791" s="5"/>
      <c r="O1791" s="278"/>
    </row>
    <row r="1792" spans="1:15" ht="21" hidden="1" customHeight="1" outlineLevel="1">
      <c r="A1792" s="145"/>
      <c r="B1792" s="5"/>
      <c r="C1792" s="5">
        <v>2.1</v>
      </c>
      <c r="D1792" s="5">
        <v>1</v>
      </c>
      <c r="E1792" s="5">
        <v>73</v>
      </c>
      <c r="F1792" s="5">
        <f t="shared" si="268"/>
        <v>73</v>
      </c>
      <c r="G1792" s="5">
        <f t="shared" si="269"/>
        <v>2.1</v>
      </c>
      <c r="H1792" s="5"/>
      <c r="I1792" s="5">
        <f>0.56*G1792*F1792</f>
        <v>85.848000000000013</v>
      </c>
      <c r="J1792" s="5"/>
      <c r="K1792" s="5"/>
      <c r="L1792" s="5"/>
      <c r="M1792" s="5"/>
      <c r="N1792" s="5"/>
      <c r="O1792" s="278"/>
    </row>
    <row r="1793" spans="1:15" ht="21" hidden="1" customHeight="1" outlineLevel="1">
      <c r="A1793" s="145"/>
      <c r="B1793" s="5"/>
      <c r="C1793" s="5">
        <v>0.65</v>
      </c>
      <c r="D1793" s="5">
        <v>1</v>
      </c>
      <c r="E1793" s="5">
        <v>73</v>
      </c>
      <c r="F1793" s="5">
        <f t="shared" si="268"/>
        <v>73</v>
      </c>
      <c r="G1793" s="5">
        <f t="shared" si="269"/>
        <v>0.65</v>
      </c>
      <c r="H1793" s="5"/>
      <c r="I1793" s="5">
        <f>0.56*G1793*F1793</f>
        <v>26.572000000000003</v>
      </c>
      <c r="J1793" s="5"/>
      <c r="K1793" s="5"/>
      <c r="L1793" s="5"/>
      <c r="M1793" s="5"/>
      <c r="N1793" s="5"/>
      <c r="O1793" s="278"/>
    </row>
    <row r="1794" spans="1:15" ht="21" hidden="1" customHeight="1" outlineLevel="1">
      <c r="A1794" s="2129"/>
      <c r="B1794" s="2130"/>
      <c r="C1794" s="2130"/>
      <c r="D1794" s="2130"/>
      <c r="E1794" s="2130"/>
      <c r="F1794" s="2130"/>
      <c r="G1794" s="2130"/>
      <c r="H1794" s="561">
        <f t="shared" ref="H1794:O1794" si="270">SUM(H1779:H1793)</f>
        <v>0</v>
      </c>
      <c r="I1794" s="561">
        <f t="shared" si="270"/>
        <v>112.42000000000002</v>
      </c>
      <c r="J1794" s="561">
        <f t="shared" si="270"/>
        <v>57</v>
      </c>
      <c r="K1794" s="561">
        <f t="shared" si="270"/>
        <v>55.49</v>
      </c>
      <c r="L1794" s="561">
        <f t="shared" si="270"/>
        <v>80.192000000000007</v>
      </c>
      <c r="M1794" s="561">
        <f t="shared" si="270"/>
        <v>0</v>
      </c>
      <c r="N1794" s="561">
        <f t="shared" si="270"/>
        <v>0</v>
      </c>
      <c r="O1794" s="562">
        <f t="shared" si="270"/>
        <v>0</v>
      </c>
    </row>
    <row r="1795" spans="1:15" ht="21" hidden="1" customHeight="1" outlineLevel="1">
      <c r="A1795" s="2129"/>
      <c r="B1795" s="2130"/>
      <c r="C1795" s="2130"/>
      <c r="D1795" s="2130"/>
      <c r="E1795" s="2130"/>
      <c r="F1795" s="2130"/>
      <c r="G1795" s="2130"/>
      <c r="H1795" s="2130">
        <f>SUM(H1794:O1794)</f>
        <v>305.10200000000003</v>
      </c>
      <c r="I1795" s="2130"/>
      <c r="J1795" s="2130"/>
      <c r="K1795" s="2130"/>
      <c r="L1795" s="2130"/>
      <c r="M1795" s="2130"/>
      <c r="N1795" s="2130"/>
      <c r="O1795" s="2170"/>
    </row>
    <row r="1796" spans="1:15" ht="21" hidden="1" customHeight="1" outlineLevel="1">
      <c r="A1796" s="14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278"/>
    </row>
    <row r="1797" spans="1:15" ht="21" hidden="1" customHeight="1" outlineLevel="1">
      <c r="A1797" s="277" t="s">
        <v>472</v>
      </c>
      <c r="B1797" s="5"/>
      <c r="C1797" s="5">
        <v>2.4</v>
      </c>
      <c r="D1797" s="5">
        <v>1</v>
      </c>
      <c r="E1797" s="5">
        <v>1</v>
      </c>
      <c r="F1797" s="5">
        <f t="shared" ref="F1797:F1811" si="271">+D1797*E1797</f>
        <v>1</v>
      </c>
      <c r="G1797" s="5">
        <f t="shared" ref="G1797:G1811" si="272">+C1797</f>
        <v>2.4</v>
      </c>
      <c r="H1797" s="5"/>
      <c r="I1797" s="5"/>
      <c r="J1797" s="5">
        <f>+F1797*G1797</f>
        <v>2.4</v>
      </c>
      <c r="K1797" s="5"/>
      <c r="L1797" s="5"/>
      <c r="M1797" s="5"/>
      <c r="N1797" s="5"/>
      <c r="O1797" s="278"/>
    </row>
    <row r="1798" spans="1:15" ht="21" hidden="1" customHeight="1" outlineLevel="1">
      <c r="A1798" s="145"/>
      <c r="B1798" s="5"/>
      <c r="C1798" s="5">
        <v>9</v>
      </c>
      <c r="D1798" s="5">
        <v>1</v>
      </c>
      <c r="E1798" s="5">
        <v>3</v>
      </c>
      <c r="F1798" s="5">
        <f t="shared" si="271"/>
        <v>3</v>
      </c>
      <c r="G1798" s="5">
        <f t="shared" si="272"/>
        <v>9</v>
      </c>
      <c r="H1798" s="5"/>
      <c r="I1798" s="5"/>
      <c r="J1798" s="5">
        <f>+F1798*G1798</f>
        <v>27</v>
      </c>
      <c r="K1798" s="5"/>
      <c r="L1798" s="5"/>
      <c r="M1798" s="5"/>
      <c r="N1798" s="5"/>
      <c r="O1798" s="278"/>
    </row>
    <row r="1799" spans="1:15" ht="21" hidden="1" customHeight="1" outlineLevel="1">
      <c r="A1799" s="145"/>
      <c r="B1799" s="5"/>
      <c r="C1799" s="5">
        <v>4.5</v>
      </c>
      <c r="D1799" s="5">
        <v>1</v>
      </c>
      <c r="E1799" s="5">
        <v>1</v>
      </c>
      <c r="F1799" s="5">
        <f t="shared" si="271"/>
        <v>1</v>
      </c>
      <c r="G1799" s="5">
        <f t="shared" si="272"/>
        <v>4.5</v>
      </c>
      <c r="H1799" s="5"/>
      <c r="I1799" s="5"/>
      <c r="J1799" s="5"/>
      <c r="K1799" s="5">
        <f>1.55*G1799*F1799</f>
        <v>6.9750000000000005</v>
      </c>
      <c r="L1799" s="5"/>
      <c r="M1799" s="5"/>
      <c r="N1799" s="5"/>
      <c r="O1799" s="278"/>
    </row>
    <row r="1800" spans="1:15" ht="21" hidden="1" customHeight="1" outlineLevel="1">
      <c r="A1800" s="145"/>
      <c r="B1800" s="5"/>
      <c r="C1800" s="5">
        <v>4.5</v>
      </c>
      <c r="D1800" s="5">
        <v>1</v>
      </c>
      <c r="E1800" s="5">
        <v>1</v>
      </c>
      <c r="F1800" s="5">
        <f t="shared" si="271"/>
        <v>1</v>
      </c>
      <c r="G1800" s="5">
        <f t="shared" si="272"/>
        <v>4.5</v>
      </c>
      <c r="H1800" s="5"/>
      <c r="I1800" s="5"/>
      <c r="J1800" s="5"/>
      <c r="K1800" s="5"/>
      <c r="L1800" s="5">
        <f>2.24*F1800*G1800</f>
        <v>10.080000000000002</v>
      </c>
      <c r="M1800" s="5"/>
      <c r="N1800" s="5"/>
      <c r="O1800" s="278"/>
    </row>
    <row r="1801" spans="1:15" ht="21" hidden="1" customHeight="1" outlineLevel="1">
      <c r="A1801" s="145"/>
      <c r="B1801" s="5"/>
      <c r="C1801" s="5">
        <v>10</v>
      </c>
      <c r="D1801" s="5">
        <v>1</v>
      </c>
      <c r="E1801" s="5">
        <v>1</v>
      </c>
      <c r="F1801" s="5">
        <f t="shared" si="271"/>
        <v>1</v>
      </c>
      <c r="G1801" s="5">
        <f t="shared" si="272"/>
        <v>10</v>
      </c>
      <c r="H1801" s="5"/>
      <c r="I1801" s="5"/>
      <c r="J1801" s="5"/>
      <c r="K1801" s="5">
        <f>1.55*G1801*F1801</f>
        <v>15.5</v>
      </c>
      <c r="L1801" s="5"/>
      <c r="M1801" s="5"/>
      <c r="N1801" s="5"/>
      <c r="O1801" s="278"/>
    </row>
    <row r="1802" spans="1:15" ht="21" hidden="1" customHeight="1" outlineLevel="1">
      <c r="A1802" s="145"/>
      <c r="B1802" s="5"/>
      <c r="C1802" s="5">
        <v>10</v>
      </c>
      <c r="D1802" s="5">
        <v>1</v>
      </c>
      <c r="E1802" s="5">
        <v>1</v>
      </c>
      <c r="F1802" s="5">
        <f t="shared" si="271"/>
        <v>1</v>
      </c>
      <c r="G1802" s="5">
        <f t="shared" si="272"/>
        <v>10</v>
      </c>
      <c r="H1802" s="5"/>
      <c r="I1802" s="5"/>
      <c r="J1802" s="5"/>
      <c r="K1802" s="5"/>
      <c r="L1802" s="5">
        <f>2.24*F1802*G1802</f>
        <v>22.400000000000002</v>
      </c>
      <c r="M1802" s="5"/>
      <c r="N1802" s="5"/>
      <c r="O1802" s="278"/>
    </row>
    <row r="1803" spans="1:15" ht="21" hidden="1" customHeight="1" outlineLevel="1">
      <c r="A1803" s="145"/>
      <c r="B1803" s="5"/>
      <c r="C1803" s="5">
        <v>10.1</v>
      </c>
      <c r="D1803" s="5">
        <v>1</v>
      </c>
      <c r="E1803" s="5">
        <v>1</v>
      </c>
      <c r="F1803" s="5">
        <f t="shared" si="271"/>
        <v>1</v>
      </c>
      <c r="G1803" s="5">
        <f t="shared" si="272"/>
        <v>10.1</v>
      </c>
      <c r="H1803" s="5"/>
      <c r="I1803" s="5"/>
      <c r="J1803" s="5"/>
      <c r="K1803" s="5">
        <f>1.55*G1803*F1803</f>
        <v>15.654999999999999</v>
      </c>
      <c r="L1803" s="5"/>
      <c r="M1803" s="5"/>
      <c r="N1803" s="5"/>
      <c r="O1803" s="278"/>
    </row>
    <row r="1804" spans="1:15" ht="21" hidden="1" customHeight="1" outlineLevel="1">
      <c r="A1804" s="145"/>
      <c r="B1804" s="5"/>
      <c r="C1804" s="5">
        <v>10.1</v>
      </c>
      <c r="D1804" s="5">
        <v>1</v>
      </c>
      <c r="E1804" s="5">
        <v>1</v>
      </c>
      <c r="F1804" s="5">
        <f t="shared" si="271"/>
        <v>1</v>
      </c>
      <c r="G1804" s="5">
        <f t="shared" si="272"/>
        <v>10.1</v>
      </c>
      <c r="H1804" s="5"/>
      <c r="I1804" s="5"/>
      <c r="J1804" s="5"/>
      <c r="K1804" s="5"/>
      <c r="L1804" s="5">
        <f>2.24*F1804*G1804</f>
        <v>22.624000000000002</v>
      </c>
      <c r="M1804" s="5"/>
      <c r="N1804" s="5"/>
      <c r="O1804" s="278"/>
    </row>
    <row r="1805" spans="1:15" ht="21" hidden="1" customHeight="1" outlineLevel="1">
      <c r="A1805" s="145"/>
      <c r="B1805" s="5"/>
      <c r="C1805" s="5">
        <v>3.9</v>
      </c>
      <c r="D1805" s="5">
        <v>1</v>
      </c>
      <c r="E1805" s="5">
        <v>1</v>
      </c>
      <c r="F1805" s="5">
        <f t="shared" si="271"/>
        <v>1</v>
      </c>
      <c r="G1805" s="5">
        <f t="shared" si="272"/>
        <v>3.9</v>
      </c>
      <c r="H1805" s="5"/>
      <c r="I1805" s="5"/>
      <c r="J1805" s="5"/>
      <c r="K1805" s="5">
        <f>1.55*G1805*F1805</f>
        <v>6.0449999999999999</v>
      </c>
      <c r="L1805" s="5"/>
      <c r="M1805" s="5"/>
      <c r="N1805" s="5"/>
      <c r="O1805" s="278"/>
    </row>
    <row r="1806" spans="1:15" ht="21" hidden="1" customHeight="1" outlineLevel="1">
      <c r="A1806" s="145"/>
      <c r="B1806" s="5"/>
      <c r="C1806" s="5">
        <v>3.9</v>
      </c>
      <c r="D1806" s="5">
        <v>1</v>
      </c>
      <c r="E1806" s="5">
        <v>1</v>
      </c>
      <c r="F1806" s="5">
        <f t="shared" si="271"/>
        <v>1</v>
      </c>
      <c r="G1806" s="5">
        <f t="shared" si="272"/>
        <v>3.9</v>
      </c>
      <c r="H1806" s="5"/>
      <c r="I1806" s="5"/>
      <c r="J1806" s="5"/>
      <c r="K1806" s="5"/>
      <c r="L1806" s="5">
        <f>2.24*F1806*G1806</f>
        <v>8.7360000000000007</v>
      </c>
      <c r="M1806" s="5"/>
      <c r="N1806" s="5"/>
      <c r="O1806" s="278"/>
    </row>
    <row r="1807" spans="1:15" ht="21" hidden="1" customHeight="1" outlineLevel="1">
      <c r="A1807" s="145"/>
      <c r="B1807" s="5"/>
      <c r="C1807" s="5">
        <v>5.2</v>
      </c>
      <c r="D1807" s="5">
        <v>1</v>
      </c>
      <c r="E1807" s="5">
        <v>3</v>
      </c>
      <c r="F1807" s="5">
        <f t="shared" si="271"/>
        <v>3</v>
      </c>
      <c r="G1807" s="5">
        <f t="shared" si="272"/>
        <v>5.2</v>
      </c>
      <c r="H1807" s="5"/>
      <c r="I1807" s="5"/>
      <c r="J1807" s="5">
        <f>+F1807*G1807</f>
        <v>15.600000000000001</v>
      </c>
      <c r="K1807" s="5"/>
      <c r="L1807" s="5"/>
      <c r="M1807" s="5"/>
      <c r="N1807" s="5"/>
      <c r="O1807" s="278"/>
    </row>
    <row r="1808" spans="1:15" ht="21" hidden="1" customHeight="1" outlineLevel="1">
      <c r="A1808" s="145"/>
      <c r="B1808" s="5"/>
      <c r="C1808" s="5">
        <v>3</v>
      </c>
      <c r="D1808" s="5">
        <v>1</v>
      </c>
      <c r="E1808" s="5">
        <v>1</v>
      </c>
      <c r="F1808" s="5">
        <f t="shared" si="271"/>
        <v>1</v>
      </c>
      <c r="G1808" s="5">
        <f t="shared" si="272"/>
        <v>3</v>
      </c>
      <c r="H1808" s="5"/>
      <c r="I1808" s="5"/>
      <c r="J1808" s="5">
        <f>+F1808*G1808</f>
        <v>3</v>
      </c>
      <c r="K1808" s="5"/>
      <c r="L1808" s="5"/>
      <c r="M1808" s="5"/>
      <c r="N1808" s="5"/>
      <c r="O1808" s="278"/>
    </row>
    <row r="1809" spans="1:15" ht="21" hidden="1" customHeight="1" outlineLevel="1">
      <c r="A1809" s="145"/>
      <c r="B1809" s="5"/>
      <c r="C1809" s="5">
        <v>3</v>
      </c>
      <c r="D1809" s="5">
        <v>1</v>
      </c>
      <c r="E1809" s="5">
        <v>1</v>
      </c>
      <c r="F1809" s="5">
        <f t="shared" si="271"/>
        <v>1</v>
      </c>
      <c r="G1809" s="5">
        <f t="shared" si="272"/>
        <v>3</v>
      </c>
      <c r="H1809" s="5"/>
      <c r="I1809" s="5"/>
      <c r="J1809" s="5"/>
      <c r="K1809" s="5">
        <f>1.55*G1809*F1809</f>
        <v>4.6500000000000004</v>
      </c>
      <c r="L1809" s="5"/>
      <c r="M1809" s="5"/>
      <c r="N1809" s="5"/>
      <c r="O1809" s="278"/>
    </row>
    <row r="1810" spans="1:15" ht="21" hidden="1" customHeight="1" outlineLevel="1">
      <c r="A1810" s="145"/>
      <c r="B1810" s="5"/>
      <c r="C1810" s="5">
        <v>2.1</v>
      </c>
      <c r="D1810" s="5">
        <v>1</v>
      </c>
      <c r="E1810" s="5">
        <v>50</v>
      </c>
      <c r="F1810" s="5">
        <f t="shared" si="271"/>
        <v>50</v>
      </c>
      <c r="G1810" s="5">
        <f t="shared" si="272"/>
        <v>2.1</v>
      </c>
      <c r="H1810" s="5"/>
      <c r="I1810" s="5">
        <f>0.56*F1810*G1810</f>
        <v>58.800000000000011</v>
      </c>
      <c r="J1810" s="5"/>
      <c r="K1810" s="5"/>
      <c r="L1810" s="5"/>
      <c r="M1810" s="5"/>
      <c r="N1810" s="5"/>
      <c r="O1810" s="278"/>
    </row>
    <row r="1811" spans="1:15" ht="21" hidden="1" customHeight="1" outlineLevel="1">
      <c r="A1811" s="145"/>
      <c r="B1811" s="5"/>
      <c r="C1811" s="5">
        <v>0.65</v>
      </c>
      <c r="D1811" s="5">
        <v>1</v>
      </c>
      <c r="E1811" s="5">
        <v>50</v>
      </c>
      <c r="F1811" s="5">
        <f t="shared" si="271"/>
        <v>50</v>
      </c>
      <c r="G1811" s="5">
        <f t="shared" si="272"/>
        <v>0.65</v>
      </c>
      <c r="H1811" s="5"/>
      <c r="I1811" s="5">
        <f>0.56*F1811*G1811</f>
        <v>18.200000000000003</v>
      </c>
      <c r="J1811" s="5"/>
      <c r="K1811" s="5"/>
      <c r="L1811" s="5"/>
      <c r="M1811" s="5"/>
      <c r="N1811" s="5"/>
      <c r="O1811" s="278"/>
    </row>
    <row r="1812" spans="1:15" ht="21" hidden="1" customHeight="1" outlineLevel="1">
      <c r="A1812" s="2129"/>
      <c r="B1812" s="2130"/>
      <c r="C1812" s="2130"/>
      <c r="D1812" s="2130"/>
      <c r="E1812" s="2130"/>
      <c r="F1812" s="2130"/>
      <c r="G1812" s="2130"/>
      <c r="H1812" s="561">
        <f t="shared" ref="H1812:O1812" si="273">SUM(H1797:H1811)</f>
        <v>0</v>
      </c>
      <c r="I1812" s="561">
        <f t="shared" si="273"/>
        <v>77.000000000000014</v>
      </c>
      <c r="J1812" s="561">
        <f t="shared" si="273"/>
        <v>48</v>
      </c>
      <c r="K1812" s="561">
        <f t="shared" si="273"/>
        <v>48.825000000000003</v>
      </c>
      <c r="L1812" s="561">
        <f t="shared" si="273"/>
        <v>63.84</v>
      </c>
      <c r="M1812" s="561">
        <f t="shared" si="273"/>
        <v>0</v>
      </c>
      <c r="N1812" s="561">
        <f t="shared" si="273"/>
        <v>0</v>
      </c>
      <c r="O1812" s="562">
        <f t="shared" si="273"/>
        <v>0</v>
      </c>
    </row>
    <row r="1813" spans="1:15" ht="21" hidden="1" customHeight="1" outlineLevel="1">
      <c r="A1813" s="2129"/>
      <c r="B1813" s="2130"/>
      <c r="C1813" s="2130"/>
      <c r="D1813" s="2130"/>
      <c r="E1813" s="2130"/>
      <c r="F1813" s="2130"/>
      <c r="G1813" s="2130"/>
      <c r="H1813" s="2130">
        <f>SUM(H1812:O1812)</f>
        <v>237.66500000000002</v>
      </c>
      <c r="I1813" s="2130"/>
      <c r="J1813" s="2130"/>
      <c r="K1813" s="2130"/>
      <c r="L1813" s="2130"/>
      <c r="M1813" s="2130"/>
      <c r="N1813" s="2130"/>
      <c r="O1813" s="2170"/>
    </row>
    <row r="1814" spans="1:15" ht="21" hidden="1" customHeight="1" outlineLevel="1">
      <c r="A1814" s="14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278"/>
    </row>
    <row r="1815" spans="1:15" ht="21" hidden="1" customHeight="1" outlineLevel="1">
      <c r="A1815" s="277" t="s">
        <v>473</v>
      </c>
      <c r="B1815" s="5"/>
      <c r="C1815" s="5">
        <v>3</v>
      </c>
      <c r="D1815" s="5">
        <v>1</v>
      </c>
      <c r="E1815" s="5">
        <v>1</v>
      </c>
      <c r="F1815" s="5">
        <f t="shared" ref="F1815:F1836" si="274">+D1815*E1815</f>
        <v>1</v>
      </c>
      <c r="G1815" s="5">
        <f t="shared" ref="G1815:G1836" si="275">+C1815</f>
        <v>3</v>
      </c>
      <c r="H1815" s="5"/>
      <c r="I1815" s="5"/>
      <c r="J1815" s="5">
        <f>+G1815*F1815</f>
        <v>3</v>
      </c>
      <c r="K1815" s="5"/>
      <c r="L1815" s="5"/>
      <c r="M1815" s="5"/>
      <c r="N1815" s="5"/>
      <c r="O1815" s="278"/>
    </row>
    <row r="1816" spans="1:15" ht="21" hidden="1" customHeight="1" outlineLevel="1">
      <c r="A1816" s="145"/>
      <c r="B1816" s="5"/>
      <c r="C1816" s="5">
        <v>3</v>
      </c>
      <c r="D1816" s="5">
        <v>1</v>
      </c>
      <c r="E1816" s="5">
        <v>1</v>
      </c>
      <c r="F1816" s="5">
        <f t="shared" si="274"/>
        <v>1</v>
      </c>
      <c r="G1816" s="5">
        <f t="shared" si="275"/>
        <v>3</v>
      </c>
      <c r="H1816" s="5"/>
      <c r="I1816" s="5"/>
      <c r="J1816" s="5"/>
      <c r="K1816" s="5">
        <f>1.55*G1816*F1816</f>
        <v>4.6500000000000004</v>
      </c>
      <c r="L1816" s="5"/>
      <c r="M1816" s="5"/>
      <c r="N1816" s="5"/>
      <c r="O1816" s="278"/>
    </row>
    <row r="1817" spans="1:15" ht="21" hidden="1" customHeight="1" outlineLevel="1">
      <c r="A1817" s="145"/>
      <c r="B1817" s="5"/>
      <c r="C1817" s="5">
        <v>7</v>
      </c>
      <c r="D1817" s="5">
        <v>1</v>
      </c>
      <c r="E1817" s="5">
        <v>3</v>
      </c>
      <c r="F1817" s="5">
        <f t="shared" si="274"/>
        <v>3</v>
      </c>
      <c r="G1817" s="5">
        <f t="shared" si="275"/>
        <v>7</v>
      </c>
      <c r="H1817" s="5"/>
      <c r="I1817" s="5"/>
      <c r="J1817" s="5">
        <f>+G1817*F1817</f>
        <v>21</v>
      </c>
      <c r="K1817" s="5"/>
      <c r="L1817" s="5"/>
      <c r="M1817" s="5"/>
      <c r="N1817" s="5"/>
      <c r="O1817" s="278"/>
    </row>
    <row r="1818" spans="1:15" ht="21" hidden="1" customHeight="1" outlineLevel="1">
      <c r="A1818" s="145"/>
      <c r="B1818" s="5"/>
      <c r="C1818" s="5">
        <v>4.5</v>
      </c>
      <c r="D1818" s="5">
        <v>1</v>
      </c>
      <c r="E1818" s="5">
        <v>1</v>
      </c>
      <c r="F1818" s="5">
        <f t="shared" si="274"/>
        <v>1</v>
      </c>
      <c r="G1818" s="5">
        <f t="shared" si="275"/>
        <v>4.5</v>
      </c>
      <c r="H1818" s="5"/>
      <c r="I1818" s="5"/>
      <c r="J1818" s="5"/>
      <c r="K1818" s="5">
        <f>1.55*G1818*F1818</f>
        <v>6.9750000000000005</v>
      </c>
      <c r="L1818" s="5"/>
      <c r="M1818" s="5"/>
      <c r="N1818" s="5"/>
      <c r="O1818" s="278"/>
    </row>
    <row r="1819" spans="1:15" ht="21" hidden="1" customHeight="1" outlineLevel="1">
      <c r="A1819" s="145"/>
      <c r="B1819" s="5"/>
      <c r="C1819" s="5">
        <v>4.5</v>
      </c>
      <c r="D1819" s="5">
        <v>1</v>
      </c>
      <c r="E1819" s="5">
        <v>1</v>
      </c>
      <c r="F1819" s="5">
        <f t="shared" si="274"/>
        <v>1</v>
      </c>
      <c r="G1819" s="5">
        <f t="shared" si="275"/>
        <v>4.5</v>
      </c>
      <c r="H1819" s="5"/>
      <c r="I1819" s="5"/>
      <c r="J1819" s="5"/>
      <c r="K1819" s="5"/>
      <c r="L1819" s="5">
        <f>2.24*G1819*F1819</f>
        <v>10.080000000000002</v>
      </c>
      <c r="M1819" s="5"/>
      <c r="N1819" s="5"/>
      <c r="O1819" s="278"/>
    </row>
    <row r="1820" spans="1:15" ht="21" hidden="1" customHeight="1" outlineLevel="1">
      <c r="A1820" s="145"/>
      <c r="B1820" s="5"/>
      <c r="C1820" s="5">
        <v>7.6</v>
      </c>
      <c r="D1820" s="5">
        <v>1</v>
      </c>
      <c r="E1820" s="5">
        <v>1</v>
      </c>
      <c r="F1820" s="5">
        <f t="shared" si="274"/>
        <v>1</v>
      </c>
      <c r="G1820" s="5">
        <f t="shared" si="275"/>
        <v>7.6</v>
      </c>
      <c r="H1820" s="5"/>
      <c r="I1820" s="5"/>
      <c r="J1820" s="5"/>
      <c r="K1820" s="5">
        <f>1.55*G1820*F1820</f>
        <v>11.78</v>
      </c>
      <c r="L1820" s="5"/>
      <c r="M1820" s="5"/>
      <c r="N1820" s="5"/>
      <c r="O1820" s="278"/>
    </row>
    <row r="1821" spans="1:15" ht="21" hidden="1" customHeight="1" outlineLevel="1">
      <c r="A1821" s="145"/>
      <c r="B1821" s="5"/>
      <c r="C1821" s="5">
        <v>7.6</v>
      </c>
      <c r="D1821" s="5">
        <v>1</v>
      </c>
      <c r="E1821" s="5">
        <v>1</v>
      </c>
      <c r="F1821" s="5">
        <f t="shared" si="274"/>
        <v>1</v>
      </c>
      <c r="G1821" s="5">
        <f t="shared" si="275"/>
        <v>7.6</v>
      </c>
      <c r="H1821" s="5"/>
      <c r="I1821" s="5"/>
      <c r="J1821" s="5"/>
      <c r="K1821" s="5"/>
      <c r="L1821" s="5">
        <f>2.24*G1821*F1821</f>
        <v>17.024000000000001</v>
      </c>
      <c r="M1821" s="5"/>
      <c r="N1821" s="5"/>
      <c r="O1821" s="278"/>
    </row>
    <row r="1822" spans="1:15" ht="21" hidden="1" customHeight="1" outlineLevel="1">
      <c r="A1822" s="145"/>
      <c r="B1822" s="5"/>
      <c r="C1822" s="5">
        <v>5</v>
      </c>
      <c r="D1822" s="5">
        <v>1</v>
      </c>
      <c r="E1822" s="5">
        <v>2</v>
      </c>
      <c r="F1822" s="5">
        <f t="shared" si="274"/>
        <v>2</v>
      </c>
      <c r="G1822" s="5">
        <f t="shared" si="275"/>
        <v>5</v>
      </c>
      <c r="H1822" s="5"/>
      <c r="I1822" s="5"/>
      <c r="J1822" s="5"/>
      <c r="K1822" s="5">
        <f>1.55*G1822*F1822</f>
        <v>15.5</v>
      </c>
      <c r="L1822" s="5"/>
      <c r="M1822" s="5"/>
      <c r="N1822" s="5"/>
      <c r="O1822" s="278"/>
    </row>
    <row r="1823" spans="1:15" ht="21" hidden="1" customHeight="1" outlineLevel="1">
      <c r="A1823" s="145"/>
      <c r="B1823" s="5"/>
      <c r="C1823" s="5">
        <v>7</v>
      </c>
      <c r="D1823" s="5">
        <v>1</v>
      </c>
      <c r="E1823" s="5">
        <v>6</v>
      </c>
      <c r="F1823" s="5">
        <f t="shared" si="274"/>
        <v>6</v>
      </c>
      <c r="G1823" s="5">
        <f t="shared" si="275"/>
        <v>7</v>
      </c>
      <c r="H1823" s="5"/>
      <c r="I1823" s="5"/>
      <c r="J1823" s="5">
        <f>+G1823*F1823</f>
        <v>42</v>
      </c>
      <c r="K1823" s="5"/>
      <c r="L1823" s="5"/>
      <c r="M1823" s="5"/>
      <c r="N1823" s="5"/>
      <c r="O1823" s="278"/>
    </row>
    <row r="1824" spans="1:15" ht="21" hidden="1" customHeight="1" outlineLevel="1">
      <c r="A1824" s="145"/>
      <c r="B1824" s="5"/>
      <c r="C1824" s="5">
        <v>4</v>
      </c>
      <c r="D1824" s="5">
        <v>1</v>
      </c>
      <c r="E1824" s="5">
        <v>3</v>
      </c>
      <c r="F1824" s="5">
        <f t="shared" si="274"/>
        <v>3</v>
      </c>
      <c r="G1824" s="5">
        <f t="shared" si="275"/>
        <v>4</v>
      </c>
      <c r="H1824" s="5"/>
      <c r="I1824" s="5"/>
      <c r="J1824" s="5">
        <f>+G1824*F1824</f>
        <v>12</v>
      </c>
      <c r="K1824" s="5"/>
      <c r="L1824" s="5"/>
      <c r="M1824" s="5"/>
      <c r="N1824" s="5"/>
      <c r="O1824" s="278"/>
    </row>
    <row r="1825" spans="1:15" ht="21" hidden="1" customHeight="1" outlineLevel="1">
      <c r="A1825" s="145"/>
      <c r="B1825" s="5"/>
      <c r="C1825" s="5">
        <v>9.5</v>
      </c>
      <c r="D1825" s="5">
        <v>1</v>
      </c>
      <c r="E1825" s="5">
        <v>1</v>
      </c>
      <c r="F1825" s="5">
        <f t="shared" si="274"/>
        <v>1</v>
      </c>
      <c r="G1825" s="5">
        <f t="shared" si="275"/>
        <v>9.5</v>
      </c>
      <c r="H1825" s="5"/>
      <c r="I1825" s="5"/>
      <c r="J1825" s="5"/>
      <c r="K1825" s="5">
        <f>1.55*G1825*F1825</f>
        <v>14.725</v>
      </c>
      <c r="L1825" s="5"/>
      <c r="M1825" s="5"/>
      <c r="N1825" s="5"/>
      <c r="O1825" s="278"/>
    </row>
    <row r="1826" spans="1:15" ht="21" hidden="1" customHeight="1" outlineLevel="1">
      <c r="A1826" s="145"/>
      <c r="B1826" s="5"/>
      <c r="C1826" s="5">
        <v>9.5</v>
      </c>
      <c r="D1826" s="5">
        <v>1</v>
      </c>
      <c r="E1826" s="5">
        <v>1</v>
      </c>
      <c r="F1826" s="5">
        <f t="shared" si="274"/>
        <v>1</v>
      </c>
      <c r="G1826" s="5">
        <f t="shared" si="275"/>
        <v>9.5</v>
      </c>
      <c r="H1826" s="5"/>
      <c r="I1826" s="5"/>
      <c r="J1826" s="5"/>
      <c r="K1826" s="5"/>
      <c r="L1826" s="5">
        <f>2.24*G1826*F1826</f>
        <v>21.28</v>
      </c>
      <c r="M1826" s="5"/>
      <c r="N1826" s="5"/>
      <c r="O1826" s="278"/>
    </row>
    <row r="1827" spans="1:15" ht="21" hidden="1" customHeight="1" outlineLevel="1">
      <c r="A1827" s="145"/>
      <c r="B1827" s="5"/>
      <c r="C1827" s="5">
        <v>12</v>
      </c>
      <c r="D1827" s="5">
        <v>1</v>
      </c>
      <c r="E1827" s="5">
        <v>2</v>
      </c>
      <c r="F1827" s="5">
        <f t="shared" si="274"/>
        <v>2</v>
      </c>
      <c r="G1827" s="5">
        <f t="shared" si="275"/>
        <v>12</v>
      </c>
      <c r="H1827" s="5"/>
      <c r="I1827" s="5"/>
      <c r="J1827" s="5"/>
      <c r="K1827" s="5">
        <f>1.55*G1827*F1827</f>
        <v>37.200000000000003</v>
      </c>
      <c r="L1827" s="5"/>
      <c r="M1827" s="5"/>
      <c r="N1827" s="5"/>
      <c r="O1827" s="278"/>
    </row>
    <row r="1828" spans="1:15" ht="21" hidden="1" customHeight="1" outlineLevel="1">
      <c r="A1828" s="145"/>
      <c r="B1828" s="5"/>
      <c r="C1828" s="5">
        <v>12</v>
      </c>
      <c r="D1828" s="5">
        <v>1</v>
      </c>
      <c r="E1828" s="5">
        <v>2</v>
      </c>
      <c r="F1828" s="5">
        <f t="shared" si="274"/>
        <v>2</v>
      </c>
      <c r="G1828" s="5">
        <f t="shared" si="275"/>
        <v>12</v>
      </c>
      <c r="H1828" s="5"/>
      <c r="I1828" s="5"/>
      <c r="J1828" s="5"/>
      <c r="K1828" s="5"/>
      <c r="L1828" s="5">
        <f>2.24*G1828*F1828</f>
        <v>53.760000000000005</v>
      </c>
      <c r="M1828" s="5"/>
      <c r="N1828" s="5"/>
      <c r="O1828" s="278"/>
    </row>
    <row r="1829" spans="1:15" ht="21" hidden="1" customHeight="1" outlineLevel="1">
      <c r="A1829" s="145"/>
      <c r="B1829" s="5"/>
      <c r="C1829" s="5">
        <v>8.5</v>
      </c>
      <c r="D1829" s="5">
        <v>1</v>
      </c>
      <c r="E1829" s="5">
        <v>2</v>
      </c>
      <c r="F1829" s="5">
        <f t="shared" si="274"/>
        <v>2</v>
      </c>
      <c r="G1829" s="5">
        <f t="shared" si="275"/>
        <v>8.5</v>
      </c>
      <c r="H1829" s="5"/>
      <c r="I1829" s="5"/>
      <c r="J1829" s="5"/>
      <c r="K1829" s="5">
        <f>1.55*G1829*F1829</f>
        <v>26.35</v>
      </c>
      <c r="L1829" s="5"/>
      <c r="M1829" s="5"/>
      <c r="N1829" s="5"/>
      <c r="O1829" s="278"/>
    </row>
    <row r="1830" spans="1:15" ht="21" hidden="1" customHeight="1" outlineLevel="1">
      <c r="A1830" s="145"/>
      <c r="B1830" s="5"/>
      <c r="C1830" s="5">
        <v>8.5</v>
      </c>
      <c r="D1830" s="5">
        <v>1</v>
      </c>
      <c r="E1830" s="5">
        <v>1</v>
      </c>
      <c r="F1830" s="5">
        <f t="shared" si="274"/>
        <v>1</v>
      </c>
      <c r="G1830" s="5">
        <f t="shared" si="275"/>
        <v>8.5</v>
      </c>
      <c r="H1830" s="5"/>
      <c r="I1830" s="5"/>
      <c r="J1830" s="5">
        <f>+G1830*F1830</f>
        <v>8.5</v>
      </c>
      <c r="K1830" s="5"/>
      <c r="L1830" s="5"/>
      <c r="M1830" s="5"/>
      <c r="N1830" s="5"/>
      <c r="O1830" s="278"/>
    </row>
    <row r="1831" spans="1:15" ht="21" hidden="1" customHeight="1" outlineLevel="1">
      <c r="A1831" s="145"/>
      <c r="B1831" s="5"/>
      <c r="C1831" s="5">
        <v>3.7</v>
      </c>
      <c r="D1831" s="5">
        <v>1</v>
      </c>
      <c r="E1831" s="5">
        <v>3</v>
      </c>
      <c r="F1831" s="5">
        <f t="shared" si="274"/>
        <v>3</v>
      </c>
      <c r="G1831" s="5">
        <f t="shared" si="275"/>
        <v>3.7</v>
      </c>
      <c r="H1831" s="5"/>
      <c r="I1831" s="5"/>
      <c r="J1831" s="5">
        <f>+G1831*F1831</f>
        <v>11.100000000000001</v>
      </c>
      <c r="K1831" s="5"/>
      <c r="L1831" s="5"/>
      <c r="M1831" s="5"/>
      <c r="N1831" s="5"/>
      <c r="O1831" s="278"/>
    </row>
    <row r="1832" spans="1:15" ht="21" hidden="1" customHeight="1" outlineLevel="1">
      <c r="A1832" s="145"/>
      <c r="B1832" s="5"/>
      <c r="C1832" s="5">
        <v>3</v>
      </c>
      <c r="D1832" s="5">
        <v>1</v>
      </c>
      <c r="E1832" s="5">
        <v>2</v>
      </c>
      <c r="F1832" s="5">
        <f t="shared" si="274"/>
        <v>2</v>
      </c>
      <c r="G1832" s="5">
        <f t="shared" si="275"/>
        <v>3</v>
      </c>
      <c r="H1832" s="5"/>
      <c r="I1832" s="5"/>
      <c r="J1832" s="5"/>
      <c r="K1832" s="5"/>
      <c r="L1832" s="5">
        <f>2.24*G1832*F1832</f>
        <v>13.440000000000001</v>
      </c>
      <c r="M1832" s="5"/>
      <c r="N1832" s="5"/>
      <c r="O1832" s="278"/>
    </row>
    <row r="1833" spans="1:15" ht="21" hidden="1" customHeight="1" outlineLevel="1">
      <c r="A1833" s="145"/>
      <c r="B1833" s="5"/>
      <c r="C1833" s="5">
        <v>8</v>
      </c>
      <c r="D1833" s="5">
        <v>1</v>
      </c>
      <c r="E1833" s="5">
        <v>1</v>
      </c>
      <c r="F1833" s="5">
        <f t="shared" si="274"/>
        <v>1</v>
      </c>
      <c r="G1833" s="5">
        <f t="shared" si="275"/>
        <v>8</v>
      </c>
      <c r="H1833" s="5"/>
      <c r="I1833" s="5"/>
      <c r="J1833" s="5"/>
      <c r="K1833" s="5"/>
      <c r="L1833" s="5">
        <f>2.24*G1833*F1833</f>
        <v>17.920000000000002</v>
      </c>
      <c r="M1833" s="5"/>
      <c r="N1833" s="5"/>
      <c r="O1833" s="278"/>
    </row>
    <row r="1834" spans="1:15" ht="21" hidden="1" customHeight="1" outlineLevel="1">
      <c r="A1834" s="145"/>
      <c r="B1834" s="5"/>
      <c r="C1834" s="5">
        <v>8</v>
      </c>
      <c r="D1834" s="5">
        <v>1</v>
      </c>
      <c r="E1834" s="5">
        <v>1</v>
      </c>
      <c r="F1834" s="5">
        <f t="shared" si="274"/>
        <v>1</v>
      </c>
      <c r="G1834" s="5">
        <f t="shared" si="275"/>
        <v>8</v>
      </c>
      <c r="H1834" s="5"/>
      <c r="I1834" s="5"/>
      <c r="J1834" s="5"/>
      <c r="K1834" s="5">
        <f>1.55*G1834*F1834</f>
        <v>12.4</v>
      </c>
      <c r="L1834" s="5"/>
      <c r="M1834" s="5"/>
      <c r="N1834" s="5"/>
      <c r="O1834" s="278"/>
    </row>
    <row r="1835" spans="1:15" ht="21" hidden="1" customHeight="1" outlineLevel="1">
      <c r="A1835" s="145"/>
      <c r="B1835" s="5"/>
      <c r="C1835" s="5">
        <v>2.1</v>
      </c>
      <c r="D1835" s="5">
        <v>1</v>
      </c>
      <c r="E1835" s="5">
        <v>117</v>
      </c>
      <c r="F1835" s="5">
        <f t="shared" si="274"/>
        <v>117</v>
      </c>
      <c r="G1835" s="5">
        <f t="shared" si="275"/>
        <v>2.1</v>
      </c>
      <c r="H1835" s="5"/>
      <c r="I1835" s="5">
        <f>0.56*F1835*G1835</f>
        <v>137.59200000000004</v>
      </c>
      <c r="J1835" s="5"/>
      <c r="K1835" s="5"/>
      <c r="L1835" s="5"/>
      <c r="M1835" s="5"/>
      <c r="N1835" s="5"/>
      <c r="O1835" s="278"/>
    </row>
    <row r="1836" spans="1:15" ht="21" hidden="1" customHeight="1" outlineLevel="1">
      <c r="A1836" s="145"/>
      <c r="B1836" s="5"/>
      <c r="C1836" s="5">
        <v>0.65</v>
      </c>
      <c r="D1836" s="5">
        <v>1</v>
      </c>
      <c r="E1836" s="5">
        <v>117</v>
      </c>
      <c r="F1836" s="5">
        <f t="shared" si="274"/>
        <v>117</v>
      </c>
      <c r="G1836" s="5">
        <f t="shared" si="275"/>
        <v>0.65</v>
      </c>
      <c r="H1836" s="5"/>
      <c r="I1836" s="5">
        <f>0.56*F1836*G1836</f>
        <v>42.588000000000008</v>
      </c>
      <c r="J1836" s="5"/>
      <c r="K1836" s="5"/>
      <c r="L1836" s="5"/>
      <c r="M1836" s="5"/>
      <c r="N1836" s="5"/>
      <c r="O1836" s="278"/>
    </row>
    <row r="1837" spans="1:15" ht="21" hidden="1" customHeight="1" outlineLevel="1">
      <c r="A1837" s="2129"/>
      <c r="B1837" s="2130"/>
      <c r="C1837" s="2130"/>
      <c r="D1837" s="2130"/>
      <c r="E1837" s="2130"/>
      <c r="F1837" s="2130"/>
      <c r="G1837" s="2130"/>
      <c r="H1837" s="561">
        <f t="shared" ref="H1837:O1837" si="276">SUM(H1815:H1836)</f>
        <v>0</v>
      </c>
      <c r="I1837" s="561">
        <f t="shared" si="276"/>
        <v>180.18000000000006</v>
      </c>
      <c r="J1837" s="561">
        <f t="shared" si="276"/>
        <v>97.6</v>
      </c>
      <c r="K1837" s="561">
        <f t="shared" si="276"/>
        <v>129.58000000000001</v>
      </c>
      <c r="L1837" s="561">
        <f t="shared" si="276"/>
        <v>133.50400000000002</v>
      </c>
      <c r="M1837" s="561">
        <f t="shared" si="276"/>
        <v>0</v>
      </c>
      <c r="N1837" s="561">
        <f t="shared" si="276"/>
        <v>0</v>
      </c>
      <c r="O1837" s="562">
        <f t="shared" si="276"/>
        <v>0</v>
      </c>
    </row>
    <row r="1838" spans="1:15" ht="21" hidden="1" customHeight="1" outlineLevel="1">
      <c r="A1838" s="2129"/>
      <c r="B1838" s="2130"/>
      <c r="C1838" s="2130"/>
      <c r="D1838" s="2130"/>
      <c r="E1838" s="2130"/>
      <c r="F1838" s="2130"/>
      <c r="G1838" s="2130"/>
      <c r="H1838" s="2130">
        <f>SUM(H1837:O1837)</f>
        <v>540.86400000000015</v>
      </c>
      <c r="I1838" s="2130"/>
      <c r="J1838" s="2130"/>
      <c r="K1838" s="2130"/>
      <c r="L1838" s="2130"/>
      <c r="M1838" s="2130"/>
      <c r="N1838" s="2130"/>
      <c r="O1838" s="2170"/>
    </row>
    <row r="1839" spans="1:15" ht="21" hidden="1" customHeight="1" outlineLevel="1">
      <c r="A1839" s="14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278"/>
    </row>
    <row r="1840" spans="1:15" ht="21" hidden="1" customHeight="1" outlineLevel="1">
      <c r="A1840" s="277" t="s">
        <v>474</v>
      </c>
      <c r="B1840" s="5"/>
      <c r="C1840" s="5">
        <v>4</v>
      </c>
      <c r="D1840" s="5">
        <v>1</v>
      </c>
      <c r="E1840" s="5">
        <v>3</v>
      </c>
      <c r="F1840" s="5">
        <f>+D1840*E1840</f>
        <v>3</v>
      </c>
      <c r="G1840" s="5">
        <f>+C1840</f>
        <v>4</v>
      </c>
      <c r="H1840" s="5"/>
      <c r="I1840" s="5"/>
      <c r="J1840" s="5">
        <f>+G1840*F1840</f>
        <v>12</v>
      </c>
      <c r="K1840" s="5"/>
      <c r="L1840" s="5"/>
      <c r="M1840" s="5"/>
      <c r="N1840" s="5"/>
      <c r="O1840" s="278"/>
    </row>
    <row r="1841" spans="1:15" ht="21" hidden="1" customHeight="1" outlineLevel="1">
      <c r="A1841" s="145"/>
      <c r="B1841" s="5"/>
      <c r="C1841" s="5">
        <v>4.0999999999999996</v>
      </c>
      <c r="D1841" s="5">
        <v>1</v>
      </c>
      <c r="E1841" s="5">
        <v>2</v>
      </c>
      <c r="F1841" s="5">
        <f>+D1841*E1841</f>
        <v>2</v>
      </c>
      <c r="G1841" s="5">
        <f>+C1841</f>
        <v>4.0999999999999996</v>
      </c>
      <c r="H1841" s="5"/>
      <c r="I1841" s="5"/>
      <c r="J1841" s="5"/>
      <c r="K1841" s="5">
        <f>1.55*G1841*F1841</f>
        <v>12.709999999999999</v>
      </c>
      <c r="L1841" s="5"/>
      <c r="M1841" s="5"/>
      <c r="N1841" s="5"/>
      <c r="O1841" s="278"/>
    </row>
    <row r="1842" spans="1:15" ht="21" hidden="1" customHeight="1" outlineLevel="1">
      <c r="A1842" s="145"/>
      <c r="B1842" s="5"/>
      <c r="C1842" s="5">
        <v>4.0999999999999996</v>
      </c>
      <c r="D1842" s="5">
        <v>1</v>
      </c>
      <c r="E1842" s="5">
        <v>2</v>
      </c>
      <c r="F1842" s="5">
        <f>+D1842*E1842</f>
        <v>2</v>
      </c>
      <c r="G1842" s="5">
        <f>+C1842</f>
        <v>4.0999999999999996</v>
      </c>
      <c r="H1842" s="5"/>
      <c r="I1842" s="5"/>
      <c r="J1842" s="5"/>
      <c r="K1842" s="5"/>
      <c r="L1842" s="5">
        <f>2.24*G1842*F1842</f>
        <v>18.367999999999999</v>
      </c>
      <c r="M1842" s="5"/>
      <c r="N1842" s="5"/>
      <c r="O1842" s="278"/>
    </row>
    <row r="1843" spans="1:15" ht="21" hidden="1" customHeight="1" outlineLevel="1">
      <c r="A1843" s="145"/>
      <c r="B1843" s="5"/>
      <c r="C1843" s="5">
        <v>2.1</v>
      </c>
      <c r="D1843" s="5">
        <v>1</v>
      </c>
      <c r="E1843" s="5">
        <v>13</v>
      </c>
      <c r="F1843" s="5">
        <f>+D1843*E1843</f>
        <v>13</v>
      </c>
      <c r="G1843" s="5">
        <f>+C1843</f>
        <v>2.1</v>
      </c>
      <c r="H1843" s="5"/>
      <c r="I1843" s="5">
        <f>0.56*G1843*F1843</f>
        <v>15.288000000000002</v>
      </c>
      <c r="J1843" s="5"/>
      <c r="K1843" s="5"/>
      <c r="L1843" s="5"/>
      <c r="M1843" s="5"/>
      <c r="N1843" s="5"/>
      <c r="O1843" s="278"/>
    </row>
    <row r="1844" spans="1:15" ht="21" hidden="1" customHeight="1" outlineLevel="1">
      <c r="A1844" s="145"/>
      <c r="B1844" s="5"/>
      <c r="C1844" s="5">
        <v>0.65</v>
      </c>
      <c r="D1844" s="5">
        <v>1</v>
      </c>
      <c r="E1844" s="5">
        <v>13</v>
      </c>
      <c r="F1844" s="5">
        <f>+D1844*E1844</f>
        <v>13</v>
      </c>
      <c r="G1844" s="5">
        <f>+C1844</f>
        <v>0.65</v>
      </c>
      <c r="H1844" s="5"/>
      <c r="I1844" s="5">
        <f>0.56*G1844*F1844</f>
        <v>4.7320000000000002</v>
      </c>
      <c r="J1844" s="5"/>
      <c r="K1844" s="5"/>
      <c r="L1844" s="5"/>
      <c r="M1844" s="5"/>
      <c r="N1844" s="5"/>
      <c r="O1844" s="278"/>
    </row>
    <row r="1845" spans="1:15" ht="21" hidden="1" customHeight="1" outlineLevel="1">
      <c r="A1845" s="2129"/>
      <c r="B1845" s="2130"/>
      <c r="C1845" s="2130"/>
      <c r="D1845" s="2130"/>
      <c r="E1845" s="2130"/>
      <c r="F1845" s="2130"/>
      <c r="G1845" s="2130"/>
      <c r="H1845" s="561">
        <f t="shared" ref="H1845:O1845" si="277">SUM(H1840:H1844)</f>
        <v>0</v>
      </c>
      <c r="I1845" s="561">
        <f t="shared" si="277"/>
        <v>20.020000000000003</v>
      </c>
      <c r="J1845" s="561">
        <f t="shared" si="277"/>
        <v>12</v>
      </c>
      <c r="K1845" s="561">
        <f t="shared" si="277"/>
        <v>12.709999999999999</v>
      </c>
      <c r="L1845" s="561">
        <f t="shared" si="277"/>
        <v>18.367999999999999</v>
      </c>
      <c r="M1845" s="561">
        <f t="shared" si="277"/>
        <v>0</v>
      </c>
      <c r="N1845" s="561">
        <f t="shared" si="277"/>
        <v>0</v>
      </c>
      <c r="O1845" s="562">
        <f t="shared" si="277"/>
        <v>0</v>
      </c>
    </row>
    <row r="1846" spans="1:15" ht="21" hidden="1" customHeight="1" outlineLevel="1">
      <c r="A1846" s="2129"/>
      <c r="B1846" s="2130"/>
      <c r="C1846" s="2130"/>
      <c r="D1846" s="2130"/>
      <c r="E1846" s="2130"/>
      <c r="F1846" s="2130"/>
      <c r="G1846" s="2130"/>
      <c r="H1846" s="2130">
        <f>SUM(H1845:O1845)</f>
        <v>63.097999999999999</v>
      </c>
      <c r="I1846" s="2130"/>
      <c r="J1846" s="2130"/>
      <c r="K1846" s="2130"/>
      <c r="L1846" s="2130"/>
      <c r="M1846" s="2130"/>
      <c r="N1846" s="2130"/>
      <c r="O1846" s="2170"/>
    </row>
    <row r="1847" spans="1:15" ht="21" hidden="1" customHeight="1" outlineLevel="1">
      <c r="A1847" s="14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278"/>
    </row>
    <row r="1848" spans="1:15" ht="21" hidden="1" customHeight="1" outlineLevel="1">
      <c r="A1848" s="277" t="s">
        <v>475</v>
      </c>
      <c r="B1848" s="5"/>
      <c r="C1848" s="5">
        <v>3</v>
      </c>
      <c r="D1848" s="5">
        <v>1</v>
      </c>
      <c r="E1848" s="5">
        <v>2</v>
      </c>
      <c r="F1848" s="5">
        <f t="shared" ref="F1848:F1861" si="278">+D1848*E1848</f>
        <v>2</v>
      </c>
      <c r="G1848" s="5">
        <f t="shared" ref="G1848:G1861" si="279">+C1848</f>
        <v>3</v>
      </c>
      <c r="H1848" s="5"/>
      <c r="I1848" s="5"/>
      <c r="J1848" s="5">
        <f>+F1848*G1848</f>
        <v>6</v>
      </c>
      <c r="K1848" s="5"/>
      <c r="L1848" s="5"/>
      <c r="M1848" s="5"/>
      <c r="N1848" s="5"/>
      <c r="O1848" s="278"/>
    </row>
    <row r="1849" spans="1:15" ht="21" hidden="1" customHeight="1" outlineLevel="1">
      <c r="A1849" s="145"/>
      <c r="B1849" s="5"/>
      <c r="C1849" s="5">
        <v>4.5</v>
      </c>
      <c r="D1849" s="5">
        <v>1</v>
      </c>
      <c r="E1849" s="5">
        <v>3</v>
      </c>
      <c r="F1849" s="5">
        <f t="shared" si="278"/>
        <v>3</v>
      </c>
      <c r="G1849" s="5">
        <f t="shared" si="279"/>
        <v>4.5</v>
      </c>
      <c r="H1849" s="5"/>
      <c r="I1849" s="5"/>
      <c r="J1849" s="5">
        <f>+F1849*G1849</f>
        <v>13.5</v>
      </c>
      <c r="K1849" s="5"/>
      <c r="L1849" s="5"/>
      <c r="M1849" s="5"/>
      <c r="N1849" s="5"/>
      <c r="O1849" s="278"/>
    </row>
    <row r="1850" spans="1:15" ht="21" hidden="1" customHeight="1" outlineLevel="1">
      <c r="A1850" s="145"/>
      <c r="B1850" s="5"/>
      <c r="C1850" s="5">
        <v>4.5</v>
      </c>
      <c r="D1850" s="5">
        <v>1</v>
      </c>
      <c r="E1850" s="5">
        <v>2</v>
      </c>
      <c r="F1850" s="5">
        <f t="shared" si="278"/>
        <v>2</v>
      </c>
      <c r="G1850" s="5">
        <f t="shared" si="279"/>
        <v>4.5</v>
      </c>
      <c r="H1850" s="5"/>
      <c r="I1850" s="5"/>
      <c r="J1850" s="5"/>
      <c r="K1850" s="5"/>
      <c r="L1850" s="5">
        <f>2.24*G1850*F1850</f>
        <v>20.160000000000004</v>
      </c>
      <c r="M1850" s="5"/>
      <c r="N1850" s="5"/>
      <c r="O1850" s="278"/>
    </row>
    <row r="1851" spans="1:15" ht="21" hidden="1" customHeight="1" outlineLevel="1">
      <c r="A1851" s="145"/>
      <c r="B1851" s="5"/>
      <c r="C1851" s="5">
        <v>10.5</v>
      </c>
      <c r="D1851" s="5">
        <v>1</v>
      </c>
      <c r="E1851" s="5">
        <v>1</v>
      </c>
      <c r="F1851" s="5">
        <f t="shared" si="278"/>
        <v>1</v>
      </c>
      <c r="G1851" s="5">
        <f t="shared" si="279"/>
        <v>10.5</v>
      </c>
      <c r="H1851" s="5"/>
      <c r="I1851" s="5"/>
      <c r="J1851" s="5"/>
      <c r="K1851" s="5"/>
      <c r="L1851" s="5">
        <f>2.24*G1851*F1851</f>
        <v>23.520000000000003</v>
      </c>
      <c r="M1851" s="5"/>
      <c r="N1851" s="5"/>
      <c r="O1851" s="278"/>
    </row>
    <row r="1852" spans="1:15" ht="21" hidden="1" customHeight="1" outlineLevel="1">
      <c r="A1852" s="145"/>
      <c r="B1852" s="5"/>
      <c r="C1852" s="5">
        <v>10.5</v>
      </c>
      <c r="D1852" s="5">
        <v>1</v>
      </c>
      <c r="E1852" s="5">
        <v>1</v>
      </c>
      <c r="F1852" s="5">
        <f t="shared" si="278"/>
        <v>1</v>
      </c>
      <c r="G1852" s="5">
        <f t="shared" si="279"/>
        <v>10.5</v>
      </c>
      <c r="H1852" s="5"/>
      <c r="I1852" s="5"/>
      <c r="J1852" s="5"/>
      <c r="K1852" s="5">
        <f>1.55*G1852*F1852</f>
        <v>16.275000000000002</v>
      </c>
      <c r="L1852" s="5"/>
      <c r="M1852" s="5"/>
      <c r="N1852" s="5"/>
      <c r="O1852" s="278"/>
    </row>
    <row r="1853" spans="1:15" ht="21" hidden="1" customHeight="1" outlineLevel="1">
      <c r="A1853" s="145"/>
      <c r="B1853" s="5"/>
      <c r="C1853" s="5">
        <v>6</v>
      </c>
      <c r="D1853" s="5">
        <v>1</v>
      </c>
      <c r="E1853" s="5">
        <v>3</v>
      </c>
      <c r="F1853" s="5">
        <f t="shared" si="278"/>
        <v>3</v>
      </c>
      <c r="G1853" s="5">
        <f t="shared" si="279"/>
        <v>6</v>
      </c>
      <c r="H1853" s="5"/>
      <c r="I1853" s="5"/>
      <c r="J1853" s="5">
        <f>+F1853*G1853</f>
        <v>18</v>
      </c>
      <c r="K1853" s="5"/>
      <c r="L1853" s="5"/>
      <c r="M1853" s="5"/>
      <c r="N1853" s="5"/>
      <c r="O1853" s="278"/>
    </row>
    <row r="1854" spans="1:15" ht="21" hidden="1" customHeight="1" outlineLevel="1">
      <c r="A1854" s="145"/>
      <c r="B1854" s="5"/>
      <c r="C1854" s="5">
        <v>3.2</v>
      </c>
      <c r="D1854" s="5">
        <v>1</v>
      </c>
      <c r="E1854" s="5">
        <v>2</v>
      </c>
      <c r="F1854" s="5">
        <f t="shared" si="278"/>
        <v>2</v>
      </c>
      <c r="G1854" s="5">
        <f t="shared" si="279"/>
        <v>3.2</v>
      </c>
      <c r="H1854" s="5"/>
      <c r="I1854" s="5"/>
      <c r="J1854" s="5"/>
      <c r="K1854" s="5">
        <f>1.55*G1854*F1854</f>
        <v>9.9200000000000017</v>
      </c>
      <c r="L1854" s="5"/>
      <c r="M1854" s="5"/>
      <c r="N1854" s="5"/>
      <c r="O1854" s="278"/>
    </row>
    <row r="1855" spans="1:15" ht="21" hidden="1" customHeight="1" outlineLevel="1">
      <c r="A1855" s="145"/>
      <c r="B1855" s="5"/>
      <c r="C1855" s="5">
        <v>6.3</v>
      </c>
      <c r="D1855" s="5">
        <v>1</v>
      </c>
      <c r="E1855" s="5">
        <v>3</v>
      </c>
      <c r="F1855" s="5">
        <f t="shared" si="278"/>
        <v>3</v>
      </c>
      <c r="G1855" s="5">
        <f t="shared" si="279"/>
        <v>6.3</v>
      </c>
      <c r="H1855" s="5"/>
      <c r="I1855" s="5"/>
      <c r="J1855" s="5">
        <f>+F1855*G1855</f>
        <v>18.899999999999999</v>
      </c>
      <c r="K1855" s="5"/>
      <c r="L1855" s="5"/>
      <c r="M1855" s="5"/>
      <c r="N1855" s="5"/>
      <c r="O1855" s="278"/>
    </row>
    <row r="1856" spans="1:15" ht="21" hidden="1" customHeight="1" outlineLevel="1">
      <c r="A1856" s="145"/>
      <c r="B1856" s="5"/>
      <c r="C1856" s="5">
        <v>12</v>
      </c>
      <c r="D1856" s="5">
        <v>1</v>
      </c>
      <c r="E1856" s="5">
        <v>1</v>
      </c>
      <c r="F1856" s="5">
        <f t="shared" si="278"/>
        <v>1</v>
      </c>
      <c r="G1856" s="5">
        <f t="shared" si="279"/>
        <v>12</v>
      </c>
      <c r="H1856" s="5"/>
      <c r="I1856" s="5"/>
      <c r="J1856" s="5"/>
      <c r="K1856" s="5">
        <f>1.55*G1856*F1856</f>
        <v>18.600000000000001</v>
      </c>
      <c r="L1856" s="5"/>
      <c r="M1856" s="5"/>
      <c r="N1856" s="5"/>
      <c r="O1856" s="278"/>
    </row>
    <row r="1857" spans="1:15" ht="21" hidden="1" customHeight="1" outlineLevel="1">
      <c r="A1857" s="145"/>
      <c r="B1857" s="5"/>
      <c r="C1857" s="5">
        <v>12</v>
      </c>
      <c r="D1857" s="5">
        <v>1</v>
      </c>
      <c r="E1857" s="5">
        <v>1</v>
      </c>
      <c r="F1857" s="5">
        <f t="shared" si="278"/>
        <v>1</v>
      </c>
      <c r="G1857" s="5">
        <f t="shared" si="279"/>
        <v>12</v>
      </c>
      <c r="H1857" s="5"/>
      <c r="I1857" s="5"/>
      <c r="J1857" s="5"/>
      <c r="K1857" s="5"/>
      <c r="L1857" s="5">
        <f>2.24*G1857*F1857</f>
        <v>26.880000000000003</v>
      </c>
      <c r="M1857" s="5"/>
      <c r="N1857" s="5"/>
      <c r="O1857" s="278"/>
    </row>
    <row r="1858" spans="1:15" ht="21" hidden="1" customHeight="1" outlineLevel="1">
      <c r="A1858" s="145"/>
      <c r="B1858" s="5"/>
      <c r="C1858" s="5">
        <v>5.4</v>
      </c>
      <c r="D1858" s="5">
        <v>1</v>
      </c>
      <c r="E1858" s="5">
        <v>1</v>
      </c>
      <c r="F1858" s="5">
        <f t="shared" si="278"/>
        <v>1</v>
      </c>
      <c r="G1858" s="5">
        <f t="shared" si="279"/>
        <v>5.4</v>
      </c>
      <c r="H1858" s="5"/>
      <c r="I1858" s="5"/>
      <c r="J1858" s="5"/>
      <c r="K1858" s="5">
        <f>1.55*G1858*F1858</f>
        <v>8.370000000000001</v>
      </c>
      <c r="L1858" s="5"/>
      <c r="M1858" s="5"/>
      <c r="N1858" s="5"/>
      <c r="O1858" s="278"/>
    </row>
    <row r="1859" spans="1:15" ht="21" hidden="1" customHeight="1" outlineLevel="1">
      <c r="A1859" s="145"/>
      <c r="B1859" s="5"/>
      <c r="C1859" s="5">
        <v>5.4</v>
      </c>
      <c r="D1859" s="5">
        <v>1</v>
      </c>
      <c r="E1859" s="5">
        <v>1</v>
      </c>
      <c r="F1859" s="5">
        <f t="shared" si="278"/>
        <v>1</v>
      </c>
      <c r="G1859" s="5">
        <f t="shared" si="279"/>
        <v>5.4</v>
      </c>
      <c r="H1859" s="5"/>
      <c r="I1859" s="5"/>
      <c r="J1859" s="5"/>
      <c r="K1859" s="5"/>
      <c r="L1859" s="5">
        <f>2.24*G1859*F1859</f>
        <v>12.096000000000002</v>
      </c>
      <c r="M1859" s="5"/>
      <c r="N1859" s="5"/>
      <c r="O1859" s="278"/>
    </row>
    <row r="1860" spans="1:15" ht="21" hidden="1" customHeight="1" outlineLevel="1">
      <c r="A1860" s="145"/>
      <c r="B1860" s="5"/>
      <c r="C1860" s="5">
        <v>2.1</v>
      </c>
      <c r="D1860" s="5">
        <v>1</v>
      </c>
      <c r="E1860" s="5">
        <v>58</v>
      </c>
      <c r="F1860" s="5">
        <f t="shared" si="278"/>
        <v>58</v>
      </c>
      <c r="G1860" s="5">
        <f t="shared" si="279"/>
        <v>2.1</v>
      </c>
      <c r="H1860" s="5"/>
      <c r="I1860" s="5">
        <f>0.56*G1860*F1860</f>
        <v>68.208000000000013</v>
      </c>
      <c r="J1860" s="5"/>
      <c r="K1860" s="5"/>
      <c r="L1860" s="5"/>
      <c r="M1860" s="5"/>
      <c r="N1860" s="5"/>
      <c r="O1860" s="278"/>
    </row>
    <row r="1861" spans="1:15" ht="21" hidden="1" customHeight="1" outlineLevel="1">
      <c r="A1861" s="145"/>
      <c r="B1861" s="5"/>
      <c r="C1861" s="5">
        <v>0.65</v>
      </c>
      <c r="D1861" s="5">
        <v>1</v>
      </c>
      <c r="E1861" s="5">
        <v>58</v>
      </c>
      <c r="F1861" s="5">
        <f t="shared" si="278"/>
        <v>58</v>
      </c>
      <c r="G1861" s="5">
        <f t="shared" si="279"/>
        <v>0.65</v>
      </c>
      <c r="H1861" s="5"/>
      <c r="I1861" s="5">
        <f>0.56*G1861*F1861</f>
        <v>21.112000000000002</v>
      </c>
      <c r="J1861" s="5"/>
      <c r="K1861" s="5"/>
      <c r="L1861" s="5"/>
      <c r="M1861" s="5"/>
      <c r="N1861" s="5"/>
      <c r="O1861" s="278"/>
    </row>
    <row r="1862" spans="1:15" ht="21" hidden="1" customHeight="1" outlineLevel="1">
      <c r="A1862" s="2129"/>
      <c r="B1862" s="2130"/>
      <c r="C1862" s="2130"/>
      <c r="D1862" s="2130"/>
      <c r="E1862" s="2130"/>
      <c r="F1862" s="2130"/>
      <c r="G1862" s="2130"/>
      <c r="H1862" s="561">
        <f t="shared" ref="H1862:O1862" si="280">SUM(H1848:H1861)</f>
        <v>0</v>
      </c>
      <c r="I1862" s="561">
        <f t="shared" si="280"/>
        <v>89.320000000000022</v>
      </c>
      <c r="J1862" s="561">
        <f t="shared" si="280"/>
        <v>56.4</v>
      </c>
      <c r="K1862" s="561">
        <f t="shared" si="280"/>
        <v>53.165000000000006</v>
      </c>
      <c r="L1862" s="561">
        <f t="shared" si="280"/>
        <v>82.656000000000006</v>
      </c>
      <c r="M1862" s="561">
        <f t="shared" si="280"/>
        <v>0</v>
      </c>
      <c r="N1862" s="561">
        <f t="shared" si="280"/>
        <v>0</v>
      </c>
      <c r="O1862" s="562">
        <f t="shared" si="280"/>
        <v>0</v>
      </c>
    </row>
    <row r="1863" spans="1:15" ht="21" hidden="1" customHeight="1" outlineLevel="1">
      <c r="A1863" s="2129"/>
      <c r="B1863" s="2130"/>
      <c r="C1863" s="2130"/>
      <c r="D1863" s="2130"/>
      <c r="E1863" s="2130"/>
      <c r="F1863" s="2130"/>
      <c r="G1863" s="2130"/>
      <c r="H1863" s="2130">
        <f>SUM(H1862:O1862)</f>
        <v>281.54100000000005</v>
      </c>
      <c r="I1863" s="2130"/>
      <c r="J1863" s="2130"/>
      <c r="K1863" s="2130"/>
      <c r="L1863" s="2130"/>
      <c r="M1863" s="2130"/>
      <c r="N1863" s="2130"/>
      <c r="O1863" s="2170"/>
    </row>
    <row r="1864" spans="1:15" ht="21" hidden="1" customHeight="1" outlineLevel="1">
      <c r="A1864" s="14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278"/>
    </row>
    <row r="1865" spans="1:15" ht="21" hidden="1" customHeight="1" outlineLevel="1">
      <c r="A1865" s="277" t="s">
        <v>476</v>
      </c>
      <c r="B1865" s="5"/>
      <c r="C1865" s="5">
        <v>3.5</v>
      </c>
      <c r="D1865" s="5">
        <v>1</v>
      </c>
      <c r="E1865" s="5">
        <v>2</v>
      </c>
      <c r="F1865" s="5">
        <f t="shared" ref="F1865:F1888" si="281">+D1865*E1865</f>
        <v>2</v>
      </c>
      <c r="G1865" s="5">
        <f t="shared" ref="G1865:G1888" si="282">+C1865</f>
        <v>3.5</v>
      </c>
      <c r="H1865" s="5"/>
      <c r="I1865" s="5"/>
      <c r="J1865" s="5"/>
      <c r="K1865" s="5">
        <f>1.55*F1865*G1865</f>
        <v>10.85</v>
      </c>
      <c r="L1865" s="5"/>
      <c r="M1865" s="5"/>
      <c r="N1865" s="5"/>
      <c r="O1865" s="278"/>
    </row>
    <row r="1866" spans="1:15" ht="21" hidden="1" customHeight="1" outlineLevel="1">
      <c r="A1866" s="145"/>
      <c r="B1866" s="5"/>
      <c r="C1866" s="5">
        <v>7</v>
      </c>
      <c r="D1866" s="5">
        <v>1</v>
      </c>
      <c r="E1866" s="5">
        <v>3</v>
      </c>
      <c r="F1866" s="5">
        <f t="shared" si="281"/>
        <v>3</v>
      </c>
      <c r="G1866" s="5">
        <f t="shared" si="282"/>
        <v>7</v>
      </c>
      <c r="H1866" s="5"/>
      <c r="I1866" s="5"/>
      <c r="J1866" s="5">
        <f>+F1866*G1866</f>
        <v>21</v>
      </c>
      <c r="K1866" s="5"/>
      <c r="L1866" s="5"/>
      <c r="M1866" s="5"/>
      <c r="N1866" s="5"/>
      <c r="O1866" s="278"/>
    </row>
    <row r="1867" spans="1:15" ht="21" hidden="1" customHeight="1" outlineLevel="1">
      <c r="A1867" s="145"/>
      <c r="B1867" s="5"/>
      <c r="C1867" s="5">
        <v>4</v>
      </c>
      <c r="D1867" s="5">
        <v>1</v>
      </c>
      <c r="E1867" s="5">
        <v>1</v>
      </c>
      <c r="F1867" s="5">
        <f t="shared" si="281"/>
        <v>1</v>
      </c>
      <c r="G1867" s="5">
        <f t="shared" si="282"/>
        <v>4</v>
      </c>
      <c r="H1867" s="5"/>
      <c r="I1867" s="5"/>
      <c r="J1867" s="5"/>
      <c r="K1867" s="5">
        <f>1.55*F1867*G1867</f>
        <v>6.2</v>
      </c>
      <c r="L1867" s="5"/>
      <c r="M1867" s="5"/>
      <c r="N1867" s="5"/>
      <c r="O1867" s="278"/>
    </row>
    <row r="1868" spans="1:15" ht="21" hidden="1" customHeight="1" outlineLevel="1">
      <c r="A1868" s="145"/>
      <c r="B1868" s="5"/>
      <c r="C1868" s="5">
        <v>4</v>
      </c>
      <c r="D1868" s="5">
        <v>1</v>
      </c>
      <c r="E1868" s="5">
        <v>1</v>
      </c>
      <c r="F1868" s="5">
        <f t="shared" si="281"/>
        <v>1</v>
      </c>
      <c r="G1868" s="5">
        <f t="shared" si="282"/>
        <v>4</v>
      </c>
      <c r="H1868" s="5"/>
      <c r="I1868" s="5"/>
      <c r="J1868" s="5"/>
      <c r="K1868" s="5"/>
      <c r="L1868" s="5">
        <f>2.24*G1868*F1868</f>
        <v>8.9600000000000009</v>
      </c>
      <c r="M1868" s="5"/>
      <c r="N1868" s="5"/>
      <c r="O1868" s="278"/>
    </row>
    <row r="1869" spans="1:15" ht="21" hidden="1" customHeight="1" outlineLevel="1">
      <c r="A1869" s="145"/>
      <c r="B1869" s="5"/>
      <c r="C1869" s="5">
        <v>8.8000000000000007</v>
      </c>
      <c r="D1869" s="5">
        <v>1</v>
      </c>
      <c r="E1869" s="5">
        <v>1</v>
      </c>
      <c r="F1869" s="5">
        <f t="shared" si="281"/>
        <v>1</v>
      </c>
      <c r="G1869" s="5">
        <f t="shared" si="282"/>
        <v>8.8000000000000007</v>
      </c>
      <c r="H1869" s="5"/>
      <c r="I1869" s="5"/>
      <c r="J1869" s="5"/>
      <c r="K1869" s="5">
        <f>1.55*F1869*G1869</f>
        <v>13.640000000000002</v>
      </c>
      <c r="L1869" s="5"/>
      <c r="M1869" s="5"/>
      <c r="N1869" s="5"/>
      <c r="O1869" s="278"/>
    </row>
    <row r="1870" spans="1:15" ht="21" hidden="1" customHeight="1" outlineLevel="1">
      <c r="A1870" s="145"/>
      <c r="B1870" s="5"/>
      <c r="C1870" s="5">
        <v>8.8000000000000007</v>
      </c>
      <c r="D1870" s="5">
        <v>1</v>
      </c>
      <c r="E1870" s="5">
        <v>1</v>
      </c>
      <c r="F1870" s="5">
        <f t="shared" si="281"/>
        <v>1</v>
      </c>
      <c r="G1870" s="5">
        <f t="shared" si="282"/>
        <v>8.8000000000000007</v>
      </c>
      <c r="H1870" s="5"/>
      <c r="I1870" s="5"/>
      <c r="J1870" s="5"/>
      <c r="K1870" s="5"/>
      <c r="L1870" s="5">
        <f>2.24*G1870*F1870</f>
        <v>19.712000000000003</v>
      </c>
      <c r="M1870" s="5"/>
      <c r="N1870" s="5"/>
      <c r="O1870" s="278"/>
    </row>
    <row r="1871" spans="1:15" ht="21" hidden="1" customHeight="1" outlineLevel="1">
      <c r="A1871" s="145"/>
      <c r="B1871" s="5"/>
      <c r="C1871" s="5">
        <v>4.5</v>
      </c>
      <c r="D1871" s="5">
        <v>1</v>
      </c>
      <c r="E1871" s="5">
        <v>1</v>
      </c>
      <c r="F1871" s="5">
        <f t="shared" si="281"/>
        <v>1</v>
      </c>
      <c r="G1871" s="5">
        <f t="shared" si="282"/>
        <v>4.5</v>
      </c>
      <c r="H1871" s="5"/>
      <c r="I1871" s="5"/>
      <c r="J1871" s="5"/>
      <c r="K1871" s="5">
        <f>1.55*F1871*G1871</f>
        <v>6.9750000000000005</v>
      </c>
      <c r="L1871" s="5"/>
      <c r="M1871" s="5"/>
      <c r="N1871" s="5"/>
      <c r="O1871" s="278"/>
    </row>
    <row r="1872" spans="1:15" ht="21" hidden="1" customHeight="1" outlineLevel="1">
      <c r="A1872" s="145"/>
      <c r="B1872" s="5"/>
      <c r="C1872" s="5">
        <v>4.5</v>
      </c>
      <c r="D1872" s="5">
        <v>1</v>
      </c>
      <c r="E1872" s="5">
        <v>2</v>
      </c>
      <c r="F1872" s="5">
        <f t="shared" si="281"/>
        <v>2</v>
      </c>
      <c r="G1872" s="5">
        <f t="shared" si="282"/>
        <v>4.5</v>
      </c>
      <c r="H1872" s="5"/>
      <c r="I1872" s="5"/>
      <c r="J1872" s="5">
        <f>+F1872*G1872</f>
        <v>9</v>
      </c>
      <c r="K1872" s="5"/>
      <c r="L1872" s="5"/>
      <c r="M1872" s="5"/>
      <c r="N1872" s="5"/>
      <c r="O1872" s="278"/>
    </row>
    <row r="1873" spans="1:15" ht="21" hidden="1" customHeight="1" outlineLevel="1">
      <c r="A1873" s="145"/>
      <c r="B1873" s="5"/>
      <c r="C1873" s="5">
        <v>6</v>
      </c>
      <c r="D1873" s="5">
        <v>1</v>
      </c>
      <c r="E1873" s="5">
        <v>3</v>
      </c>
      <c r="F1873" s="5">
        <f t="shared" si="281"/>
        <v>3</v>
      </c>
      <c r="G1873" s="5">
        <f t="shared" si="282"/>
        <v>6</v>
      </c>
      <c r="H1873" s="5"/>
      <c r="I1873" s="5"/>
      <c r="J1873" s="5">
        <f>+F1873*G1873</f>
        <v>18</v>
      </c>
      <c r="K1873" s="5"/>
      <c r="L1873" s="5"/>
      <c r="M1873" s="5"/>
      <c r="N1873" s="5"/>
      <c r="O1873" s="278"/>
    </row>
    <row r="1874" spans="1:15" ht="21" hidden="1" customHeight="1" outlineLevel="1">
      <c r="A1874" s="145"/>
      <c r="B1874" s="5"/>
      <c r="C1874" s="5">
        <v>5</v>
      </c>
      <c r="D1874" s="5">
        <v>1</v>
      </c>
      <c r="E1874" s="5">
        <v>3</v>
      </c>
      <c r="F1874" s="5">
        <f t="shared" si="281"/>
        <v>3</v>
      </c>
      <c r="G1874" s="5">
        <f t="shared" si="282"/>
        <v>5</v>
      </c>
      <c r="H1874" s="5"/>
      <c r="I1874" s="5"/>
      <c r="J1874" s="5"/>
      <c r="K1874" s="5">
        <f>1.55*F1874*G1874</f>
        <v>23.25</v>
      </c>
      <c r="L1874" s="5"/>
      <c r="M1874" s="5"/>
      <c r="N1874" s="5"/>
      <c r="O1874" s="278"/>
    </row>
    <row r="1875" spans="1:15" ht="21" hidden="1" customHeight="1" outlineLevel="1">
      <c r="A1875" s="145"/>
      <c r="B1875" s="5"/>
      <c r="C1875" s="5">
        <v>7.5</v>
      </c>
      <c r="D1875" s="5">
        <v>1</v>
      </c>
      <c r="E1875" s="5">
        <v>3</v>
      </c>
      <c r="F1875" s="5">
        <f t="shared" si="281"/>
        <v>3</v>
      </c>
      <c r="G1875" s="5">
        <f t="shared" si="282"/>
        <v>7.5</v>
      </c>
      <c r="H1875" s="5"/>
      <c r="I1875" s="5"/>
      <c r="J1875" s="5">
        <f>+F1875*G1875</f>
        <v>22.5</v>
      </c>
      <c r="K1875" s="5"/>
      <c r="L1875" s="5"/>
      <c r="M1875" s="5"/>
      <c r="N1875" s="5"/>
      <c r="O1875" s="278"/>
    </row>
    <row r="1876" spans="1:15" ht="21" hidden="1" customHeight="1" outlineLevel="1">
      <c r="A1876" s="145"/>
      <c r="B1876" s="5"/>
      <c r="C1876" s="5">
        <v>10</v>
      </c>
      <c r="D1876" s="5">
        <v>1</v>
      </c>
      <c r="E1876" s="5">
        <v>1</v>
      </c>
      <c r="F1876" s="5">
        <f t="shared" si="281"/>
        <v>1</v>
      </c>
      <c r="G1876" s="5">
        <f t="shared" si="282"/>
        <v>10</v>
      </c>
      <c r="H1876" s="5"/>
      <c r="I1876" s="5"/>
      <c r="J1876" s="5"/>
      <c r="K1876" s="5">
        <f>1.55*F1876*G1876</f>
        <v>15.5</v>
      </c>
      <c r="L1876" s="5"/>
      <c r="M1876" s="5"/>
      <c r="N1876" s="5"/>
      <c r="O1876" s="278"/>
    </row>
    <row r="1877" spans="1:15" ht="21" hidden="1" customHeight="1" outlineLevel="1">
      <c r="A1877" s="145"/>
      <c r="B1877" s="5"/>
      <c r="C1877" s="5">
        <v>10</v>
      </c>
      <c r="D1877" s="5">
        <v>1</v>
      </c>
      <c r="E1877" s="5">
        <v>1</v>
      </c>
      <c r="F1877" s="5">
        <f t="shared" si="281"/>
        <v>1</v>
      </c>
      <c r="G1877" s="5">
        <f t="shared" si="282"/>
        <v>10</v>
      </c>
      <c r="H1877" s="5"/>
      <c r="I1877" s="5"/>
      <c r="J1877" s="5"/>
      <c r="K1877" s="5"/>
      <c r="L1877" s="5">
        <f>2.24*G1877*F1877</f>
        <v>22.400000000000002</v>
      </c>
      <c r="M1877" s="5"/>
      <c r="N1877" s="5"/>
      <c r="O1877" s="278"/>
    </row>
    <row r="1878" spans="1:15" ht="21" hidden="1" customHeight="1" outlineLevel="1">
      <c r="A1878" s="145"/>
      <c r="B1878" s="5"/>
      <c r="C1878" s="5">
        <v>6</v>
      </c>
      <c r="D1878" s="5">
        <v>1</v>
      </c>
      <c r="E1878" s="5">
        <v>1</v>
      </c>
      <c r="F1878" s="5">
        <f t="shared" si="281"/>
        <v>1</v>
      </c>
      <c r="G1878" s="5">
        <f t="shared" si="282"/>
        <v>6</v>
      </c>
      <c r="H1878" s="5"/>
      <c r="I1878" s="5"/>
      <c r="J1878" s="5"/>
      <c r="K1878" s="5">
        <f>1.55*F1878*G1878</f>
        <v>9.3000000000000007</v>
      </c>
      <c r="L1878" s="5"/>
      <c r="M1878" s="5"/>
      <c r="N1878" s="5"/>
      <c r="O1878" s="278"/>
    </row>
    <row r="1879" spans="1:15" ht="21" hidden="1" customHeight="1" outlineLevel="1">
      <c r="A1879" s="145"/>
      <c r="B1879" s="5"/>
      <c r="C1879" s="5">
        <v>6</v>
      </c>
      <c r="D1879" s="5">
        <v>1</v>
      </c>
      <c r="E1879" s="5">
        <v>1</v>
      </c>
      <c r="F1879" s="5">
        <f t="shared" si="281"/>
        <v>1</v>
      </c>
      <c r="G1879" s="5">
        <f t="shared" si="282"/>
        <v>6</v>
      </c>
      <c r="H1879" s="5"/>
      <c r="I1879" s="5"/>
      <c r="J1879" s="5"/>
      <c r="K1879" s="5"/>
      <c r="L1879" s="5">
        <f>2.24*G1879*F1879</f>
        <v>13.440000000000001</v>
      </c>
      <c r="M1879" s="5"/>
      <c r="N1879" s="5"/>
      <c r="O1879" s="278"/>
    </row>
    <row r="1880" spans="1:15" ht="21" hidden="1" customHeight="1" outlineLevel="1">
      <c r="A1880" s="145"/>
      <c r="B1880" s="5"/>
      <c r="C1880" s="5">
        <v>5</v>
      </c>
      <c r="D1880" s="5">
        <v>1</v>
      </c>
      <c r="E1880" s="5">
        <v>2</v>
      </c>
      <c r="F1880" s="5">
        <f t="shared" si="281"/>
        <v>2</v>
      </c>
      <c r="G1880" s="5">
        <f t="shared" si="282"/>
        <v>5</v>
      </c>
      <c r="H1880" s="5"/>
      <c r="I1880" s="5"/>
      <c r="J1880" s="5"/>
      <c r="K1880" s="5"/>
      <c r="L1880" s="5">
        <f>2.24*G1880*F1880</f>
        <v>22.400000000000002</v>
      </c>
      <c r="M1880" s="5"/>
      <c r="N1880" s="5"/>
      <c r="O1880" s="278"/>
    </row>
    <row r="1881" spans="1:15" ht="21" hidden="1" customHeight="1" outlineLevel="1">
      <c r="A1881" s="145"/>
      <c r="B1881" s="5"/>
      <c r="C1881" s="5">
        <v>8</v>
      </c>
      <c r="D1881" s="5">
        <v>1</v>
      </c>
      <c r="E1881" s="5">
        <v>2</v>
      </c>
      <c r="F1881" s="5">
        <f t="shared" si="281"/>
        <v>2</v>
      </c>
      <c r="G1881" s="5">
        <f t="shared" si="282"/>
        <v>8</v>
      </c>
      <c r="H1881" s="5"/>
      <c r="I1881" s="5"/>
      <c r="J1881" s="5"/>
      <c r="K1881" s="5"/>
      <c r="L1881" s="5">
        <f>2.24*G1881*F1881</f>
        <v>35.840000000000003</v>
      </c>
      <c r="M1881" s="5"/>
      <c r="N1881" s="5"/>
      <c r="O1881" s="278"/>
    </row>
    <row r="1882" spans="1:15" ht="21" hidden="1" customHeight="1" outlineLevel="1">
      <c r="A1882" s="145"/>
      <c r="B1882" s="5"/>
      <c r="C1882" s="5">
        <v>3.7</v>
      </c>
      <c r="D1882" s="5">
        <v>1</v>
      </c>
      <c r="E1882" s="5">
        <v>1</v>
      </c>
      <c r="F1882" s="5">
        <f t="shared" si="281"/>
        <v>1</v>
      </c>
      <c r="G1882" s="5">
        <f t="shared" si="282"/>
        <v>3.7</v>
      </c>
      <c r="H1882" s="5"/>
      <c r="I1882" s="5"/>
      <c r="J1882" s="5"/>
      <c r="K1882" s="5"/>
      <c r="L1882" s="5">
        <f>2.24*G1882*F1882</f>
        <v>8.288000000000002</v>
      </c>
      <c r="M1882" s="5"/>
      <c r="N1882" s="5"/>
      <c r="O1882" s="278"/>
    </row>
    <row r="1883" spans="1:15" ht="21" hidden="1" customHeight="1" outlineLevel="1">
      <c r="A1883" s="145"/>
      <c r="B1883" s="5"/>
      <c r="C1883" s="5">
        <v>3.7</v>
      </c>
      <c r="D1883" s="5">
        <v>1</v>
      </c>
      <c r="E1883" s="5">
        <v>2</v>
      </c>
      <c r="F1883" s="5">
        <f t="shared" si="281"/>
        <v>2</v>
      </c>
      <c r="G1883" s="5">
        <f t="shared" si="282"/>
        <v>3.7</v>
      </c>
      <c r="H1883" s="5"/>
      <c r="I1883" s="5"/>
      <c r="J1883" s="5"/>
      <c r="K1883" s="5">
        <f>1.55*F1883*G1883</f>
        <v>11.47</v>
      </c>
      <c r="L1883" s="5"/>
      <c r="M1883" s="5"/>
      <c r="N1883" s="5"/>
      <c r="O1883" s="278"/>
    </row>
    <row r="1884" spans="1:15" ht="21" hidden="1" customHeight="1" outlineLevel="1">
      <c r="A1884" s="145"/>
      <c r="B1884" s="5"/>
      <c r="C1884" s="5">
        <v>4.5</v>
      </c>
      <c r="D1884" s="5">
        <v>1</v>
      </c>
      <c r="E1884" s="5">
        <v>3</v>
      </c>
      <c r="F1884" s="5">
        <f t="shared" si="281"/>
        <v>3</v>
      </c>
      <c r="G1884" s="5">
        <f t="shared" si="282"/>
        <v>4.5</v>
      </c>
      <c r="H1884" s="5"/>
      <c r="I1884" s="5"/>
      <c r="J1884" s="5">
        <f>+F1884*G1884</f>
        <v>13.5</v>
      </c>
      <c r="K1884" s="5"/>
      <c r="L1884" s="5"/>
      <c r="M1884" s="5"/>
      <c r="N1884" s="5"/>
      <c r="O1884" s="278"/>
    </row>
    <row r="1885" spans="1:15" ht="21" hidden="1" customHeight="1" outlineLevel="1">
      <c r="A1885" s="145"/>
      <c r="B1885" s="5"/>
      <c r="C1885" s="5">
        <v>6.8</v>
      </c>
      <c r="D1885" s="5">
        <v>1</v>
      </c>
      <c r="E1885" s="5">
        <v>2</v>
      </c>
      <c r="F1885" s="5">
        <f t="shared" si="281"/>
        <v>2</v>
      </c>
      <c r="G1885" s="5">
        <f t="shared" si="282"/>
        <v>6.8</v>
      </c>
      <c r="H1885" s="5"/>
      <c r="I1885" s="5"/>
      <c r="J1885" s="5"/>
      <c r="K1885" s="5"/>
      <c r="L1885" s="5">
        <f>2.24*G1885*F1885</f>
        <v>30.464000000000002</v>
      </c>
      <c r="M1885" s="5"/>
      <c r="N1885" s="5"/>
      <c r="O1885" s="278"/>
    </row>
    <row r="1886" spans="1:15" ht="21" hidden="1" customHeight="1" outlineLevel="1">
      <c r="A1886" s="145"/>
      <c r="B1886" s="5"/>
      <c r="C1886" s="5">
        <v>3</v>
      </c>
      <c r="D1886" s="5">
        <v>1</v>
      </c>
      <c r="E1886" s="5">
        <v>2</v>
      </c>
      <c r="F1886" s="5">
        <f t="shared" si="281"/>
        <v>2</v>
      </c>
      <c r="G1886" s="5">
        <f t="shared" si="282"/>
        <v>3</v>
      </c>
      <c r="H1886" s="5"/>
      <c r="I1886" s="5"/>
      <c r="J1886" s="5"/>
      <c r="K1886" s="5"/>
      <c r="L1886" s="5">
        <f>2.24*G1886*F1886</f>
        <v>13.440000000000001</v>
      </c>
      <c r="M1886" s="5"/>
      <c r="N1886" s="5"/>
      <c r="O1886" s="278"/>
    </row>
    <row r="1887" spans="1:15" ht="21" hidden="1" customHeight="1" outlineLevel="1">
      <c r="A1887" s="145"/>
      <c r="B1887" s="5"/>
      <c r="C1887" s="5">
        <v>2.1</v>
      </c>
      <c r="D1887" s="5">
        <v>1</v>
      </c>
      <c r="E1887" s="5">
        <v>107</v>
      </c>
      <c r="F1887" s="5">
        <f t="shared" si="281"/>
        <v>107</v>
      </c>
      <c r="G1887" s="5">
        <f t="shared" si="282"/>
        <v>2.1</v>
      </c>
      <c r="H1887" s="5"/>
      <c r="I1887" s="5">
        <f>0.56*G1887*F1887</f>
        <v>125.83200000000002</v>
      </c>
      <c r="J1887" s="5"/>
      <c r="K1887" s="5"/>
      <c r="L1887" s="5"/>
      <c r="M1887" s="5"/>
      <c r="N1887" s="5"/>
      <c r="O1887" s="278"/>
    </row>
    <row r="1888" spans="1:15" ht="21" hidden="1" customHeight="1" outlineLevel="1">
      <c r="A1888" s="145"/>
      <c r="B1888" s="5"/>
      <c r="C1888" s="5">
        <v>0.65</v>
      </c>
      <c r="D1888" s="5">
        <v>1</v>
      </c>
      <c r="E1888" s="5">
        <v>107</v>
      </c>
      <c r="F1888" s="5">
        <f t="shared" si="281"/>
        <v>107</v>
      </c>
      <c r="G1888" s="5">
        <f t="shared" si="282"/>
        <v>0.65</v>
      </c>
      <c r="H1888" s="5"/>
      <c r="I1888" s="5">
        <f>0.56*G1888*F1888</f>
        <v>38.948000000000008</v>
      </c>
      <c r="J1888" s="5"/>
      <c r="K1888" s="5"/>
      <c r="L1888" s="5"/>
      <c r="M1888" s="5"/>
      <c r="N1888" s="5"/>
      <c r="O1888" s="278"/>
    </row>
    <row r="1889" spans="1:15" ht="21" hidden="1" customHeight="1" outlineLevel="1">
      <c r="A1889" s="2129"/>
      <c r="B1889" s="2130"/>
      <c r="C1889" s="2130"/>
      <c r="D1889" s="2130"/>
      <c r="E1889" s="2130"/>
      <c r="F1889" s="2130"/>
      <c r="G1889" s="2130"/>
      <c r="H1889" s="561">
        <f t="shared" ref="H1889:O1889" si="283">SUM(H1865:H1888)</f>
        <v>0</v>
      </c>
      <c r="I1889" s="561">
        <f t="shared" si="283"/>
        <v>164.78000000000003</v>
      </c>
      <c r="J1889" s="561">
        <f t="shared" si="283"/>
        <v>84</v>
      </c>
      <c r="K1889" s="561">
        <f t="shared" si="283"/>
        <v>97.185000000000002</v>
      </c>
      <c r="L1889" s="561">
        <f t="shared" si="283"/>
        <v>174.94400000000002</v>
      </c>
      <c r="M1889" s="561">
        <f t="shared" si="283"/>
        <v>0</v>
      </c>
      <c r="N1889" s="561">
        <f t="shared" si="283"/>
        <v>0</v>
      </c>
      <c r="O1889" s="562">
        <f t="shared" si="283"/>
        <v>0</v>
      </c>
    </row>
    <row r="1890" spans="1:15" ht="21" hidden="1" customHeight="1" outlineLevel="1">
      <c r="A1890" s="2248"/>
      <c r="B1890" s="2249"/>
      <c r="C1890" s="2249"/>
      <c r="D1890" s="2249"/>
      <c r="E1890" s="2249"/>
      <c r="F1890" s="2249"/>
      <c r="G1890" s="2249"/>
      <c r="H1890" s="2249">
        <f>SUM(H1889:O1889)</f>
        <v>520.90900000000011</v>
      </c>
      <c r="I1890" s="2249"/>
      <c r="J1890" s="2249"/>
      <c r="K1890" s="2249"/>
      <c r="L1890" s="2249"/>
      <c r="M1890" s="2249"/>
      <c r="N1890" s="2249"/>
      <c r="O1890" s="2250"/>
    </row>
    <row r="1891" spans="1:15" ht="21" hidden="1" customHeight="1" outlineLevel="1">
      <c r="A1891" s="598"/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599"/>
    </row>
    <row r="1892" spans="1:15" ht="21" hidden="1" customHeight="1" outlineLevel="1" thickBot="1">
      <c r="A1892" s="598"/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599"/>
    </row>
    <row r="1893" spans="1:15" ht="21" customHeight="1" collapsed="1">
      <c r="A1893" s="2136" t="s">
        <v>1230</v>
      </c>
      <c r="B1893" s="2137"/>
      <c r="C1893" s="2137"/>
      <c r="D1893" s="2137"/>
      <c r="E1893" s="2137"/>
      <c r="F1893" s="2137"/>
      <c r="G1893" s="2138"/>
      <c r="H1893" s="593">
        <f>H1889+H1862+H1845+H1837+H1812+H1794+H1776+H1745+H1728+H1711+H1696+H1680+H1651+H1634+H1619+H1598+H1590+H1576+H1554+H1526+H1506+H1479+H1440+H1408</f>
        <v>0</v>
      </c>
      <c r="I1893" s="593">
        <f>I1889+I1862+I1845+I1837+I1812+I1794+I1776+I1745+I1728+I1711+I1696+I1680+I1651+I1634+I1619+I1598+I1590+I1576+I1554+I1526+I1506+I1479+I1440+I1408</f>
        <v>3113.8799999999997</v>
      </c>
      <c r="J1893" s="593">
        <f t="shared" ref="J1893:O1893" si="284">J1889+J1862+J1845+J1837+J1812+J1794+J1776+J1745+J1728+J1711+J1696+J1680+J1651+J1634+J1619+J1598+J1590+J1576+J1554+J1526+J1506+J1479+J1440+J1408</f>
        <v>1575.35</v>
      </c>
      <c r="K1893" s="593">
        <f t="shared" si="284"/>
        <v>1823.2650000000001</v>
      </c>
      <c r="L1893" s="593">
        <f t="shared" si="284"/>
        <v>2666.72</v>
      </c>
      <c r="M1893" s="593">
        <f t="shared" si="284"/>
        <v>201.6</v>
      </c>
      <c r="N1893" s="593">
        <f t="shared" si="284"/>
        <v>485.2</v>
      </c>
      <c r="O1893" s="594">
        <f t="shared" si="284"/>
        <v>569.6</v>
      </c>
    </row>
    <row r="1894" spans="1:15" ht="21" customHeight="1" thickBot="1">
      <c r="A1894" s="2139" t="s">
        <v>1231</v>
      </c>
      <c r="B1894" s="2140"/>
      <c r="C1894" s="2140"/>
      <c r="D1894" s="2140"/>
      <c r="E1894" s="2140"/>
      <c r="F1894" s="2140"/>
      <c r="G1894" s="2141"/>
      <c r="H1894" s="2133">
        <f>SUM(H1893:O1893)</f>
        <v>10435.615000000002</v>
      </c>
      <c r="I1894" s="2134"/>
      <c r="J1894" s="2134"/>
      <c r="K1894" s="2134"/>
      <c r="L1894" s="2134"/>
      <c r="M1894" s="2134"/>
      <c r="N1894" s="2134"/>
      <c r="O1894" s="2135"/>
    </row>
    <row r="1895" spans="1:15" ht="21" customHeight="1" thickBot="1"/>
    <row r="1896" spans="1:15" ht="18.75" customHeight="1" thickBot="1">
      <c r="A1896" s="2251" t="s">
        <v>499</v>
      </c>
      <c r="B1896" s="2252"/>
      <c r="C1896" s="2252"/>
      <c r="D1896" s="2252"/>
      <c r="E1896" s="2252"/>
      <c r="F1896" s="2252"/>
      <c r="G1896" s="2252"/>
      <c r="H1896" s="2252"/>
      <c r="I1896" s="2252"/>
      <c r="J1896" s="2252"/>
      <c r="K1896" s="2252"/>
      <c r="L1896" s="2252"/>
      <c r="M1896" s="2252"/>
      <c r="N1896" s="2252"/>
      <c r="O1896" s="2253"/>
    </row>
    <row r="1897" spans="1:15" ht="18.75" hidden="1" customHeight="1" outlineLevel="1">
      <c r="A1897" s="2163" t="s">
        <v>500</v>
      </c>
      <c r="B1897" s="2164"/>
      <c r="C1897" s="2164"/>
      <c r="D1897" s="2254" t="s">
        <v>2</v>
      </c>
      <c r="E1897" s="2254" t="s">
        <v>1</v>
      </c>
      <c r="F1897" s="2254" t="s">
        <v>3</v>
      </c>
      <c r="G1897" s="2254" t="s">
        <v>4</v>
      </c>
      <c r="H1897" s="2256" t="s">
        <v>6</v>
      </c>
      <c r="I1897" s="2256"/>
      <c r="J1897" s="2256"/>
      <c r="K1897" s="2256"/>
      <c r="L1897" s="2256"/>
      <c r="M1897" s="2256"/>
      <c r="N1897" s="2256"/>
      <c r="O1897" s="2257"/>
    </row>
    <row r="1898" spans="1:15" ht="18.75" hidden="1" customHeight="1" outlineLevel="1">
      <c r="A1898" s="2165"/>
      <c r="B1898" s="2166"/>
      <c r="C1898" s="2166"/>
      <c r="D1898" s="2255"/>
      <c r="E1898" s="2255"/>
      <c r="F1898" s="2255"/>
      <c r="G1898" s="2255"/>
      <c r="H1898" s="206" t="s">
        <v>7</v>
      </c>
      <c r="I1898" s="206" t="s">
        <v>8</v>
      </c>
      <c r="J1898" s="206" t="s">
        <v>9</v>
      </c>
      <c r="K1898" s="206" t="s">
        <v>10</v>
      </c>
      <c r="L1898" s="206" t="s">
        <v>11</v>
      </c>
      <c r="M1898" s="206" t="s">
        <v>12</v>
      </c>
      <c r="N1898" s="206" t="s">
        <v>13</v>
      </c>
      <c r="O1898" s="615" t="s">
        <v>18</v>
      </c>
    </row>
    <row r="1899" spans="1:15" ht="18.75" hidden="1" customHeight="1" outlineLevel="1">
      <c r="A1899" s="1999">
        <v>1</v>
      </c>
      <c r="B1899" s="1828"/>
      <c r="C1899" s="1828"/>
      <c r="D1899" s="5">
        <v>2</v>
      </c>
      <c r="E1899" s="5">
        <v>20</v>
      </c>
      <c r="F1899" s="5">
        <f>D1899*E1899</f>
        <v>40</v>
      </c>
      <c r="G1899" s="5">
        <v>7.3</v>
      </c>
      <c r="H1899" s="5"/>
      <c r="I1899" s="5"/>
      <c r="J1899" s="5"/>
      <c r="K1899" s="5"/>
      <c r="L1899" s="5">
        <f>2.24*F1899*G1899</f>
        <v>654.08000000000004</v>
      </c>
      <c r="M1899" s="5"/>
      <c r="N1899" s="5"/>
      <c r="O1899" s="278"/>
    </row>
    <row r="1900" spans="1:15" ht="18.75" hidden="1" customHeight="1" outlineLevel="1">
      <c r="A1900" s="1999">
        <v>2</v>
      </c>
      <c r="B1900" s="1828"/>
      <c r="C1900" s="1828"/>
      <c r="D1900" s="5">
        <v>8</v>
      </c>
      <c r="E1900" s="5">
        <v>20</v>
      </c>
      <c r="F1900" s="5">
        <f t="shared" ref="F1900:F1910" si="285">D1900*E1900</f>
        <v>160</v>
      </c>
      <c r="G1900" s="5">
        <v>7.3</v>
      </c>
      <c r="H1900" s="5"/>
      <c r="I1900" s="5"/>
      <c r="J1900" s="5"/>
      <c r="K1900" s="5"/>
      <c r="L1900" s="5">
        <f t="shared" ref="L1900:L1908" si="286">2.24*F1900*G1900</f>
        <v>2616.3200000000002</v>
      </c>
      <c r="M1900" s="5"/>
      <c r="N1900" s="5"/>
      <c r="O1900" s="278"/>
    </row>
    <row r="1901" spans="1:15" ht="18.75" hidden="1" customHeight="1" outlineLevel="1">
      <c r="A1901" s="1999">
        <v>3</v>
      </c>
      <c r="B1901" s="1828"/>
      <c r="C1901" s="1828"/>
      <c r="D1901" s="5">
        <v>1</v>
      </c>
      <c r="E1901" s="5">
        <v>20</v>
      </c>
      <c r="F1901" s="5">
        <f t="shared" si="285"/>
        <v>20</v>
      </c>
      <c r="G1901" s="5">
        <v>13.38</v>
      </c>
      <c r="H1901" s="5"/>
      <c r="I1901" s="5"/>
      <c r="J1901" s="5"/>
      <c r="K1901" s="5"/>
      <c r="L1901" s="5">
        <f t="shared" si="286"/>
        <v>599.42400000000009</v>
      </c>
      <c r="M1901" s="5"/>
      <c r="N1901" s="5"/>
      <c r="O1901" s="278"/>
    </row>
    <row r="1902" spans="1:15" ht="18.75" hidden="1" customHeight="1" outlineLevel="1">
      <c r="A1902" s="1999">
        <v>4</v>
      </c>
      <c r="B1902" s="1828"/>
      <c r="C1902" s="1828"/>
      <c r="D1902" s="5">
        <v>3</v>
      </c>
      <c r="E1902" s="5">
        <v>20</v>
      </c>
      <c r="F1902" s="5">
        <f t="shared" si="285"/>
        <v>60</v>
      </c>
      <c r="G1902" s="5">
        <v>13.38</v>
      </c>
      <c r="H1902" s="5"/>
      <c r="I1902" s="5"/>
      <c r="J1902" s="5"/>
      <c r="K1902" s="5"/>
      <c r="L1902" s="5">
        <f t="shared" si="286"/>
        <v>1798.2720000000002</v>
      </c>
      <c r="M1902" s="5"/>
      <c r="N1902" s="5"/>
      <c r="O1902" s="278"/>
    </row>
    <row r="1903" spans="1:15" ht="18.75" hidden="1" customHeight="1" outlineLevel="1">
      <c r="A1903" s="1999">
        <v>5</v>
      </c>
      <c r="B1903" s="1828"/>
      <c r="C1903" s="1828"/>
      <c r="D1903" s="5">
        <v>3</v>
      </c>
      <c r="E1903" s="5">
        <v>28</v>
      </c>
      <c r="F1903" s="5">
        <f t="shared" si="285"/>
        <v>84</v>
      </c>
      <c r="G1903" s="5">
        <v>7.3</v>
      </c>
      <c r="H1903" s="5"/>
      <c r="I1903" s="5"/>
      <c r="J1903" s="5"/>
      <c r="K1903" s="5"/>
      <c r="L1903" s="5">
        <f t="shared" si="286"/>
        <v>1373.5680000000002</v>
      </c>
      <c r="M1903" s="5"/>
      <c r="N1903" s="5"/>
      <c r="O1903" s="278"/>
    </row>
    <row r="1904" spans="1:15" ht="18.75" hidden="1" customHeight="1" outlineLevel="1">
      <c r="A1904" s="1999">
        <v>6</v>
      </c>
      <c r="B1904" s="1828"/>
      <c r="C1904" s="1828"/>
      <c r="D1904" s="5">
        <v>3</v>
      </c>
      <c r="E1904" s="5">
        <v>28</v>
      </c>
      <c r="F1904" s="5">
        <f t="shared" si="285"/>
        <v>84</v>
      </c>
      <c r="G1904" s="5">
        <v>7.3</v>
      </c>
      <c r="H1904" s="5"/>
      <c r="I1904" s="5"/>
      <c r="J1904" s="5"/>
      <c r="K1904" s="5"/>
      <c r="L1904" s="5">
        <f t="shared" si="286"/>
        <v>1373.5680000000002</v>
      </c>
      <c r="M1904" s="5"/>
      <c r="N1904" s="5"/>
      <c r="O1904" s="278"/>
    </row>
    <row r="1905" spans="1:15" ht="18.75" hidden="1" customHeight="1" outlineLevel="1">
      <c r="A1905" s="1999">
        <v>7</v>
      </c>
      <c r="B1905" s="1828"/>
      <c r="C1905" s="1828"/>
      <c r="D1905" s="5">
        <v>5</v>
      </c>
      <c r="E1905" s="5">
        <v>28</v>
      </c>
      <c r="F1905" s="5">
        <f t="shared" si="285"/>
        <v>140</v>
      </c>
      <c r="G1905" s="5">
        <v>13.38</v>
      </c>
      <c r="H1905" s="5"/>
      <c r="I1905" s="5"/>
      <c r="J1905" s="5"/>
      <c r="K1905" s="5"/>
      <c r="L1905" s="5">
        <f t="shared" si="286"/>
        <v>4195.9680000000008</v>
      </c>
      <c r="M1905" s="5"/>
      <c r="N1905" s="5"/>
      <c r="O1905" s="278"/>
    </row>
    <row r="1906" spans="1:15" ht="18.75" hidden="1" customHeight="1" outlineLevel="1">
      <c r="A1906" s="1999">
        <v>8</v>
      </c>
      <c r="B1906" s="1828"/>
      <c r="C1906" s="1828"/>
      <c r="D1906" s="5">
        <v>1</v>
      </c>
      <c r="E1906" s="5">
        <v>28</v>
      </c>
      <c r="F1906" s="5">
        <f t="shared" si="285"/>
        <v>28</v>
      </c>
      <c r="G1906" s="5">
        <v>13.38</v>
      </c>
      <c r="H1906" s="5"/>
      <c r="I1906" s="5"/>
      <c r="J1906" s="5"/>
      <c r="K1906" s="5"/>
      <c r="L1906" s="5">
        <f t="shared" si="286"/>
        <v>839.19360000000017</v>
      </c>
      <c r="M1906" s="5"/>
      <c r="N1906" s="5"/>
      <c r="O1906" s="278"/>
    </row>
    <row r="1907" spans="1:15" ht="18.75" hidden="1" customHeight="1" outlineLevel="1">
      <c r="A1907" s="1999">
        <v>9</v>
      </c>
      <c r="B1907" s="1828"/>
      <c r="C1907" s="1828"/>
      <c r="D1907" s="5">
        <v>5</v>
      </c>
      <c r="E1907" s="5">
        <v>40</v>
      </c>
      <c r="F1907" s="5">
        <f t="shared" si="285"/>
        <v>200</v>
      </c>
      <c r="G1907" s="5">
        <v>13.38</v>
      </c>
      <c r="H1907" s="5"/>
      <c r="I1907" s="5"/>
      <c r="J1907" s="5"/>
      <c r="K1907" s="5"/>
      <c r="L1907" s="5"/>
      <c r="M1907" s="5">
        <f>3*G1907*F1907</f>
        <v>8028</v>
      </c>
      <c r="N1907" s="5"/>
      <c r="O1907" s="278"/>
    </row>
    <row r="1908" spans="1:15" ht="18.75" hidden="1" customHeight="1" outlineLevel="1">
      <c r="A1908" s="1999">
        <v>10</v>
      </c>
      <c r="B1908" s="1828"/>
      <c r="C1908" s="1828"/>
      <c r="D1908" s="5">
        <f>1+0</f>
        <v>1</v>
      </c>
      <c r="E1908" s="5">
        <v>36</v>
      </c>
      <c r="F1908" s="5">
        <f t="shared" si="285"/>
        <v>36</v>
      </c>
      <c r="G1908" s="5">
        <v>13.38</v>
      </c>
      <c r="H1908" s="5"/>
      <c r="I1908" s="5"/>
      <c r="J1908" s="5"/>
      <c r="K1908" s="5"/>
      <c r="L1908" s="5">
        <f t="shared" si="286"/>
        <v>1078.9632000000004</v>
      </c>
      <c r="M1908" s="5"/>
      <c r="N1908" s="5"/>
      <c r="O1908" s="278"/>
    </row>
    <row r="1909" spans="1:15" ht="18.75" hidden="1" customHeight="1" outlineLevel="1">
      <c r="A1909" s="1999">
        <v>11</v>
      </c>
      <c r="B1909" s="1828"/>
      <c r="C1909" s="1828"/>
      <c r="D1909" s="5">
        <f>1+2</f>
        <v>3</v>
      </c>
      <c r="E1909" s="5">
        <v>38</v>
      </c>
      <c r="F1909" s="5">
        <f t="shared" si="285"/>
        <v>114</v>
      </c>
      <c r="G1909" s="5">
        <v>13.38</v>
      </c>
      <c r="H1909" s="5"/>
      <c r="I1909" s="5"/>
      <c r="J1909" s="5"/>
      <c r="K1909" s="5"/>
      <c r="L1909" s="5"/>
      <c r="M1909" s="5">
        <f>3*G1909*F1909</f>
        <v>4575.96</v>
      </c>
      <c r="N1909" s="5"/>
      <c r="O1909" s="278"/>
    </row>
    <row r="1910" spans="1:15" ht="18.75" hidden="1" customHeight="1" outlineLevel="1" thickBot="1">
      <c r="A1910" s="2095">
        <v>12</v>
      </c>
      <c r="B1910" s="1929"/>
      <c r="C1910" s="1929"/>
      <c r="D1910" s="230">
        <v>1</v>
      </c>
      <c r="E1910" s="230">
        <v>40</v>
      </c>
      <c r="F1910" s="230">
        <f t="shared" si="285"/>
        <v>40</v>
      </c>
      <c r="G1910" s="230">
        <v>13.38</v>
      </c>
      <c r="H1910" s="230"/>
      <c r="I1910" s="230"/>
      <c r="J1910" s="230"/>
      <c r="K1910" s="230"/>
      <c r="L1910" s="230"/>
      <c r="M1910" s="230">
        <f>3*G1910*F1910</f>
        <v>1605.6</v>
      </c>
      <c r="N1910" s="230"/>
      <c r="O1910" s="414"/>
    </row>
    <row r="1911" spans="1:15" ht="18.75" customHeight="1" collapsed="1">
      <c r="A1911" s="2171"/>
      <c r="B1911" s="2172"/>
      <c r="C1911" s="2172"/>
      <c r="D1911" s="2172"/>
      <c r="E1911" s="2172"/>
      <c r="F1911" s="2172"/>
      <c r="G1911" s="2172"/>
      <c r="H1911" s="593">
        <f t="shared" ref="H1911:O1911" si="287">SUM(H1899:H1910)</f>
        <v>0</v>
      </c>
      <c r="I1911" s="593">
        <f t="shared" si="287"/>
        <v>0</v>
      </c>
      <c r="J1911" s="593">
        <f t="shared" si="287"/>
        <v>0</v>
      </c>
      <c r="K1911" s="593">
        <f t="shared" si="287"/>
        <v>0</v>
      </c>
      <c r="L1911" s="593">
        <f t="shared" si="287"/>
        <v>14529.356800000001</v>
      </c>
      <c r="M1911" s="593">
        <f t="shared" si="287"/>
        <v>14209.56</v>
      </c>
      <c r="N1911" s="593">
        <f t="shared" si="287"/>
        <v>0</v>
      </c>
      <c r="O1911" s="594">
        <f t="shared" si="287"/>
        <v>0</v>
      </c>
    </row>
    <row r="1912" spans="1:15" ht="18.75" customHeight="1" thickBot="1">
      <c r="A1912" s="2173" t="s">
        <v>502</v>
      </c>
      <c r="B1912" s="2174"/>
      <c r="C1912" s="2174"/>
      <c r="D1912" s="2174"/>
      <c r="E1912" s="2174"/>
      <c r="F1912" s="2174"/>
      <c r="G1912" s="2174"/>
      <c r="H1912" s="2133">
        <f>SUM(H1911:O1911)</f>
        <v>28738.916799999999</v>
      </c>
      <c r="I1912" s="2134"/>
      <c r="J1912" s="2134"/>
      <c r="K1912" s="2134"/>
      <c r="L1912" s="2134"/>
      <c r="M1912" s="2134"/>
      <c r="N1912" s="2134"/>
      <c r="O1912" s="2135"/>
    </row>
    <row r="1913" spans="1:15" ht="18.75" customHeight="1" thickBot="1"/>
    <row r="1914" spans="1:15" ht="18.75" customHeight="1">
      <c r="A1914" s="2251" t="s">
        <v>503</v>
      </c>
      <c r="B1914" s="2252"/>
      <c r="C1914" s="2252"/>
      <c r="D1914" s="2252"/>
      <c r="E1914" s="2252"/>
      <c r="F1914" s="2252"/>
      <c r="G1914" s="2252"/>
      <c r="H1914" s="2252"/>
      <c r="I1914" s="2252"/>
      <c r="J1914" s="2252"/>
      <c r="K1914" s="2252"/>
      <c r="L1914" s="2252"/>
      <c r="M1914" s="2252"/>
      <c r="N1914" s="2252"/>
      <c r="O1914" s="2253"/>
    </row>
    <row r="1915" spans="1:15" ht="18.75" hidden="1" customHeight="1" outlineLevel="1">
      <c r="A1915" s="2163" t="s">
        <v>500</v>
      </c>
      <c r="B1915" s="2164"/>
      <c r="C1915" s="2254" t="s">
        <v>2</v>
      </c>
      <c r="D1915" s="2254" t="s">
        <v>1</v>
      </c>
      <c r="E1915" s="2254" t="s">
        <v>3</v>
      </c>
      <c r="F1915" s="2254" t="s">
        <v>504</v>
      </c>
      <c r="G1915" s="2254" t="s">
        <v>4</v>
      </c>
      <c r="H1915" s="2256" t="s">
        <v>6</v>
      </c>
      <c r="I1915" s="2256"/>
      <c r="J1915" s="2256"/>
      <c r="K1915" s="2256"/>
      <c r="L1915" s="2256"/>
      <c r="M1915" s="2256"/>
      <c r="N1915" s="2256"/>
      <c r="O1915" s="2257"/>
    </row>
    <row r="1916" spans="1:15" ht="18.75" hidden="1" customHeight="1" outlineLevel="1">
      <c r="A1916" s="2165"/>
      <c r="B1916" s="2166"/>
      <c r="C1916" s="2255"/>
      <c r="D1916" s="2255"/>
      <c r="E1916" s="2255"/>
      <c r="F1916" s="2255"/>
      <c r="G1916" s="2255"/>
      <c r="H1916" s="206" t="s">
        <v>7</v>
      </c>
      <c r="I1916" s="206" t="s">
        <v>8</v>
      </c>
      <c r="J1916" s="206" t="s">
        <v>9</v>
      </c>
      <c r="K1916" s="206" t="s">
        <v>10</v>
      </c>
      <c r="L1916" s="206" t="s">
        <v>11</v>
      </c>
      <c r="M1916" s="206" t="s">
        <v>12</v>
      </c>
      <c r="N1916" s="206" t="s">
        <v>13</v>
      </c>
      <c r="O1916" s="615" t="s">
        <v>18</v>
      </c>
    </row>
    <row r="1917" spans="1:15" ht="18.75" hidden="1" customHeight="1" outlineLevel="1">
      <c r="A1917" s="1999">
        <v>1</v>
      </c>
      <c r="B1917" s="1828"/>
      <c r="C1917" s="5">
        <v>2</v>
      </c>
      <c r="D1917" s="5">
        <v>41</v>
      </c>
      <c r="E1917" s="5">
        <f>C1917*D1917</f>
        <v>82</v>
      </c>
      <c r="F1917" s="5">
        <v>1.2</v>
      </c>
      <c r="G1917" s="5">
        <f>+PI()*(F1917-0.08)</f>
        <v>3.5185837720205679</v>
      </c>
      <c r="H1917" s="5"/>
      <c r="I1917" s="5"/>
      <c r="J1917" s="5">
        <f>1*G1917*E1917</f>
        <v>288.52386930568656</v>
      </c>
      <c r="K1917" s="5"/>
      <c r="L1917" s="5"/>
      <c r="M1917" s="5"/>
      <c r="N1917" s="5"/>
      <c r="O1917" s="278"/>
    </row>
    <row r="1918" spans="1:15" ht="18.75" hidden="1" customHeight="1" outlineLevel="1">
      <c r="A1918" s="1999">
        <v>2</v>
      </c>
      <c r="B1918" s="1828"/>
      <c r="C1918" s="5">
        <v>8</v>
      </c>
      <c r="D1918" s="5">
        <v>41</v>
      </c>
      <c r="E1918" s="5">
        <f t="shared" ref="E1918:E1928" si="288">C1918*D1918</f>
        <v>328</v>
      </c>
      <c r="F1918" s="5">
        <v>1.2</v>
      </c>
      <c r="G1918" s="5">
        <f>+PI()*(F1918-0.08)</f>
        <v>3.5185837720205679</v>
      </c>
      <c r="H1918" s="5"/>
      <c r="I1918" s="5"/>
      <c r="J1918" s="5">
        <f t="shared" ref="J1918:J1928" si="289">1*G1918*E1918</f>
        <v>1154.0954772227462</v>
      </c>
      <c r="K1918" s="5"/>
      <c r="L1918" s="5"/>
      <c r="M1918" s="5"/>
      <c r="N1918" s="5"/>
      <c r="O1918" s="278"/>
    </row>
    <row r="1919" spans="1:15" ht="18.75" hidden="1" customHeight="1" outlineLevel="1">
      <c r="A1919" s="1999">
        <v>3</v>
      </c>
      <c r="B1919" s="1828"/>
      <c r="C1919" s="5">
        <v>1</v>
      </c>
      <c r="D1919" s="345">
        <v>59</v>
      </c>
      <c r="E1919" s="5">
        <f t="shared" si="288"/>
        <v>59</v>
      </c>
      <c r="F1919" s="5">
        <v>1.2</v>
      </c>
      <c r="G1919" s="5">
        <f t="shared" ref="G1919:G1928" si="290">+PI()*(F1919-0.08)</f>
        <v>3.5185837720205679</v>
      </c>
      <c r="H1919" s="5"/>
      <c r="I1919" s="5"/>
      <c r="J1919" s="5">
        <f t="shared" si="289"/>
        <v>207.59644254921352</v>
      </c>
      <c r="K1919" s="5"/>
      <c r="L1919" s="5"/>
      <c r="M1919" s="5"/>
      <c r="N1919" s="5"/>
      <c r="O1919" s="278"/>
    </row>
    <row r="1920" spans="1:15" ht="18.75" hidden="1" customHeight="1" outlineLevel="1">
      <c r="A1920" s="1999">
        <v>4</v>
      </c>
      <c r="B1920" s="1828"/>
      <c r="C1920" s="5">
        <v>3</v>
      </c>
      <c r="D1920" s="345">
        <v>59</v>
      </c>
      <c r="E1920" s="5">
        <f t="shared" si="288"/>
        <v>177</v>
      </c>
      <c r="F1920" s="5">
        <v>1.2</v>
      </c>
      <c r="G1920" s="5">
        <f t="shared" si="290"/>
        <v>3.5185837720205679</v>
      </c>
      <c r="H1920" s="5"/>
      <c r="I1920" s="5"/>
      <c r="J1920" s="5">
        <f t="shared" si="289"/>
        <v>622.78932764764056</v>
      </c>
      <c r="K1920" s="5"/>
      <c r="L1920" s="5"/>
      <c r="M1920" s="5"/>
      <c r="N1920" s="5"/>
      <c r="O1920" s="278"/>
    </row>
    <row r="1921" spans="1:15" ht="18.75" hidden="1" customHeight="1" outlineLevel="1">
      <c r="A1921" s="1999">
        <v>5</v>
      </c>
      <c r="B1921" s="1828"/>
      <c r="C1921" s="5">
        <v>3</v>
      </c>
      <c r="D1921" s="5">
        <v>41</v>
      </c>
      <c r="E1921" s="5">
        <f t="shared" si="288"/>
        <v>123</v>
      </c>
      <c r="F1921" s="5">
        <v>1.4</v>
      </c>
      <c r="G1921" s="5">
        <f t="shared" si="290"/>
        <v>4.1469023027385266</v>
      </c>
      <c r="H1921" s="5"/>
      <c r="I1921" s="5"/>
      <c r="J1921" s="5">
        <f t="shared" si="289"/>
        <v>510.06898323683879</v>
      </c>
      <c r="K1921" s="5"/>
      <c r="L1921" s="5"/>
      <c r="M1921" s="5"/>
      <c r="N1921" s="5"/>
      <c r="O1921" s="278"/>
    </row>
    <row r="1922" spans="1:15" ht="18.75" hidden="1" customHeight="1" outlineLevel="1">
      <c r="A1922" s="1999">
        <v>6</v>
      </c>
      <c r="B1922" s="1828"/>
      <c r="C1922" s="5">
        <v>3</v>
      </c>
      <c r="D1922" s="5">
        <v>41</v>
      </c>
      <c r="E1922" s="5">
        <f t="shared" si="288"/>
        <v>123</v>
      </c>
      <c r="F1922" s="5">
        <v>1.4</v>
      </c>
      <c r="G1922" s="5">
        <f t="shared" si="290"/>
        <v>4.1469023027385266</v>
      </c>
      <c r="H1922" s="5"/>
      <c r="I1922" s="5"/>
      <c r="J1922" s="5">
        <f t="shared" si="289"/>
        <v>510.06898323683879</v>
      </c>
      <c r="K1922" s="5"/>
      <c r="L1922" s="5"/>
      <c r="M1922" s="5"/>
      <c r="N1922" s="5"/>
      <c r="O1922" s="278"/>
    </row>
    <row r="1923" spans="1:15" ht="18.75" hidden="1" customHeight="1" outlineLevel="1">
      <c r="A1923" s="1999">
        <v>7</v>
      </c>
      <c r="B1923" s="1828"/>
      <c r="C1923" s="5">
        <v>5</v>
      </c>
      <c r="D1923" s="345">
        <v>59</v>
      </c>
      <c r="E1923" s="5">
        <f>C1923*D1923</f>
        <v>295</v>
      </c>
      <c r="F1923" s="5">
        <v>1.4</v>
      </c>
      <c r="G1923" s="5">
        <f t="shared" si="290"/>
        <v>4.1469023027385266</v>
      </c>
      <c r="H1923" s="5"/>
      <c r="I1923" s="5"/>
      <c r="J1923" s="5">
        <f t="shared" si="289"/>
        <v>1223.3361793078652</v>
      </c>
      <c r="K1923" s="5"/>
      <c r="L1923" s="5"/>
      <c r="M1923" s="5"/>
      <c r="N1923" s="5"/>
      <c r="O1923" s="278"/>
    </row>
    <row r="1924" spans="1:15" ht="18.75" hidden="1" customHeight="1" outlineLevel="1">
      <c r="A1924" s="1999">
        <v>8</v>
      </c>
      <c r="B1924" s="1828"/>
      <c r="C1924" s="5">
        <v>1</v>
      </c>
      <c r="D1924" s="345">
        <v>59</v>
      </c>
      <c r="E1924" s="5">
        <f t="shared" si="288"/>
        <v>59</v>
      </c>
      <c r="F1924" s="5">
        <v>1.4</v>
      </c>
      <c r="G1924" s="5">
        <f t="shared" si="290"/>
        <v>4.1469023027385266</v>
      </c>
      <c r="H1924" s="5"/>
      <c r="I1924" s="5"/>
      <c r="J1924" s="5">
        <f t="shared" si="289"/>
        <v>244.66723586157306</v>
      </c>
      <c r="K1924" s="5"/>
      <c r="L1924" s="5"/>
      <c r="M1924" s="5"/>
      <c r="N1924" s="5"/>
      <c r="O1924" s="278"/>
    </row>
    <row r="1925" spans="1:15" ht="18.75" hidden="1" customHeight="1" outlineLevel="1">
      <c r="A1925" s="1999">
        <v>9</v>
      </c>
      <c r="B1925" s="1828"/>
      <c r="C1925" s="5">
        <v>5</v>
      </c>
      <c r="D1925" s="345">
        <v>59</v>
      </c>
      <c r="E1925" s="5">
        <f t="shared" si="288"/>
        <v>295</v>
      </c>
      <c r="F1925" s="5">
        <v>1.4</v>
      </c>
      <c r="G1925" s="5">
        <f t="shared" si="290"/>
        <v>4.1469023027385266</v>
      </c>
      <c r="H1925" s="5"/>
      <c r="I1925" s="5"/>
      <c r="J1925" s="5">
        <f t="shared" si="289"/>
        <v>1223.3361793078652</v>
      </c>
      <c r="K1925" s="5"/>
      <c r="L1925" s="5"/>
      <c r="M1925" s="5"/>
      <c r="N1925" s="5"/>
      <c r="O1925" s="278"/>
    </row>
    <row r="1926" spans="1:15" ht="18.75" hidden="1" customHeight="1" outlineLevel="1">
      <c r="A1926" s="1999">
        <v>10</v>
      </c>
      <c r="B1926" s="1828"/>
      <c r="C1926" s="5">
        <f>1+0</f>
        <v>1</v>
      </c>
      <c r="D1926" s="345">
        <v>59</v>
      </c>
      <c r="E1926" s="5">
        <f t="shared" si="288"/>
        <v>59</v>
      </c>
      <c r="F1926" s="5">
        <v>1.6</v>
      </c>
      <c r="G1926" s="5">
        <f t="shared" si="290"/>
        <v>4.7752208334564852</v>
      </c>
      <c r="H1926" s="5"/>
      <c r="I1926" s="5"/>
      <c r="J1926" s="5">
        <f t="shared" si="289"/>
        <v>281.7380291739326</v>
      </c>
      <c r="K1926" s="5"/>
      <c r="L1926" s="5"/>
      <c r="M1926" s="5"/>
      <c r="N1926" s="5"/>
      <c r="O1926" s="278"/>
    </row>
    <row r="1927" spans="1:15" ht="18.75" hidden="1" customHeight="1" outlineLevel="1">
      <c r="A1927" s="1999">
        <v>11</v>
      </c>
      <c r="B1927" s="1828"/>
      <c r="C1927" s="5">
        <f>1+2</f>
        <v>3</v>
      </c>
      <c r="D1927" s="345">
        <v>59</v>
      </c>
      <c r="E1927" s="5">
        <f t="shared" si="288"/>
        <v>177</v>
      </c>
      <c r="F1927" s="5">
        <v>1.6</v>
      </c>
      <c r="G1927" s="5">
        <f t="shared" si="290"/>
        <v>4.7752208334564852</v>
      </c>
      <c r="H1927" s="5"/>
      <c r="I1927" s="5"/>
      <c r="J1927" s="5">
        <f t="shared" si="289"/>
        <v>845.21408752179786</v>
      </c>
      <c r="K1927" s="5"/>
      <c r="L1927" s="5"/>
      <c r="M1927" s="5"/>
      <c r="N1927" s="5"/>
      <c r="O1927" s="278"/>
    </row>
    <row r="1928" spans="1:15" ht="18.75" hidden="1" customHeight="1" outlineLevel="1">
      <c r="A1928" s="1999">
        <v>12</v>
      </c>
      <c r="B1928" s="1828"/>
      <c r="C1928" s="5">
        <v>1</v>
      </c>
      <c r="D1928" s="345">
        <v>59</v>
      </c>
      <c r="E1928" s="5">
        <f t="shared" si="288"/>
        <v>59</v>
      </c>
      <c r="F1928" s="5">
        <v>1.4</v>
      </c>
      <c r="G1928" s="5">
        <f t="shared" si="290"/>
        <v>4.1469023027385266</v>
      </c>
      <c r="H1928" s="5"/>
      <c r="I1928" s="5"/>
      <c r="J1928" s="5">
        <f t="shared" si="289"/>
        <v>244.66723586157306</v>
      </c>
      <c r="K1928" s="5"/>
      <c r="L1928" s="5"/>
      <c r="M1928" s="5"/>
      <c r="N1928" s="5"/>
      <c r="O1928" s="278"/>
    </row>
    <row r="1929" spans="1:15" ht="18.75" customHeight="1" collapsed="1">
      <c r="A1929" s="2129" t="s">
        <v>501</v>
      </c>
      <c r="B1929" s="2130"/>
      <c r="C1929" s="2130"/>
      <c r="D1929" s="2130"/>
      <c r="E1929" s="2130"/>
      <c r="F1929" s="2130"/>
      <c r="G1929" s="2130"/>
      <c r="H1929" s="556">
        <f t="shared" ref="H1929:O1929" si="291">SUM(H1917:H1928)</f>
        <v>0</v>
      </c>
      <c r="I1929" s="556">
        <f t="shared" si="291"/>
        <v>0</v>
      </c>
      <c r="J1929" s="556">
        <f t="shared" si="291"/>
        <v>7356.1020302335719</v>
      </c>
      <c r="K1929" s="556">
        <f t="shared" si="291"/>
        <v>0</v>
      </c>
      <c r="L1929" s="556">
        <f t="shared" si="291"/>
        <v>0</v>
      </c>
      <c r="M1929" s="556">
        <f t="shared" si="291"/>
        <v>0</v>
      </c>
      <c r="N1929" s="556">
        <f t="shared" si="291"/>
        <v>0</v>
      </c>
      <c r="O1929" s="557">
        <f t="shared" si="291"/>
        <v>0</v>
      </c>
    </row>
    <row r="1930" spans="1:15" ht="18.75" customHeight="1" thickBot="1">
      <c r="A1930" s="2131" t="s">
        <v>502</v>
      </c>
      <c r="B1930" s="2132"/>
      <c r="C1930" s="2132"/>
      <c r="D1930" s="2132"/>
      <c r="E1930" s="2132"/>
      <c r="F1930" s="2132"/>
      <c r="G1930" s="2132"/>
      <c r="H1930" s="2133">
        <f>SUM(H1929:O1929)</f>
        <v>7356.1020302335719</v>
      </c>
      <c r="I1930" s="2134"/>
      <c r="J1930" s="2134"/>
      <c r="K1930" s="2134"/>
      <c r="L1930" s="2134"/>
      <c r="M1930" s="2134"/>
      <c r="N1930" s="2134"/>
      <c r="O1930" s="2135"/>
    </row>
    <row r="1931" spans="1:15" ht="18.75" customHeight="1" thickBot="1"/>
    <row r="1932" spans="1:15" ht="20.25" customHeight="1" thickBot="1">
      <c r="A1932" s="2123" t="s">
        <v>507</v>
      </c>
      <c r="B1932" s="2124"/>
      <c r="C1932" s="2124"/>
      <c r="D1932" s="2124"/>
      <c r="E1932" s="2124"/>
      <c r="F1932" s="2124"/>
      <c r="G1932" s="2124"/>
      <c r="H1932" s="2124"/>
      <c r="I1932" s="2124"/>
      <c r="J1932" s="2124"/>
      <c r="K1932" s="2124"/>
      <c r="L1932" s="2124"/>
      <c r="M1932" s="2124"/>
      <c r="N1932" s="2124"/>
      <c r="O1932" s="2125"/>
    </row>
    <row r="1933" spans="1:15" ht="49.5" hidden="1" customHeight="1" outlineLevel="1">
      <c r="A1933" s="2167" t="s">
        <v>505</v>
      </c>
      <c r="B1933" s="2168"/>
      <c r="C1933" s="2168"/>
      <c r="D1933" s="2169"/>
      <c r="E1933" s="346"/>
      <c r="F1933" s="346" t="s">
        <v>110</v>
      </c>
      <c r="G1933" s="346" t="s">
        <v>506</v>
      </c>
      <c r="H1933" s="564" t="s">
        <v>7</v>
      </c>
      <c r="I1933" s="564" t="s">
        <v>8</v>
      </c>
      <c r="J1933" s="564" t="s">
        <v>9</v>
      </c>
      <c r="K1933" s="564" t="s">
        <v>10</v>
      </c>
      <c r="L1933" s="564" t="s">
        <v>11</v>
      </c>
      <c r="M1933" s="564" t="s">
        <v>12</v>
      </c>
      <c r="N1933" s="564" t="s">
        <v>13</v>
      </c>
      <c r="O1933" s="565" t="s">
        <v>18</v>
      </c>
    </row>
    <row r="1934" spans="1:15" ht="49.5" hidden="1" customHeight="1" outlineLevel="1">
      <c r="A1934" s="2161">
        <v>1</v>
      </c>
      <c r="B1934" s="2162"/>
      <c r="C1934" s="2162"/>
      <c r="D1934" s="2162"/>
      <c r="E1934" s="5"/>
      <c r="F1934" s="5">
        <v>9.85</v>
      </c>
      <c r="G1934" s="5">
        <v>11</v>
      </c>
      <c r="H1934" s="5"/>
      <c r="I1934" s="5"/>
      <c r="J1934" s="5"/>
      <c r="K1934" s="5"/>
      <c r="L1934" s="5"/>
      <c r="M1934" s="5"/>
      <c r="N1934" s="5">
        <f>4*G1934*F1934</f>
        <v>433.4</v>
      </c>
      <c r="O1934" s="278"/>
    </row>
    <row r="1935" spans="1:15" ht="49.5" hidden="1" customHeight="1" outlineLevel="1">
      <c r="A1935" s="617"/>
      <c r="B1935" s="618"/>
      <c r="C1935" s="618"/>
      <c r="D1935" s="616"/>
      <c r="E1935" s="5"/>
      <c r="F1935" s="5">
        <v>6.38</v>
      </c>
      <c r="G1935" s="5">
        <v>11</v>
      </c>
      <c r="H1935" s="5"/>
      <c r="I1935" s="5"/>
      <c r="J1935" s="5"/>
      <c r="K1935" s="5"/>
      <c r="L1935" s="5"/>
      <c r="M1935" s="5"/>
      <c r="N1935" s="5">
        <f>4*G1935*F1935</f>
        <v>280.71999999999997</v>
      </c>
      <c r="O1935" s="278"/>
    </row>
    <row r="1936" spans="1:15" ht="49.5" hidden="1" customHeight="1" outlineLevel="1">
      <c r="A1936" s="617"/>
      <c r="B1936" s="618"/>
      <c r="C1936" s="618"/>
      <c r="D1936" s="616"/>
      <c r="E1936" s="5"/>
      <c r="F1936" s="5">
        <v>8.65</v>
      </c>
      <c r="G1936" s="5">
        <v>11</v>
      </c>
      <c r="H1936" s="5"/>
      <c r="I1936" s="5"/>
      <c r="J1936" s="5"/>
      <c r="K1936" s="5"/>
      <c r="L1936" s="5"/>
      <c r="M1936" s="5">
        <f>3*G1936*F1936</f>
        <v>285.45</v>
      </c>
      <c r="N1936" s="5"/>
      <c r="O1936" s="278"/>
    </row>
    <row r="1937" spans="1:15" ht="49.5" hidden="1" customHeight="1" outlineLevel="1">
      <c r="A1937" s="617"/>
      <c r="B1937" s="618"/>
      <c r="C1937" s="618"/>
      <c r="D1937" s="616"/>
      <c r="E1937" s="5"/>
      <c r="F1937" s="5">
        <v>8.4700000000000006</v>
      </c>
      <c r="G1937" s="5">
        <v>11</v>
      </c>
      <c r="H1937" s="5"/>
      <c r="I1937" s="5"/>
      <c r="J1937" s="5"/>
      <c r="K1937" s="5"/>
      <c r="L1937" s="5"/>
      <c r="M1937" s="5">
        <f>3*G1937*F1937</f>
        <v>279.51000000000005</v>
      </c>
      <c r="N1937" s="5"/>
      <c r="O1937" s="278"/>
    </row>
    <row r="1938" spans="1:15" ht="49.5" hidden="1" customHeight="1" outlineLevel="1">
      <c r="A1938" s="617"/>
      <c r="B1938" s="618"/>
      <c r="C1938" s="618"/>
      <c r="D1938" s="616"/>
      <c r="E1938" s="5"/>
      <c r="F1938" s="5">
        <v>12.26</v>
      </c>
      <c r="G1938" s="5">
        <v>11</v>
      </c>
      <c r="H1938" s="5"/>
      <c r="I1938" s="5"/>
      <c r="J1938" s="5"/>
      <c r="K1938" s="5"/>
      <c r="L1938" s="5">
        <f>2.24*G1938*F1938</f>
        <v>302.08640000000003</v>
      </c>
      <c r="M1938" s="5"/>
      <c r="N1938" s="5"/>
      <c r="O1938" s="278"/>
    </row>
    <row r="1939" spans="1:15" ht="49.5" hidden="1" customHeight="1" outlineLevel="1">
      <c r="A1939" s="617"/>
      <c r="B1939" s="618"/>
      <c r="C1939" s="618"/>
      <c r="D1939" s="616"/>
      <c r="E1939" s="5"/>
      <c r="F1939" s="5">
        <v>8.3800000000000008</v>
      </c>
      <c r="G1939" s="5">
        <v>11</v>
      </c>
      <c r="H1939" s="5"/>
      <c r="I1939" s="5"/>
      <c r="J1939" s="5"/>
      <c r="K1939" s="5"/>
      <c r="L1939" s="5">
        <f>2.24*G1939*F1939</f>
        <v>206.48320000000001</v>
      </c>
      <c r="M1939" s="5"/>
      <c r="N1939" s="5"/>
      <c r="O1939" s="278"/>
    </row>
    <row r="1940" spans="1:15" ht="49.5" hidden="1" customHeight="1" outlineLevel="1">
      <c r="A1940" s="617"/>
      <c r="B1940" s="618"/>
      <c r="C1940" s="618"/>
      <c r="D1940" s="616"/>
      <c r="E1940" s="5"/>
      <c r="F1940" s="5">
        <v>8.49</v>
      </c>
      <c r="G1940" s="5">
        <v>11</v>
      </c>
      <c r="H1940" s="5"/>
      <c r="I1940" s="5"/>
      <c r="J1940" s="5"/>
      <c r="K1940" s="5"/>
      <c r="L1940" s="5">
        <f>2.24*G1940*F1940</f>
        <v>209.1936</v>
      </c>
      <c r="M1940" s="5"/>
      <c r="N1940" s="5"/>
      <c r="O1940" s="278"/>
    </row>
    <row r="1941" spans="1:15" ht="49.5" hidden="1" customHeight="1" outlineLevel="1">
      <c r="A1941" s="617"/>
      <c r="B1941" s="618"/>
      <c r="C1941" s="618"/>
      <c r="D1941" s="616"/>
      <c r="E1941" s="5"/>
      <c r="F1941" s="5">
        <f>+(0.75*2)+(0.55*2)+(7.5/100)</f>
        <v>2.6750000000000003</v>
      </c>
      <c r="G1941" s="5">
        <v>242</v>
      </c>
      <c r="H1941" s="5"/>
      <c r="I1941" s="5"/>
      <c r="J1941" s="5"/>
      <c r="K1941" s="5"/>
      <c r="L1941" s="5"/>
      <c r="M1941" s="5"/>
      <c r="N1941" s="5"/>
      <c r="O1941" s="278"/>
    </row>
    <row r="1942" spans="1:15" ht="49.5" hidden="1" customHeight="1" outlineLevel="1">
      <c r="A1942" s="617"/>
      <c r="B1942" s="618"/>
      <c r="C1942" s="618"/>
      <c r="D1942" s="616"/>
      <c r="E1942" s="5"/>
      <c r="F1942" s="5">
        <f>0.75+(7.5/100)</f>
        <v>0.82499999999999996</v>
      </c>
      <c r="G1942" s="5">
        <f>4*G1941</f>
        <v>968</v>
      </c>
      <c r="H1942" s="5"/>
      <c r="I1942" s="5"/>
      <c r="J1942" s="5"/>
      <c r="K1942" s="5"/>
      <c r="L1942" s="5"/>
      <c r="M1942" s="5"/>
      <c r="N1942" s="5"/>
      <c r="O1942" s="278"/>
    </row>
    <row r="1943" spans="1:15" ht="49.5" hidden="1" customHeight="1" outlineLevel="1">
      <c r="A1943" s="617"/>
      <c r="B1943" s="618"/>
      <c r="C1943" s="618"/>
      <c r="D1943" s="616"/>
      <c r="E1943" s="5"/>
      <c r="F1943" s="5">
        <f>0.55+(7.5/100)</f>
        <v>0.625</v>
      </c>
      <c r="G1943" s="5">
        <f>5*G1941</f>
        <v>1210</v>
      </c>
      <c r="H1943" s="5"/>
      <c r="I1943" s="5"/>
      <c r="J1943" s="5"/>
      <c r="K1943" s="5"/>
      <c r="L1943" s="5"/>
      <c r="M1943" s="5"/>
      <c r="N1943" s="5"/>
      <c r="O1943" s="278"/>
    </row>
    <row r="1944" spans="1:15" ht="49.5" hidden="1" customHeight="1" outlineLevel="1">
      <c r="A1944" s="2161">
        <v>2</v>
      </c>
      <c r="B1944" s="2162"/>
      <c r="C1944" s="2162"/>
      <c r="D1944" s="2162"/>
      <c r="E1944" s="5"/>
      <c r="F1944" s="5">
        <v>10.199999999999999</v>
      </c>
      <c r="G1944" s="5">
        <v>9</v>
      </c>
      <c r="H1944" s="5"/>
      <c r="I1944" s="5"/>
      <c r="J1944" s="5"/>
      <c r="K1944" s="5"/>
      <c r="L1944" s="5"/>
      <c r="M1944" s="5"/>
      <c r="N1944" s="5"/>
      <c r="O1944" s="278">
        <f>6.4*G1944*F1944</f>
        <v>587.52</v>
      </c>
    </row>
    <row r="1945" spans="1:15" ht="49.5" hidden="1" customHeight="1" outlineLevel="1">
      <c r="A1945" s="603"/>
      <c r="B1945" s="3"/>
      <c r="C1945" s="3"/>
      <c r="D1945" s="253"/>
      <c r="E1945" s="5"/>
      <c r="F1945" s="5">
        <v>6.77</v>
      </c>
      <c r="G1945" s="5">
        <v>9</v>
      </c>
      <c r="H1945" s="5"/>
      <c r="I1945" s="5"/>
      <c r="J1945" s="5"/>
      <c r="K1945" s="5"/>
      <c r="L1945" s="5"/>
      <c r="M1945" s="5"/>
      <c r="N1945" s="5"/>
      <c r="O1945" s="278">
        <f>6.4*G1945*F1945</f>
        <v>389.952</v>
      </c>
    </row>
    <row r="1946" spans="1:15" ht="49.5" hidden="1" customHeight="1" outlineLevel="1">
      <c r="A1946" s="603"/>
      <c r="B1946" s="3"/>
      <c r="C1946" s="3"/>
      <c r="D1946" s="5"/>
      <c r="E1946" s="5"/>
      <c r="F1946" s="5">
        <v>9.1999999999999993</v>
      </c>
      <c r="G1946" s="5">
        <v>9</v>
      </c>
      <c r="H1946" s="5"/>
      <c r="I1946" s="5"/>
      <c r="J1946" s="5"/>
      <c r="K1946" s="5"/>
      <c r="L1946" s="5"/>
      <c r="M1946" s="5"/>
      <c r="N1946" s="5"/>
      <c r="O1946" s="278">
        <f>6.4*G1946*F1946</f>
        <v>529.91999999999996</v>
      </c>
    </row>
    <row r="1947" spans="1:15" ht="49.5" hidden="1" customHeight="1" outlineLevel="1">
      <c r="A1947" s="603"/>
      <c r="B1947" s="3"/>
      <c r="C1947" s="3"/>
      <c r="D1947" s="5"/>
      <c r="E1947" s="5"/>
      <c r="F1947" s="5">
        <v>9</v>
      </c>
      <c r="G1947" s="5">
        <v>9</v>
      </c>
      <c r="H1947" s="5"/>
      <c r="I1947" s="5"/>
      <c r="J1947" s="5"/>
      <c r="K1947" s="5"/>
      <c r="L1947" s="5"/>
      <c r="M1947" s="5"/>
      <c r="N1947" s="5"/>
      <c r="O1947" s="278">
        <f>6.4*G1947*F1947</f>
        <v>518.4</v>
      </c>
    </row>
    <row r="1948" spans="1:15" ht="49.5" hidden="1" customHeight="1" outlineLevel="1">
      <c r="A1948" s="603"/>
      <c r="B1948" s="3"/>
      <c r="C1948" s="3"/>
      <c r="D1948" s="5"/>
      <c r="E1948" s="5"/>
      <c r="F1948" s="5">
        <v>8.98</v>
      </c>
      <c r="G1948" s="5">
        <v>9</v>
      </c>
      <c r="H1948" s="5"/>
      <c r="I1948" s="5"/>
      <c r="J1948" s="5"/>
      <c r="K1948" s="5"/>
      <c r="L1948" s="5"/>
      <c r="M1948" s="5"/>
      <c r="N1948" s="5">
        <f>4*G1948*F1948</f>
        <v>323.28000000000003</v>
      </c>
      <c r="O1948" s="278"/>
    </row>
    <row r="1949" spans="1:15" ht="49.5" hidden="1" customHeight="1" outlineLevel="1">
      <c r="A1949" s="603"/>
      <c r="B1949" s="3"/>
      <c r="C1949" s="3"/>
      <c r="D1949" s="5"/>
      <c r="E1949" s="5"/>
      <c r="F1949" s="5">
        <v>10.65</v>
      </c>
      <c r="G1949" s="5">
        <v>9</v>
      </c>
      <c r="H1949" s="5"/>
      <c r="I1949" s="5"/>
      <c r="J1949" s="5"/>
      <c r="K1949" s="5"/>
      <c r="L1949" s="5"/>
      <c r="M1949" s="5"/>
      <c r="N1949" s="5">
        <f>4*G1949*F1949</f>
        <v>383.40000000000003</v>
      </c>
      <c r="O1949" s="278"/>
    </row>
    <row r="1950" spans="1:15" ht="49.5" hidden="1" customHeight="1" outlineLevel="1">
      <c r="A1950" s="603"/>
      <c r="B1950" s="3"/>
      <c r="C1950" s="3"/>
      <c r="D1950" s="5"/>
      <c r="E1950" s="5"/>
      <c r="F1950" s="5">
        <v>6.83</v>
      </c>
      <c r="G1950" s="5">
        <v>9</v>
      </c>
      <c r="H1950" s="5"/>
      <c r="I1950" s="5"/>
      <c r="J1950" s="5"/>
      <c r="K1950" s="5"/>
      <c r="L1950" s="5"/>
      <c r="M1950" s="5"/>
      <c r="N1950" s="5">
        <f>4*G1950*F1950</f>
        <v>245.88</v>
      </c>
      <c r="O1950" s="278"/>
    </row>
    <row r="1951" spans="1:15" ht="49.5" hidden="1" customHeight="1" outlineLevel="1">
      <c r="A1951" s="603"/>
      <c r="B1951" s="3"/>
      <c r="C1951" s="3"/>
      <c r="D1951" s="5"/>
      <c r="E1951" s="5"/>
      <c r="F1951" s="5">
        <f>+(0.75*2)+(0.55*2)+(7.5/100)</f>
        <v>2.6750000000000003</v>
      </c>
      <c r="G1951" s="5">
        <v>222</v>
      </c>
      <c r="H1951" s="5"/>
      <c r="I1951" s="5"/>
      <c r="J1951" s="5"/>
      <c r="K1951" s="5"/>
      <c r="L1951" s="5"/>
      <c r="M1951" s="5"/>
      <c r="N1951" s="5"/>
      <c r="O1951" s="278"/>
    </row>
    <row r="1952" spans="1:15" ht="49.5" hidden="1" customHeight="1" outlineLevel="1">
      <c r="A1952" s="603"/>
      <c r="B1952" s="3"/>
      <c r="C1952" s="3"/>
      <c r="D1952" s="5"/>
      <c r="E1952" s="5"/>
      <c r="F1952" s="5">
        <f>0.75+(7.5/100)</f>
        <v>0.82499999999999996</v>
      </c>
      <c r="G1952" s="5">
        <f>3*G1951</f>
        <v>666</v>
      </c>
      <c r="H1952" s="5"/>
      <c r="I1952" s="5"/>
      <c r="J1952" s="5"/>
      <c r="K1952" s="5"/>
      <c r="L1952" s="5"/>
      <c r="M1952" s="5"/>
      <c r="N1952" s="5"/>
      <c r="O1952" s="278"/>
    </row>
    <row r="1953" spans="1:15" ht="49.5" hidden="1" customHeight="1" outlineLevel="1">
      <c r="A1953" s="603"/>
      <c r="B1953" s="3"/>
      <c r="C1953" s="3"/>
      <c r="D1953" s="230"/>
      <c r="E1953" s="5"/>
      <c r="F1953" s="5">
        <f>0.55+(7.5/100)</f>
        <v>0.625</v>
      </c>
      <c r="G1953" s="5">
        <f>4*G1951</f>
        <v>888</v>
      </c>
      <c r="H1953" s="5"/>
      <c r="I1953" s="5"/>
      <c r="J1953" s="5"/>
      <c r="K1953" s="5"/>
      <c r="L1953" s="5"/>
      <c r="M1953" s="5"/>
      <c r="N1953" s="5"/>
      <c r="O1953" s="278"/>
    </row>
    <row r="1954" spans="1:15" ht="49.5" hidden="1" customHeight="1" outlineLevel="1">
      <c r="A1954" s="2161">
        <v>3</v>
      </c>
      <c r="B1954" s="2162"/>
      <c r="C1954" s="2162"/>
      <c r="D1954" s="2162"/>
      <c r="E1954" s="5"/>
      <c r="F1954" s="5">
        <v>9.86</v>
      </c>
      <c r="G1954" s="5">
        <v>9</v>
      </c>
      <c r="H1954" s="5"/>
      <c r="I1954" s="5"/>
      <c r="J1954" s="5"/>
      <c r="K1954" s="5"/>
      <c r="L1954" s="5"/>
      <c r="M1954" s="5"/>
      <c r="N1954" s="5">
        <f>4*G1954*F1954</f>
        <v>354.96</v>
      </c>
      <c r="O1954" s="278"/>
    </row>
    <row r="1955" spans="1:15" ht="49.5" hidden="1" customHeight="1" outlineLevel="1">
      <c r="A1955" s="603"/>
      <c r="B1955" s="3"/>
      <c r="C1955" s="3"/>
      <c r="D1955" s="253"/>
      <c r="E1955" s="5"/>
      <c r="F1955" s="5">
        <v>6.44</v>
      </c>
      <c r="G1955" s="5">
        <v>9</v>
      </c>
      <c r="H1955" s="5"/>
      <c r="I1955" s="5"/>
      <c r="J1955" s="5"/>
      <c r="K1955" s="5"/>
      <c r="L1955" s="5"/>
      <c r="M1955" s="5"/>
      <c r="N1955" s="5">
        <f>4*G1955*F1955</f>
        <v>231.84</v>
      </c>
      <c r="O1955" s="278"/>
    </row>
    <row r="1956" spans="1:15" ht="49.5" hidden="1" customHeight="1" outlineLevel="1">
      <c r="A1956" s="603"/>
      <c r="B1956" s="3"/>
      <c r="C1956" s="3"/>
      <c r="D1956" s="5"/>
      <c r="E1956" s="5"/>
      <c r="F1956" s="5">
        <v>8.65</v>
      </c>
      <c r="G1956" s="5">
        <v>9</v>
      </c>
      <c r="H1956" s="5"/>
      <c r="I1956" s="5"/>
      <c r="J1956" s="5"/>
      <c r="K1956" s="5"/>
      <c r="L1956" s="5"/>
      <c r="M1956" s="5">
        <f>3*G1956*F1956</f>
        <v>233.55</v>
      </c>
      <c r="N1956" s="5"/>
      <c r="O1956" s="278"/>
    </row>
    <row r="1957" spans="1:15" ht="49.5" hidden="1" customHeight="1" outlineLevel="1">
      <c r="A1957" s="603"/>
      <c r="B1957" s="3"/>
      <c r="C1957" s="3"/>
      <c r="D1957" s="5"/>
      <c r="E1957" s="5"/>
      <c r="F1957" s="5">
        <v>8.4700000000000006</v>
      </c>
      <c r="G1957" s="5">
        <v>9</v>
      </c>
      <c r="H1957" s="5"/>
      <c r="I1957" s="5"/>
      <c r="J1957" s="5"/>
      <c r="K1957" s="5"/>
      <c r="L1957" s="5"/>
      <c r="M1957" s="5">
        <f>3*G1957*F1957</f>
        <v>228.69000000000003</v>
      </c>
      <c r="N1957" s="5"/>
      <c r="O1957" s="278"/>
    </row>
    <row r="1958" spans="1:15" ht="49.5" hidden="1" customHeight="1" outlineLevel="1">
      <c r="A1958" s="603"/>
      <c r="B1958" s="3"/>
      <c r="C1958" s="3"/>
      <c r="D1958" s="5"/>
      <c r="E1958" s="5"/>
      <c r="F1958" s="5">
        <v>8.3800000000000008</v>
      </c>
      <c r="G1958" s="5">
        <v>9</v>
      </c>
      <c r="H1958" s="5"/>
      <c r="I1958" s="5"/>
      <c r="J1958" s="5"/>
      <c r="K1958" s="5"/>
      <c r="L1958" s="5">
        <f>2.24*G1958*F1958</f>
        <v>168.94080000000005</v>
      </c>
      <c r="M1958" s="5"/>
      <c r="N1958" s="5"/>
      <c r="O1958" s="278"/>
    </row>
    <row r="1959" spans="1:15" ht="49.5" hidden="1" customHeight="1" outlineLevel="1">
      <c r="A1959" s="603"/>
      <c r="B1959" s="3"/>
      <c r="C1959" s="3"/>
      <c r="D1959" s="5"/>
      <c r="E1959" s="5"/>
      <c r="F1959" s="5">
        <v>12.26</v>
      </c>
      <c r="G1959" s="5">
        <v>9</v>
      </c>
      <c r="H1959" s="5"/>
      <c r="I1959" s="5"/>
      <c r="J1959" s="5"/>
      <c r="K1959" s="5"/>
      <c r="L1959" s="5">
        <f>2.24*G1959*F1959</f>
        <v>247.16160000000005</v>
      </c>
      <c r="M1959" s="5"/>
      <c r="N1959" s="5"/>
      <c r="O1959" s="278"/>
    </row>
    <row r="1960" spans="1:15" ht="49.5" hidden="1" customHeight="1" outlineLevel="1">
      <c r="A1960" s="603"/>
      <c r="B1960" s="3"/>
      <c r="C1960" s="3"/>
      <c r="D1960" s="5"/>
      <c r="E1960" s="5"/>
      <c r="F1960" s="5">
        <v>8.49</v>
      </c>
      <c r="G1960" s="5">
        <v>9</v>
      </c>
      <c r="H1960" s="5"/>
      <c r="I1960" s="5"/>
      <c r="J1960" s="5"/>
      <c r="K1960" s="5"/>
      <c r="L1960" s="5">
        <f>2.24*G1960*F1960</f>
        <v>171.15840000000003</v>
      </c>
      <c r="M1960" s="5"/>
      <c r="N1960" s="5"/>
      <c r="O1960" s="278"/>
    </row>
    <row r="1961" spans="1:15" ht="49.5" hidden="1" customHeight="1" outlineLevel="1">
      <c r="A1961" s="603"/>
      <c r="B1961" s="3"/>
      <c r="C1961" s="3"/>
      <c r="D1961" s="5"/>
      <c r="E1961" s="5"/>
      <c r="F1961" s="5">
        <f>+(0.75*2)+(0.55*2)+(7.5/100)</f>
        <v>2.6750000000000003</v>
      </c>
      <c r="G1961" s="5">
        <v>242</v>
      </c>
      <c r="H1961" s="5"/>
      <c r="I1961" s="5"/>
      <c r="J1961" s="5"/>
      <c r="K1961" s="5"/>
      <c r="L1961" s="5"/>
      <c r="M1961" s="5"/>
      <c r="N1961" s="5"/>
      <c r="O1961" s="278"/>
    </row>
    <row r="1962" spans="1:15" ht="49.5" hidden="1" customHeight="1" outlineLevel="1">
      <c r="A1962" s="603"/>
      <c r="B1962" s="3"/>
      <c r="C1962" s="3"/>
      <c r="D1962" s="5"/>
      <c r="E1962" s="5"/>
      <c r="F1962" s="5">
        <f>0.75+(7.5/100)</f>
        <v>0.82499999999999996</v>
      </c>
      <c r="G1962" s="5">
        <f>3*G1961</f>
        <v>726</v>
      </c>
      <c r="H1962" s="5"/>
      <c r="I1962" s="5"/>
      <c r="J1962" s="5"/>
      <c r="K1962" s="5"/>
      <c r="L1962" s="5"/>
      <c r="M1962" s="5"/>
      <c r="N1962" s="5"/>
      <c r="O1962" s="278"/>
    </row>
    <row r="1963" spans="1:15" ht="49.5" hidden="1" customHeight="1" outlineLevel="1">
      <c r="A1963" s="603"/>
      <c r="B1963" s="3"/>
      <c r="C1963" s="3"/>
      <c r="D1963" s="230"/>
      <c r="E1963" s="5"/>
      <c r="F1963" s="5">
        <f>0.55+(7.5/100)</f>
        <v>0.625</v>
      </c>
      <c r="G1963" s="5">
        <f>4*G1961</f>
        <v>968</v>
      </c>
      <c r="H1963" s="5"/>
      <c r="I1963" s="5"/>
      <c r="J1963" s="5"/>
      <c r="K1963" s="5"/>
      <c r="L1963" s="5"/>
      <c r="M1963" s="5"/>
      <c r="N1963" s="5"/>
      <c r="O1963" s="278"/>
    </row>
    <row r="1964" spans="1:15" ht="49.5" hidden="1" customHeight="1" outlineLevel="1">
      <c r="A1964" s="2161">
        <v>4</v>
      </c>
      <c r="B1964" s="2162"/>
      <c r="C1964" s="2162"/>
      <c r="D1964" s="2162"/>
      <c r="E1964" s="5"/>
      <c r="F1964" s="5">
        <v>10.35</v>
      </c>
      <c r="G1964" s="5">
        <v>11</v>
      </c>
      <c r="H1964" s="5"/>
      <c r="I1964" s="5"/>
      <c r="J1964" s="5"/>
      <c r="K1964" s="5"/>
      <c r="L1964" s="5"/>
      <c r="M1964" s="5"/>
      <c r="N1964" s="5"/>
      <c r="O1964" s="278">
        <f>6.4*G1964*F1964</f>
        <v>728.64</v>
      </c>
    </row>
    <row r="1965" spans="1:15" ht="49.5" hidden="1" customHeight="1" outlineLevel="1">
      <c r="A1965" s="603"/>
      <c r="B1965" s="3"/>
      <c r="C1965" s="3"/>
      <c r="D1965" s="253"/>
      <c r="E1965" s="5"/>
      <c r="F1965" s="5">
        <v>6.92</v>
      </c>
      <c r="G1965" s="5">
        <v>11</v>
      </c>
      <c r="H1965" s="5"/>
      <c r="I1965" s="5"/>
      <c r="J1965" s="5"/>
      <c r="K1965" s="5"/>
      <c r="L1965" s="5"/>
      <c r="M1965" s="5"/>
      <c r="N1965" s="5"/>
      <c r="O1965" s="278">
        <f>6.4*G1965*F1965</f>
        <v>487.16800000000001</v>
      </c>
    </row>
    <row r="1966" spans="1:15" ht="49.5" hidden="1" customHeight="1" outlineLevel="1">
      <c r="A1966" s="603"/>
      <c r="B1966" s="3"/>
      <c r="C1966" s="3"/>
      <c r="D1966" s="5"/>
      <c r="E1966" s="5"/>
      <c r="F1966" s="5">
        <v>9.1999999999999993</v>
      </c>
      <c r="G1966" s="5">
        <v>11</v>
      </c>
      <c r="H1966" s="5"/>
      <c r="I1966" s="5"/>
      <c r="J1966" s="5"/>
      <c r="K1966" s="5"/>
      <c r="L1966" s="5"/>
      <c r="M1966" s="5"/>
      <c r="N1966" s="5"/>
      <c r="O1966" s="278">
        <f>6.4*G1966*F1966</f>
        <v>647.67999999999995</v>
      </c>
    </row>
    <row r="1967" spans="1:15" ht="49.5" hidden="1" customHeight="1" outlineLevel="1">
      <c r="A1967" s="603"/>
      <c r="B1967" s="3"/>
      <c r="C1967" s="3"/>
      <c r="D1967" s="5"/>
      <c r="E1967" s="5"/>
      <c r="F1967" s="5">
        <v>9</v>
      </c>
      <c r="G1967" s="5">
        <v>11</v>
      </c>
      <c r="H1967" s="5"/>
      <c r="I1967" s="5"/>
      <c r="J1967" s="5"/>
      <c r="K1967" s="5"/>
      <c r="L1967" s="5"/>
      <c r="M1967" s="5"/>
      <c r="N1967" s="5"/>
      <c r="O1967" s="278">
        <f>6.4*G1967*F1967</f>
        <v>633.6</v>
      </c>
    </row>
    <row r="1968" spans="1:15" ht="49.5" hidden="1" customHeight="1" outlineLevel="1">
      <c r="A1968" s="603"/>
      <c r="B1968" s="3"/>
      <c r="C1968" s="3"/>
      <c r="D1968" s="5"/>
      <c r="E1968" s="5"/>
      <c r="F1968" s="5">
        <v>9.1999999999999993</v>
      </c>
      <c r="G1968" s="5">
        <v>11</v>
      </c>
      <c r="H1968" s="5"/>
      <c r="I1968" s="5"/>
      <c r="J1968" s="5"/>
      <c r="K1968" s="5"/>
      <c r="L1968" s="5"/>
      <c r="M1968" s="5"/>
      <c r="N1968" s="5"/>
      <c r="O1968" s="278">
        <f>6.4*G1968*F1968</f>
        <v>647.67999999999995</v>
      </c>
    </row>
    <row r="1969" spans="1:15" ht="49.5" hidden="1" customHeight="1" outlineLevel="1">
      <c r="A1969" s="603"/>
      <c r="B1969" s="3"/>
      <c r="C1969" s="3"/>
      <c r="D1969" s="5"/>
      <c r="E1969" s="5"/>
      <c r="F1969" s="5">
        <v>10.6</v>
      </c>
      <c r="G1969" s="5">
        <v>11</v>
      </c>
      <c r="H1969" s="5"/>
      <c r="I1969" s="5"/>
      <c r="J1969" s="5"/>
      <c r="K1969" s="5"/>
      <c r="L1969" s="5"/>
      <c r="M1969" s="5">
        <f>3*G1969*F1969</f>
        <v>349.8</v>
      </c>
      <c r="N1969" s="5"/>
      <c r="O1969" s="278"/>
    </row>
    <row r="1970" spans="1:15" ht="49.5" hidden="1" customHeight="1" outlineLevel="1">
      <c r="A1970" s="603"/>
      <c r="B1970" s="3"/>
      <c r="C1970" s="3"/>
      <c r="D1970" s="5"/>
      <c r="E1970" s="5"/>
      <c r="F1970" s="5">
        <v>7</v>
      </c>
      <c r="G1970" s="5">
        <v>11</v>
      </c>
      <c r="H1970" s="5"/>
      <c r="I1970" s="5"/>
      <c r="J1970" s="5"/>
      <c r="K1970" s="5"/>
      <c r="L1970" s="5"/>
      <c r="M1970" s="5">
        <f>3*G1970*F1970</f>
        <v>231</v>
      </c>
      <c r="N1970" s="5"/>
      <c r="O1970" s="278"/>
    </row>
    <row r="1971" spans="1:15" ht="49.5" hidden="1" customHeight="1" outlineLevel="1">
      <c r="A1971" s="603"/>
      <c r="B1971" s="3"/>
      <c r="C1971" s="3"/>
      <c r="D1971" s="5"/>
      <c r="E1971" s="5"/>
      <c r="F1971" s="5">
        <f>+(0.75*2)+(0.55*2)+(7.5/100)</f>
        <v>2.6750000000000003</v>
      </c>
      <c r="G1971" s="5">
        <v>222</v>
      </c>
      <c r="H1971" s="5"/>
      <c r="I1971" s="5"/>
      <c r="J1971" s="5"/>
      <c r="K1971" s="5"/>
      <c r="L1971" s="5"/>
      <c r="M1971" s="5"/>
      <c r="N1971" s="5"/>
      <c r="O1971" s="278"/>
    </row>
    <row r="1972" spans="1:15" ht="49.5" hidden="1" customHeight="1" outlineLevel="1">
      <c r="A1972" s="603"/>
      <c r="B1972" s="3"/>
      <c r="C1972" s="3"/>
      <c r="D1972" s="5"/>
      <c r="E1972" s="5"/>
      <c r="F1972" s="5">
        <f>0.75+(7.5/100)</f>
        <v>0.82499999999999996</v>
      </c>
      <c r="G1972" s="5">
        <f>3*G1971</f>
        <v>666</v>
      </c>
      <c r="H1972" s="5"/>
      <c r="I1972" s="5"/>
      <c r="J1972" s="5"/>
      <c r="K1972" s="5"/>
      <c r="L1972" s="5"/>
      <c r="M1972" s="5"/>
      <c r="N1972" s="5"/>
      <c r="O1972" s="278"/>
    </row>
    <row r="1973" spans="1:15" ht="49.5" hidden="1" customHeight="1" outlineLevel="1">
      <c r="A1973" s="603"/>
      <c r="B1973" s="3"/>
      <c r="C1973" s="3"/>
      <c r="D1973" s="230"/>
      <c r="E1973" s="5"/>
      <c r="F1973" s="5">
        <f>0.55+(7.5/100)</f>
        <v>0.625</v>
      </c>
      <c r="G1973" s="5">
        <f>6*G1971</f>
        <v>1332</v>
      </c>
      <c r="H1973" s="5"/>
      <c r="I1973" s="5"/>
      <c r="J1973" s="5"/>
      <c r="K1973" s="5"/>
      <c r="L1973" s="5"/>
      <c r="M1973" s="5"/>
      <c r="N1973" s="5"/>
      <c r="O1973" s="278"/>
    </row>
    <row r="1974" spans="1:15" ht="49.5" hidden="1" customHeight="1" outlineLevel="1">
      <c r="A1974" s="2161">
        <v>5</v>
      </c>
      <c r="B1974" s="2162"/>
      <c r="C1974" s="2162"/>
      <c r="D1974" s="2162"/>
      <c r="E1974" s="5"/>
      <c r="F1974" s="5">
        <v>8.34</v>
      </c>
      <c r="G1974" s="5">
        <v>11</v>
      </c>
      <c r="H1974" s="5"/>
      <c r="I1974" s="5"/>
      <c r="J1974" s="5"/>
      <c r="K1974" s="5"/>
      <c r="L1974" s="5"/>
      <c r="M1974" s="5"/>
      <c r="N1974" s="5"/>
      <c r="O1974" s="278">
        <f>6.4*G1974*F1974</f>
        <v>587.13600000000008</v>
      </c>
    </row>
    <row r="1975" spans="1:15" ht="49.5" hidden="1" customHeight="1" outlineLevel="1">
      <c r="A1975" s="603"/>
      <c r="B1975" s="3"/>
      <c r="C1975" s="3"/>
      <c r="D1975" s="253"/>
      <c r="E1975" s="5"/>
      <c r="F1975" s="5">
        <v>8.34</v>
      </c>
      <c r="G1975" s="5">
        <v>11</v>
      </c>
      <c r="H1975" s="5"/>
      <c r="I1975" s="5"/>
      <c r="J1975" s="5"/>
      <c r="K1975" s="5"/>
      <c r="L1975" s="5"/>
      <c r="M1975" s="5"/>
      <c r="N1975" s="5"/>
      <c r="O1975" s="278">
        <f>6.4*G1975*F1975</f>
        <v>587.13600000000008</v>
      </c>
    </row>
    <row r="1976" spans="1:15" ht="49.5" hidden="1" customHeight="1" outlineLevel="1">
      <c r="A1976" s="603"/>
      <c r="B1976" s="3"/>
      <c r="C1976" s="3"/>
      <c r="D1976" s="5"/>
      <c r="E1976" s="5"/>
      <c r="F1976" s="5">
        <f>+(0.75*2)+(0.55*2)+(7.5/100)</f>
        <v>2.6750000000000003</v>
      </c>
      <c r="G1976" s="5">
        <v>66</v>
      </c>
      <c r="H1976" s="5"/>
      <c r="I1976" s="5"/>
      <c r="J1976" s="5"/>
      <c r="K1976" s="5"/>
      <c r="L1976" s="5"/>
      <c r="M1976" s="5"/>
      <c r="N1976" s="5"/>
      <c r="O1976" s="278"/>
    </row>
    <row r="1977" spans="1:15" ht="49.5" hidden="1" customHeight="1" outlineLevel="1">
      <c r="A1977" s="603"/>
      <c r="B1977" s="3"/>
      <c r="C1977" s="3"/>
      <c r="D1977" s="5"/>
      <c r="E1977" s="5"/>
      <c r="F1977" s="5">
        <f>0.75+(7.5/100)</f>
        <v>0.82499999999999996</v>
      </c>
      <c r="G1977" s="5">
        <f>4*G1976</f>
        <v>264</v>
      </c>
      <c r="H1977" s="5"/>
      <c r="I1977" s="5"/>
      <c r="J1977" s="5"/>
      <c r="K1977" s="5"/>
      <c r="L1977" s="5"/>
      <c r="M1977" s="5"/>
      <c r="N1977" s="5"/>
      <c r="O1977" s="278"/>
    </row>
    <row r="1978" spans="1:15" ht="49.5" hidden="1" customHeight="1" outlineLevel="1">
      <c r="A1978" s="603"/>
      <c r="B1978" s="3"/>
      <c r="C1978" s="3"/>
      <c r="D1978" s="230"/>
      <c r="E1978" s="5"/>
      <c r="F1978" s="5">
        <f>0.55+(7.5/100)</f>
        <v>0.625</v>
      </c>
      <c r="G1978" s="5">
        <f>5*G1976</f>
        <v>330</v>
      </c>
      <c r="H1978" s="5"/>
      <c r="I1978" s="5"/>
      <c r="J1978" s="5"/>
      <c r="K1978" s="5"/>
      <c r="L1978" s="5"/>
      <c r="M1978" s="5"/>
      <c r="N1978" s="5"/>
      <c r="O1978" s="278"/>
    </row>
    <row r="1979" spans="1:15" ht="49.5" hidden="1" customHeight="1" outlineLevel="1">
      <c r="A1979" s="2161">
        <v>6</v>
      </c>
      <c r="B1979" s="2162"/>
      <c r="C1979" s="2162"/>
      <c r="D1979" s="2162"/>
      <c r="E1979" s="5"/>
      <c r="F1979" s="5">
        <v>8.34</v>
      </c>
      <c r="G1979" s="5">
        <v>10</v>
      </c>
      <c r="H1979" s="5"/>
      <c r="I1979" s="5"/>
      <c r="J1979" s="5"/>
      <c r="K1979" s="5"/>
      <c r="L1979" s="5"/>
      <c r="M1979" s="5"/>
      <c r="N1979" s="5"/>
      <c r="O1979" s="278">
        <f t="shared" ref="O1979:O1984" si="292">6.4*G1979*F1979</f>
        <v>533.76</v>
      </c>
    </row>
    <row r="1980" spans="1:15" ht="49.5" hidden="1" customHeight="1" outlineLevel="1">
      <c r="A1980" s="603"/>
      <c r="B1980" s="3"/>
      <c r="C1980" s="3"/>
      <c r="D1980" s="253"/>
      <c r="E1980" s="5"/>
      <c r="F1980" s="5">
        <v>8.34</v>
      </c>
      <c r="G1980" s="5">
        <v>10</v>
      </c>
      <c r="H1980" s="5"/>
      <c r="I1980" s="5"/>
      <c r="J1980" s="5"/>
      <c r="K1980" s="5"/>
      <c r="L1980" s="5"/>
      <c r="M1980" s="5"/>
      <c r="N1980" s="5"/>
      <c r="O1980" s="278">
        <f t="shared" si="292"/>
        <v>533.76</v>
      </c>
    </row>
    <row r="1981" spans="1:15" ht="49.5" hidden="1" customHeight="1" outlineLevel="1">
      <c r="A1981" s="603"/>
      <c r="B1981" s="3"/>
      <c r="C1981" s="3"/>
      <c r="D1981" s="5"/>
      <c r="E1981" s="5"/>
      <c r="F1981" s="5">
        <v>11.7</v>
      </c>
      <c r="G1981" s="5">
        <v>10</v>
      </c>
      <c r="H1981" s="5"/>
      <c r="I1981" s="5"/>
      <c r="J1981" s="5"/>
      <c r="K1981" s="5"/>
      <c r="L1981" s="5"/>
      <c r="M1981" s="5"/>
      <c r="N1981" s="5"/>
      <c r="O1981" s="278">
        <f t="shared" si="292"/>
        <v>748.8</v>
      </c>
    </row>
    <row r="1982" spans="1:15" ht="49.5" hidden="1" customHeight="1" outlineLevel="1">
      <c r="A1982" s="603"/>
      <c r="B1982" s="3"/>
      <c r="C1982" s="3"/>
      <c r="D1982" s="5"/>
      <c r="E1982" s="5"/>
      <c r="F1982" s="5">
        <v>8.1</v>
      </c>
      <c r="G1982" s="5">
        <v>10</v>
      </c>
      <c r="H1982" s="5"/>
      <c r="I1982" s="5"/>
      <c r="J1982" s="5"/>
      <c r="K1982" s="5"/>
      <c r="L1982" s="5"/>
      <c r="M1982" s="5"/>
      <c r="N1982" s="5"/>
      <c r="O1982" s="278">
        <f t="shared" si="292"/>
        <v>518.4</v>
      </c>
    </row>
    <row r="1983" spans="1:15" ht="49.5" hidden="1" customHeight="1" outlineLevel="1">
      <c r="A1983" s="603"/>
      <c r="B1983" s="3"/>
      <c r="C1983" s="3"/>
      <c r="D1983" s="5"/>
      <c r="E1983" s="5"/>
      <c r="F1983" s="5">
        <v>9.1999999999999993</v>
      </c>
      <c r="G1983" s="5">
        <v>10</v>
      </c>
      <c r="H1983" s="5"/>
      <c r="I1983" s="5"/>
      <c r="J1983" s="5"/>
      <c r="K1983" s="5"/>
      <c r="L1983" s="5"/>
      <c r="M1983" s="5"/>
      <c r="N1983" s="5"/>
      <c r="O1983" s="278">
        <f t="shared" si="292"/>
        <v>588.79999999999995</v>
      </c>
    </row>
    <row r="1984" spans="1:15" ht="49.5" hidden="1" customHeight="1" outlineLevel="1">
      <c r="A1984" s="603"/>
      <c r="B1984" s="3"/>
      <c r="C1984" s="3"/>
      <c r="D1984" s="5"/>
      <c r="E1984" s="5"/>
      <c r="F1984" s="5">
        <v>10.8</v>
      </c>
      <c r="G1984" s="5">
        <v>10</v>
      </c>
      <c r="H1984" s="5"/>
      <c r="I1984" s="5"/>
      <c r="J1984" s="5"/>
      <c r="K1984" s="5"/>
      <c r="L1984" s="5"/>
      <c r="M1984" s="5"/>
      <c r="N1984" s="5"/>
      <c r="O1984" s="278">
        <f t="shared" si="292"/>
        <v>691.2</v>
      </c>
    </row>
    <row r="1985" spans="1:15" ht="49.5" hidden="1" customHeight="1" outlineLevel="1">
      <c r="A1985" s="603"/>
      <c r="B1985" s="3"/>
      <c r="C1985" s="3"/>
      <c r="D1985" s="5"/>
      <c r="E1985" s="5"/>
      <c r="F1985" s="5">
        <v>7</v>
      </c>
      <c r="G1985" s="5">
        <v>10</v>
      </c>
      <c r="H1985" s="5"/>
      <c r="I1985" s="5"/>
      <c r="J1985" s="5"/>
      <c r="K1985" s="5"/>
      <c r="L1985" s="5"/>
      <c r="M1985" s="5">
        <f>3*G1985*F1985</f>
        <v>210</v>
      </c>
      <c r="N1985" s="5"/>
      <c r="O1985" s="278"/>
    </row>
    <row r="1986" spans="1:15" ht="49.5" hidden="1" customHeight="1" outlineLevel="1">
      <c r="A1986" s="603"/>
      <c r="B1986" s="3"/>
      <c r="C1986" s="3"/>
      <c r="D1986" s="5"/>
      <c r="E1986" s="5"/>
      <c r="F1986" s="5">
        <f>+(1.15*2)+(0.55*2)+(7.5/100)</f>
        <v>3.4750000000000001</v>
      </c>
      <c r="G1986" s="5">
        <v>69</v>
      </c>
      <c r="H1986" s="5"/>
      <c r="I1986" s="5"/>
      <c r="J1986" s="5"/>
      <c r="K1986" s="5"/>
      <c r="L1986" s="5"/>
      <c r="M1986" s="5"/>
      <c r="N1986" s="5"/>
      <c r="O1986" s="278"/>
    </row>
    <row r="1987" spans="1:15" ht="49.5" hidden="1" customHeight="1" outlineLevel="1">
      <c r="A1987" s="603"/>
      <c r="B1987" s="3"/>
      <c r="C1987" s="3"/>
      <c r="D1987" s="5"/>
      <c r="E1987" s="5"/>
      <c r="F1987" s="5">
        <f>1.15+(7.5/100)</f>
        <v>1.2249999999999999</v>
      </c>
      <c r="G1987" s="5">
        <f>2*G1986</f>
        <v>138</v>
      </c>
      <c r="H1987" s="5"/>
      <c r="I1987" s="5"/>
      <c r="J1987" s="5"/>
      <c r="K1987" s="5"/>
      <c r="L1987" s="5"/>
      <c r="M1987" s="5"/>
      <c r="N1987" s="5"/>
      <c r="O1987" s="278"/>
    </row>
    <row r="1988" spans="1:15" ht="49.5" hidden="1" customHeight="1" outlineLevel="1">
      <c r="A1988" s="603"/>
      <c r="B1988" s="3"/>
      <c r="C1988" s="3"/>
      <c r="D1988" s="5"/>
      <c r="E1988" s="5"/>
      <c r="F1988" s="5">
        <f>0.55+(7.5/100)</f>
        <v>0.625</v>
      </c>
      <c r="G1988" s="5">
        <f>6*G1986</f>
        <v>414</v>
      </c>
      <c r="H1988" s="5"/>
      <c r="I1988" s="5"/>
      <c r="J1988" s="5"/>
      <c r="K1988" s="5"/>
      <c r="L1988" s="5"/>
      <c r="M1988" s="5"/>
      <c r="N1988" s="5"/>
      <c r="O1988" s="278"/>
    </row>
    <row r="1989" spans="1:15" ht="49.5" hidden="1" customHeight="1" outlineLevel="1">
      <c r="A1989" s="603"/>
      <c r="B1989" s="3"/>
      <c r="C1989" s="3"/>
      <c r="D1989" s="5"/>
      <c r="E1989" s="5"/>
      <c r="F1989" s="5">
        <f>+(0.75*2)+(0.55*2)+(7.5/100)</f>
        <v>2.6750000000000003</v>
      </c>
      <c r="G1989" s="5">
        <v>148</v>
      </c>
      <c r="H1989" s="5"/>
      <c r="I1989" s="5"/>
      <c r="J1989" s="5"/>
      <c r="K1989" s="5"/>
      <c r="L1989" s="5"/>
      <c r="M1989" s="5"/>
      <c r="N1989" s="5"/>
      <c r="O1989" s="278"/>
    </row>
    <row r="1990" spans="1:15" ht="49.5" hidden="1" customHeight="1" outlineLevel="1">
      <c r="A1990" s="603"/>
      <c r="B1990" s="3"/>
      <c r="C1990" s="3"/>
      <c r="D1990" s="5"/>
      <c r="E1990" s="5"/>
      <c r="F1990" s="5">
        <f>0.75+(7.5/100)</f>
        <v>0.82499999999999996</v>
      </c>
      <c r="G1990" s="5">
        <f>2*G1989</f>
        <v>296</v>
      </c>
      <c r="H1990" s="5"/>
      <c r="I1990" s="5"/>
      <c r="J1990" s="5"/>
      <c r="K1990" s="5"/>
      <c r="L1990" s="5"/>
      <c r="M1990" s="5"/>
      <c r="N1990" s="5"/>
      <c r="O1990" s="278"/>
    </row>
    <row r="1991" spans="1:15" ht="49.5" hidden="1" customHeight="1" outlineLevel="1">
      <c r="A1991" s="603"/>
      <c r="B1991" s="3"/>
      <c r="C1991" s="3"/>
      <c r="D1991" s="230"/>
      <c r="E1991" s="5"/>
      <c r="F1991" s="5">
        <f>0.55+(7.5/100)</f>
        <v>0.625</v>
      </c>
      <c r="G1991" s="5">
        <f>6*G1989</f>
        <v>888</v>
      </c>
      <c r="H1991" s="5"/>
      <c r="I1991" s="5"/>
      <c r="J1991" s="5"/>
      <c r="K1991" s="5"/>
      <c r="L1991" s="5"/>
      <c r="M1991" s="5"/>
      <c r="N1991" s="5"/>
      <c r="O1991" s="278"/>
    </row>
    <row r="1992" spans="1:15" ht="49.5" hidden="1" customHeight="1" outlineLevel="1">
      <c r="A1992" s="2161">
        <v>7</v>
      </c>
      <c r="B1992" s="2162"/>
      <c r="C1992" s="2162"/>
      <c r="D1992" s="2162"/>
      <c r="E1992" s="5"/>
      <c r="F1992" s="5">
        <v>8.34</v>
      </c>
      <c r="G1992" s="5">
        <v>12</v>
      </c>
      <c r="H1992" s="5"/>
      <c r="I1992" s="5"/>
      <c r="J1992" s="5"/>
      <c r="K1992" s="5"/>
      <c r="L1992" s="5"/>
      <c r="M1992" s="5"/>
      <c r="N1992" s="5">
        <f>4*G1992*F1992</f>
        <v>400.32</v>
      </c>
      <c r="O1992" s="278"/>
    </row>
    <row r="1993" spans="1:15" ht="49.5" hidden="1" customHeight="1" outlineLevel="1">
      <c r="A1993" s="603"/>
      <c r="B1993" s="3"/>
      <c r="C1993" s="3"/>
      <c r="D1993" s="253"/>
      <c r="E1993" s="5"/>
      <c r="F1993" s="5">
        <v>8.34</v>
      </c>
      <c r="G1993" s="5">
        <v>12</v>
      </c>
      <c r="H1993" s="5"/>
      <c r="I1993" s="5"/>
      <c r="J1993" s="5"/>
      <c r="K1993" s="5"/>
      <c r="L1993" s="5"/>
      <c r="M1993" s="5"/>
      <c r="N1993" s="5">
        <f>4*G1993*F1993</f>
        <v>400.32</v>
      </c>
      <c r="O1993" s="278"/>
    </row>
    <row r="1994" spans="1:15" ht="49.5" hidden="1" customHeight="1" outlineLevel="1">
      <c r="A1994" s="603"/>
      <c r="B1994" s="3"/>
      <c r="C1994" s="3"/>
      <c r="D1994" s="5"/>
      <c r="E1994" s="5"/>
      <c r="F1994" s="5">
        <v>11.48</v>
      </c>
      <c r="G1994" s="5">
        <v>12</v>
      </c>
      <c r="H1994" s="5"/>
      <c r="I1994" s="5"/>
      <c r="J1994" s="5"/>
      <c r="K1994" s="5"/>
      <c r="L1994" s="5"/>
      <c r="M1994" s="5"/>
      <c r="N1994" s="5">
        <f>4*G1994*F1994</f>
        <v>551.04</v>
      </c>
      <c r="O1994" s="278"/>
    </row>
    <row r="1995" spans="1:15" ht="49.5" hidden="1" customHeight="1" outlineLevel="1">
      <c r="A1995" s="603"/>
      <c r="B1995" s="3"/>
      <c r="C1995" s="3"/>
      <c r="D1995" s="5"/>
      <c r="E1995" s="5"/>
      <c r="F1995" s="5">
        <v>7.87</v>
      </c>
      <c r="G1995" s="5">
        <v>12</v>
      </c>
      <c r="H1995" s="5"/>
      <c r="I1995" s="5"/>
      <c r="J1995" s="5"/>
      <c r="K1995" s="5"/>
      <c r="L1995" s="5"/>
      <c r="M1995" s="5"/>
      <c r="N1995" s="5">
        <f>4*G1995*F1995</f>
        <v>377.76</v>
      </c>
      <c r="O1995" s="278"/>
    </row>
    <row r="1996" spans="1:15" ht="49.5" hidden="1" customHeight="1" outlineLevel="1">
      <c r="A1996" s="603"/>
      <c r="B1996" s="3"/>
      <c r="C1996" s="3"/>
      <c r="D1996" s="5"/>
      <c r="E1996" s="5"/>
      <c r="F1996" s="5">
        <v>8.65</v>
      </c>
      <c r="G1996" s="5">
        <v>12</v>
      </c>
      <c r="H1996" s="5"/>
      <c r="I1996" s="5"/>
      <c r="J1996" s="5"/>
      <c r="K1996" s="5"/>
      <c r="L1996" s="5"/>
      <c r="M1996" s="5">
        <f>3*G1996*F1996</f>
        <v>311.40000000000003</v>
      </c>
      <c r="N1996" s="5"/>
      <c r="O1996" s="278"/>
    </row>
    <row r="1997" spans="1:15" ht="49.5" hidden="1" customHeight="1" outlineLevel="1">
      <c r="A1997" s="603"/>
      <c r="B1997" s="3"/>
      <c r="C1997" s="3"/>
      <c r="D1997" s="5"/>
      <c r="E1997" s="5"/>
      <c r="F1997" s="5">
        <v>10.37</v>
      </c>
      <c r="G1997" s="5">
        <v>12</v>
      </c>
      <c r="H1997" s="5"/>
      <c r="I1997" s="5"/>
      <c r="J1997" s="5"/>
      <c r="K1997" s="5"/>
      <c r="L1997" s="5"/>
      <c r="M1997" s="5">
        <f>3*G1997*F1997</f>
        <v>373.32</v>
      </c>
      <c r="N1997" s="5"/>
      <c r="O1997" s="278"/>
    </row>
    <row r="1998" spans="1:15" ht="49.5" hidden="1" customHeight="1" outlineLevel="1">
      <c r="A1998" s="603"/>
      <c r="B1998" s="3"/>
      <c r="C1998" s="3"/>
      <c r="D1998" s="5"/>
      <c r="E1998" s="5"/>
      <c r="F1998" s="5">
        <v>6.68</v>
      </c>
      <c r="G1998" s="5">
        <v>12</v>
      </c>
      <c r="H1998" s="5"/>
      <c r="I1998" s="5"/>
      <c r="J1998" s="5"/>
      <c r="K1998" s="5"/>
      <c r="L1998" s="5"/>
      <c r="M1998" s="5">
        <f>3*G1998*F1998</f>
        <v>240.48</v>
      </c>
      <c r="N1998" s="5"/>
      <c r="O1998" s="278"/>
    </row>
    <row r="1999" spans="1:15" ht="49.5" hidden="1" customHeight="1" outlineLevel="1">
      <c r="A1999" s="603"/>
      <c r="B1999" s="3"/>
      <c r="C1999" s="3"/>
      <c r="D1999" s="5"/>
      <c r="E1999" s="5"/>
      <c r="F1999" s="5">
        <f>+(1.15*2)+(0.55*2)+(7.5/100)</f>
        <v>3.4750000000000001</v>
      </c>
      <c r="G1999" s="5">
        <v>69</v>
      </c>
      <c r="H1999" s="5"/>
      <c r="I1999" s="5"/>
      <c r="J1999" s="5"/>
      <c r="K1999" s="5"/>
      <c r="L1999" s="5"/>
      <c r="M1999" s="5"/>
      <c r="N1999" s="5"/>
      <c r="O1999" s="278"/>
    </row>
    <row r="2000" spans="1:15" ht="49.5" hidden="1" customHeight="1" outlineLevel="1">
      <c r="A2000" s="603"/>
      <c r="B2000" s="3"/>
      <c r="C2000" s="3"/>
      <c r="D2000" s="5"/>
      <c r="E2000" s="5"/>
      <c r="F2000" s="5">
        <f>1.15+(7.5/100)</f>
        <v>1.2249999999999999</v>
      </c>
      <c r="G2000" s="5">
        <f>4*G1999</f>
        <v>276</v>
      </c>
      <c r="H2000" s="5"/>
      <c r="I2000" s="5"/>
      <c r="J2000" s="5"/>
      <c r="K2000" s="5"/>
      <c r="L2000" s="5"/>
      <c r="M2000" s="5"/>
      <c r="N2000" s="5"/>
      <c r="O2000" s="278"/>
    </row>
    <row r="2001" spans="1:15" ht="49.5" hidden="1" customHeight="1" outlineLevel="1">
      <c r="A2001" s="603"/>
      <c r="B2001" s="3"/>
      <c r="C2001" s="3"/>
      <c r="D2001" s="5"/>
      <c r="E2001" s="5"/>
      <c r="F2001" s="5">
        <f>0.55+(7.5/100)</f>
        <v>0.625</v>
      </c>
      <c r="G2001" s="5">
        <f>6*G1999</f>
        <v>414</v>
      </c>
      <c r="H2001" s="5"/>
      <c r="I2001" s="5"/>
      <c r="J2001" s="5"/>
      <c r="K2001" s="5"/>
      <c r="L2001" s="5"/>
      <c r="M2001" s="5"/>
      <c r="N2001" s="5"/>
      <c r="O2001" s="278"/>
    </row>
    <row r="2002" spans="1:15" ht="49.5" hidden="1" customHeight="1" outlineLevel="1">
      <c r="A2002" s="603"/>
      <c r="B2002" s="3"/>
      <c r="C2002" s="3"/>
      <c r="D2002" s="5"/>
      <c r="E2002" s="5"/>
      <c r="F2002" s="5">
        <f>+(0.75*2)+(0.55*2)+(7.5/100)</f>
        <v>2.6750000000000003</v>
      </c>
      <c r="G2002" s="5">
        <v>148</v>
      </c>
      <c r="H2002" s="5"/>
      <c r="I2002" s="5"/>
      <c r="J2002" s="5"/>
      <c r="K2002" s="5"/>
      <c r="L2002" s="5"/>
      <c r="M2002" s="5"/>
      <c r="N2002" s="5"/>
      <c r="O2002" s="278"/>
    </row>
    <row r="2003" spans="1:15" ht="49.5" hidden="1" customHeight="1" outlineLevel="1">
      <c r="A2003" s="603"/>
      <c r="B2003" s="3"/>
      <c r="C2003" s="3"/>
      <c r="D2003" s="5"/>
      <c r="E2003" s="5"/>
      <c r="F2003" s="5">
        <f>0.75+(7.5/100)</f>
        <v>0.82499999999999996</v>
      </c>
      <c r="G2003" s="5">
        <f>4*G2002</f>
        <v>592</v>
      </c>
      <c r="H2003" s="5"/>
      <c r="I2003" s="5"/>
      <c r="J2003" s="5"/>
      <c r="K2003" s="5"/>
      <c r="L2003" s="5"/>
      <c r="M2003" s="5"/>
      <c r="N2003" s="5"/>
      <c r="O2003" s="278"/>
    </row>
    <row r="2004" spans="1:15" ht="49.5" hidden="1" customHeight="1" outlineLevel="1">
      <c r="A2004" s="603"/>
      <c r="B2004" s="3"/>
      <c r="C2004" s="3"/>
      <c r="D2004" s="230"/>
      <c r="E2004" s="5"/>
      <c r="F2004" s="5">
        <f>0.55+(7.5/100)</f>
        <v>0.625</v>
      </c>
      <c r="G2004" s="5">
        <f>4*G2002</f>
        <v>592</v>
      </c>
      <c r="H2004" s="5"/>
      <c r="I2004" s="5"/>
      <c r="J2004" s="5"/>
      <c r="K2004" s="5"/>
      <c r="L2004" s="5"/>
      <c r="M2004" s="5"/>
      <c r="N2004" s="5"/>
      <c r="O2004" s="278"/>
    </row>
    <row r="2005" spans="1:15" ht="49.5" hidden="1" customHeight="1" outlineLevel="1">
      <c r="A2005" s="2161">
        <v>8</v>
      </c>
      <c r="B2005" s="2162"/>
      <c r="C2005" s="2162"/>
      <c r="D2005" s="2162"/>
      <c r="E2005" s="5"/>
      <c r="F2005" s="5">
        <v>8.34</v>
      </c>
      <c r="G2005" s="5">
        <v>16</v>
      </c>
      <c r="H2005" s="5"/>
      <c r="I2005" s="5"/>
      <c r="J2005" s="5"/>
      <c r="K2005" s="5"/>
      <c r="L2005" s="5"/>
      <c r="M2005" s="5"/>
      <c r="N2005" s="5">
        <f>4*G2005*F2005</f>
        <v>533.76</v>
      </c>
      <c r="O2005" s="278"/>
    </row>
    <row r="2006" spans="1:15" ht="49.5" hidden="1" customHeight="1" outlineLevel="1">
      <c r="A2006" s="603"/>
      <c r="B2006" s="3"/>
      <c r="C2006" s="3"/>
      <c r="D2006" s="253"/>
      <c r="E2006" s="5"/>
      <c r="F2006" s="5">
        <v>8.34</v>
      </c>
      <c r="G2006" s="5">
        <v>16</v>
      </c>
      <c r="H2006" s="5"/>
      <c r="I2006" s="5"/>
      <c r="J2006" s="5"/>
      <c r="K2006" s="5"/>
      <c r="L2006" s="5"/>
      <c r="M2006" s="5"/>
      <c r="N2006" s="5">
        <f>4*G2006*F2006</f>
        <v>533.76</v>
      </c>
      <c r="O2006" s="278"/>
    </row>
    <row r="2007" spans="1:15" ht="49.5" hidden="1" customHeight="1" outlineLevel="1">
      <c r="A2007" s="603"/>
      <c r="B2007" s="3"/>
      <c r="C2007" s="3"/>
      <c r="D2007" s="5"/>
      <c r="E2007" s="5"/>
      <c r="F2007" s="5">
        <v>11.48</v>
      </c>
      <c r="G2007" s="5">
        <v>16</v>
      </c>
      <c r="H2007" s="5"/>
      <c r="I2007" s="5"/>
      <c r="J2007" s="5"/>
      <c r="K2007" s="5"/>
      <c r="L2007" s="5"/>
      <c r="M2007" s="5"/>
      <c r="N2007" s="5">
        <f>4*G2007*F2007</f>
        <v>734.72</v>
      </c>
      <c r="O2007" s="278"/>
    </row>
    <row r="2008" spans="1:15" ht="49.5" hidden="1" customHeight="1" outlineLevel="1">
      <c r="A2008" s="603"/>
      <c r="B2008" s="3"/>
      <c r="C2008" s="3"/>
      <c r="D2008" s="5"/>
      <c r="E2008" s="5"/>
      <c r="F2008" s="5">
        <v>7.87</v>
      </c>
      <c r="G2008" s="5">
        <v>16</v>
      </c>
      <c r="H2008" s="5"/>
      <c r="I2008" s="5"/>
      <c r="J2008" s="5"/>
      <c r="K2008" s="5"/>
      <c r="L2008" s="5"/>
      <c r="M2008" s="5"/>
      <c r="N2008" s="5">
        <f>4*G2008*F2008</f>
        <v>503.68</v>
      </c>
      <c r="O2008" s="278"/>
    </row>
    <row r="2009" spans="1:15" ht="49.5" hidden="1" customHeight="1" outlineLevel="1">
      <c r="A2009" s="603"/>
      <c r="B2009" s="3"/>
      <c r="C2009" s="3"/>
      <c r="D2009" s="5"/>
      <c r="E2009" s="5"/>
      <c r="F2009" s="5">
        <v>8.75</v>
      </c>
      <c r="G2009" s="5">
        <v>16</v>
      </c>
      <c r="H2009" s="5"/>
      <c r="I2009" s="5"/>
      <c r="J2009" s="5"/>
      <c r="K2009" s="5"/>
      <c r="L2009" s="5"/>
      <c r="M2009" s="5"/>
      <c r="N2009" s="5">
        <f>4*G2009*F2009</f>
        <v>560</v>
      </c>
      <c r="O2009" s="278"/>
    </row>
    <row r="2010" spans="1:15" ht="49.5" hidden="1" customHeight="1" outlineLevel="1">
      <c r="A2010" s="603"/>
      <c r="B2010" s="3"/>
      <c r="C2010" s="3"/>
      <c r="D2010" s="5"/>
      <c r="E2010" s="5"/>
      <c r="F2010" s="5">
        <v>10.38</v>
      </c>
      <c r="G2010" s="5">
        <v>16</v>
      </c>
      <c r="H2010" s="5"/>
      <c r="I2010" s="5"/>
      <c r="J2010" s="5"/>
      <c r="K2010" s="5"/>
      <c r="L2010" s="5"/>
      <c r="M2010" s="5">
        <f>3*G2010*F2010</f>
        <v>498.24</v>
      </c>
      <c r="N2010" s="5"/>
      <c r="O2010" s="278"/>
    </row>
    <row r="2011" spans="1:15" ht="49.5" hidden="1" customHeight="1" outlineLevel="1">
      <c r="A2011" s="603"/>
      <c r="B2011" s="3"/>
      <c r="C2011" s="3"/>
      <c r="D2011" s="5"/>
      <c r="E2011" s="5"/>
      <c r="F2011" s="5">
        <v>6.78</v>
      </c>
      <c r="G2011" s="5">
        <v>16</v>
      </c>
      <c r="H2011" s="5"/>
      <c r="I2011" s="5"/>
      <c r="J2011" s="5"/>
      <c r="K2011" s="5"/>
      <c r="L2011" s="5"/>
      <c r="M2011" s="5">
        <f>3*G2011*F2011</f>
        <v>325.44</v>
      </c>
      <c r="N2011" s="5"/>
      <c r="O2011" s="278"/>
    </row>
    <row r="2012" spans="1:15" ht="49.5" hidden="1" customHeight="1" outlineLevel="1">
      <c r="A2012" s="603"/>
      <c r="B2012" s="3"/>
      <c r="C2012" s="3"/>
      <c r="D2012" s="5"/>
      <c r="E2012" s="5"/>
      <c r="F2012" s="5">
        <f>+(1.15*2)+(0.55*2)+(7.5/100)</f>
        <v>3.4750000000000001</v>
      </c>
      <c r="G2012" s="5">
        <v>79</v>
      </c>
      <c r="H2012" s="5"/>
      <c r="I2012" s="5"/>
      <c r="J2012" s="5"/>
      <c r="K2012" s="5"/>
      <c r="L2012" s="5"/>
      <c r="M2012" s="5"/>
      <c r="N2012" s="5"/>
      <c r="O2012" s="278"/>
    </row>
    <row r="2013" spans="1:15" ht="49.5" hidden="1" customHeight="1" outlineLevel="1">
      <c r="A2013" s="603"/>
      <c r="B2013" s="3"/>
      <c r="C2013" s="3"/>
      <c r="D2013" s="5"/>
      <c r="E2013" s="5"/>
      <c r="F2013" s="5">
        <f>1.15+(7.5/100)</f>
        <v>1.2249999999999999</v>
      </c>
      <c r="G2013" s="5">
        <f>4*G2012</f>
        <v>316</v>
      </c>
      <c r="H2013" s="5"/>
      <c r="I2013" s="5"/>
      <c r="J2013" s="5"/>
      <c r="K2013" s="5"/>
      <c r="L2013" s="5"/>
      <c r="M2013" s="5"/>
      <c r="N2013" s="5"/>
      <c r="O2013" s="278"/>
    </row>
    <row r="2014" spans="1:15" ht="49.5" hidden="1" customHeight="1" outlineLevel="1">
      <c r="A2014" s="603"/>
      <c r="B2014" s="3"/>
      <c r="C2014" s="3"/>
      <c r="D2014" s="5"/>
      <c r="E2014" s="5"/>
      <c r="F2014" s="5">
        <f>0.55+(7.5/100)</f>
        <v>0.625</v>
      </c>
      <c r="G2014" s="5">
        <f>8*G2012</f>
        <v>632</v>
      </c>
      <c r="H2014" s="5"/>
      <c r="I2014" s="5"/>
      <c r="J2014" s="5"/>
      <c r="K2014" s="5"/>
      <c r="L2014" s="5"/>
      <c r="M2014" s="5"/>
      <c r="N2014" s="5"/>
      <c r="O2014" s="278"/>
    </row>
    <row r="2015" spans="1:15" ht="49.5" hidden="1" customHeight="1" outlineLevel="1">
      <c r="A2015" s="603"/>
      <c r="B2015" s="3"/>
      <c r="C2015" s="3"/>
      <c r="D2015" s="5"/>
      <c r="E2015" s="5"/>
      <c r="F2015" s="5">
        <f>+(0.75*2)+(0.55*2)+(7.5/100)</f>
        <v>2.6750000000000003</v>
      </c>
      <c r="G2015" s="5">
        <v>148</v>
      </c>
      <c r="H2015" s="5"/>
      <c r="I2015" s="5"/>
      <c r="J2015" s="5"/>
      <c r="K2015" s="5"/>
      <c r="L2015" s="5"/>
      <c r="M2015" s="5"/>
      <c r="N2015" s="5"/>
      <c r="O2015" s="278"/>
    </row>
    <row r="2016" spans="1:15" ht="49.5" hidden="1" customHeight="1" outlineLevel="1">
      <c r="A2016" s="603"/>
      <c r="B2016" s="3"/>
      <c r="C2016" s="3"/>
      <c r="D2016" s="5"/>
      <c r="E2016" s="5"/>
      <c r="F2016" s="5">
        <f>0.75+(7.5/100)</f>
        <v>0.82499999999999996</v>
      </c>
      <c r="G2016" s="5">
        <f>4*G2015</f>
        <v>592</v>
      </c>
      <c r="H2016" s="5"/>
      <c r="I2016" s="5"/>
      <c r="J2016" s="5"/>
      <c r="K2016" s="5"/>
      <c r="L2016" s="5"/>
      <c r="M2016" s="5"/>
      <c r="N2016" s="5"/>
      <c r="O2016" s="278"/>
    </row>
    <row r="2017" spans="1:15" ht="49.5" hidden="1" customHeight="1" outlineLevel="1">
      <c r="A2017" s="603"/>
      <c r="B2017" s="3"/>
      <c r="C2017" s="3"/>
      <c r="D2017" s="230"/>
      <c r="E2017" s="5"/>
      <c r="F2017" s="5">
        <f>0.55+(7.5/100)</f>
        <v>0.625</v>
      </c>
      <c r="G2017" s="5">
        <f>6*G2015</f>
        <v>888</v>
      </c>
      <c r="H2017" s="5"/>
      <c r="I2017" s="5"/>
      <c r="J2017" s="5"/>
      <c r="K2017" s="5"/>
      <c r="L2017" s="5"/>
      <c r="M2017" s="5"/>
      <c r="N2017" s="5"/>
      <c r="O2017" s="278"/>
    </row>
    <row r="2018" spans="1:15" ht="49.5" hidden="1" customHeight="1" outlineLevel="1">
      <c r="A2018" s="2161">
        <v>9</v>
      </c>
      <c r="B2018" s="2162"/>
      <c r="C2018" s="2162"/>
      <c r="D2018" s="2162"/>
      <c r="E2018" s="5"/>
      <c r="F2018" s="5">
        <v>6.92</v>
      </c>
      <c r="G2018" s="5">
        <v>21</v>
      </c>
      <c r="H2018" s="5"/>
      <c r="I2018" s="5"/>
      <c r="J2018" s="5"/>
      <c r="K2018" s="5"/>
      <c r="L2018" s="5"/>
      <c r="M2018" s="5"/>
      <c r="N2018" s="5"/>
      <c r="O2018" s="278">
        <f>6.4*G2018*F2018</f>
        <v>930.048</v>
      </c>
    </row>
    <row r="2019" spans="1:15" ht="49.5" hidden="1" customHeight="1" outlineLevel="1">
      <c r="A2019" s="603"/>
      <c r="B2019" s="3"/>
      <c r="C2019" s="3"/>
      <c r="D2019" s="253"/>
      <c r="E2019" s="5"/>
      <c r="F2019" s="5">
        <v>3.68</v>
      </c>
      <c r="G2019" s="5">
        <v>21</v>
      </c>
      <c r="H2019" s="5"/>
      <c r="I2019" s="5"/>
      <c r="J2019" s="5"/>
      <c r="K2019" s="5"/>
      <c r="L2019" s="5"/>
      <c r="M2019" s="5"/>
      <c r="N2019" s="5"/>
      <c r="O2019" s="278">
        <f>6.4*G2019*F2019</f>
        <v>494.59200000000004</v>
      </c>
    </row>
    <row r="2020" spans="1:15" ht="49.5" hidden="1" customHeight="1" outlineLevel="1">
      <c r="A2020" s="603"/>
      <c r="B2020" s="3"/>
      <c r="C2020" s="3"/>
      <c r="D2020" s="5"/>
      <c r="E2020" s="5"/>
      <c r="F2020" s="5">
        <v>11.89</v>
      </c>
      <c r="G2020" s="5">
        <v>21</v>
      </c>
      <c r="H2020" s="5"/>
      <c r="I2020" s="5"/>
      <c r="J2020" s="5"/>
      <c r="K2020" s="5"/>
      <c r="L2020" s="5"/>
      <c r="M2020" s="5"/>
      <c r="N2020" s="5"/>
      <c r="O2020" s="278">
        <f>6.4*G2020*F2020</f>
        <v>1598.0160000000001</v>
      </c>
    </row>
    <row r="2021" spans="1:15" ht="49.5" hidden="1" customHeight="1" outlineLevel="1">
      <c r="A2021" s="603"/>
      <c r="B2021" s="3"/>
      <c r="C2021" s="3"/>
      <c r="D2021" s="5"/>
      <c r="E2021" s="5"/>
      <c r="F2021" s="5">
        <v>10.119999999999999</v>
      </c>
      <c r="G2021" s="5">
        <v>21</v>
      </c>
      <c r="H2021" s="5"/>
      <c r="I2021" s="5"/>
      <c r="J2021" s="5"/>
      <c r="K2021" s="5"/>
      <c r="L2021" s="5"/>
      <c r="M2021" s="5"/>
      <c r="N2021" s="5"/>
      <c r="O2021" s="278">
        <f>6.4*G2021*F2021</f>
        <v>1360.1279999999999</v>
      </c>
    </row>
    <row r="2022" spans="1:15" ht="49.5" hidden="1" customHeight="1" outlineLevel="1">
      <c r="A2022" s="603"/>
      <c r="B2022" s="3"/>
      <c r="C2022" s="3"/>
      <c r="D2022" s="5"/>
      <c r="E2022" s="5"/>
      <c r="F2022" s="5">
        <v>12.22</v>
      </c>
      <c r="G2022" s="5">
        <v>21</v>
      </c>
      <c r="H2022" s="5"/>
      <c r="I2022" s="5"/>
      <c r="J2022" s="5"/>
      <c r="K2022" s="5"/>
      <c r="L2022" s="5"/>
      <c r="M2022" s="5"/>
      <c r="N2022" s="5"/>
      <c r="O2022" s="278">
        <f>6.4*G2022*F2022</f>
        <v>1642.3680000000002</v>
      </c>
    </row>
    <row r="2023" spans="1:15" ht="49.5" hidden="1" customHeight="1" outlineLevel="1">
      <c r="A2023" s="603"/>
      <c r="B2023" s="3"/>
      <c r="C2023" s="3"/>
      <c r="D2023" s="5"/>
      <c r="E2023" s="5"/>
      <c r="F2023" s="5">
        <v>7</v>
      </c>
      <c r="G2023" s="5">
        <v>21</v>
      </c>
      <c r="H2023" s="5"/>
      <c r="I2023" s="5"/>
      <c r="J2023" s="5"/>
      <c r="K2023" s="5"/>
      <c r="L2023" s="5"/>
      <c r="M2023" s="5"/>
      <c r="N2023" s="5">
        <f>4*G2023*F2023</f>
        <v>588</v>
      </c>
      <c r="O2023" s="278"/>
    </row>
    <row r="2024" spans="1:15" ht="49.5" hidden="1" customHeight="1" outlineLevel="1">
      <c r="A2024" s="603"/>
      <c r="B2024" s="3"/>
      <c r="C2024" s="3"/>
      <c r="D2024" s="5"/>
      <c r="E2024" s="5"/>
      <c r="F2024" s="5">
        <v>6.6</v>
      </c>
      <c r="G2024" s="5">
        <v>21</v>
      </c>
      <c r="H2024" s="5"/>
      <c r="I2024" s="5"/>
      <c r="J2024" s="5"/>
      <c r="K2024" s="5"/>
      <c r="L2024" s="5">
        <f>2.24*G2024*F2024</f>
        <v>310.464</v>
      </c>
      <c r="M2024" s="5"/>
      <c r="N2024" s="5"/>
      <c r="O2024" s="278"/>
    </row>
    <row r="2025" spans="1:15" ht="49.5" hidden="1" customHeight="1" outlineLevel="1">
      <c r="A2025" s="603"/>
      <c r="B2025" s="3"/>
      <c r="C2025" s="3"/>
      <c r="D2025" s="5"/>
      <c r="E2025" s="5"/>
      <c r="F2025" s="5">
        <v>12</v>
      </c>
      <c r="G2025" s="5">
        <v>21</v>
      </c>
      <c r="H2025" s="5"/>
      <c r="I2025" s="5"/>
      <c r="J2025" s="5"/>
      <c r="K2025" s="5"/>
      <c r="L2025" s="5">
        <f>2.24*G2025*F2025</f>
        <v>564.48</v>
      </c>
      <c r="M2025" s="5"/>
      <c r="N2025" s="5"/>
      <c r="O2025" s="278"/>
    </row>
    <row r="2026" spans="1:15" ht="49.5" hidden="1" customHeight="1" outlineLevel="1">
      <c r="A2026" s="603"/>
      <c r="B2026" s="3"/>
      <c r="C2026" s="3"/>
      <c r="D2026" s="5"/>
      <c r="E2026" s="5"/>
      <c r="F2026" s="5">
        <v>6.45</v>
      </c>
      <c r="G2026" s="5">
        <v>21</v>
      </c>
      <c r="H2026" s="5"/>
      <c r="I2026" s="5"/>
      <c r="J2026" s="5"/>
      <c r="K2026" s="5"/>
      <c r="L2026" s="5">
        <f>2.24*G2026*F2026</f>
        <v>303.40800000000007</v>
      </c>
      <c r="M2026" s="5"/>
      <c r="N2026" s="5"/>
      <c r="O2026" s="278"/>
    </row>
    <row r="2027" spans="1:15" ht="49.5" hidden="1" customHeight="1" outlineLevel="1">
      <c r="A2027" s="603"/>
      <c r="B2027" s="3"/>
      <c r="C2027" s="3"/>
      <c r="D2027" s="5"/>
      <c r="E2027" s="5"/>
      <c r="F2027" s="5">
        <f>+(1.15*2)+(0.55*2)+(7.5/100)</f>
        <v>3.4750000000000001</v>
      </c>
      <c r="G2027" s="5">
        <v>90</v>
      </c>
      <c r="H2027" s="5"/>
      <c r="I2027" s="5"/>
      <c r="J2027" s="5"/>
      <c r="K2027" s="5"/>
      <c r="L2027" s="5"/>
      <c r="M2027" s="5"/>
      <c r="N2027" s="5"/>
      <c r="O2027" s="278"/>
    </row>
    <row r="2028" spans="1:15" ht="49.5" hidden="1" customHeight="1" outlineLevel="1">
      <c r="A2028" s="603"/>
      <c r="B2028" s="3"/>
      <c r="C2028" s="3"/>
      <c r="D2028" s="5"/>
      <c r="E2028" s="5"/>
      <c r="F2028" s="5">
        <f>1.15+(7.5/100)</f>
        <v>1.2249999999999999</v>
      </c>
      <c r="G2028" s="5">
        <f>4*90</f>
        <v>360</v>
      </c>
      <c r="H2028" s="5"/>
      <c r="I2028" s="5"/>
      <c r="J2028" s="5"/>
      <c r="K2028" s="5"/>
      <c r="L2028" s="5"/>
      <c r="M2028" s="5"/>
      <c r="N2028" s="5"/>
      <c r="O2028" s="278"/>
    </row>
    <row r="2029" spans="1:15" ht="49.5" hidden="1" customHeight="1" outlineLevel="1">
      <c r="A2029" s="603"/>
      <c r="B2029" s="3"/>
      <c r="C2029" s="3"/>
      <c r="D2029" s="5"/>
      <c r="E2029" s="5"/>
      <c r="F2029" s="5">
        <f>0.55+(7.5/100)</f>
        <v>0.625</v>
      </c>
      <c r="G2029" s="5">
        <f>6*G2027</f>
        <v>540</v>
      </c>
      <c r="H2029" s="5"/>
      <c r="I2029" s="5"/>
      <c r="J2029" s="5"/>
      <c r="K2029" s="5"/>
      <c r="L2029" s="5"/>
      <c r="M2029" s="5"/>
      <c r="N2029" s="5"/>
      <c r="O2029" s="278"/>
    </row>
    <row r="2030" spans="1:15" ht="49.5" hidden="1" customHeight="1" outlineLevel="1">
      <c r="A2030" s="603"/>
      <c r="B2030" s="3"/>
      <c r="C2030" s="3"/>
      <c r="D2030" s="5"/>
      <c r="E2030" s="5"/>
      <c r="F2030" s="5">
        <f>+(1.45*2)+(0.55*2)+(7.5/100)</f>
        <v>4.0750000000000002</v>
      </c>
      <c r="G2030" s="5">
        <v>212</v>
      </c>
      <c r="H2030" s="5"/>
      <c r="I2030" s="5"/>
      <c r="J2030" s="5"/>
      <c r="K2030" s="5"/>
      <c r="L2030" s="5"/>
      <c r="M2030" s="5"/>
      <c r="N2030" s="5"/>
      <c r="O2030" s="278"/>
    </row>
    <row r="2031" spans="1:15" ht="49.5" hidden="1" customHeight="1" outlineLevel="1">
      <c r="A2031" s="603"/>
      <c r="B2031" s="3"/>
      <c r="C2031" s="3"/>
      <c r="D2031" s="5"/>
      <c r="E2031" s="5"/>
      <c r="F2031" s="5">
        <f>1.45+(7.5/100)</f>
        <v>1.5249999999999999</v>
      </c>
      <c r="G2031" s="5">
        <f>212*4</f>
        <v>848</v>
      </c>
      <c r="H2031" s="5"/>
      <c r="I2031" s="5"/>
      <c r="J2031" s="5"/>
      <c r="K2031" s="5"/>
      <c r="L2031" s="5"/>
      <c r="M2031" s="5"/>
      <c r="N2031" s="5"/>
      <c r="O2031" s="278"/>
    </row>
    <row r="2032" spans="1:15" ht="49.5" hidden="1" customHeight="1" outlineLevel="1">
      <c r="A2032" s="603"/>
      <c r="B2032" s="3"/>
      <c r="C2032" s="3"/>
      <c r="D2032" s="230"/>
      <c r="E2032" s="5"/>
      <c r="F2032" s="5">
        <f>0.55+(7.5/100)</f>
        <v>0.625</v>
      </c>
      <c r="G2032" s="5">
        <f>6*212</f>
        <v>1272</v>
      </c>
      <c r="H2032" s="5"/>
      <c r="I2032" s="5"/>
      <c r="J2032" s="5"/>
      <c r="K2032" s="5"/>
      <c r="L2032" s="5"/>
      <c r="M2032" s="5"/>
      <c r="N2032" s="5"/>
      <c r="O2032" s="278"/>
    </row>
    <row r="2033" spans="1:15" ht="49.5" hidden="1" customHeight="1" outlineLevel="1">
      <c r="A2033" s="2161">
        <v>10</v>
      </c>
      <c r="B2033" s="2162"/>
      <c r="C2033" s="2162"/>
      <c r="D2033" s="2162"/>
      <c r="E2033" s="5"/>
      <c r="F2033" s="5">
        <v>6.92</v>
      </c>
      <c r="G2033" s="5">
        <v>13</v>
      </c>
      <c r="H2033" s="5"/>
      <c r="I2033" s="5"/>
      <c r="J2033" s="5"/>
      <c r="K2033" s="5"/>
      <c r="L2033" s="5"/>
      <c r="M2033" s="5"/>
      <c r="N2033" s="5"/>
      <c r="O2033" s="278">
        <f>6.4*G2033*F2033</f>
        <v>575.74400000000003</v>
      </c>
    </row>
    <row r="2034" spans="1:15" ht="49.5" hidden="1" customHeight="1" outlineLevel="1">
      <c r="A2034" s="603"/>
      <c r="B2034" s="3"/>
      <c r="C2034" s="3"/>
      <c r="D2034" s="253"/>
      <c r="E2034" s="5"/>
      <c r="F2034" s="5">
        <v>3.68</v>
      </c>
      <c r="G2034" s="5">
        <v>13</v>
      </c>
      <c r="H2034" s="5"/>
      <c r="I2034" s="5"/>
      <c r="J2034" s="5"/>
      <c r="K2034" s="5"/>
      <c r="L2034" s="5"/>
      <c r="M2034" s="5"/>
      <c r="N2034" s="5"/>
      <c r="O2034" s="278">
        <f>6.4*G2034*F2034</f>
        <v>306.17600000000004</v>
      </c>
    </row>
    <row r="2035" spans="1:15" ht="49.5" hidden="1" customHeight="1" outlineLevel="1">
      <c r="A2035" s="603"/>
      <c r="B2035" s="3"/>
      <c r="C2035" s="3"/>
      <c r="D2035" s="5"/>
      <c r="E2035" s="5"/>
      <c r="F2035" s="5">
        <v>10.119999999999999</v>
      </c>
      <c r="G2035" s="5">
        <v>13</v>
      </c>
      <c r="H2035" s="5"/>
      <c r="I2035" s="5"/>
      <c r="J2035" s="5"/>
      <c r="K2035" s="5"/>
      <c r="L2035" s="5"/>
      <c r="M2035" s="5"/>
      <c r="N2035" s="5"/>
      <c r="O2035" s="278">
        <f>6.4*G2035*F2035</f>
        <v>841.98399999999992</v>
      </c>
    </row>
    <row r="2036" spans="1:15" ht="49.5" hidden="1" customHeight="1" outlineLevel="1">
      <c r="A2036" s="603"/>
      <c r="B2036" s="3"/>
      <c r="C2036" s="3"/>
      <c r="D2036" s="5"/>
      <c r="E2036" s="5"/>
      <c r="F2036" s="5">
        <v>11.9</v>
      </c>
      <c r="G2036" s="5">
        <v>13</v>
      </c>
      <c r="H2036" s="5"/>
      <c r="I2036" s="5"/>
      <c r="J2036" s="5"/>
      <c r="K2036" s="5"/>
      <c r="L2036" s="5"/>
      <c r="M2036" s="5"/>
      <c r="N2036" s="5"/>
      <c r="O2036" s="278">
        <f>6.4*G2036*F2036</f>
        <v>990.08</v>
      </c>
    </row>
    <row r="2037" spans="1:15" ht="49.5" hidden="1" customHeight="1" outlineLevel="1">
      <c r="A2037" s="603"/>
      <c r="B2037" s="3"/>
      <c r="C2037" s="3"/>
      <c r="D2037" s="5"/>
      <c r="E2037" s="5"/>
      <c r="F2037" s="5">
        <v>12.22</v>
      </c>
      <c r="G2037" s="5">
        <v>13</v>
      </c>
      <c r="H2037" s="5"/>
      <c r="I2037" s="5"/>
      <c r="J2037" s="5"/>
      <c r="K2037" s="5"/>
      <c r="L2037" s="5"/>
      <c r="M2037" s="5"/>
      <c r="N2037" s="5"/>
      <c r="O2037" s="278">
        <f>6.4*G2037*F2037</f>
        <v>1016.7040000000001</v>
      </c>
    </row>
    <row r="2038" spans="1:15" ht="49.5" hidden="1" customHeight="1" outlineLevel="1">
      <c r="A2038" s="603"/>
      <c r="B2038" s="3"/>
      <c r="C2038" s="3"/>
      <c r="D2038" s="5"/>
      <c r="E2038" s="5"/>
      <c r="F2038" s="5">
        <v>7.04</v>
      </c>
      <c r="G2038" s="5">
        <v>13</v>
      </c>
      <c r="H2038" s="5"/>
      <c r="I2038" s="5"/>
      <c r="J2038" s="5"/>
      <c r="K2038" s="5"/>
      <c r="L2038" s="5"/>
      <c r="M2038" s="5"/>
      <c r="N2038" s="5">
        <f>4*G2038*F2038</f>
        <v>366.08</v>
      </c>
      <c r="O2038" s="278"/>
    </row>
    <row r="2039" spans="1:15" ht="49.5" hidden="1" customHeight="1" outlineLevel="1">
      <c r="A2039" s="603"/>
      <c r="B2039" s="3"/>
      <c r="C2039" s="3"/>
      <c r="D2039" s="5"/>
      <c r="E2039" s="5"/>
      <c r="F2039" s="5">
        <v>7.07</v>
      </c>
      <c r="G2039" s="5">
        <v>13</v>
      </c>
      <c r="H2039" s="5"/>
      <c r="I2039" s="5"/>
      <c r="J2039" s="5"/>
      <c r="K2039" s="5"/>
      <c r="L2039" s="5"/>
      <c r="M2039" s="5"/>
      <c r="N2039" s="5">
        <f>4*G2039*F2039</f>
        <v>367.64</v>
      </c>
      <c r="O2039" s="278"/>
    </row>
    <row r="2040" spans="1:15" ht="49.5" hidden="1" customHeight="1" outlineLevel="1">
      <c r="A2040" s="603"/>
      <c r="B2040" s="3"/>
      <c r="C2040" s="3"/>
      <c r="D2040" s="5"/>
      <c r="E2040" s="5"/>
      <c r="F2040" s="5">
        <v>10.25</v>
      </c>
      <c r="G2040" s="5">
        <v>13</v>
      </c>
      <c r="H2040" s="5"/>
      <c r="I2040" s="5"/>
      <c r="J2040" s="5"/>
      <c r="K2040" s="5"/>
      <c r="L2040" s="5"/>
      <c r="M2040" s="5">
        <f>3*G2040*F2040</f>
        <v>399.75</v>
      </c>
      <c r="N2040" s="5"/>
      <c r="O2040" s="278"/>
    </row>
    <row r="2041" spans="1:15" ht="49.5" hidden="1" customHeight="1" outlineLevel="1">
      <c r="A2041" s="603"/>
      <c r="B2041" s="3"/>
      <c r="C2041" s="3"/>
      <c r="D2041" s="5"/>
      <c r="E2041" s="5"/>
      <c r="F2041" s="5">
        <v>6.77</v>
      </c>
      <c r="G2041" s="5">
        <v>13</v>
      </c>
      <c r="H2041" s="5"/>
      <c r="I2041" s="5"/>
      <c r="J2041" s="5"/>
      <c r="K2041" s="5"/>
      <c r="L2041" s="5"/>
      <c r="M2041" s="5">
        <f>3*G2041*F2041</f>
        <v>264.02999999999997</v>
      </c>
      <c r="N2041" s="5"/>
      <c r="O2041" s="278"/>
    </row>
    <row r="2042" spans="1:15" ht="49.5" hidden="1" customHeight="1" outlineLevel="1">
      <c r="A2042" s="603"/>
      <c r="B2042" s="3"/>
      <c r="C2042" s="3"/>
      <c r="D2042" s="5"/>
      <c r="E2042" s="5"/>
      <c r="F2042" s="5">
        <f>+(1.15*2)+(0.55*2)+(7.5/100)</f>
        <v>3.4750000000000001</v>
      </c>
      <c r="G2042" s="5">
        <v>90</v>
      </c>
      <c r="H2042" s="5"/>
      <c r="I2042" s="5"/>
      <c r="J2042" s="5"/>
      <c r="K2042" s="5"/>
      <c r="L2042" s="5"/>
      <c r="M2042" s="5"/>
      <c r="N2042" s="5"/>
      <c r="O2042" s="278"/>
    </row>
    <row r="2043" spans="1:15" ht="49.5" hidden="1" customHeight="1" outlineLevel="1">
      <c r="A2043" s="603"/>
      <c r="B2043" s="3"/>
      <c r="C2043" s="3"/>
      <c r="D2043" s="5"/>
      <c r="E2043" s="5"/>
      <c r="F2043" s="5">
        <f>1.15+(7.5/100)</f>
        <v>1.2249999999999999</v>
      </c>
      <c r="G2043" s="5">
        <f>3*G2042</f>
        <v>270</v>
      </c>
      <c r="H2043" s="5"/>
      <c r="I2043" s="5"/>
      <c r="J2043" s="5"/>
      <c r="K2043" s="5"/>
      <c r="L2043" s="5"/>
      <c r="M2043" s="5"/>
      <c r="N2043" s="5"/>
      <c r="O2043" s="278"/>
    </row>
    <row r="2044" spans="1:15" ht="49.5" hidden="1" customHeight="1" outlineLevel="1">
      <c r="A2044" s="603"/>
      <c r="B2044" s="3"/>
      <c r="C2044" s="3"/>
      <c r="D2044" s="5"/>
      <c r="E2044" s="5"/>
      <c r="F2044" s="5">
        <f>0.55+(7.5/100)</f>
        <v>0.625</v>
      </c>
      <c r="G2044" s="5">
        <f>8*G2042</f>
        <v>720</v>
      </c>
      <c r="H2044" s="5"/>
      <c r="I2044" s="5"/>
      <c r="J2044" s="5"/>
      <c r="K2044" s="5"/>
      <c r="L2044" s="5"/>
      <c r="M2044" s="5"/>
      <c r="N2044" s="5"/>
      <c r="O2044" s="278"/>
    </row>
    <row r="2045" spans="1:15" ht="49.5" hidden="1" customHeight="1" outlineLevel="1">
      <c r="A2045" s="603"/>
      <c r="B2045" s="3"/>
      <c r="C2045" s="3"/>
      <c r="D2045" s="5"/>
      <c r="E2045" s="5"/>
      <c r="F2045" s="5">
        <f>+(1.45*2)+(0.55*2)+(7.5/100)</f>
        <v>4.0750000000000002</v>
      </c>
      <c r="G2045" s="5">
        <v>212</v>
      </c>
      <c r="H2045" s="5"/>
      <c r="I2045" s="5"/>
      <c r="J2045" s="5"/>
      <c r="K2045" s="5"/>
      <c r="L2045" s="5"/>
      <c r="M2045" s="5"/>
      <c r="N2045" s="5"/>
      <c r="O2045" s="278"/>
    </row>
    <row r="2046" spans="1:15" ht="49.5" hidden="1" customHeight="1" outlineLevel="1">
      <c r="A2046" s="603"/>
      <c r="B2046" s="3"/>
      <c r="C2046" s="3"/>
      <c r="D2046" s="5"/>
      <c r="E2046" s="5"/>
      <c r="F2046" s="5">
        <f>1.45+(7.5/100)</f>
        <v>1.5249999999999999</v>
      </c>
      <c r="G2046" s="5">
        <f>3*G2045</f>
        <v>636</v>
      </c>
      <c r="H2046" s="5"/>
      <c r="I2046" s="5"/>
      <c r="J2046" s="5"/>
      <c r="K2046" s="5"/>
      <c r="L2046" s="5"/>
      <c r="M2046" s="5"/>
      <c r="N2046" s="5"/>
      <c r="O2046" s="278"/>
    </row>
    <row r="2047" spans="1:15" ht="49.5" hidden="1" customHeight="1" outlineLevel="1">
      <c r="A2047" s="603"/>
      <c r="B2047" s="3"/>
      <c r="C2047" s="3"/>
      <c r="D2047" s="230"/>
      <c r="E2047" s="5"/>
      <c r="F2047" s="5">
        <f>0.55+(7.5/100)</f>
        <v>0.625</v>
      </c>
      <c r="G2047" s="5">
        <f>8*G2045</f>
        <v>1696</v>
      </c>
      <c r="H2047" s="5"/>
      <c r="I2047" s="5"/>
      <c r="J2047" s="5"/>
      <c r="K2047" s="5"/>
      <c r="L2047" s="5"/>
      <c r="M2047" s="5"/>
      <c r="N2047" s="5"/>
      <c r="O2047" s="278"/>
    </row>
    <row r="2048" spans="1:15" ht="49.5" hidden="1" customHeight="1" outlineLevel="1">
      <c r="A2048" s="2161">
        <v>11</v>
      </c>
      <c r="B2048" s="2162"/>
      <c r="C2048" s="2162"/>
      <c r="D2048" s="2162"/>
      <c r="E2048" s="5"/>
      <c r="F2048" s="5">
        <v>7.78</v>
      </c>
      <c r="G2048" s="5">
        <v>16</v>
      </c>
      <c r="H2048" s="5"/>
      <c r="I2048" s="5"/>
      <c r="J2048" s="5"/>
      <c r="K2048" s="5"/>
      <c r="L2048" s="5"/>
      <c r="M2048" s="5">
        <f>3*G2048*F2048</f>
        <v>373.44</v>
      </c>
      <c r="N2048" s="5"/>
      <c r="O2048" s="278"/>
    </row>
    <row r="2049" spans="1:15" ht="49.5" hidden="1" customHeight="1" outlineLevel="1">
      <c r="A2049" s="603"/>
      <c r="B2049" s="3"/>
      <c r="C2049" s="3"/>
      <c r="D2049" s="253"/>
      <c r="E2049" s="5"/>
      <c r="F2049" s="5">
        <v>7.78</v>
      </c>
      <c r="G2049" s="5">
        <v>16</v>
      </c>
      <c r="H2049" s="5"/>
      <c r="I2049" s="5"/>
      <c r="J2049" s="5"/>
      <c r="K2049" s="5"/>
      <c r="L2049" s="5"/>
      <c r="M2049" s="5">
        <f>3*G2049*F2049</f>
        <v>373.44</v>
      </c>
      <c r="N2049" s="5"/>
      <c r="O2049" s="278"/>
    </row>
    <row r="2050" spans="1:15" ht="49.5" hidden="1" customHeight="1" outlineLevel="1">
      <c r="A2050" s="603"/>
      <c r="B2050" s="3"/>
      <c r="C2050" s="3"/>
      <c r="D2050" s="5"/>
      <c r="E2050" s="5"/>
      <c r="F2050" s="5">
        <f>+(1.95*2)+(0.35*2)+(7.5/100)</f>
        <v>4.6749999999999998</v>
      </c>
      <c r="G2050" s="5">
        <v>71</v>
      </c>
      <c r="H2050" s="5"/>
      <c r="I2050" s="5"/>
      <c r="J2050" s="5"/>
      <c r="K2050" s="5"/>
      <c r="L2050" s="5"/>
      <c r="M2050" s="5"/>
      <c r="N2050" s="5"/>
      <c r="O2050" s="278"/>
    </row>
    <row r="2051" spans="1:15" ht="49.5" hidden="1" customHeight="1" outlineLevel="1">
      <c r="A2051" s="603"/>
      <c r="B2051" s="3"/>
      <c r="C2051" s="3"/>
      <c r="D2051" s="5"/>
      <c r="E2051" s="5"/>
      <c r="F2051" s="5">
        <f>1.95+(7.5/100)</f>
        <v>2.0249999999999999</v>
      </c>
      <c r="G2051" s="5">
        <v>71</v>
      </c>
      <c r="H2051" s="5"/>
      <c r="I2051" s="5"/>
      <c r="J2051" s="5"/>
      <c r="K2051" s="5"/>
      <c r="L2051" s="5"/>
      <c r="M2051" s="5"/>
      <c r="N2051" s="5"/>
      <c r="O2051" s="278"/>
    </row>
    <row r="2052" spans="1:15" ht="49.5" hidden="1" customHeight="1" outlineLevel="1">
      <c r="A2052" s="603"/>
      <c r="B2052" s="3"/>
      <c r="C2052" s="3"/>
      <c r="D2052" s="230"/>
      <c r="E2052" s="5"/>
      <c r="F2052" s="5">
        <f>0.35+(7.5/100)</f>
        <v>0.42499999999999999</v>
      </c>
      <c r="G2052" s="5">
        <f>13*71</f>
        <v>923</v>
      </c>
      <c r="H2052" s="5"/>
      <c r="I2052" s="5"/>
      <c r="J2052" s="5"/>
      <c r="K2052" s="5"/>
      <c r="L2052" s="5"/>
      <c r="M2052" s="5"/>
      <c r="N2052" s="5"/>
      <c r="O2052" s="278"/>
    </row>
    <row r="2053" spans="1:15" ht="49.5" hidden="1" customHeight="1" outlineLevel="1">
      <c r="A2053" s="2161">
        <v>12</v>
      </c>
      <c r="B2053" s="2162"/>
      <c r="C2053" s="2162"/>
      <c r="D2053" s="2162"/>
      <c r="E2053" s="5"/>
      <c r="F2053" s="5">
        <v>7.43</v>
      </c>
      <c r="G2053" s="5">
        <v>4</v>
      </c>
      <c r="H2053" s="5"/>
      <c r="I2053" s="5"/>
      <c r="J2053" s="5"/>
      <c r="K2053" s="5">
        <f>1.55*G2053*F2053</f>
        <v>46.066000000000003</v>
      </c>
      <c r="L2053" s="5"/>
      <c r="M2053" s="5"/>
      <c r="N2053" s="5"/>
      <c r="O2053" s="278"/>
    </row>
    <row r="2054" spans="1:15" ht="49.5" hidden="1" customHeight="1" outlineLevel="1">
      <c r="A2054" s="603"/>
      <c r="B2054" s="3"/>
      <c r="C2054" s="3"/>
      <c r="D2054" s="253"/>
      <c r="E2054" s="5"/>
      <c r="F2054" s="5">
        <v>7.43</v>
      </c>
      <c r="G2054" s="5">
        <v>4</v>
      </c>
      <c r="H2054" s="5"/>
      <c r="I2054" s="5"/>
      <c r="J2054" s="5"/>
      <c r="K2054" s="5">
        <f>1.55*G2054*F2054</f>
        <v>46.066000000000003</v>
      </c>
      <c r="L2054" s="5"/>
      <c r="M2054" s="5"/>
      <c r="N2054" s="5"/>
      <c r="O2054" s="278"/>
    </row>
    <row r="2055" spans="1:15" ht="49.5" hidden="1" customHeight="1" outlineLevel="1">
      <c r="A2055" s="603"/>
      <c r="B2055" s="3"/>
      <c r="C2055" s="3"/>
      <c r="D2055" s="5"/>
      <c r="E2055" s="5"/>
      <c r="F2055" s="5">
        <f>+(0.35*2)+(0.35*2)+(7.5/100)</f>
        <v>1.4749999999999999</v>
      </c>
      <c r="G2055" s="5">
        <v>57</v>
      </c>
      <c r="H2055" s="5"/>
      <c r="I2055" s="5"/>
      <c r="J2055" s="5"/>
      <c r="K2055" s="5"/>
      <c r="L2055" s="5"/>
      <c r="M2055" s="5"/>
      <c r="N2055" s="5"/>
      <c r="O2055" s="278"/>
    </row>
    <row r="2056" spans="1:15" ht="49.5" hidden="1" customHeight="1" outlineLevel="1">
      <c r="A2056" s="603"/>
      <c r="B2056" s="3"/>
      <c r="C2056" s="3"/>
      <c r="D2056" s="5"/>
      <c r="E2056" s="5"/>
      <c r="F2056" s="5">
        <f>0.35+(7.5/100)</f>
        <v>0.42499999999999999</v>
      </c>
      <c r="G2056" s="5">
        <v>57</v>
      </c>
      <c r="H2056" s="5"/>
      <c r="I2056" s="5"/>
      <c r="J2056" s="5"/>
      <c r="K2056" s="5"/>
      <c r="L2056" s="5"/>
      <c r="M2056" s="5"/>
      <c r="N2056" s="5"/>
      <c r="O2056" s="278"/>
    </row>
    <row r="2057" spans="1:15" ht="49.5" hidden="1" customHeight="1" outlineLevel="1">
      <c r="A2057" s="603"/>
      <c r="B2057" s="3"/>
      <c r="C2057" s="3"/>
      <c r="D2057" s="230"/>
      <c r="E2057" s="5"/>
      <c r="F2057" s="5">
        <f>0.35+(7.5/100)</f>
        <v>0.42499999999999999</v>
      </c>
      <c r="G2057" s="5">
        <v>57</v>
      </c>
      <c r="H2057" s="5"/>
      <c r="I2057" s="5"/>
      <c r="J2057" s="5"/>
      <c r="K2057" s="5"/>
      <c r="L2057" s="5"/>
      <c r="M2057" s="5"/>
      <c r="N2057" s="5"/>
      <c r="O2057" s="278"/>
    </row>
    <row r="2058" spans="1:15" ht="49.5" hidden="1" customHeight="1" outlineLevel="1">
      <c r="A2058" s="2161">
        <v>13</v>
      </c>
      <c r="B2058" s="2162"/>
      <c r="C2058" s="2162"/>
      <c r="D2058" s="2162"/>
      <c r="E2058" s="5"/>
      <c r="F2058" s="5">
        <v>4</v>
      </c>
      <c r="G2058" s="5">
        <v>4</v>
      </c>
      <c r="H2058" s="5"/>
      <c r="I2058" s="5"/>
      <c r="J2058" s="5">
        <f>+G2058*F2058</f>
        <v>16</v>
      </c>
      <c r="K2058" s="5"/>
      <c r="L2058" s="5"/>
      <c r="M2058" s="5"/>
      <c r="N2058" s="5"/>
      <c r="O2058" s="278"/>
    </row>
    <row r="2059" spans="1:15" ht="49.5" hidden="1" customHeight="1" outlineLevel="1">
      <c r="A2059" s="603"/>
      <c r="B2059" s="3"/>
      <c r="C2059" s="3"/>
      <c r="D2059" s="253"/>
      <c r="E2059" s="5"/>
      <c r="F2059" s="5">
        <v>4</v>
      </c>
      <c r="G2059" s="5">
        <v>4</v>
      </c>
      <c r="H2059" s="5"/>
      <c r="I2059" s="5"/>
      <c r="J2059" s="5">
        <f>+G2059*F2059</f>
        <v>16</v>
      </c>
      <c r="K2059" s="5"/>
      <c r="L2059" s="5"/>
      <c r="M2059" s="5"/>
      <c r="N2059" s="5"/>
      <c r="O2059" s="278"/>
    </row>
    <row r="2060" spans="1:15" ht="49.5" hidden="1" customHeight="1" outlineLevel="1">
      <c r="A2060" s="603"/>
      <c r="B2060" s="3"/>
      <c r="C2060" s="3"/>
      <c r="D2060" s="5"/>
      <c r="E2060" s="5"/>
      <c r="F2060" s="5">
        <f>+(0.2*2)+(0.2*2)+(7.5/100)</f>
        <v>0.875</v>
      </c>
      <c r="G2060" s="5">
        <v>31</v>
      </c>
      <c r="H2060" s="5"/>
      <c r="I2060" s="5"/>
      <c r="J2060" s="5"/>
      <c r="K2060" s="5"/>
      <c r="L2060" s="5"/>
      <c r="M2060" s="5"/>
      <c r="N2060" s="5"/>
      <c r="O2060" s="278"/>
    </row>
    <row r="2061" spans="1:15" ht="49.5" hidden="1" customHeight="1" outlineLevel="1">
      <c r="A2061" s="603"/>
      <c r="B2061" s="3"/>
      <c r="C2061" s="3"/>
      <c r="D2061" s="5"/>
      <c r="E2061" s="5"/>
      <c r="F2061" s="5">
        <f>0.2+(7.5/100)</f>
        <v>0.27500000000000002</v>
      </c>
      <c r="G2061" s="5">
        <v>31</v>
      </c>
      <c r="H2061" s="5"/>
      <c r="I2061" s="5"/>
      <c r="J2061" s="5"/>
      <c r="K2061" s="5"/>
      <c r="L2061" s="5"/>
      <c r="M2061" s="5"/>
      <c r="N2061" s="5"/>
      <c r="O2061" s="278"/>
    </row>
    <row r="2062" spans="1:15" ht="49.5" hidden="1" customHeight="1" outlineLevel="1">
      <c r="A2062" s="603"/>
      <c r="B2062" s="3"/>
      <c r="C2062" s="3"/>
      <c r="D2062" s="230"/>
      <c r="E2062" s="5"/>
      <c r="F2062" s="5">
        <f>0.2+(7.5/100)</f>
        <v>0.27500000000000002</v>
      </c>
      <c r="G2062" s="5">
        <v>31</v>
      </c>
      <c r="H2062" s="5"/>
      <c r="I2062" s="5"/>
      <c r="J2062" s="5"/>
      <c r="K2062" s="5"/>
      <c r="L2062" s="5"/>
      <c r="M2062" s="5"/>
      <c r="N2062" s="5"/>
      <c r="O2062" s="278"/>
    </row>
    <row r="2063" spans="1:15" ht="49.5" hidden="1" customHeight="1" outlineLevel="1">
      <c r="A2063" s="2161">
        <v>14</v>
      </c>
      <c r="B2063" s="2162"/>
      <c r="C2063" s="2162"/>
      <c r="D2063" s="2162"/>
      <c r="E2063" s="5"/>
      <c r="F2063" s="5">
        <v>10.35</v>
      </c>
      <c r="G2063" s="5">
        <v>11</v>
      </c>
      <c r="H2063" s="5"/>
      <c r="I2063" s="5"/>
      <c r="J2063" s="5"/>
      <c r="K2063" s="5"/>
      <c r="L2063" s="5"/>
      <c r="M2063" s="5"/>
      <c r="N2063" s="5"/>
      <c r="O2063" s="278">
        <f>6.4*G2063*F2063</f>
        <v>728.64</v>
      </c>
    </row>
    <row r="2064" spans="1:15" ht="49.5" hidden="1" customHeight="1" outlineLevel="1">
      <c r="A2064" s="603"/>
      <c r="B2064" s="3"/>
      <c r="C2064" s="3"/>
      <c r="D2064" s="253"/>
      <c r="E2064" s="5"/>
      <c r="F2064" s="5">
        <v>6.92</v>
      </c>
      <c r="G2064" s="5">
        <v>11</v>
      </c>
      <c r="H2064" s="5"/>
      <c r="I2064" s="5"/>
      <c r="J2064" s="5"/>
      <c r="K2064" s="5"/>
      <c r="L2064" s="5"/>
      <c r="M2064" s="5"/>
      <c r="N2064" s="5"/>
      <c r="O2064" s="278">
        <f t="shared" ref="O2064:O2069" si="293">6.4*G2064*F2064</f>
        <v>487.16800000000001</v>
      </c>
    </row>
    <row r="2065" spans="1:15" ht="49.5" hidden="1" customHeight="1" outlineLevel="1">
      <c r="A2065" s="603"/>
      <c r="B2065" s="3"/>
      <c r="C2065" s="3"/>
      <c r="D2065" s="5"/>
      <c r="E2065" s="5"/>
      <c r="F2065" s="5">
        <v>9.1999999999999993</v>
      </c>
      <c r="G2065" s="5">
        <v>11</v>
      </c>
      <c r="H2065" s="5"/>
      <c r="I2065" s="5"/>
      <c r="J2065" s="5"/>
      <c r="K2065" s="5"/>
      <c r="L2065" s="5"/>
      <c r="M2065" s="5"/>
      <c r="N2065" s="5"/>
      <c r="O2065" s="278">
        <f t="shared" si="293"/>
        <v>647.67999999999995</v>
      </c>
    </row>
    <row r="2066" spans="1:15" ht="49.5" hidden="1" customHeight="1" outlineLevel="1">
      <c r="A2066" s="603"/>
      <c r="B2066" s="3"/>
      <c r="C2066" s="3"/>
      <c r="D2066" s="5"/>
      <c r="E2066" s="5"/>
      <c r="F2066" s="5">
        <v>9</v>
      </c>
      <c r="G2066" s="5">
        <v>11</v>
      </c>
      <c r="H2066" s="5"/>
      <c r="I2066" s="5"/>
      <c r="J2066" s="5"/>
      <c r="K2066" s="5"/>
      <c r="L2066" s="5"/>
      <c r="M2066" s="5"/>
      <c r="N2066" s="5"/>
      <c r="O2066" s="278">
        <f t="shared" si="293"/>
        <v>633.6</v>
      </c>
    </row>
    <row r="2067" spans="1:15" ht="49.5" hidden="1" customHeight="1" outlineLevel="1">
      <c r="A2067" s="603"/>
      <c r="B2067" s="3"/>
      <c r="C2067" s="3"/>
      <c r="D2067" s="5"/>
      <c r="E2067" s="5"/>
      <c r="F2067" s="5">
        <v>9.1999999999999993</v>
      </c>
      <c r="G2067" s="5">
        <v>11</v>
      </c>
      <c r="H2067" s="5"/>
      <c r="I2067" s="5"/>
      <c r="J2067" s="5"/>
      <c r="K2067" s="5"/>
      <c r="L2067" s="5"/>
      <c r="M2067" s="5"/>
      <c r="N2067" s="5"/>
      <c r="O2067" s="278">
        <f t="shared" si="293"/>
        <v>647.67999999999995</v>
      </c>
    </row>
    <row r="2068" spans="1:15" ht="49.5" hidden="1" customHeight="1" outlineLevel="1">
      <c r="A2068" s="603"/>
      <c r="B2068" s="3"/>
      <c r="C2068" s="3"/>
      <c r="D2068" s="5"/>
      <c r="E2068" s="5"/>
      <c r="F2068" s="5">
        <v>7.2</v>
      </c>
      <c r="G2068" s="5">
        <v>11</v>
      </c>
      <c r="H2068" s="5"/>
      <c r="I2068" s="5"/>
      <c r="J2068" s="5"/>
      <c r="K2068" s="5"/>
      <c r="L2068" s="5"/>
      <c r="M2068" s="5"/>
      <c r="N2068" s="5"/>
      <c r="O2068" s="278">
        <f t="shared" si="293"/>
        <v>506.88000000000005</v>
      </c>
    </row>
    <row r="2069" spans="1:15" ht="49.5" hidden="1" customHeight="1" outlineLevel="1">
      <c r="A2069" s="603"/>
      <c r="B2069" s="3"/>
      <c r="C2069" s="3"/>
      <c r="D2069" s="5"/>
      <c r="E2069" s="5"/>
      <c r="F2069" s="5">
        <v>10.85</v>
      </c>
      <c r="G2069" s="5">
        <v>11</v>
      </c>
      <c r="H2069" s="5"/>
      <c r="I2069" s="5"/>
      <c r="J2069" s="5"/>
      <c r="K2069" s="5"/>
      <c r="L2069" s="5"/>
      <c r="M2069" s="5"/>
      <c r="N2069" s="5"/>
      <c r="O2069" s="278">
        <f t="shared" si="293"/>
        <v>763.84</v>
      </c>
    </row>
    <row r="2070" spans="1:15" ht="49.5" hidden="1" customHeight="1" outlineLevel="1">
      <c r="A2070" s="603"/>
      <c r="B2070" s="3"/>
      <c r="C2070" s="3"/>
      <c r="D2070" s="5"/>
      <c r="E2070" s="5"/>
      <c r="F2070" s="5">
        <f>+(0.75*2)+(0.55*2)+(7.5/100)</f>
        <v>2.6750000000000003</v>
      </c>
      <c r="G2070" s="5">
        <v>191</v>
      </c>
      <c r="H2070" s="5"/>
      <c r="I2070" s="5"/>
      <c r="J2070" s="5"/>
      <c r="K2070" s="5"/>
      <c r="L2070" s="5"/>
      <c r="M2070" s="5"/>
      <c r="N2070" s="5"/>
      <c r="O2070" s="278"/>
    </row>
    <row r="2071" spans="1:15" ht="49.5" hidden="1" customHeight="1" outlineLevel="1">
      <c r="A2071" s="603"/>
      <c r="B2071" s="3"/>
      <c r="C2071" s="3"/>
      <c r="D2071" s="5"/>
      <c r="E2071" s="5"/>
      <c r="F2071" s="5">
        <f>0.75+(7.5/100)</f>
        <v>0.82499999999999996</v>
      </c>
      <c r="G2071" s="5">
        <f>3*G2070</f>
        <v>573</v>
      </c>
      <c r="H2071" s="5"/>
      <c r="I2071" s="5"/>
      <c r="J2071" s="5"/>
      <c r="K2071" s="5"/>
      <c r="L2071" s="5"/>
      <c r="M2071" s="5"/>
      <c r="N2071" s="5"/>
      <c r="O2071" s="278"/>
    </row>
    <row r="2072" spans="1:15" ht="49.5" hidden="1" customHeight="1" outlineLevel="1">
      <c r="A2072" s="603"/>
      <c r="B2072" s="3"/>
      <c r="C2072" s="3"/>
      <c r="D2072" s="230"/>
      <c r="E2072" s="5"/>
      <c r="F2072" s="5">
        <f>0.55+(7.5/100)</f>
        <v>0.625</v>
      </c>
      <c r="G2072" s="5">
        <f>6*191</f>
        <v>1146</v>
      </c>
      <c r="H2072" s="5"/>
      <c r="I2072" s="5"/>
      <c r="J2072" s="5"/>
      <c r="K2072" s="5"/>
      <c r="L2072" s="5"/>
      <c r="M2072" s="5"/>
      <c r="N2072" s="5"/>
      <c r="O2072" s="278"/>
    </row>
    <row r="2073" spans="1:15" ht="49.5" hidden="1" customHeight="1" outlineLevel="1">
      <c r="A2073" s="2161">
        <v>15</v>
      </c>
      <c r="B2073" s="2162"/>
      <c r="C2073" s="2162"/>
      <c r="D2073" s="2162"/>
      <c r="E2073" s="5"/>
      <c r="F2073" s="5">
        <v>8.34</v>
      </c>
      <c r="G2073" s="5">
        <v>10</v>
      </c>
      <c r="H2073" s="5"/>
      <c r="I2073" s="5"/>
      <c r="J2073" s="5"/>
      <c r="K2073" s="5"/>
      <c r="L2073" s="5"/>
      <c r="M2073" s="5"/>
      <c r="N2073" s="5"/>
      <c r="O2073" s="278">
        <f t="shared" ref="O2073:O2078" si="294">6.4*G2073*F2073</f>
        <v>533.76</v>
      </c>
    </row>
    <row r="2074" spans="1:15" ht="49.5" hidden="1" customHeight="1" outlineLevel="1">
      <c r="A2074" s="603"/>
      <c r="B2074" s="3"/>
      <c r="C2074" s="3"/>
      <c r="D2074" s="253"/>
      <c r="E2074" s="5"/>
      <c r="F2074" s="5">
        <v>8.34</v>
      </c>
      <c r="G2074" s="5">
        <v>10</v>
      </c>
      <c r="H2074" s="5"/>
      <c r="I2074" s="5"/>
      <c r="J2074" s="5"/>
      <c r="K2074" s="5"/>
      <c r="L2074" s="5"/>
      <c r="M2074" s="5"/>
      <c r="N2074" s="5"/>
      <c r="O2074" s="278">
        <f t="shared" si="294"/>
        <v>533.76</v>
      </c>
    </row>
    <row r="2075" spans="1:15" ht="49.5" hidden="1" customHeight="1" outlineLevel="1">
      <c r="A2075" s="603"/>
      <c r="B2075" s="3"/>
      <c r="C2075" s="3"/>
      <c r="D2075" s="5"/>
      <c r="E2075" s="5"/>
      <c r="F2075" s="5">
        <v>8.1</v>
      </c>
      <c r="G2075" s="5">
        <v>10</v>
      </c>
      <c r="H2075" s="5"/>
      <c r="I2075" s="5"/>
      <c r="J2075" s="5"/>
      <c r="K2075" s="5"/>
      <c r="L2075" s="5"/>
      <c r="M2075" s="5"/>
      <c r="N2075" s="5"/>
      <c r="O2075" s="278">
        <f t="shared" si="294"/>
        <v>518.4</v>
      </c>
    </row>
    <row r="2076" spans="1:15" ht="49.5" hidden="1" customHeight="1" outlineLevel="1">
      <c r="A2076" s="603"/>
      <c r="B2076" s="3"/>
      <c r="C2076" s="3"/>
      <c r="D2076" s="5"/>
      <c r="E2076" s="5"/>
      <c r="F2076" s="5">
        <v>11.7</v>
      </c>
      <c r="G2076" s="5">
        <v>10</v>
      </c>
      <c r="H2076" s="5"/>
      <c r="I2076" s="5"/>
      <c r="J2076" s="5"/>
      <c r="K2076" s="5"/>
      <c r="L2076" s="5"/>
      <c r="M2076" s="5"/>
      <c r="N2076" s="5"/>
      <c r="O2076" s="278">
        <f t="shared" si="294"/>
        <v>748.8</v>
      </c>
    </row>
    <row r="2077" spans="1:15" ht="49.5" hidden="1" customHeight="1" outlineLevel="1">
      <c r="A2077" s="603"/>
      <c r="B2077" s="3"/>
      <c r="C2077" s="3"/>
      <c r="D2077" s="5"/>
      <c r="E2077" s="5"/>
      <c r="F2077" s="5">
        <v>7.2</v>
      </c>
      <c r="G2077" s="5">
        <v>10</v>
      </c>
      <c r="H2077" s="5"/>
      <c r="I2077" s="5"/>
      <c r="J2077" s="5"/>
      <c r="K2077" s="5"/>
      <c r="L2077" s="5"/>
      <c r="M2077" s="5"/>
      <c r="N2077" s="5"/>
      <c r="O2077" s="278">
        <f t="shared" si="294"/>
        <v>460.8</v>
      </c>
    </row>
    <row r="2078" spans="1:15" ht="49.5" hidden="1" customHeight="1" outlineLevel="1">
      <c r="A2078" s="603"/>
      <c r="B2078" s="3"/>
      <c r="C2078" s="3"/>
      <c r="D2078" s="5"/>
      <c r="E2078" s="5"/>
      <c r="F2078" s="5">
        <v>10.8</v>
      </c>
      <c r="G2078" s="5">
        <v>10</v>
      </c>
      <c r="H2078" s="5"/>
      <c r="I2078" s="5"/>
      <c r="J2078" s="5"/>
      <c r="K2078" s="5"/>
      <c r="L2078" s="5"/>
      <c r="M2078" s="5"/>
      <c r="N2078" s="5"/>
      <c r="O2078" s="278">
        <f t="shared" si="294"/>
        <v>691.2</v>
      </c>
    </row>
    <row r="2079" spans="1:15" ht="49.5" hidden="1" customHeight="1" outlineLevel="1">
      <c r="A2079" s="603"/>
      <c r="B2079" s="3"/>
      <c r="C2079" s="3"/>
      <c r="D2079" s="5"/>
      <c r="E2079" s="5"/>
      <c r="F2079" s="5">
        <f>+(1.15*2)+(0.55*2)+(7.5/100)</f>
        <v>3.4750000000000001</v>
      </c>
      <c r="G2079" s="5">
        <v>77</v>
      </c>
      <c r="H2079" s="5"/>
      <c r="I2079" s="5"/>
      <c r="J2079" s="5"/>
      <c r="K2079" s="5"/>
      <c r="L2079" s="5"/>
      <c r="M2079" s="5"/>
      <c r="N2079" s="5"/>
      <c r="O2079" s="278"/>
    </row>
    <row r="2080" spans="1:15" ht="49.5" hidden="1" customHeight="1" outlineLevel="1">
      <c r="A2080" s="603"/>
      <c r="B2080" s="3"/>
      <c r="C2080" s="3"/>
      <c r="D2080" s="5"/>
      <c r="E2080" s="5"/>
      <c r="F2080" s="5">
        <f>1.15+(7.5/100)</f>
        <v>1.2249999999999999</v>
      </c>
      <c r="G2080" s="5">
        <f>2*G2079</f>
        <v>154</v>
      </c>
      <c r="H2080" s="5"/>
      <c r="I2080" s="5"/>
      <c r="J2080" s="5"/>
      <c r="K2080" s="5"/>
      <c r="L2080" s="5"/>
      <c r="M2080" s="5"/>
      <c r="N2080" s="5"/>
      <c r="O2080" s="278"/>
    </row>
    <row r="2081" spans="1:15" ht="49.5" hidden="1" customHeight="1" outlineLevel="1">
      <c r="A2081" s="603"/>
      <c r="B2081" s="3"/>
      <c r="C2081" s="3"/>
      <c r="D2081" s="5"/>
      <c r="E2081" s="5"/>
      <c r="F2081" s="5">
        <f>0.55+(7.5/100)</f>
        <v>0.625</v>
      </c>
      <c r="G2081" s="5">
        <f>6*G2079</f>
        <v>462</v>
      </c>
      <c r="H2081" s="5"/>
      <c r="I2081" s="5"/>
      <c r="J2081" s="5"/>
      <c r="K2081" s="5"/>
      <c r="L2081" s="5"/>
      <c r="M2081" s="5"/>
      <c r="N2081" s="5"/>
      <c r="O2081" s="278"/>
    </row>
    <row r="2082" spans="1:15" ht="49.5" hidden="1" customHeight="1" outlineLevel="1">
      <c r="A2082" s="603"/>
      <c r="B2082" s="3"/>
      <c r="C2082" s="3"/>
      <c r="D2082" s="5"/>
      <c r="E2082" s="5"/>
      <c r="F2082" s="5">
        <f>+(0.75*2)+(0.55*2)+(7.5/100)</f>
        <v>2.6750000000000003</v>
      </c>
      <c r="G2082" s="5">
        <v>117</v>
      </c>
      <c r="H2082" s="5"/>
      <c r="I2082" s="5"/>
      <c r="J2082" s="5"/>
      <c r="K2082" s="5"/>
      <c r="L2082" s="5"/>
      <c r="M2082" s="5"/>
      <c r="N2082" s="5"/>
      <c r="O2082" s="278"/>
    </row>
    <row r="2083" spans="1:15" ht="49.5" hidden="1" customHeight="1" outlineLevel="1">
      <c r="A2083" s="603"/>
      <c r="B2083" s="3"/>
      <c r="C2083" s="3"/>
      <c r="D2083" s="5"/>
      <c r="E2083" s="5"/>
      <c r="F2083" s="5">
        <f>0.75+(7.5/100)</f>
        <v>0.82499999999999996</v>
      </c>
      <c r="G2083" s="5">
        <f>2*G2082</f>
        <v>234</v>
      </c>
      <c r="H2083" s="5"/>
      <c r="I2083" s="5"/>
      <c r="J2083" s="5"/>
      <c r="K2083" s="5"/>
      <c r="L2083" s="5"/>
      <c r="M2083" s="5"/>
      <c r="N2083" s="5"/>
      <c r="O2083" s="278"/>
    </row>
    <row r="2084" spans="1:15" ht="49.5" hidden="1" customHeight="1" outlineLevel="1">
      <c r="A2084" s="603"/>
      <c r="B2084" s="3"/>
      <c r="C2084" s="3"/>
      <c r="D2084" s="230"/>
      <c r="E2084" s="5"/>
      <c r="F2084" s="5">
        <f>0.55+(7.5/100)</f>
        <v>0.625</v>
      </c>
      <c r="G2084" s="5">
        <f>6*G2082</f>
        <v>702</v>
      </c>
      <c r="H2084" s="5"/>
      <c r="I2084" s="5"/>
      <c r="J2084" s="5"/>
      <c r="K2084" s="5"/>
      <c r="L2084" s="5"/>
      <c r="M2084" s="5"/>
      <c r="N2084" s="5"/>
      <c r="O2084" s="278"/>
    </row>
    <row r="2085" spans="1:15" ht="49.5" hidden="1" customHeight="1" outlineLevel="1">
      <c r="A2085" s="2161">
        <v>16</v>
      </c>
      <c r="B2085" s="2162"/>
      <c r="C2085" s="2162"/>
      <c r="D2085" s="2162"/>
      <c r="E2085" s="5"/>
      <c r="F2085" s="5">
        <v>8.34</v>
      </c>
      <c r="G2085" s="5">
        <v>16</v>
      </c>
      <c r="H2085" s="5"/>
      <c r="I2085" s="5"/>
      <c r="J2085" s="5"/>
      <c r="K2085" s="5"/>
      <c r="L2085" s="5"/>
      <c r="M2085" s="5"/>
      <c r="N2085" s="5"/>
      <c r="O2085" s="278">
        <f>6.4*G2085*F2085</f>
        <v>854.01600000000008</v>
      </c>
    </row>
    <row r="2086" spans="1:15" ht="49.5" hidden="1" customHeight="1" outlineLevel="1">
      <c r="A2086" s="603"/>
      <c r="B2086" s="3"/>
      <c r="C2086" s="3"/>
      <c r="D2086" s="253"/>
      <c r="E2086" s="5"/>
      <c r="F2086" s="5">
        <v>8.34</v>
      </c>
      <c r="G2086" s="5">
        <v>16</v>
      </c>
      <c r="H2086" s="5"/>
      <c r="I2086" s="5"/>
      <c r="J2086" s="5"/>
      <c r="K2086" s="5"/>
      <c r="L2086" s="5"/>
      <c r="M2086" s="5"/>
      <c r="N2086" s="5"/>
      <c r="O2086" s="278">
        <f>6.4*G2086*F2086</f>
        <v>854.01600000000008</v>
      </c>
    </row>
    <row r="2087" spans="1:15" ht="49.5" hidden="1" customHeight="1" outlineLevel="1">
      <c r="A2087" s="603"/>
      <c r="B2087" s="3"/>
      <c r="C2087" s="3"/>
      <c r="D2087" s="5"/>
      <c r="E2087" s="5"/>
      <c r="F2087" s="5">
        <v>11.48</v>
      </c>
      <c r="G2087" s="5">
        <v>16</v>
      </c>
      <c r="H2087" s="5"/>
      <c r="I2087" s="5"/>
      <c r="J2087" s="5"/>
      <c r="K2087" s="5"/>
      <c r="L2087" s="5"/>
      <c r="M2087" s="5"/>
      <c r="N2087" s="5">
        <f>4*G2087*F2087</f>
        <v>734.72</v>
      </c>
      <c r="O2087" s="278"/>
    </row>
    <row r="2088" spans="1:15" ht="49.5" hidden="1" customHeight="1" outlineLevel="1">
      <c r="A2088" s="603"/>
      <c r="B2088" s="3"/>
      <c r="C2088" s="3"/>
      <c r="D2088" s="5"/>
      <c r="E2088" s="5"/>
      <c r="F2088" s="5">
        <v>7.87</v>
      </c>
      <c r="G2088" s="5">
        <v>16</v>
      </c>
      <c r="H2088" s="5"/>
      <c r="I2088" s="5"/>
      <c r="J2088" s="5"/>
      <c r="K2088" s="5"/>
      <c r="L2088" s="5"/>
      <c r="M2088" s="5"/>
      <c r="N2088" s="5">
        <f>4*G2088*F2088</f>
        <v>503.68</v>
      </c>
      <c r="O2088" s="278"/>
    </row>
    <row r="2089" spans="1:15" ht="49.5" hidden="1" customHeight="1" outlineLevel="1">
      <c r="A2089" s="603"/>
      <c r="B2089" s="3"/>
      <c r="C2089" s="3"/>
      <c r="D2089" s="5"/>
      <c r="E2089" s="5"/>
      <c r="F2089" s="5">
        <v>6.82</v>
      </c>
      <c r="G2089" s="5">
        <v>16</v>
      </c>
      <c r="H2089" s="5"/>
      <c r="I2089" s="5"/>
      <c r="J2089" s="5"/>
      <c r="K2089" s="5"/>
      <c r="L2089" s="5"/>
      <c r="M2089" s="5"/>
      <c r="N2089" s="5">
        <f>4*G2089*F2089</f>
        <v>436.48</v>
      </c>
      <c r="O2089" s="278"/>
    </row>
    <row r="2090" spans="1:15" ht="49.5" hidden="1" customHeight="1" outlineLevel="1">
      <c r="A2090" s="603"/>
      <c r="B2090" s="3"/>
      <c r="C2090" s="3"/>
      <c r="D2090" s="5"/>
      <c r="E2090" s="5"/>
      <c r="F2090" s="5">
        <v>10.42</v>
      </c>
      <c r="G2090" s="5">
        <v>16</v>
      </c>
      <c r="H2090" s="5"/>
      <c r="I2090" s="5"/>
      <c r="J2090" s="5"/>
      <c r="K2090" s="5"/>
      <c r="L2090" s="5"/>
      <c r="M2090" s="5"/>
      <c r="N2090" s="5">
        <f>4*G2090*F2090</f>
        <v>666.88</v>
      </c>
      <c r="O2090" s="278"/>
    </row>
    <row r="2091" spans="1:15" ht="49.5" hidden="1" customHeight="1" outlineLevel="1">
      <c r="A2091" s="603"/>
      <c r="B2091" s="3"/>
      <c r="C2091" s="3"/>
      <c r="D2091" s="5"/>
      <c r="E2091" s="5"/>
      <c r="F2091" s="5">
        <f>+(1.15*2)+(0.55*2)+(7.5/100)</f>
        <v>3.4750000000000001</v>
      </c>
      <c r="G2091" s="5">
        <v>79</v>
      </c>
      <c r="H2091" s="5"/>
      <c r="I2091" s="5"/>
      <c r="J2091" s="5"/>
      <c r="K2091" s="5"/>
      <c r="L2091" s="5"/>
      <c r="M2091" s="5"/>
      <c r="N2091" s="5"/>
      <c r="O2091" s="278"/>
    </row>
    <row r="2092" spans="1:15" ht="49.5" hidden="1" customHeight="1" outlineLevel="1">
      <c r="A2092" s="603"/>
      <c r="B2092" s="3"/>
      <c r="C2092" s="3"/>
      <c r="D2092" s="5"/>
      <c r="E2092" s="5"/>
      <c r="F2092" s="5">
        <f>1.15+(7.5/100)</f>
        <v>1.2249999999999999</v>
      </c>
      <c r="G2092" s="5">
        <f>4*G2091</f>
        <v>316</v>
      </c>
      <c r="H2092" s="5"/>
      <c r="I2092" s="5"/>
      <c r="J2092" s="5"/>
      <c r="K2092" s="5"/>
      <c r="L2092" s="5"/>
      <c r="M2092" s="5"/>
      <c r="N2092" s="5"/>
      <c r="O2092" s="278"/>
    </row>
    <row r="2093" spans="1:15" ht="49.5" hidden="1" customHeight="1" outlineLevel="1">
      <c r="A2093" s="603"/>
      <c r="B2093" s="3"/>
      <c r="C2093" s="3"/>
      <c r="D2093" s="5"/>
      <c r="E2093" s="5"/>
      <c r="F2093" s="5">
        <f>0.55+(7.5/100)</f>
        <v>0.625</v>
      </c>
      <c r="G2093" s="5">
        <f>8*G2091</f>
        <v>632</v>
      </c>
      <c r="H2093" s="5"/>
      <c r="I2093" s="5"/>
      <c r="J2093" s="5"/>
      <c r="K2093" s="5"/>
      <c r="L2093" s="5"/>
      <c r="M2093" s="5"/>
      <c r="N2093" s="5"/>
      <c r="O2093" s="278"/>
    </row>
    <row r="2094" spans="1:15" ht="49.5" hidden="1" customHeight="1" outlineLevel="1">
      <c r="A2094" s="603"/>
      <c r="B2094" s="3"/>
      <c r="C2094" s="3"/>
      <c r="D2094" s="5"/>
      <c r="E2094" s="5"/>
      <c r="F2094" s="5">
        <f>+(0.75*2)+(0.55*2)+(7.5/100)</f>
        <v>2.6750000000000003</v>
      </c>
      <c r="G2094" s="5">
        <v>117</v>
      </c>
      <c r="H2094" s="5"/>
      <c r="I2094" s="5"/>
      <c r="J2094" s="5"/>
      <c r="K2094" s="5"/>
      <c r="L2094" s="5"/>
      <c r="M2094" s="5"/>
      <c r="N2094" s="5"/>
      <c r="O2094" s="278"/>
    </row>
    <row r="2095" spans="1:15" ht="49.5" hidden="1" customHeight="1" outlineLevel="1">
      <c r="A2095" s="603"/>
      <c r="B2095" s="3"/>
      <c r="C2095" s="3"/>
      <c r="D2095" s="5"/>
      <c r="E2095" s="5"/>
      <c r="F2095" s="5">
        <f>0.75+(7.5/100)</f>
        <v>0.82499999999999996</v>
      </c>
      <c r="G2095" s="5">
        <f>4*G2094</f>
        <v>468</v>
      </c>
      <c r="H2095" s="5"/>
      <c r="I2095" s="5"/>
      <c r="J2095" s="5"/>
      <c r="K2095" s="5"/>
      <c r="L2095" s="5"/>
      <c r="M2095" s="5"/>
      <c r="N2095" s="5"/>
      <c r="O2095" s="278"/>
    </row>
    <row r="2096" spans="1:15" ht="49.5" hidden="1" customHeight="1" outlineLevel="1">
      <c r="A2096" s="603"/>
      <c r="B2096" s="3"/>
      <c r="C2096" s="3"/>
      <c r="D2096" s="230"/>
      <c r="E2096" s="5"/>
      <c r="F2096" s="5">
        <f>0.55+(7.5/100)</f>
        <v>0.625</v>
      </c>
      <c r="G2096" s="5">
        <f>6*G2094</f>
        <v>702</v>
      </c>
      <c r="H2096" s="5"/>
      <c r="I2096" s="5"/>
      <c r="J2096" s="5"/>
      <c r="K2096" s="5"/>
      <c r="L2096" s="5"/>
      <c r="M2096" s="5"/>
      <c r="N2096" s="5"/>
      <c r="O2096" s="278"/>
    </row>
    <row r="2097" spans="1:15" ht="49.5" hidden="1" customHeight="1" outlineLevel="1">
      <c r="A2097" s="2161">
        <v>17</v>
      </c>
      <c r="B2097" s="2162"/>
      <c r="C2097" s="2162"/>
      <c r="D2097" s="2162"/>
      <c r="E2097" s="5"/>
      <c r="F2097" s="5">
        <v>6.92</v>
      </c>
      <c r="G2097" s="5">
        <v>21</v>
      </c>
      <c r="H2097" s="5"/>
      <c r="I2097" s="5"/>
      <c r="J2097" s="5"/>
      <c r="K2097" s="5"/>
      <c r="L2097" s="5"/>
      <c r="M2097" s="5"/>
      <c r="N2097" s="5"/>
      <c r="O2097" s="278">
        <f>6.4*G2097*F2097</f>
        <v>930.048</v>
      </c>
    </row>
    <row r="2098" spans="1:15" ht="49.5" hidden="1" customHeight="1" outlineLevel="1">
      <c r="A2098" s="603"/>
      <c r="B2098" s="3"/>
      <c r="C2098" s="3"/>
      <c r="D2098" s="253"/>
      <c r="E2098" s="5"/>
      <c r="F2098" s="5">
        <v>3.68</v>
      </c>
      <c r="G2098" s="5">
        <v>21</v>
      </c>
      <c r="H2098" s="5"/>
      <c r="I2098" s="5"/>
      <c r="J2098" s="5"/>
      <c r="K2098" s="5"/>
      <c r="L2098" s="5"/>
      <c r="M2098" s="5"/>
      <c r="N2098" s="5"/>
      <c r="O2098" s="278">
        <f>6.4*G2098*F2098</f>
        <v>494.59200000000004</v>
      </c>
    </row>
    <row r="2099" spans="1:15" ht="49.5" hidden="1" customHeight="1" outlineLevel="1">
      <c r="A2099" s="603"/>
      <c r="B2099" s="3"/>
      <c r="C2099" s="3"/>
      <c r="D2099" s="5"/>
      <c r="E2099" s="5"/>
      <c r="F2099" s="5">
        <v>11.89</v>
      </c>
      <c r="G2099" s="5">
        <v>21</v>
      </c>
      <c r="H2099" s="5"/>
      <c r="I2099" s="5"/>
      <c r="J2099" s="5"/>
      <c r="K2099" s="5"/>
      <c r="L2099" s="5"/>
      <c r="M2099" s="5"/>
      <c r="N2099" s="5"/>
      <c r="O2099" s="278">
        <f>6.4*G2099*F2099</f>
        <v>1598.0160000000001</v>
      </c>
    </row>
    <row r="2100" spans="1:15" ht="49.5" hidden="1" customHeight="1" outlineLevel="1">
      <c r="A2100" s="603"/>
      <c r="B2100" s="3"/>
      <c r="C2100" s="3"/>
      <c r="D2100" s="5"/>
      <c r="E2100" s="5"/>
      <c r="F2100" s="5">
        <v>10.119999999999999</v>
      </c>
      <c r="G2100" s="5">
        <v>21</v>
      </c>
      <c r="H2100" s="5"/>
      <c r="I2100" s="5"/>
      <c r="J2100" s="5"/>
      <c r="K2100" s="5"/>
      <c r="L2100" s="5"/>
      <c r="M2100" s="5"/>
      <c r="N2100" s="5"/>
      <c r="O2100" s="278">
        <f>6.4*G2100*F2100</f>
        <v>1360.1279999999999</v>
      </c>
    </row>
    <row r="2101" spans="1:15" ht="49.5" hidden="1" customHeight="1" outlineLevel="1">
      <c r="A2101" s="603"/>
      <c r="B2101" s="3"/>
      <c r="C2101" s="3"/>
      <c r="D2101" s="5"/>
      <c r="E2101" s="5"/>
      <c r="F2101" s="5">
        <v>12.2</v>
      </c>
      <c r="G2101" s="5">
        <v>21</v>
      </c>
      <c r="H2101" s="5"/>
      <c r="I2101" s="5"/>
      <c r="J2101" s="5"/>
      <c r="K2101" s="5"/>
      <c r="L2101" s="5"/>
      <c r="M2101" s="5"/>
      <c r="N2101" s="5"/>
      <c r="O2101" s="278">
        <f>6.4*G2101*F2101</f>
        <v>1639.68</v>
      </c>
    </row>
    <row r="2102" spans="1:15" ht="49.5" hidden="1" customHeight="1" outlineLevel="1">
      <c r="A2102" s="603"/>
      <c r="B2102" s="3"/>
      <c r="C2102" s="3"/>
      <c r="D2102" s="5"/>
      <c r="E2102" s="5"/>
      <c r="F2102" s="5">
        <v>7</v>
      </c>
      <c r="G2102" s="5">
        <v>21</v>
      </c>
      <c r="H2102" s="5"/>
      <c r="I2102" s="5"/>
      <c r="J2102" s="5"/>
      <c r="K2102" s="5"/>
      <c r="L2102" s="5"/>
      <c r="M2102" s="5"/>
      <c r="N2102" s="5">
        <f>4*G2102*F2102</f>
        <v>588</v>
      </c>
      <c r="O2102" s="278"/>
    </row>
    <row r="2103" spans="1:15" ht="49.5" hidden="1" customHeight="1" outlineLevel="1">
      <c r="A2103" s="603"/>
      <c r="B2103" s="3"/>
      <c r="C2103" s="3"/>
      <c r="D2103" s="5"/>
      <c r="E2103" s="5"/>
      <c r="F2103" s="5">
        <v>8.4499999999999993</v>
      </c>
      <c r="G2103" s="5">
        <v>21</v>
      </c>
      <c r="H2103" s="5"/>
      <c r="I2103" s="5"/>
      <c r="J2103" s="5"/>
      <c r="K2103" s="5"/>
      <c r="L2103" s="5">
        <f>2.24*G2103*F2103</f>
        <v>397.488</v>
      </c>
      <c r="M2103" s="5"/>
      <c r="N2103" s="5"/>
      <c r="O2103" s="278"/>
    </row>
    <row r="2104" spans="1:15" ht="49.5" hidden="1" customHeight="1" outlineLevel="1">
      <c r="A2104" s="603"/>
      <c r="B2104" s="3"/>
      <c r="C2104" s="3"/>
      <c r="D2104" s="5"/>
      <c r="E2104" s="5"/>
      <c r="F2104" s="5">
        <v>8.4499999999999993</v>
      </c>
      <c r="G2104" s="5">
        <v>21</v>
      </c>
      <c r="H2104" s="5"/>
      <c r="I2104" s="5"/>
      <c r="J2104" s="5"/>
      <c r="K2104" s="5"/>
      <c r="L2104" s="5">
        <f>2.24*G2104*F2104</f>
        <v>397.488</v>
      </c>
      <c r="M2104" s="5"/>
      <c r="N2104" s="5"/>
      <c r="O2104" s="278"/>
    </row>
    <row r="2105" spans="1:15" ht="49.5" hidden="1" customHeight="1" outlineLevel="1">
      <c r="A2105" s="603"/>
      <c r="B2105" s="3"/>
      <c r="C2105" s="3"/>
      <c r="D2105" s="5"/>
      <c r="E2105" s="5"/>
      <c r="F2105" s="5">
        <f>+(1.15*2)+(0.55*2)+(7.5/100)</f>
        <v>3.4750000000000001</v>
      </c>
      <c r="G2105" s="5">
        <f>+(4.8/0.1)+(1.2/0.15)</f>
        <v>55.999999999999993</v>
      </c>
      <c r="H2105" s="5"/>
      <c r="I2105" s="5"/>
      <c r="J2105" s="5"/>
      <c r="K2105" s="5"/>
      <c r="L2105" s="5"/>
      <c r="M2105" s="5"/>
      <c r="N2105" s="5"/>
      <c r="O2105" s="278"/>
    </row>
    <row r="2106" spans="1:15" ht="49.5" hidden="1" customHeight="1" outlineLevel="1">
      <c r="A2106" s="603"/>
      <c r="B2106" s="3"/>
      <c r="C2106" s="3"/>
      <c r="D2106" s="5"/>
      <c r="E2106" s="5"/>
      <c r="F2106" s="5">
        <f>1.15+(7.5/100)</f>
        <v>1.2249999999999999</v>
      </c>
      <c r="G2106" s="5">
        <f>4*G2105</f>
        <v>223.99999999999997</v>
      </c>
      <c r="H2106" s="5"/>
      <c r="I2106" s="5"/>
      <c r="J2106" s="5"/>
      <c r="K2106" s="5"/>
      <c r="L2106" s="5"/>
      <c r="M2106" s="5"/>
      <c r="N2106" s="5"/>
      <c r="O2106" s="278"/>
    </row>
    <row r="2107" spans="1:15" ht="49.5" hidden="1" customHeight="1" outlineLevel="1">
      <c r="A2107" s="603"/>
      <c r="B2107" s="3"/>
      <c r="C2107" s="3"/>
      <c r="D2107" s="5"/>
      <c r="E2107" s="5"/>
      <c r="F2107" s="5">
        <f>0.55+(7.5/100)</f>
        <v>0.625</v>
      </c>
      <c r="G2107" s="5">
        <f>6*G2105</f>
        <v>335.99999999999994</v>
      </c>
      <c r="H2107" s="5"/>
      <c r="I2107" s="5"/>
      <c r="J2107" s="5"/>
      <c r="K2107" s="5"/>
      <c r="L2107" s="5"/>
      <c r="M2107" s="5"/>
      <c r="N2107" s="5"/>
      <c r="O2107" s="278"/>
    </row>
    <row r="2108" spans="1:15" ht="49.5" hidden="1" customHeight="1" outlineLevel="1">
      <c r="A2108" s="603"/>
      <c r="B2108" s="3"/>
      <c r="C2108" s="3"/>
      <c r="D2108" s="5"/>
      <c r="E2108" s="5"/>
      <c r="F2108" s="5">
        <f>+(1.45*2)+(0.55*2)+(7.5/100)</f>
        <v>4.0750000000000002</v>
      </c>
      <c r="G2108" s="5">
        <v>212</v>
      </c>
      <c r="H2108" s="5"/>
      <c r="I2108" s="5"/>
      <c r="J2108" s="5"/>
      <c r="K2108" s="5"/>
      <c r="L2108" s="5"/>
      <c r="M2108" s="5"/>
      <c r="N2108" s="5"/>
      <c r="O2108" s="278"/>
    </row>
    <row r="2109" spans="1:15" ht="49.5" hidden="1" customHeight="1" outlineLevel="1">
      <c r="A2109" s="603"/>
      <c r="B2109" s="3"/>
      <c r="C2109" s="3"/>
      <c r="D2109" s="5"/>
      <c r="E2109" s="5"/>
      <c r="F2109" s="5">
        <f>1.45+(7.5/100)</f>
        <v>1.5249999999999999</v>
      </c>
      <c r="G2109" s="5">
        <f>4*G2108</f>
        <v>848</v>
      </c>
      <c r="H2109" s="5"/>
      <c r="I2109" s="5"/>
      <c r="J2109" s="5"/>
      <c r="K2109" s="5"/>
      <c r="L2109" s="5"/>
      <c r="M2109" s="5"/>
      <c r="N2109" s="5"/>
      <c r="O2109" s="278"/>
    </row>
    <row r="2110" spans="1:15" ht="49.5" hidden="1" customHeight="1" outlineLevel="1">
      <c r="A2110" s="603"/>
      <c r="B2110" s="3"/>
      <c r="C2110" s="3"/>
      <c r="D2110" s="230"/>
      <c r="E2110" s="5"/>
      <c r="F2110" s="5">
        <f>0.55+(7.5/100)</f>
        <v>0.625</v>
      </c>
      <c r="G2110" s="5">
        <f>6*G2108</f>
        <v>1272</v>
      </c>
      <c r="H2110" s="5"/>
      <c r="I2110" s="5"/>
      <c r="J2110" s="5"/>
      <c r="K2110" s="5"/>
      <c r="L2110" s="5"/>
      <c r="M2110" s="5"/>
      <c r="N2110" s="5"/>
      <c r="O2110" s="278"/>
    </row>
    <row r="2111" spans="1:15" ht="49.5" hidden="1" customHeight="1" outlineLevel="1">
      <c r="A2111" s="2161">
        <v>18</v>
      </c>
      <c r="B2111" s="2162"/>
      <c r="C2111" s="2162"/>
      <c r="D2111" s="2162"/>
      <c r="E2111" s="5"/>
      <c r="F2111" s="5">
        <v>6.92</v>
      </c>
      <c r="G2111" s="5">
        <v>13</v>
      </c>
      <c r="H2111" s="5"/>
      <c r="I2111" s="5"/>
      <c r="J2111" s="5"/>
      <c r="K2111" s="5"/>
      <c r="L2111" s="5"/>
      <c r="M2111" s="5"/>
      <c r="N2111" s="5"/>
      <c r="O2111" s="278">
        <f>6.4*G2111*F2111</f>
        <v>575.74400000000003</v>
      </c>
    </row>
    <row r="2112" spans="1:15" ht="49.5" hidden="1" customHeight="1" outlineLevel="1">
      <c r="A2112" s="603"/>
      <c r="B2112" s="3"/>
      <c r="C2112" s="3"/>
      <c r="D2112" s="253"/>
      <c r="E2112" s="5"/>
      <c r="F2112" s="5">
        <v>3.68</v>
      </c>
      <c r="G2112" s="5">
        <v>13</v>
      </c>
      <c r="H2112" s="5"/>
      <c r="I2112" s="5"/>
      <c r="J2112" s="5"/>
      <c r="K2112" s="5"/>
      <c r="L2112" s="5"/>
      <c r="M2112" s="5"/>
      <c r="N2112" s="5"/>
      <c r="O2112" s="278">
        <f>6.4*G2112*F2112</f>
        <v>306.17600000000004</v>
      </c>
    </row>
    <row r="2113" spans="1:15" ht="49.5" hidden="1" customHeight="1" outlineLevel="1">
      <c r="A2113" s="603"/>
      <c r="B2113" s="3"/>
      <c r="C2113" s="3"/>
      <c r="D2113" s="5"/>
      <c r="E2113" s="5"/>
      <c r="F2113" s="5">
        <v>11.9</v>
      </c>
      <c r="G2113" s="5">
        <v>13</v>
      </c>
      <c r="H2113" s="5"/>
      <c r="I2113" s="5"/>
      <c r="J2113" s="5"/>
      <c r="K2113" s="5"/>
      <c r="L2113" s="5"/>
      <c r="M2113" s="5"/>
      <c r="N2113" s="5"/>
      <c r="O2113" s="278">
        <f>6.4*G2113*F2113</f>
        <v>990.08</v>
      </c>
    </row>
    <row r="2114" spans="1:15" ht="49.5" hidden="1" customHeight="1" outlineLevel="1">
      <c r="A2114" s="603"/>
      <c r="B2114" s="3"/>
      <c r="C2114" s="3"/>
      <c r="D2114" s="5"/>
      <c r="E2114" s="5"/>
      <c r="F2114" s="5">
        <v>12.2</v>
      </c>
      <c r="G2114" s="5">
        <v>13</v>
      </c>
      <c r="H2114" s="5"/>
      <c r="I2114" s="5"/>
      <c r="J2114" s="5"/>
      <c r="K2114" s="5"/>
      <c r="L2114" s="5"/>
      <c r="M2114" s="5"/>
      <c r="N2114" s="5"/>
      <c r="O2114" s="278">
        <f>6.4*G2114*F2114</f>
        <v>1015.04</v>
      </c>
    </row>
    <row r="2115" spans="1:15" ht="49.5" hidden="1" customHeight="1" outlineLevel="1">
      <c r="A2115" s="603"/>
      <c r="B2115" s="3"/>
      <c r="C2115" s="3"/>
      <c r="D2115" s="5"/>
      <c r="E2115" s="5"/>
      <c r="F2115" s="5">
        <v>7</v>
      </c>
      <c r="G2115" s="5">
        <v>13</v>
      </c>
      <c r="H2115" s="5"/>
      <c r="I2115" s="5"/>
      <c r="J2115" s="5"/>
      <c r="K2115" s="5"/>
      <c r="L2115" s="5"/>
      <c r="M2115" s="5"/>
      <c r="N2115" s="5">
        <f>4*G2115*F2115</f>
        <v>364</v>
      </c>
      <c r="O2115" s="278"/>
    </row>
    <row r="2116" spans="1:15" ht="49.5" hidden="1" customHeight="1" outlineLevel="1">
      <c r="A2116" s="603"/>
      <c r="B2116" s="3"/>
      <c r="C2116" s="3"/>
      <c r="D2116" s="5"/>
      <c r="E2116" s="5"/>
      <c r="F2116" s="5">
        <v>8.75</v>
      </c>
      <c r="G2116" s="5">
        <v>13</v>
      </c>
      <c r="H2116" s="5"/>
      <c r="I2116" s="5"/>
      <c r="J2116" s="5"/>
      <c r="K2116" s="5"/>
      <c r="L2116" s="5"/>
      <c r="M2116" s="5"/>
      <c r="N2116" s="5">
        <f>4*G2116*F2116</f>
        <v>455</v>
      </c>
      <c r="O2116" s="278"/>
    </row>
    <row r="2117" spans="1:15" ht="49.5" hidden="1" customHeight="1" outlineLevel="1">
      <c r="A2117" s="603"/>
      <c r="B2117" s="3"/>
      <c r="C2117" s="3"/>
      <c r="D2117" s="5"/>
      <c r="E2117" s="5"/>
      <c r="F2117" s="5">
        <v>8.75</v>
      </c>
      <c r="G2117" s="5">
        <v>13</v>
      </c>
      <c r="H2117" s="5"/>
      <c r="I2117" s="5"/>
      <c r="J2117" s="5"/>
      <c r="K2117" s="5"/>
      <c r="L2117" s="5"/>
      <c r="M2117" s="5"/>
      <c r="N2117" s="5">
        <f>4*G2117*F2117</f>
        <v>455</v>
      </c>
      <c r="O2117" s="278"/>
    </row>
    <row r="2118" spans="1:15" ht="49.5" hidden="1" customHeight="1" outlineLevel="1">
      <c r="A2118" s="603"/>
      <c r="B2118" s="3"/>
      <c r="C2118" s="3"/>
      <c r="D2118" s="5"/>
      <c r="E2118" s="5"/>
      <c r="F2118" s="5">
        <f>+(1.15*2)+(0.55*2)+(7.5/100)</f>
        <v>3.4750000000000001</v>
      </c>
      <c r="G2118" s="5">
        <v>56</v>
      </c>
      <c r="H2118" s="5"/>
      <c r="I2118" s="5"/>
      <c r="J2118" s="5"/>
      <c r="K2118" s="5"/>
      <c r="L2118" s="5"/>
      <c r="M2118" s="5"/>
      <c r="N2118" s="5"/>
      <c r="O2118" s="278"/>
    </row>
    <row r="2119" spans="1:15" ht="49.5" hidden="1" customHeight="1" outlineLevel="1">
      <c r="A2119" s="603"/>
      <c r="B2119" s="3"/>
      <c r="C2119" s="3"/>
      <c r="D2119" s="5"/>
      <c r="E2119" s="5"/>
      <c r="F2119" s="5">
        <f>1.15+(7.5/100)</f>
        <v>1.2249999999999999</v>
      </c>
      <c r="G2119" s="5">
        <f>3*G2118</f>
        <v>168</v>
      </c>
      <c r="H2119" s="5"/>
      <c r="I2119" s="5"/>
      <c r="J2119" s="5"/>
      <c r="K2119" s="5"/>
      <c r="L2119" s="5"/>
      <c r="M2119" s="5"/>
      <c r="N2119" s="5"/>
      <c r="O2119" s="278"/>
    </row>
    <row r="2120" spans="1:15" ht="49.5" hidden="1" customHeight="1" outlineLevel="1">
      <c r="A2120" s="603"/>
      <c r="B2120" s="3"/>
      <c r="C2120" s="3"/>
      <c r="D2120" s="5"/>
      <c r="E2120" s="5"/>
      <c r="F2120" s="5">
        <f>0.55+(7.5/100)</f>
        <v>0.625</v>
      </c>
      <c r="G2120" s="5">
        <f>8*G2118</f>
        <v>448</v>
      </c>
      <c r="H2120" s="5"/>
      <c r="I2120" s="5"/>
      <c r="J2120" s="5"/>
      <c r="K2120" s="5"/>
      <c r="L2120" s="5"/>
      <c r="M2120" s="5"/>
      <c r="N2120" s="5"/>
      <c r="O2120" s="278"/>
    </row>
    <row r="2121" spans="1:15" ht="49.5" hidden="1" customHeight="1" outlineLevel="1">
      <c r="A2121" s="603"/>
      <c r="B2121" s="3"/>
      <c r="C2121" s="3"/>
      <c r="D2121" s="5"/>
      <c r="E2121" s="5"/>
      <c r="F2121" s="5">
        <f>+(1.45*2)+(0.55*2)+(7.5/100)</f>
        <v>4.0750000000000002</v>
      </c>
      <c r="G2121" s="5">
        <v>212</v>
      </c>
      <c r="H2121" s="5"/>
      <c r="I2121" s="5"/>
      <c r="J2121" s="5"/>
      <c r="K2121" s="5"/>
      <c r="L2121" s="5"/>
      <c r="M2121" s="5"/>
      <c r="N2121" s="5"/>
      <c r="O2121" s="278"/>
    </row>
    <row r="2122" spans="1:15" ht="49.5" hidden="1" customHeight="1" outlineLevel="1">
      <c r="A2122" s="603"/>
      <c r="B2122" s="3"/>
      <c r="C2122" s="3"/>
      <c r="D2122" s="5"/>
      <c r="E2122" s="5"/>
      <c r="F2122" s="5">
        <f>1.45+(7.5/100)</f>
        <v>1.5249999999999999</v>
      </c>
      <c r="G2122" s="5">
        <f>3*G2121</f>
        <v>636</v>
      </c>
      <c r="H2122" s="5"/>
      <c r="I2122" s="5"/>
      <c r="J2122" s="5"/>
      <c r="K2122" s="5"/>
      <c r="L2122" s="5"/>
      <c r="M2122" s="5"/>
      <c r="N2122" s="5"/>
      <c r="O2122" s="278"/>
    </row>
    <row r="2123" spans="1:15" ht="49.5" hidden="1" customHeight="1" outlineLevel="1">
      <c r="A2123" s="603"/>
      <c r="B2123" s="3"/>
      <c r="C2123" s="3"/>
      <c r="D2123" s="5"/>
      <c r="E2123" s="5"/>
      <c r="F2123" s="5">
        <f>0.55+(7.5/100)</f>
        <v>0.625</v>
      </c>
      <c r="G2123" s="5">
        <f>8*G2121</f>
        <v>1696</v>
      </c>
      <c r="H2123" s="5"/>
      <c r="I2123" s="5"/>
      <c r="J2123" s="5"/>
      <c r="K2123" s="5"/>
      <c r="L2123" s="5"/>
      <c r="M2123" s="5"/>
      <c r="N2123" s="5"/>
      <c r="O2123" s="278"/>
    </row>
    <row r="2124" spans="1:15" ht="15.75" collapsed="1">
      <c r="A2124" s="2129" t="s">
        <v>501</v>
      </c>
      <c r="B2124" s="2130"/>
      <c r="C2124" s="2130"/>
      <c r="D2124" s="2130"/>
      <c r="E2124" s="2130"/>
      <c r="F2124" s="2130"/>
      <c r="G2124" s="2130"/>
      <c r="H2124" s="556">
        <f>SUM(H1934:H2123)</f>
        <v>0</v>
      </c>
      <c r="I2124" s="556">
        <f t="shared" ref="I2124:O2124" si="295">SUM(I1934:I2123)</f>
        <v>0</v>
      </c>
      <c r="J2124" s="556">
        <f t="shared" si="295"/>
        <v>32</v>
      </c>
      <c r="K2124" s="556">
        <f t="shared" si="295"/>
        <v>92.132000000000005</v>
      </c>
      <c r="L2124" s="556">
        <f t="shared" si="295"/>
        <v>3278.3519999999999</v>
      </c>
      <c r="M2124" s="556">
        <f t="shared" si="295"/>
        <v>4977.54</v>
      </c>
      <c r="N2124" s="556">
        <f t="shared" si="295"/>
        <v>12374.32</v>
      </c>
      <c r="O2124" s="557">
        <f t="shared" si="295"/>
        <v>38235.136000000006</v>
      </c>
    </row>
    <row r="2125" spans="1:15" ht="16.5" thickBot="1">
      <c r="A2125" s="2131" t="s">
        <v>502</v>
      </c>
      <c r="B2125" s="2132"/>
      <c r="C2125" s="2132"/>
      <c r="D2125" s="2132"/>
      <c r="E2125" s="2132"/>
      <c r="F2125" s="2132"/>
      <c r="G2125" s="2132"/>
      <c r="H2125" s="2133">
        <f>SUM(H2124:O2124)</f>
        <v>58989.48</v>
      </c>
      <c r="I2125" s="2134"/>
      <c r="J2125" s="2134"/>
      <c r="K2125" s="2134"/>
      <c r="L2125" s="2134"/>
      <c r="M2125" s="2134"/>
      <c r="N2125" s="2134"/>
      <c r="O2125" s="2135"/>
    </row>
    <row r="2126" spans="1:15" ht="14.25" thickBot="1"/>
    <row r="2127" spans="1:15" ht="16.5" thickBot="1">
      <c r="A2127" s="2123" t="s">
        <v>508</v>
      </c>
      <c r="B2127" s="2124"/>
      <c r="C2127" s="2124"/>
      <c r="D2127" s="2124"/>
      <c r="E2127" s="2124"/>
      <c r="F2127" s="2124"/>
      <c r="G2127" s="2124"/>
      <c r="H2127" s="2124"/>
      <c r="I2127" s="2124"/>
      <c r="J2127" s="2124"/>
      <c r="K2127" s="2124"/>
      <c r="L2127" s="2124"/>
      <c r="M2127" s="2124"/>
      <c r="N2127" s="2124"/>
      <c r="O2127" s="2125"/>
    </row>
    <row r="2128" spans="1:15" ht="20.25" hidden="1" customHeight="1" outlineLevel="1" thickBot="1">
      <c r="A2128" s="2258" t="s">
        <v>479</v>
      </c>
      <c r="B2128" s="2259"/>
      <c r="C2128" s="2259"/>
      <c r="D2128" s="2259"/>
      <c r="E2128" s="2259"/>
      <c r="F2128" s="2259"/>
      <c r="G2128" s="2259"/>
      <c r="H2128" s="2259"/>
      <c r="I2128" s="2259"/>
      <c r="J2128" s="2259"/>
      <c r="K2128" s="2259"/>
      <c r="L2128" s="2259"/>
      <c r="M2128" s="2259"/>
      <c r="N2128" s="2259"/>
      <c r="O2128" s="2260"/>
    </row>
    <row r="2129" spans="1:15" ht="20.25" hidden="1" customHeight="1" outlineLevel="1">
      <c r="A2129" s="253" t="s">
        <v>5</v>
      </c>
      <c r="B2129" s="253" t="s">
        <v>21</v>
      </c>
      <c r="C2129" s="253" t="s">
        <v>506</v>
      </c>
      <c r="D2129" s="253" t="s">
        <v>509</v>
      </c>
      <c r="E2129" s="253" t="s">
        <v>510</v>
      </c>
    </row>
    <row r="2130" spans="1:15" ht="47.25" hidden="1" customHeight="1" outlineLevel="1">
      <c r="A2130" s="5"/>
      <c r="B2130" s="5">
        <v>6.25</v>
      </c>
      <c r="C2130" s="5">
        <v>5</v>
      </c>
      <c r="D2130" s="5">
        <v>1</v>
      </c>
      <c r="E2130" s="5">
        <f>4*C2130*B2130</f>
        <v>125</v>
      </c>
    </row>
    <row r="2131" spans="1:15" ht="47.25" hidden="1" customHeight="1" outlineLevel="1">
      <c r="A2131" s="5"/>
      <c r="B2131" s="5">
        <v>6</v>
      </c>
      <c r="C2131" s="5">
        <v>5</v>
      </c>
      <c r="D2131" s="5">
        <v>1</v>
      </c>
      <c r="E2131" s="5">
        <f t="shared" ref="E2131:E2137" si="296">4*C2131*B2131</f>
        <v>120</v>
      </c>
    </row>
    <row r="2132" spans="1:15" ht="47.25" hidden="1" customHeight="1" outlineLevel="1">
      <c r="A2132" s="5"/>
      <c r="B2132" s="5">
        <v>4.95</v>
      </c>
      <c r="C2132" s="5">
        <v>5</v>
      </c>
      <c r="D2132" s="5">
        <v>1</v>
      </c>
      <c r="E2132" s="5">
        <f t="shared" si="296"/>
        <v>99</v>
      </c>
    </row>
    <row r="2133" spans="1:15" ht="47.25" hidden="1" customHeight="1" outlineLevel="1">
      <c r="A2133" s="5"/>
      <c r="B2133" s="5">
        <v>4.7</v>
      </c>
      <c r="C2133" s="5">
        <v>5</v>
      </c>
      <c r="D2133" s="5">
        <v>1</v>
      </c>
      <c r="E2133" s="5">
        <f t="shared" si="296"/>
        <v>94</v>
      </c>
    </row>
    <row r="2134" spans="1:15" ht="47.25" hidden="1" customHeight="1" outlineLevel="1">
      <c r="A2134" s="5"/>
      <c r="B2134" s="5">
        <v>9.8000000000000007</v>
      </c>
      <c r="C2134" s="5">
        <v>5</v>
      </c>
      <c r="D2134" s="5">
        <v>1</v>
      </c>
      <c r="E2134" s="5">
        <f t="shared" si="296"/>
        <v>196</v>
      </c>
    </row>
    <row r="2135" spans="1:15" ht="47.25" hidden="1" customHeight="1" outlineLevel="1">
      <c r="A2135" s="5"/>
      <c r="B2135" s="5">
        <v>7.7</v>
      </c>
      <c r="C2135" s="5">
        <v>5</v>
      </c>
      <c r="D2135" s="5">
        <v>1</v>
      </c>
      <c r="E2135" s="5">
        <f t="shared" si="296"/>
        <v>154</v>
      </c>
    </row>
    <row r="2136" spans="1:15" ht="47.25" hidden="1" customHeight="1" outlineLevel="1">
      <c r="A2136" s="5"/>
      <c r="B2136" s="5">
        <v>4.5</v>
      </c>
      <c r="C2136" s="5">
        <v>5</v>
      </c>
      <c r="D2136" s="5">
        <v>1</v>
      </c>
      <c r="E2136" s="5">
        <f t="shared" si="296"/>
        <v>90</v>
      </c>
    </row>
    <row r="2137" spans="1:15" ht="47.25" hidden="1" customHeight="1" outlineLevel="1">
      <c r="A2137" s="5"/>
      <c r="B2137" s="5">
        <v>8.4499999999999993</v>
      </c>
      <c r="C2137" s="5">
        <v>5</v>
      </c>
      <c r="D2137" s="5">
        <v>1</v>
      </c>
      <c r="E2137" s="5">
        <f t="shared" si="296"/>
        <v>169</v>
      </c>
    </row>
    <row r="2138" spans="1:15" ht="47.25" hidden="1" customHeight="1" outlineLevel="1">
      <c r="A2138" s="5"/>
      <c r="B2138" s="5">
        <v>4.3499999999999996</v>
      </c>
      <c r="C2138" s="5">
        <v>5</v>
      </c>
      <c r="D2138" s="350">
        <v>0.75</v>
      </c>
      <c r="E2138" s="5">
        <f>2.24*C2138*B2138</f>
        <v>48.72</v>
      </c>
    </row>
    <row r="2139" spans="1:15" ht="47.25" hidden="1" customHeight="1" outlineLevel="1">
      <c r="A2139" s="5"/>
      <c r="B2139" s="5">
        <v>7.15</v>
      </c>
      <c r="C2139" s="5">
        <v>5</v>
      </c>
      <c r="D2139" s="350">
        <v>0.75</v>
      </c>
      <c r="E2139" s="5">
        <f>2.24*C2139*B2139</f>
        <v>80.080000000000013</v>
      </c>
    </row>
    <row r="2140" spans="1:15" ht="47.25" hidden="1" customHeight="1" outlineLevel="1">
      <c r="A2140" s="5"/>
      <c r="B2140" s="5">
        <v>3.7</v>
      </c>
      <c r="C2140" s="5">
        <v>5</v>
      </c>
      <c r="D2140" s="350">
        <v>0.75</v>
      </c>
      <c r="E2140" s="5">
        <f>2.24*C2140*B2140</f>
        <v>41.440000000000005</v>
      </c>
    </row>
    <row r="2141" spans="1:15" ht="47.25" hidden="1" customHeight="1" outlineLevel="1">
      <c r="A2141" s="5"/>
      <c r="B2141" s="5">
        <v>3.35</v>
      </c>
      <c r="C2141" s="5">
        <v>5</v>
      </c>
      <c r="D2141" s="350">
        <v>0.75</v>
      </c>
      <c r="E2141" s="5">
        <f>2.24*C2141*B2141</f>
        <v>37.520000000000003</v>
      </c>
    </row>
    <row r="2142" spans="1:15" ht="47.25" hidden="1" customHeight="1" outlineLevel="1">
      <c r="A2142" s="230"/>
      <c r="B2142" s="230">
        <v>4.76</v>
      </c>
      <c r="C2142" s="230">
        <f>18.3/0.1</f>
        <v>183</v>
      </c>
      <c r="D2142" s="352">
        <v>0.375</v>
      </c>
      <c r="E2142" s="230">
        <f>0.56*C2142*B2142</f>
        <v>487.8048</v>
      </c>
    </row>
    <row r="2143" spans="1:15" ht="23.25" hidden="1" customHeight="1" outlineLevel="1">
      <c r="A2143" s="2129" t="s">
        <v>501</v>
      </c>
      <c r="B2143" s="2130"/>
      <c r="C2143" s="2130"/>
      <c r="D2143" s="2130"/>
      <c r="E2143" s="2130"/>
      <c r="F2143" s="2130"/>
      <c r="G2143" s="2130"/>
      <c r="H2143" s="556">
        <f>0</f>
        <v>0</v>
      </c>
      <c r="I2143" s="556">
        <f>SUM(E2142)</f>
        <v>487.8048</v>
      </c>
      <c r="J2143" s="556">
        <v>0</v>
      </c>
      <c r="K2143" s="556">
        <v>0</v>
      </c>
      <c r="L2143" s="620">
        <f>SUM(E2138:E2141)</f>
        <v>207.76000000000002</v>
      </c>
      <c r="M2143" s="556">
        <v>0</v>
      </c>
      <c r="N2143" s="556">
        <f>SUM(E2130:E2137)</f>
        <v>1047</v>
      </c>
      <c r="O2143" s="557">
        <v>0</v>
      </c>
    </row>
    <row r="2144" spans="1:15" ht="23.25" hidden="1" customHeight="1" outlineLevel="1" thickBot="1">
      <c r="A2144" s="2131" t="s">
        <v>502</v>
      </c>
      <c r="B2144" s="2132"/>
      <c r="C2144" s="2132"/>
      <c r="D2144" s="2132"/>
      <c r="E2144" s="2132"/>
      <c r="F2144" s="2132"/>
      <c r="G2144" s="2132"/>
      <c r="H2144" s="2158">
        <f>SUM(H2143:O2143)</f>
        <v>1742.5648000000001</v>
      </c>
      <c r="I2144" s="2159"/>
      <c r="J2144" s="2159"/>
      <c r="K2144" s="2159"/>
      <c r="L2144" s="2159"/>
      <c r="M2144" s="2159"/>
      <c r="N2144" s="2159"/>
      <c r="O2144" s="2160"/>
    </row>
    <row r="2145" spans="1:15" ht="17.25" hidden="1" customHeight="1" outlineLevel="1" thickBot="1">
      <c r="A2145" s="2258" t="s">
        <v>479</v>
      </c>
      <c r="B2145" s="2259"/>
      <c r="C2145" s="2259"/>
      <c r="D2145" s="2259"/>
      <c r="E2145" s="2259"/>
      <c r="F2145" s="2259"/>
      <c r="G2145" s="2259"/>
      <c r="H2145" s="2259"/>
      <c r="I2145" s="2259"/>
      <c r="J2145" s="2259"/>
      <c r="K2145" s="2259"/>
      <c r="L2145" s="2259"/>
      <c r="M2145" s="2259"/>
      <c r="N2145" s="2259"/>
      <c r="O2145" s="2260"/>
    </row>
    <row r="2146" spans="1:15" ht="17.25" hidden="1" customHeight="1" outlineLevel="1">
      <c r="A2146" s="253"/>
      <c r="B2146" s="253" t="s">
        <v>21</v>
      </c>
      <c r="C2146" s="253" t="s">
        <v>506</v>
      </c>
      <c r="D2146" s="253" t="s">
        <v>509</v>
      </c>
      <c r="E2146" s="253" t="s">
        <v>510</v>
      </c>
    </row>
    <row r="2147" spans="1:15" ht="47.25" hidden="1" customHeight="1" outlineLevel="1">
      <c r="A2147" s="5"/>
      <c r="B2147" s="5">
        <v>7.3</v>
      </c>
      <c r="C2147" s="5">
        <v>5</v>
      </c>
      <c r="D2147" s="5">
        <v>1</v>
      </c>
      <c r="E2147" s="5">
        <f t="shared" ref="E2147:E2152" si="297">4*C2147*B2147</f>
        <v>146</v>
      </c>
    </row>
    <row r="2148" spans="1:15" ht="47.25" hidden="1" customHeight="1" outlineLevel="1">
      <c r="A2148" s="5"/>
      <c r="B2148" s="5">
        <v>5.2</v>
      </c>
      <c r="C2148" s="5">
        <v>5</v>
      </c>
      <c r="D2148" s="5">
        <v>1</v>
      </c>
      <c r="E2148" s="5">
        <f t="shared" si="297"/>
        <v>104</v>
      </c>
    </row>
    <row r="2149" spans="1:15" ht="47.25" hidden="1" customHeight="1" outlineLevel="1">
      <c r="A2149" s="5"/>
      <c r="B2149" s="5">
        <v>8.6999999999999993</v>
      </c>
      <c r="C2149" s="5">
        <v>5</v>
      </c>
      <c r="D2149" s="5">
        <v>1</v>
      </c>
      <c r="E2149" s="5">
        <f t="shared" si="297"/>
        <v>174</v>
      </c>
    </row>
    <row r="2150" spans="1:15" ht="47.25" hidden="1" customHeight="1" outlineLevel="1">
      <c r="A2150" s="5"/>
      <c r="B2150" s="5">
        <v>3.7</v>
      </c>
      <c r="C2150" s="5">
        <v>5</v>
      </c>
      <c r="D2150" s="5">
        <v>1</v>
      </c>
      <c r="E2150" s="5">
        <f t="shared" si="297"/>
        <v>74</v>
      </c>
    </row>
    <row r="2151" spans="1:15" ht="47.25" hidden="1" customHeight="1" outlineLevel="1">
      <c r="A2151" s="5"/>
      <c r="B2151" s="5">
        <v>4.7</v>
      </c>
      <c r="C2151" s="5">
        <v>5</v>
      </c>
      <c r="D2151" s="5">
        <v>1</v>
      </c>
      <c r="E2151" s="5">
        <f t="shared" si="297"/>
        <v>94</v>
      </c>
    </row>
    <row r="2152" spans="1:15" ht="47.25" hidden="1" customHeight="1" outlineLevel="1">
      <c r="A2152" s="5"/>
      <c r="B2152" s="5">
        <v>8.75</v>
      </c>
      <c r="C2152" s="5">
        <v>5</v>
      </c>
      <c r="D2152" s="5">
        <v>1</v>
      </c>
      <c r="E2152" s="5">
        <f t="shared" si="297"/>
        <v>175</v>
      </c>
    </row>
    <row r="2153" spans="1:15" ht="47.25" hidden="1" customHeight="1" outlineLevel="1">
      <c r="A2153" s="5"/>
      <c r="B2153" s="5">
        <v>6.2</v>
      </c>
      <c r="C2153" s="5">
        <v>5</v>
      </c>
      <c r="D2153" s="351">
        <v>0.875</v>
      </c>
      <c r="E2153" s="5">
        <f>3*C2153*B2153</f>
        <v>93</v>
      </c>
    </row>
    <row r="2154" spans="1:15" ht="47.25" hidden="1" customHeight="1" outlineLevel="1">
      <c r="A2154" s="5"/>
      <c r="B2154" s="5">
        <v>3.6</v>
      </c>
      <c r="C2154" s="5">
        <v>5</v>
      </c>
      <c r="D2154" s="351">
        <v>0.75</v>
      </c>
      <c r="E2154" s="5">
        <f>2.24*C2154*B2154</f>
        <v>40.320000000000007</v>
      </c>
    </row>
    <row r="2155" spans="1:15" ht="47.25" hidden="1" customHeight="1" outlineLevel="1">
      <c r="A2155" s="5"/>
      <c r="B2155" s="5">
        <v>4.5999999999999996</v>
      </c>
      <c r="C2155" s="5">
        <v>5</v>
      </c>
      <c r="D2155" s="351">
        <v>0.75</v>
      </c>
      <c r="E2155" s="5">
        <f t="shared" ref="E2155:E2160" si="298">2.24*C2155*B2155</f>
        <v>51.52</v>
      </c>
    </row>
    <row r="2156" spans="1:15" ht="47.25" hidden="1" customHeight="1" outlineLevel="1">
      <c r="A2156" s="5"/>
      <c r="B2156" s="5">
        <v>4.2</v>
      </c>
      <c r="C2156" s="5">
        <v>5</v>
      </c>
      <c r="D2156" s="351">
        <v>0.75</v>
      </c>
      <c r="E2156" s="5">
        <f t="shared" si="298"/>
        <v>47.040000000000006</v>
      </c>
    </row>
    <row r="2157" spans="1:15" ht="47.25" hidden="1" customHeight="1" outlineLevel="1">
      <c r="A2157" s="5"/>
      <c r="B2157" s="5">
        <v>4.25</v>
      </c>
      <c r="C2157" s="5">
        <v>5</v>
      </c>
      <c r="D2157" s="351">
        <v>0.75</v>
      </c>
      <c r="E2157" s="5">
        <f t="shared" si="298"/>
        <v>47.6</v>
      </c>
    </row>
    <row r="2158" spans="1:15" ht="47.25" hidden="1" customHeight="1" outlineLevel="1">
      <c r="A2158" s="5"/>
      <c r="B2158" s="5">
        <v>6.55</v>
      </c>
      <c r="C2158" s="5">
        <v>5</v>
      </c>
      <c r="D2158" s="351">
        <v>0.75</v>
      </c>
      <c r="E2158" s="5">
        <f t="shared" si="298"/>
        <v>73.36</v>
      </c>
    </row>
    <row r="2159" spans="1:15" ht="47.25" hidden="1" customHeight="1" outlineLevel="1">
      <c r="A2159" s="5"/>
      <c r="B2159" s="5">
        <v>4.3499999999999996</v>
      </c>
      <c r="C2159" s="5">
        <v>5</v>
      </c>
      <c r="D2159" s="351">
        <v>0.75</v>
      </c>
      <c r="E2159" s="5">
        <f t="shared" si="298"/>
        <v>48.72</v>
      </c>
    </row>
    <row r="2160" spans="1:15" ht="47.25" hidden="1" customHeight="1" outlineLevel="1">
      <c r="A2160" s="5"/>
      <c r="B2160" s="5">
        <v>3.15</v>
      </c>
      <c r="C2160" s="5">
        <v>5</v>
      </c>
      <c r="D2160" s="351">
        <v>0.75</v>
      </c>
      <c r="E2160" s="5">
        <f t="shared" si="298"/>
        <v>35.28</v>
      </c>
    </row>
    <row r="2161" spans="1:17" ht="47.25" hidden="1" customHeight="1" outlineLevel="1">
      <c r="A2161" s="5"/>
      <c r="B2161" s="5">
        <v>4.76</v>
      </c>
      <c r="C2161" s="5">
        <f>18.3/0.1</f>
        <v>183</v>
      </c>
      <c r="D2161" s="351">
        <v>0.375</v>
      </c>
      <c r="E2161" s="5">
        <f>0.56*C2161*B2161</f>
        <v>487.8048</v>
      </c>
    </row>
    <row r="2162" spans="1:17" ht="15.75" hidden="1" outlineLevel="1">
      <c r="A2162" s="2129" t="s">
        <v>501</v>
      </c>
      <c r="B2162" s="2130"/>
      <c r="C2162" s="2130"/>
      <c r="D2162" s="2130"/>
      <c r="E2162" s="2130"/>
      <c r="F2162" s="2130"/>
      <c r="G2162" s="2130"/>
      <c r="H2162" s="556">
        <f>0</f>
        <v>0</v>
      </c>
      <c r="I2162" s="556">
        <f>SUM(E2161)</f>
        <v>487.8048</v>
      </c>
      <c r="J2162" s="556">
        <v>0</v>
      </c>
      <c r="K2162" s="556">
        <v>0</v>
      </c>
      <c r="L2162" s="620">
        <f>E2154+E2155+E2156+E2157+E2159+E2158+E2160</f>
        <v>343.84000000000003</v>
      </c>
      <c r="M2162" s="556">
        <f>E2153</f>
        <v>93</v>
      </c>
      <c r="N2162" s="556">
        <f>SUM(E2147:E2152)</f>
        <v>767</v>
      </c>
      <c r="O2162" s="557">
        <v>0</v>
      </c>
      <c r="Q2162" s="619"/>
    </row>
    <row r="2163" spans="1:17" ht="16.5" hidden="1" outlineLevel="1" thickBot="1">
      <c r="A2163" s="2131" t="s">
        <v>502</v>
      </c>
      <c r="B2163" s="2132"/>
      <c r="C2163" s="2132"/>
      <c r="D2163" s="2132"/>
      <c r="E2163" s="2132"/>
      <c r="F2163" s="2132"/>
      <c r="G2163" s="2132"/>
      <c r="H2163" s="2158">
        <f>SUM(H2162:O2162)</f>
        <v>1691.6448</v>
      </c>
      <c r="I2163" s="2159"/>
      <c r="J2163" s="2159"/>
      <c r="K2163" s="2159"/>
      <c r="L2163" s="2159"/>
      <c r="M2163" s="2159"/>
      <c r="N2163" s="2159"/>
      <c r="O2163" s="2160"/>
    </row>
    <row r="2164" spans="1:17" s="31" customFormat="1" ht="15.75" hidden="1" outlineLevel="1">
      <c r="A2164" s="68"/>
      <c r="B2164" s="68"/>
      <c r="C2164" s="68"/>
      <c r="D2164" s="68"/>
      <c r="E2164" s="68"/>
      <c r="F2164" s="68"/>
      <c r="G2164" s="68"/>
      <c r="H2164" s="339"/>
      <c r="I2164" s="339"/>
      <c r="J2164" s="339"/>
      <c r="K2164" s="339"/>
      <c r="L2164" s="339"/>
      <c r="M2164" s="339"/>
      <c r="N2164" s="339"/>
      <c r="O2164" s="339"/>
    </row>
    <row r="2165" spans="1:17" ht="15.75" collapsed="1">
      <c r="A2165" s="2129" t="s">
        <v>1232</v>
      </c>
      <c r="B2165" s="2130"/>
      <c r="C2165" s="2130"/>
      <c r="D2165" s="2130"/>
      <c r="E2165" s="2130"/>
      <c r="F2165" s="2130"/>
      <c r="G2165" s="2130"/>
      <c r="H2165" s="556">
        <f>H2162+H2143</f>
        <v>0</v>
      </c>
      <c r="I2165" s="556">
        <f t="shared" ref="I2165:O2165" si="299">I2162+I2143</f>
        <v>975.6096</v>
      </c>
      <c r="J2165" s="556">
        <f t="shared" si="299"/>
        <v>0</v>
      </c>
      <c r="K2165" s="556">
        <f t="shared" si="299"/>
        <v>0</v>
      </c>
      <c r="L2165" s="556">
        <f t="shared" si="299"/>
        <v>551.6</v>
      </c>
      <c r="M2165" s="556">
        <f t="shared" si="299"/>
        <v>93</v>
      </c>
      <c r="N2165" s="556">
        <f t="shared" si="299"/>
        <v>1814</v>
      </c>
      <c r="O2165" s="556">
        <f t="shared" si="299"/>
        <v>0</v>
      </c>
    </row>
    <row r="2166" spans="1:17" ht="16.5" thickBot="1">
      <c r="A2166" s="2131" t="s">
        <v>1233</v>
      </c>
      <c r="B2166" s="2132"/>
      <c r="C2166" s="2132"/>
      <c r="D2166" s="2132"/>
      <c r="E2166" s="2132"/>
      <c r="F2166" s="2132"/>
      <c r="G2166" s="2132"/>
      <c r="H2166" s="2133">
        <f>SUM(H2165:O2165)</f>
        <v>3434.2096000000001</v>
      </c>
      <c r="I2166" s="2134"/>
      <c r="J2166" s="2134"/>
      <c r="K2166" s="2134"/>
      <c r="L2166" s="2134"/>
      <c r="M2166" s="2134"/>
      <c r="N2166" s="2134"/>
      <c r="O2166" s="2135"/>
    </row>
    <row r="2167" spans="1:17" ht="14.25" thickBot="1"/>
    <row r="2168" spans="1:17" ht="16.5" thickBot="1">
      <c r="A2168" s="2123" t="s">
        <v>1234</v>
      </c>
      <c r="B2168" s="2124"/>
      <c r="C2168" s="2124"/>
      <c r="D2168" s="2124"/>
      <c r="E2168" s="2124"/>
      <c r="F2168" s="2124"/>
      <c r="G2168" s="2124"/>
      <c r="H2168" s="2124"/>
      <c r="I2168" s="2124"/>
      <c r="J2168" s="2124"/>
      <c r="K2168" s="2124"/>
      <c r="L2168" s="2124"/>
      <c r="M2168" s="2124"/>
      <c r="N2168" s="2124"/>
      <c r="O2168" s="2125"/>
    </row>
    <row r="2169" spans="1:17" hidden="1" outlineLevel="1">
      <c r="A2169" s="2148" t="s">
        <v>553</v>
      </c>
      <c r="B2169" s="2148" t="s">
        <v>555</v>
      </c>
      <c r="C2169" s="2148" t="s">
        <v>554</v>
      </c>
      <c r="D2169" s="2148" t="s">
        <v>556</v>
      </c>
      <c r="E2169" s="2148" t="s">
        <v>42</v>
      </c>
    </row>
    <row r="2170" spans="1:17" hidden="1" outlineLevel="1">
      <c r="A2170" s="2149"/>
      <c r="B2170" s="2149"/>
      <c r="C2170" s="2149"/>
      <c r="D2170" s="2149"/>
      <c r="E2170" s="2149"/>
    </row>
    <row r="2171" spans="1:17" hidden="1" outlineLevel="1">
      <c r="A2171" s="2149"/>
      <c r="B2171" s="2149"/>
      <c r="C2171" s="2149"/>
      <c r="D2171" s="2149"/>
      <c r="E2171" s="2149"/>
    </row>
    <row r="2172" spans="1:17" hidden="1" outlineLevel="1">
      <c r="A2172" s="2149"/>
      <c r="B2172" s="2149"/>
      <c r="C2172" s="2149"/>
      <c r="D2172" s="2149"/>
      <c r="E2172" s="2149"/>
    </row>
    <row r="2173" spans="1:17" hidden="1" outlineLevel="1">
      <c r="A2173" s="32">
        <v>6</v>
      </c>
      <c r="B2173" s="2150">
        <v>4.2200000000000006</v>
      </c>
      <c r="C2173" s="32">
        <v>25.320000000000004</v>
      </c>
      <c r="D2173" s="32">
        <v>25.320000000000004</v>
      </c>
      <c r="E2173" s="2150" t="s">
        <v>39</v>
      </c>
    </row>
    <row r="2174" spans="1:17" hidden="1" outlineLevel="1">
      <c r="A2174" s="32">
        <v>2</v>
      </c>
      <c r="B2174" s="2150"/>
      <c r="C2174" s="32">
        <v>8.4400000000000013</v>
      </c>
      <c r="D2174" s="32">
        <v>8.4400000000000013</v>
      </c>
      <c r="E2174" s="2150"/>
    </row>
    <row r="2175" spans="1:17" hidden="1" outlineLevel="1">
      <c r="A2175" s="32">
        <v>3</v>
      </c>
      <c r="B2175" s="2150"/>
      <c r="C2175" s="32">
        <v>12.660000000000002</v>
      </c>
      <c r="D2175" s="32">
        <v>12.660000000000002</v>
      </c>
      <c r="E2175" s="2150"/>
    </row>
    <row r="2176" spans="1:17" hidden="1" outlineLevel="1">
      <c r="A2176" s="32">
        <v>1</v>
      </c>
      <c r="B2176" s="2150"/>
      <c r="C2176" s="32">
        <v>4.2200000000000006</v>
      </c>
      <c r="D2176" s="32">
        <v>4.2200000000000006</v>
      </c>
      <c r="E2176" s="2150"/>
    </row>
    <row r="2177" spans="1:5" hidden="1" outlineLevel="1">
      <c r="A2177" s="32">
        <v>3</v>
      </c>
      <c r="B2177" s="2150"/>
      <c r="C2177" s="32">
        <v>12.660000000000002</v>
      </c>
      <c r="D2177" s="32">
        <v>12.660000000000002</v>
      </c>
      <c r="E2177" s="2150"/>
    </row>
    <row r="2178" spans="1:5" hidden="1" outlineLevel="1">
      <c r="A2178" s="32">
        <v>8</v>
      </c>
      <c r="B2178" s="2150"/>
      <c r="C2178" s="32">
        <v>33.760000000000005</v>
      </c>
      <c r="D2178" s="32">
        <v>33.760000000000005</v>
      </c>
      <c r="E2178" s="2150"/>
    </row>
    <row r="2179" spans="1:5" hidden="1" outlineLevel="1">
      <c r="A2179" s="32">
        <v>8</v>
      </c>
      <c r="B2179" s="2150"/>
      <c r="C2179" s="32">
        <v>33.760000000000005</v>
      </c>
      <c r="D2179" s="32">
        <v>33.760000000000005</v>
      </c>
      <c r="E2179" s="2150"/>
    </row>
    <row r="2180" spans="1:5" hidden="1" outlineLevel="1">
      <c r="A2180" s="32">
        <v>1</v>
      </c>
      <c r="B2180" s="2150"/>
      <c r="C2180" s="32">
        <v>4.2200000000000006</v>
      </c>
      <c r="D2180" s="32">
        <v>4.2200000000000006</v>
      </c>
      <c r="E2180" s="2150"/>
    </row>
    <row r="2181" spans="1:5" hidden="1" outlineLevel="1">
      <c r="A2181" s="32">
        <v>3</v>
      </c>
      <c r="B2181" s="2150"/>
      <c r="C2181" s="32">
        <v>12.660000000000002</v>
      </c>
      <c r="D2181" s="32">
        <v>12.660000000000002</v>
      </c>
      <c r="E2181" s="2150"/>
    </row>
    <row r="2182" spans="1:5" hidden="1" outlineLevel="1">
      <c r="A2182" s="32">
        <v>4</v>
      </c>
      <c r="B2182" s="2150"/>
      <c r="C2182" s="32">
        <v>16.880000000000003</v>
      </c>
      <c r="D2182" s="32">
        <v>16.880000000000003</v>
      </c>
      <c r="E2182" s="2150"/>
    </row>
    <row r="2183" spans="1:5" hidden="1" outlineLevel="1">
      <c r="A2183" s="32">
        <v>3</v>
      </c>
      <c r="B2183" s="2150"/>
      <c r="C2183" s="32">
        <v>12.660000000000002</v>
      </c>
      <c r="D2183" s="32">
        <v>12.660000000000002</v>
      </c>
      <c r="E2183" s="2150"/>
    </row>
    <row r="2184" spans="1:5" hidden="1" outlineLevel="1">
      <c r="A2184" s="32">
        <v>1</v>
      </c>
      <c r="B2184" s="2150"/>
      <c r="C2184" s="32">
        <v>4.2200000000000006</v>
      </c>
      <c r="D2184" s="32">
        <v>4.2200000000000006</v>
      </c>
      <c r="E2184" s="2150"/>
    </row>
    <row r="2185" spans="1:5" hidden="1" outlineLevel="1">
      <c r="A2185" s="32">
        <v>6</v>
      </c>
      <c r="B2185" s="2150"/>
      <c r="C2185" s="32">
        <v>25.320000000000004</v>
      </c>
      <c r="D2185" s="32">
        <v>25.320000000000004</v>
      </c>
      <c r="E2185" s="2150"/>
    </row>
    <row r="2186" spans="1:5" hidden="1" outlineLevel="1">
      <c r="A2186" s="32">
        <v>1</v>
      </c>
      <c r="B2186" s="2150"/>
      <c r="C2186" s="32">
        <v>4.2200000000000006</v>
      </c>
      <c r="D2186" s="32">
        <v>4.2200000000000006</v>
      </c>
      <c r="E2186" s="2150"/>
    </row>
    <row r="2187" spans="1:5" hidden="1" outlineLevel="1">
      <c r="A2187" s="32">
        <v>3</v>
      </c>
      <c r="B2187" s="2150"/>
      <c r="C2187" s="32">
        <v>12.660000000000002</v>
      </c>
      <c r="D2187" s="32">
        <v>12.660000000000002</v>
      </c>
      <c r="E2187" s="2150"/>
    </row>
    <row r="2188" spans="1:5" hidden="1" outlineLevel="1">
      <c r="A2188" s="32">
        <v>5</v>
      </c>
      <c r="B2188" s="2150"/>
      <c r="C2188" s="32">
        <v>21.1</v>
      </c>
      <c r="D2188" s="32">
        <v>21.1</v>
      </c>
      <c r="E2188" s="2150"/>
    </row>
    <row r="2189" spans="1:5" hidden="1" outlineLevel="1">
      <c r="A2189" s="32">
        <v>3</v>
      </c>
      <c r="B2189" s="2150"/>
      <c r="C2189" s="32">
        <v>12.660000000000002</v>
      </c>
      <c r="D2189" s="32">
        <v>12.660000000000002</v>
      </c>
      <c r="E2189" s="2150"/>
    </row>
    <row r="2190" spans="1:5" hidden="1" outlineLevel="1">
      <c r="A2190" s="32">
        <v>3</v>
      </c>
      <c r="B2190" s="2150"/>
      <c r="C2190" s="32">
        <v>12.660000000000002</v>
      </c>
      <c r="D2190" s="32">
        <v>12.660000000000002</v>
      </c>
      <c r="E2190" s="2150"/>
    </row>
    <row r="2191" spans="1:5" hidden="1" outlineLevel="1">
      <c r="A2191" s="32">
        <v>3</v>
      </c>
      <c r="B2191" s="2150"/>
      <c r="C2191" s="32">
        <v>12.660000000000002</v>
      </c>
      <c r="D2191" s="32">
        <v>12.660000000000002</v>
      </c>
      <c r="E2191" s="2150"/>
    </row>
    <row r="2192" spans="1:5" hidden="1" outlineLevel="1">
      <c r="A2192" s="32">
        <v>1</v>
      </c>
      <c r="B2192" s="2150"/>
      <c r="C2192" s="32">
        <v>4.2200000000000006</v>
      </c>
      <c r="D2192" s="32">
        <v>4.2200000000000006</v>
      </c>
      <c r="E2192" s="2150"/>
    </row>
    <row r="2193" spans="1:5" hidden="1" outlineLevel="1">
      <c r="A2193" s="32">
        <v>1</v>
      </c>
      <c r="B2193" s="2150"/>
      <c r="C2193" s="32">
        <v>4.2200000000000006</v>
      </c>
      <c r="D2193" s="32">
        <v>4.2200000000000006</v>
      </c>
      <c r="E2193" s="2150"/>
    </row>
    <row r="2194" spans="1:5" hidden="1" outlineLevel="1">
      <c r="A2194" s="32">
        <v>2</v>
      </c>
      <c r="B2194" s="2150">
        <v>4.66</v>
      </c>
      <c r="C2194" s="32">
        <v>9.32</v>
      </c>
      <c r="D2194" s="32">
        <v>9.32</v>
      </c>
      <c r="E2194" s="2150"/>
    </row>
    <row r="2195" spans="1:5" hidden="1" outlineLevel="1">
      <c r="A2195" s="32">
        <v>1</v>
      </c>
      <c r="B2195" s="2150"/>
      <c r="C2195" s="32">
        <v>4.66</v>
      </c>
      <c r="D2195" s="32">
        <v>4.66</v>
      </c>
      <c r="E2195" s="2150"/>
    </row>
    <row r="2196" spans="1:5" hidden="1" outlineLevel="1">
      <c r="A2196" s="32">
        <v>1</v>
      </c>
      <c r="B2196" s="2150"/>
      <c r="C2196" s="32">
        <v>4.66</v>
      </c>
      <c r="D2196" s="32">
        <v>4.66</v>
      </c>
      <c r="E2196" s="2150"/>
    </row>
    <row r="2197" spans="1:5" hidden="1" outlineLevel="1">
      <c r="A2197" s="32">
        <v>2</v>
      </c>
      <c r="B2197" s="2150"/>
      <c r="C2197" s="32">
        <v>9.32</v>
      </c>
      <c r="D2197" s="32">
        <v>9.32</v>
      </c>
      <c r="E2197" s="2150"/>
    </row>
    <row r="2198" spans="1:5" hidden="1" outlineLevel="1">
      <c r="A2198" s="32">
        <v>1</v>
      </c>
      <c r="B2198" s="2150"/>
      <c r="C2198" s="32">
        <v>4.66</v>
      </c>
      <c r="D2198" s="32">
        <v>4.66</v>
      </c>
      <c r="E2198" s="2150"/>
    </row>
    <row r="2199" spans="1:5" hidden="1" outlineLevel="1">
      <c r="A2199" s="32">
        <v>1</v>
      </c>
      <c r="B2199" s="2150"/>
      <c r="C2199" s="32">
        <v>4.66</v>
      </c>
      <c r="D2199" s="32">
        <v>4.66</v>
      </c>
      <c r="E2199" s="2150"/>
    </row>
    <row r="2200" spans="1:5" hidden="1" outlineLevel="1">
      <c r="A2200" s="32">
        <v>2</v>
      </c>
      <c r="B2200" s="2150"/>
      <c r="C2200" s="32">
        <v>9.32</v>
      </c>
      <c r="D2200" s="32">
        <v>9.32</v>
      </c>
      <c r="E2200" s="2150"/>
    </row>
    <row r="2201" spans="1:5" hidden="1" outlineLevel="1">
      <c r="A2201" s="32">
        <v>2</v>
      </c>
      <c r="B2201" s="2150"/>
      <c r="C2201" s="32">
        <v>9.32</v>
      </c>
      <c r="D2201" s="32">
        <v>9.32</v>
      </c>
      <c r="E2201" s="2150"/>
    </row>
    <row r="2202" spans="1:5" hidden="1" outlineLevel="1">
      <c r="A2202" s="32">
        <v>2</v>
      </c>
      <c r="B2202" s="2150"/>
      <c r="C2202" s="32">
        <v>9.32</v>
      </c>
      <c r="D2202" s="32">
        <v>9.32</v>
      </c>
      <c r="E2202" s="2150"/>
    </row>
    <row r="2203" spans="1:5" hidden="1" outlineLevel="1">
      <c r="A2203" s="32">
        <v>1</v>
      </c>
      <c r="B2203" s="2150"/>
      <c r="C2203" s="32">
        <v>4.66</v>
      </c>
      <c r="D2203" s="32">
        <v>4.66</v>
      </c>
      <c r="E2203" s="2150"/>
    </row>
    <row r="2204" spans="1:5" hidden="1" outlineLevel="1">
      <c r="A2204" s="32">
        <v>1</v>
      </c>
      <c r="B2204" s="2150"/>
      <c r="C2204" s="32">
        <v>4.66</v>
      </c>
      <c r="D2204" s="32">
        <v>4.66</v>
      </c>
      <c r="E2204" s="2150"/>
    </row>
    <row r="2205" spans="1:5" hidden="1" outlineLevel="1">
      <c r="A2205" s="32">
        <v>2</v>
      </c>
      <c r="B2205" s="2150"/>
      <c r="C2205" s="32">
        <v>9.32</v>
      </c>
      <c r="D2205" s="32">
        <v>9.32</v>
      </c>
      <c r="E2205" s="2150"/>
    </row>
    <row r="2206" spans="1:5" hidden="1" outlineLevel="1">
      <c r="A2206" s="32">
        <v>1</v>
      </c>
      <c r="B2206" s="2150"/>
      <c r="C2206" s="32">
        <v>4.66</v>
      </c>
      <c r="D2206" s="32">
        <v>4.66</v>
      </c>
      <c r="E2206" s="2150"/>
    </row>
    <row r="2207" spans="1:5" hidden="1" outlineLevel="1">
      <c r="A2207" s="32">
        <v>1</v>
      </c>
      <c r="B2207" s="2150"/>
      <c r="C2207" s="32">
        <v>4.66</v>
      </c>
      <c r="D2207" s="32">
        <v>4.66</v>
      </c>
      <c r="E2207" s="2150"/>
    </row>
    <row r="2208" spans="1:5" hidden="1" outlineLevel="1">
      <c r="A2208" s="32">
        <v>1</v>
      </c>
      <c r="B2208" s="2150"/>
      <c r="C2208" s="32">
        <v>4.66</v>
      </c>
      <c r="D2208" s="32">
        <v>4.66</v>
      </c>
      <c r="E2208" s="2150"/>
    </row>
    <row r="2209" spans="1:5" hidden="1" outlineLevel="1">
      <c r="A2209" s="32">
        <v>3</v>
      </c>
      <c r="B2209" s="2150"/>
      <c r="C2209" s="32">
        <v>13.98</v>
      </c>
      <c r="D2209" s="32">
        <v>13.98</v>
      </c>
      <c r="E2209" s="2150"/>
    </row>
    <row r="2210" spans="1:5" hidden="1" outlineLevel="1">
      <c r="A2210" s="32">
        <v>3</v>
      </c>
      <c r="B2210" s="2150"/>
      <c r="C2210" s="32">
        <v>13.98</v>
      </c>
      <c r="D2210" s="32">
        <v>13.98</v>
      </c>
      <c r="E2210" s="2150"/>
    </row>
    <row r="2211" spans="1:5" hidden="1" outlineLevel="1">
      <c r="A2211" s="32">
        <v>2</v>
      </c>
      <c r="B2211" s="2150"/>
      <c r="C2211" s="32">
        <v>9.32</v>
      </c>
      <c r="D2211" s="32">
        <v>9.32</v>
      </c>
      <c r="E2211" s="2150"/>
    </row>
    <row r="2212" spans="1:5" hidden="1" outlineLevel="1">
      <c r="A2212" s="32">
        <v>2</v>
      </c>
      <c r="B2212" s="2150"/>
      <c r="C2212" s="32">
        <v>9.32</v>
      </c>
      <c r="D2212" s="32">
        <v>9.32</v>
      </c>
      <c r="E2212" s="2150"/>
    </row>
    <row r="2213" spans="1:5" ht="13.5" hidden="1" customHeight="1" outlineLevel="1">
      <c r="A2213" s="2146" t="s">
        <v>565</v>
      </c>
      <c r="B2213" s="2146"/>
      <c r="C2213" s="2146"/>
      <c r="D2213" s="2147">
        <f>SUM(D2173:D2212)</f>
        <v>435.64000000000033</v>
      </c>
      <c r="E2213" s="2147" t="s">
        <v>39</v>
      </c>
    </row>
    <row r="2214" spans="1:5" hidden="1" outlineLevel="1">
      <c r="A2214" s="2146"/>
      <c r="B2214" s="2146"/>
      <c r="C2214" s="2146"/>
      <c r="D2214" s="2147"/>
      <c r="E2214" s="2147"/>
    </row>
    <row r="2215" spans="1:5" ht="13.5" hidden="1" customHeight="1" outlineLevel="1">
      <c r="A2215" s="32">
        <v>2</v>
      </c>
      <c r="B2215" s="2150">
        <v>4.2200000000000006</v>
      </c>
      <c r="C2215" s="32">
        <v>8.4400000000000013</v>
      </c>
      <c r="D2215" s="32">
        <v>8.4400000000000013</v>
      </c>
      <c r="E2215" s="2150" t="s">
        <v>39</v>
      </c>
    </row>
    <row r="2216" spans="1:5" hidden="1" outlineLevel="1">
      <c r="A2216" s="32">
        <v>4</v>
      </c>
      <c r="B2216" s="2150"/>
      <c r="C2216" s="32">
        <v>16.880000000000003</v>
      </c>
      <c r="D2216" s="32">
        <v>16.880000000000003</v>
      </c>
      <c r="E2216" s="2150"/>
    </row>
    <row r="2217" spans="1:5" ht="13.5" hidden="1" customHeight="1" outlineLevel="1">
      <c r="A2217" s="32">
        <v>5</v>
      </c>
      <c r="B2217" s="2150"/>
      <c r="C2217" s="32">
        <v>21.1</v>
      </c>
      <c r="D2217" s="32">
        <v>21.1</v>
      </c>
      <c r="E2217" s="2150"/>
    </row>
    <row r="2218" spans="1:5" hidden="1" outlineLevel="1">
      <c r="A2218" s="32">
        <v>3</v>
      </c>
      <c r="B2218" s="2150"/>
      <c r="C2218" s="32">
        <v>12.660000000000002</v>
      </c>
      <c r="D2218" s="32">
        <v>12.660000000000002</v>
      </c>
      <c r="E2218" s="2150"/>
    </row>
    <row r="2219" spans="1:5" ht="13.5" hidden="1" customHeight="1" outlineLevel="1">
      <c r="A2219" s="32">
        <v>3</v>
      </c>
      <c r="B2219" s="2150"/>
      <c r="C2219" s="32">
        <v>12.660000000000002</v>
      </c>
      <c r="D2219" s="32">
        <v>12.660000000000002</v>
      </c>
      <c r="E2219" s="2150"/>
    </row>
    <row r="2220" spans="1:5" hidden="1" outlineLevel="1">
      <c r="A2220" s="32">
        <v>5</v>
      </c>
      <c r="B2220" s="2150"/>
      <c r="C2220" s="32">
        <v>21.1</v>
      </c>
      <c r="D2220" s="32">
        <v>21.1</v>
      </c>
      <c r="E2220" s="2150"/>
    </row>
    <row r="2221" spans="1:5" ht="14.25" hidden="1" customHeight="1" outlineLevel="1">
      <c r="A2221" s="32">
        <v>1</v>
      </c>
      <c r="B2221" s="2150"/>
      <c r="C2221" s="32">
        <v>4.2200000000000006</v>
      </c>
      <c r="D2221" s="32">
        <v>4.2200000000000006</v>
      </c>
      <c r="E2221" s="2150"/>
    </row>
    <row r="2222" spans="1:5" ht="13.5" hidden="1" customHeight="1" outlineLevel="1">
      <c r="A2222" s="32">
        <v>5</v>
      </c>
      <c r="B2222" s="2150"/>
      <c r="C2222" s="32">
        <v>21.1</v>
      </c>
      <c r="D2222" s="32">
        <v>21.1</v>
      </c>
      <c r="E2222" s="2150"/>
    </row>
    <row r="2223" spans="1:5" hidden="1" outlineLevel="1">
      <c r="A2223" s="32">
        <v>1</v>
      </c>
      <c r="B2223" s="2150"/>
      <c r="C2223" s="32">
        <v>4.2200000000000006</v>
      </c>
      <c r="D2223" s="32">
        <v>4.2200000000000006</v>
      </c>
      <c r="E2223" s="2150"/>
    </row>
    <row r="2224" spans="1:5" ht="13.5" hidden="1" customHeight="1" outlineLevel="1">
      <c r="A2224" s="32">
        <v>4</v>
      </c>
      <c r="B2224" s="2150"/>
      <c r="C2224" s="32">
        <v>16.880000000000003</v>
      </c>
      <c r="D2224" s="32">
        <v>16.880000000000003</v>
      </c>
      <c r="E2224" s="2150"/>
    </row>
    <row r="2225" spans="1:5" hidden="1" outlineLevel="1">
      <c r="A2225" s="32">
        <v>2</v>
      </c>
      <c r="B2225" s="2150"/>
      <c r="C2225" s="32">
        <v>8.4400000000000013</v>
      </c>
      <c r="D2225" s="32">
        <v>8.4400000000000013</v>
      </c>
      <c r="E2225" s="2150"/>
    </row>
    <row r="2226" spans="1:5" ht="13.5" hidden="1" customHeight="1" outlineLevel="1">
      <c r="A2226" s="32">
        <v>3</v>
      </c>
      <c r="B2226" s="2150"/>
      <c r="C2226" s="32">
        <v>12.660000000000002</v>
      </c>
      <c r="D2226" s="32">
        <v>12.660000000000002</v>
      </c>
      <c r="E2226" s="2150"/>
    </row>
    <row r="2227" spans="1:5" hidden="1" outlineLevel="1">
      <c r="A2227" s="32">
        <v>3</v>
      </c>
      <c r="B2227" s="2150"/>
      <c r="C2227" s="32">
        <v>12.660000000000002</v>
      </c>
      <c r="D2227" s="32">
        <v>12.660000000000002</v>
      </c>
      <c r="E2227" s="2150"/>
    </row>
    <row r="2228" spans="1:5" ht="13.5" hidden="1" customHeight="1" outlineLevel="1">
      <c r="A2228" s="32">
        <v>2</v>
      </c>
      <c r="B2228" s="2150"/>
      <c r="C2228" s="32">
        <v>8.4400000000000013</v>
      </c>
      <c r="D2228" s="32">
        <v>8.4400000000000013</v>
      </c>
      <c r="E2228" s="2150"/>
    </row>
    <row r="2229" spans="1:5" hidden="1" outlineLevel="1">
      <c r="A2229" s="32">
        <v>1</v>
      </c>
      <c r="B2229" s="2150"/>
      <c r="C2229" s="32">
        <v>4.2200000000000006</v>
      </c>
      <c r="D2229" s="32">
        <v>4.2200000000000006</v>
      </c>
      <c r="E2229" s="2150"/>
    </row>
    <row r="2230" spans="1:5" hidden="1" outlineLevel="1">
      <c r="A2230" s="32">
        <v>6</v>
      </c>
      <c r="B2230" s="2150"/>
      <c r="C2230" s="32">
        <v>25.320000000000004</v>
      </c>
      <c r="D2230" s="32">
        <v>25.320000000000004</v>
      </c>
      <c r="E2230" s="2150"/>
    </row>
    <row r="2231" spans="1:5" hidden="1" outlineLevel="1">
      <c r="A2231" s="32">
        <v>2</v>
      </c>
      <c r="B2231" s="2150"/>
      <c r="C2231" s="32">
        <v>8.4400000000000013</v>
      </c>
      <c r="D2231" s="32">
        <v>8.4400000000000013</v>
      </c>
      <c r="E2231" s="2150"/>
    </row>
    <row r="2232" spans="1:5" hidden="1" outlineLevel="1">
      <c r="A2232" s="32">
        <v>3</v>
      </c>
      <c r="B2232" s="2150"/>
      <c r="C2232" s="32">
        <v>12.660000000000002</v>
      </c>
      <c r="D2232" s="32">
        <v>12.660000000000002</v>
      </c>
      <c r="E2232" s="2150"/>
    </row>
    <row r="2233" spans="1:5" hidden="1" outlineLevel="1">
      <c r="A2233" s="32">
        <v>7</v>
      </c>
      <c r="B2233" s="2150"/>
      <c r="C2233" s="32">
        <v>29.540000000000006</v>
      </c>
      <c r="D2233" s="32">
        <v>29.540000000000006</v>
      </c>
      <c r="E2233" s="2150"/>
    </row>
    <row r="2234" spans="1:5" hidden="1" outlineLevel="1">
      <c r="A2234" s="32">
        <v>4</v>
      </c>
      <c r="B2234" s="2150"/>
      <c r="C2234" s="32">
        <v>16.880000000000003</v>
      </c>
      <c r="D2234" s="32">
        <v>16.880000000000003</v>
      </c>
      <c r="E2234" s="2150"/>
    </row>
    <row r="2235" spans="1:5" hidden="1" outlineLevel="1">
      <c r="A2235" s="32">
        <v>3</v>
      </c>
      <c r="B2235" s="2150"/>
      <c r="C2235" s="32">
        <v>12.660000000000002</v>
      </c>
      <c r="D2235" s="32">
        <v>12.660000000000002</v>
      </c>
      <c r="E2235" s="2150"/>
    </row>
    <row r="2236" spans="1:5" hidden="1" outlineLevel="1">
      <c r="A2236" s="32">
        <v>2</v>
      </c>
      <c r="B2236" s="2150"/>
      <c r="C2236" s="32">
        <v>8.4400000000000013</v>
      </c>
      <c r="D2236" s="32">
        <v>8.4400000000000013</v>
      </c>
      <c r="E2236" s="2150"/>
    </row>
    <row r="2237" spans="1:5" hidden="1" outlineLevel="1">
      <c r="A2237" s="32">
        <v>3</v>
      </c>
      <c r="B2237" s="2150"/>
      <c r="C2237" s="32">
        <v>12.660000000000002</v>
      </c>
      <c r="D2237" s="32">
        <v>12.660000000000002</v>
      </c>
      <c r="E2237" s="2150"/>
    </row>
    <row r="2238" spans="1:5" hidden="1" outlineLevel="1">
      <c r="A2238" s="32">
        <v>5</v>
      </c>
      <c r="B2238" s="2150"/>
      <c r="C2238" s="32">
        <v>21.1</v>
      </c>
      <c r="D2238" s="32">
        <v>21.1</v>
      </c>
      <c r="E2238" s="2150"/>
    </row>
    <row r="2239" spans="1:5" hidden="1" outlineLevel="1">
      <c r="A2239" s="32">
        <v>3</v>
      </c>
      <c r="B2239" s="2150"/>
      <c r="C2239" s="32">
        <v>12.660000000000002</v>
      </c>
      <c r="D2239" s="32">
        <v>12.660000000000002</v>
      </c>
      <c r="E2239" s="2150"/>
    </row>
    <row r="2240" spans="1:5" hidden="1" outlineLevel="1">
      <c r="A2240" s="32">
        <v>2</v>
      </c>
      <c r="B2240" s="2150"/>
      <c r="C2240" s="32">
        <v>8.4400000000000013</v>
      </c>
      <c r="D2240" s="32">
        <v>8.4400000000000013</v>
      </c>
      <c r="E2240" s="2150"/>
    </row>
    <row r="2241" spans="1:5" hidden="1" outlineLevel="1">
      <c r="A2241" s="32">
        <v>4</v>
      </c>
      <c r="B2241" s="2150"/>
      <c r="C2241" s="32">
        <v>16.880000000000003</v>
      </c>
      <c r="D2241" s="32">
        <v>16.880000000000003</v>
      </c>
      <c r="E2241" s="2150"/>
    </row>
    <row r="2242" spans="1:5" hidden="1" outlineLevel="1">
      <c r="A2242" s="32">
        <v>1</v>
      </c>
      <c r="B2242" s="2150"/>
      <c r="C2242" s="32">
        <v>4.2200000000000006</v>
      </c>
      <c r="D2242" s="32">
        <v>4.2200000000000006</v>
      </c>
      <c r="E2242" s="2150"/>
    </row>
    <row r="2243" spans="1:5" hidden="1" outlineLevel="1">
      <c r="A2243" s="32">
        <v>3</v>
      </c>
      <c r="B2243" s="2150"/>
      <c r="C2243" s="32">
        <v>12.660000000000002</v>
      </c>
      <c r="D2243" s="32">
        <v>12.660000000000002</v>
      </c>
      <c r="E2243" s="2150"/>
    </row>
    <row r="2244" spans="1:5" hidden="1" outlineLevel="1">
      <c r="A2244" s="32">
        <v>3</v>
      </c>
      <c r="B2244" s="2150"/>
      <c r="C2244" s="32">
        <v>12.660000000000002</v>
      </c>
      <c r="D2244" s="32">
        <v>12.660000000000002</v>
      </c>
      <c r="E2244" s="2150"/>
    </row>
    <row r="2245" spans="1:5" hidden="1" outlineLevel="1">
      <c r="A2245" s="32">
        <v>3</v>
      </c>
      <c r="B2245" s="2150"/>
      <c r="C2245" s="32">
        <v>12.660000000000002</v>
      </c>
      <c r="D2245" s="32">
        <v>12.660000000000002</v>
      </c>
      <c r="E2245" s="2150"/>
    </row>
    <row r="2246" spans="1:5" hidden="1" outlineLevel="1">
      <c r="A2246" s="32">
        <v>5</v>
      </c>
      <c r="B2246" s="2150"/>
      <c r="C2246" s="32">
        <v>21.1</v>
      </c>
      <c r="D2246" s="32">
        <v>21.1</v>
      </c>
      <c r="E2246" s="2150"/>
    </row>
    <row r="2247" spans="1:5" hidden="1" outlineLevel="1">
      <c r="A2247" s="32">
        <v>2</v>
      </c>
      <c r="B2247" s="2150">
        <v>4.66</v>
      </c>
      <c r="C2247" s="32">
        <v>9.32</v>
      </c>
      <c r="D2247" s="32">
        <v>9.32</v>
      </c>
      <c r="E2247" s="2150"/>
    </row>
    <row r="2248" spans="1:5" hidden="1" outlineLevel="1">
      <c r="A2248" s="32">
        <v>1</v>
      </c>
      <c r="B2248" s="2150"/>
      <c r="C2248" s="32">
        <v>4.66</v>
      </c>
      <c r="D2248" s="32">
        <v>4.66</v>
      </c>
      <c r="E2248" s="2150"/>
    </row>
    <row r="2249" spans="1:5" hidden="1" outlineLevel="1">
      <c r="A2249" s="32">
        <v>1</v>
      </c>
      <c r="B2249" s="2150"/>
      <c r="C2249" s="32">
        <v>4.66</v>
      </c>
      <c r="D2249" s="32">
        <v>4.66</v>
      </c>
      <c r="E2249" s="2150"/>
    </row>
    <row r="2250" spans="1:5" hidden="1" outlineLevel="1">
      <c r="A2250" s="32">
        <v>2</v>
      </c>
      <c r="B2250" s="2150"/>
      <c r="C2250" s="32">
        <v>9.32</v>
      </c>
      <c r="D2250" s="32">
        <v>9.32</v>
      </c>
      <c r="E2250" s="2150"/>
    </row>
    <row r="2251" spans="1:5" hidden="1" outlineLevel="1">
      <c r="A2251" s="32">
        <v>1</v>
      </c>
      <c r="B2251" s="2150"/>
      <c r="C2251" s="32">
        <v>4.66</v>
      </c>
      <c r="D2251" s="32">
        <v>4.66</v>
      </c>
      <c r="E2251" s="2150"/>
    </row>
    <row r="2252" spans="1:5" hidden="1" outlineLevel="1">
      <c r="A2252" s="32">
        <v>2</v>
      </c>
      <c r="B2252" s="2150"/>
      <c r="C2252" s="32">
        <v>9.32</v>
      </c>
      <c r="D2252" s="32">
        <v>9.32</v>
      </c>
      <c r="E2252" s="2150"/>
    </row>
    <row r="2253" spans="1:5" hidden="1" outlineLevel="1">
      <c r="A2253" s="32">
        <v>2</v>
      </c>
      <c r="B2253" s="2150"/>
      <c r="C2253" s="32">
        <v>9.32</v>
      </c>
      <c r="D2253" s="32">
        <v>9.32</v>
      </c>
      <c r="E2253" s="2150"/>
    </row>
    <row r="2254" spans="1:5" hidden="1" outlineLevel="1">
      <c r="A2254" s="32">
        <v>2</v>
      </c>
      <c r="B2254" s="2150"/>
      <c r="C2254" s="32">
        <v>9.32</v>
      </c>
      <c r="D2254" s="32">
        <v>9.32</v>
      </c>
      <c r="E2254" s="2150"/>
    </row>
    <row r="2255" spans="1:5" hidden="1" outlineLevel="1">
      <c r="A2255" s="32">
        <v>2</v>
      </c>
      <c r="B2255" s="2150"/>
      <c r="C2255" s="32">
        <v>9.32</v>
      </c>
      <c r="D2255" s="32">
        <v>9.32</v>
      </c>
      <c r="E2255" s="2150"/>
    </row>
    <row r="2256" spans="1:5" hidden="1" outlineLevel="1">
      <c r="A2256" s="32">
        <v>3</v>
      </c>
      <c r="B2256" s="2150"/>
      <c r="C2256" s="32">
        <v>13.98</v>
      </c>
      <c r="D2256" s="32">
        <v>13.98</v>
      </c>
      <c r="E2256" s="2150"/>
    </row>
    <row r="2257" spans="1:5" hidden="1" outlineLevel="1">
      <c r="A2257" s="32">
        <v>1</v>
      </c>
      <c r="B2257" s="2150"/>
      <c r="C2257" s="32">
        <v>4.66</v>
      </c>
      <c r="D2257" s="32">
        <v>4.66</v>
      </c>
      <c r="E2257" s="2150"/>
    </row>
    <row r="2258" spans="1:5" hidden="1" outlineLevel="1">
      <c r="A2258" s="32">
        <v>2</v>
      </c>
      <c r="B2258" s="2150"/>
      <c r="C2258" s="32">
        <v>9.32</v>
      </c>
      <c r="D2258" s="32">
        <v>9.32</v>
      </c>
      <c r="E2258" s="2150"/>
    </row>
    <row r="2259" spans="1:5" hidden="1" outlineLevel="1">
      <c r="A2259" s="32">
        <v>1</v>
      </c>
      <c r="B2259" s="2150"/>
      <c r="C2259" s="32">
        <v>4.66</v>
      </c>
      <c r="D2259" s="32">
        <v>4.66</v>
      </c>
      <c r="E2259" s="2150"/>
    </row>
    <row r="2260" spans="1:5" hidden="1" outlineLevel="1">
      <c r="A2260" s="32">
        <v>1</v>
      </c>
      <c r="B2260" s="2150"/>
      <c r="C2260" s="32">
        <v>4.66</v>
      </c>
      <c r="D2260" s="32">
        <v>4.66</v>
      </c>
      <c r="E2260" s="2150"/>
    </row>
    <row r="2261" spans="1:5" hidden="1" outlineLevel="1">
      <c r="A2261" s="32">
        <v>1</v>
      </c>
      <c r="B2261" s="2150"/>
      <c r="C2261" s="32">
        <v>4.66</v>
      </c>
      <c r="D2261" s="32">
        <v>4.66</v>
      </c>
      <c r="E2261" s="2150"/>
    </row>
    <row r="2262" spans="1:5" hidden="1" outlineLevel="1">
      <c r="A2262" s="32">
        <v>1</v>
      </c>
      <c r="B2262" s="2150"/>
      <c r="C2262" s="32">
        <v>4.66</v>
      </c>
      <c r="D2262" s="32">
        <v>4.66</v>
      </c>
      <c r="E2262" s="2150"/>
    </row>
    <row r="2263" spans="1:5" hidden="1" outlineLevel="1">
      <c r="A2263" s="32">
        <v>1</v>
      </c>
      <c r="B2263" s="2150"/>
      <c r="C2263" s="32">
        <v>4.66</v>
      </c>
      <c r="D2263" s="32">
        <v>4.66</v>
      </c>
      <c r="E2263" s="2150"/>
    </row>
    <row r="2264" spans="1:5" hidden="1" outlineLevel="1">
      <c r="A2264" s="32">
        <v>2</v>
      </c>
      <c r="B2264" s="2150"/>
      <c r="C2264" s="32">
        <v>9.32</v>
      </c>
      <c r="D2264" s="32">
        <v>9.32</v>
      </c>
      <c r="E2264" s="2150"/>
    </row>
    <row r="2265" spans="1:5" hidden="1" outlineLevel="1">
      <c r="A2265" s="32">
        <v>3</v>
      </c>
      <c r="B2265" s="2150"/>
      <c r="C2265" s="32">
        <v>13.98</v>
      </c>
      <c r="D2265" s="32">
        <v>13.98</v>
      </c>
      <c r="E2265" s="2150"/>
    </row>
    <row r="2266" spans="1:5" hidden="1" outlineLevel="1">
      <c r="A2266" s="32">
        <v>2</v>
      </c>
      <c r="B2266" s="2150"/>
      <c r="C2266" s="32">
        <v>9.32</v>
      </c>
      <c r="D2266" s="32">
        <v>9.32</v>
      </c>
      <c r="E2266" s="2150"/>
    </row>
    <row r="2267" spans="1:5" hidden="1" outlineLevel="1">
      <c r="A2267" s="32">
        <v>1</v>
      </c>
      <c r="B2267" s="2150"/>
      <c r="C2267" s="32">
        <v>4.66</v>
      </c>
      <c r="D2267" s="32">
        <v>4.66</v>
      </c>
      <c r="E2267" s="2150"/>
    </row>
    <row r="2268" spans="1:5" hidden="1" outlineLevel="1">
      <c r="A2268" s="32">
        <v>2</v>
      </c>
      <c r="B2268" s="2150"/>
      <c r="C2268" s="32">
        <v>9.32</v>
      </c>
      <c r="D2268" s="32">
        <v>9.32</v>
      </c>
      <c r="E2268" s="2150"/>
    </row>
    <row r="2269" spans="1:5" hidden="1" outlineLevel="1">
      <c r="A2269" s="32">
        <v>2</v>
      </c>
      <c r="B2269" s="2150"/>
      <c r="C2269" s="32">
        <v>9.32</v>
      </c>
      <c r="D2269" s="32">
        <v>9.32</v>
      </c>
      <c r="E2269" s="2150"/>
    </row>
    <row r="2270" spans="1:5" hidden="1" outlineLevel="1">
      <c r="A2270" s="2146" t="s">
        <v>564</v>
      </c>
      <c r="B2270" s="2146"/>
      <c r="C2270" s="2146"/>
      <c r="D2270" s="2147">
        <f>SUM(D2215:D2269)</f>
        <v>611.74000000000024</v>
      </c>
      <c r="E2270" s="2147" t="s">
        <v>39</v>
      </c>
    </row>
    <row r="2271" spans="1:5" hidden="1" outlineLevel="1">
      <c r="A2271" s="2146"/>
      <c r="B2271" s="2146"/>
      <c r="C2271" s="2146"/>
      <c r="D2271" s="2147"/>
      <c r="E2271" s="2147"/>
    </row>
    <row r="2272" spans="1:5" hidden="1" outlineLevel="1">
      <c r="A2272" s="32">
        <v>2</v>
      </c>
      <c r="B2272" s="2151">
        <v>4.2200000000000006</v>
      </c>
      <c r="C2272" s="32">
        <v>8.4400000000000013</v>
      </c>
      <c r="D2272" s="32">
        <v>8.4400000000000013</v>
      </c>
      <c r="E2272" s="2150" t="s">
        <v>39</v>
      </c>
    </row>
    <row r="2273" spans="1:5" hidden="1" outlineLevel="1">
      <c r="A2273" s="32">
        <v>2</v>
      </c>
      <c r="B2273" s="2151"/>
      <c r="C2273" s="32">
        <v>8.4400000000000013</v>
      </c>
      <c r="D2273" s="32">
        <v>8.4400000000000013</v>
      </c>
      <c r="E2273" s="2150"/>
    </row>
    <row r="2274" spans="1:5" hidden="1" outlineLevel="1">
      <c r="A2274" s="32">
        <v>2</v>
      </c>
      <c r="B2274" s="2151"/>
      <c r="C2274" s="32">
        <v>8.4400000000000013</v>
      </c>
      <c r="D2274" s="32">
        <v>8.4400000000000013</v>
      </c>
      <c r="E2274" s="2150"/>
    </row>
    <row r="2275" spans="1:5" hidden="1" outlineLevel="1">
      <c r="A2275" s="32">
        <v>2</v>
      </c>
      <c r="B2275" s="2151"/>
      <c r="C2275" s="32">
        <v>8.4400000000000013</v>
      </c>
      <c r="D2275" s="32">
        <v>8.4400000000000013</v>
      </c>
      <c r="E2275" s="2150"/>
    </row>
    <row r="2276" spans="1:5" hidden="1" outlineLevel="1">
      <c r="A2276" s="32">
        <v>4</v>
      </c>
      <c r="B2276" s="2151"/>
      <c r="C2276" s="32">
        <v>16.880000000000003</v>
      </c>
      <c r="D2276" s="32">
        <v>16.880000000000003</v>
      </c>
      <c r="E2276" s="2150"/>
    </row>
    <row r="2277" spans="1:5" hidden="1" outlineLevel="1">
      <c r="A2277" s="32">
        <v>2</v>
      </c>
      <c r="B2277" s="2151"/>
      <c r="C2277" s="32">
        <v>8.4400000000000013</v>
      </c>
      <c r="D2277" s="32">
        <v>8.4400000000000013</v>
      </c>
      <c r="E2277" s="2150"/>
    </row>
    <row r="2278" spans="1:5" hidden="1" outlineLevel="1">
      <c r="A2278" s="32">
        <v>5</v>
      </c>
      <c r="B2278" s="2151"/>
      <c r="C2278" s="32">
        <v>21.1</v>
      </c>
      <c r="D2278" s="32">
        <v>21.1</v>
      </c>
      <c r="E2278" s="2150"/>
    </row>
    <row r="2279" spans="1:5" hidden="1" outlineLevel="1">
      <c r="A2279" s="32">
        <v>5</v>
      </c>
      <c r="B2279" s="2151"/>
      <c r="C2279" s="32">
        <v>21.1</v>
      </c>
      <c r="D2279" s="32">
        <v>21.1</v>
      </c>
      <c r="E2279" s="2150"/>
    </row>
    <row r="2280" spans="1:5" hidden="1" outlineLevel="1">
      <c r="A2280" s="32">
        <v>14</v>
      </c>
      <c r="B2280" s="2151"/>
      <c r="C2280" s="32">
        <v>59.080000000000013</v>
      </c>
      <c r="D2280" s="32">
        <v>59.080000000000013</v>
      </c>
      <c r="E2280" s="2150"/>
    </row>
    <row r="2281" spans="1:5" hidden="1" outlineLevel="1">
      <c r="A2281" s="32">
        <v>5</v>
      </c>
      <c r="B2281" s="2151"/>
      <c r="C2281" s="32">
        <v>21.1</v>
      </c>
      <c r="D2281" s="32">
        <v>21.1</v>
      </c>
      <c r="E2281" s="2150"/>
    </row>
    <row r="2282" spans="1:5" hidden="1" outlineLevel="1">
      <c r="A2282" s="32">
        <v>1</v>
      </c>
      <c r="B2282" s="2151"/>
      <c r="C2282" s="32">
        <v>4.2200000000000006</v>
      </c>
      <c r="D2282" s="32">
        <v>4.2200000000000006</v>
      </c>
      <c r="E2282" s="2150"/>
    </row>
    <row r="2283" spans="1:5" hidden="1" outlineLevel="1">
      <c r="A2283" s="32">
        <v>5</v>
      </c>
      <c r="B2283" s="2151"/>
      <c r="C2283" s="32">
        <v>21.1</v>
      </c>
      <c r="D2283" s="32">
        <v>21.1</v>
      </c>
      <c r="E2283" s="2150"/>
    </row>
    <row r="2284" spans="1:5" hidden="1" outlineLevel="1">
      <c r="A2284" s="32">
        <v>3</v>
      </c>
      <c r="B2284" s="2151"/>
      <c r="C2284" s="32">
        <v>12.660000000000002</v>
      </c>
      <c r="D2284" s="32">
        <v>12.660000000000002</v>
      </c>
      <c r="E2284" s="2150"/>
    </row>
    <row r="2285" spans="1:5" hidden="1" outlineLevel="1">
      <c r="A2285" s="32">
        <v>9</v>
      </c>
      <c r="B2285" s="2151"/>
      <c r="C2285" s="32">
        <v>37.980000000000004</v>
      </c>
      <c r="D2285" s="32">
        <v>37.980000000000004</v>
      </c>
      <c r="E2285" s="2150"/>
    </row>
    <row r="2286" spans="1:5" hidden="1" outlineLevel="1">
      <c r="A2286" s="32">
        <v>3</v>
      </c>
      <c r="B2286" s="2151"/>
      <c r="C2286" s="32">
        <v>12.660000000000002</v>
      </c>
      <c r="D2286" s="32">
        <v>12.660000000000002</v>
      </c>
      <c r="E2286" s="2150"/>
    </row>
    <row r="2287" spans="1:5" hidden="1" outlineLevel="1">
      <c r="A2287" s="32">
        <v>4</v>
      </c>
      <c r="B2287" s="2151"/>
      <c r="C2287" s="32">
        <v>16.880000000000003</v>
      </c>
      <c r="D2287" s="32">
        <v>16.880000000000003</v>
      </c>
      <c r="E2287" s="2150"/>
    </row>
    <row r="2288" spans="1:5" hidden="1" outlineLevel="1">
      <c r="A2288" s="32">
        <v>2</v>
      </c>
      <c r="B2288" s="2151"/>
      <c r="C2288" s="32">
        <v>8.4400000000000013</v>
      </c>
      <c r="D2288" s="32">
        <v>8.4400000000000013</v>
      </c>
      <c r="E2288" s="2150"/>
    </row>
    <row r="2289" spans="1:5" hidden="1" outlineLevel="1">
      <c r="A2289" s="32">
        <v>8</v>
      </c>
      <c r="B2289" s="2151"/>
      <c r="C2289" s="32">
        <v>33.760000000000005</v>
      </c>
      <c r="D2289" s="32">
        <v>33.760000000000005</v>
      </c>
      <c r="E2289" s="2150"/>
    </row>
    <row r="2290" spans="1:5" hidden="1" outlineLevel="1">
      <c r="A2290" s="32">
        <v>5</v>
      </c>
      <c r="B2290" s="2151"/>
      <c r="C2290" s="32">
        <v>21.1</v>
      </c>
      <c r="D2290" s="32">
        <v>21.1</v>
      </c>
      <c r="E2290" s="2150"/>
    </row>
    <row r="2291" spans="1:5" hidden="1" outlineLevel="1">
      <c r="A2291" s="32">
        <v>3</v>
      </c>
      <c r="B2291" s="2151"/>
      <c r="C2291" s="32">
        <v>12.660000000000002</v>
      </c>
      <c r="D2291" s="32">
        <v>12.660000000000002</v>
      </c>
      <c r="E2291" s="2150"/>
    </row>
    <row r="2292" spans="1:5" hidden="1" outlineLevel="1">
      <c r="A2292" s="32">
        <v>2</v>
      </c>
      <c r="B2292" s="2151"/>
      <c r="C2292" s="32">
        <v>8.4400000000000013</v>
      </c>
      <c r="D2292" s="32">
        <v>8.4400000000000013</v>
      </c>
      <c r="E2292" s="2150"/>
    </row>
    <row r="2293" spans="1:5" hidden="1" outlineLevel="1">
      <c r="A2293" s="32">
        <v>3</v>
      </c>
      <c r="B2293" s="2151"/>
      <c r="C2293" s="32">
        <v>12.660000000000002</v>
      </c>
      <c r="D2293" s="32">
        <v>12.660000000000002</v>
      </c>
      <c r="E2293" s="2150"/>
    </row>
    <row r="2294" spans="1:5" hidden="1" outlineLevel="1">
      <c r="A2294" s="32">
        <v>9</v>
      </c>
      <c r="B2294" s="2151"/>
      <c r="C2294" s="32">
        <v>37.980000000000004</v>
      </c>
      <c r="D2294" s="32">
        <v>37.980000000000004</v>
      </c>
      <c r="E2294" s="2150"/>
    </row>
    <row r="2295" spans="1:5" hidden="1" outlineLevel="1">
      <c r="A2295" s="32">
        <v>4</v>
      </c>
      <c r="B2295" s="2150">
        <v>4.66</v>
      </c>
      <c r="C2295" s="32">
        <v>18.64</v>
      </c>
      <c r="D2295" s="32">
        <v>18.64</v>
      </c>
      <c r="E2295" s="2150"/>
    </row>
    <row r="2296" spans="1:5" hidden="1" outlineLevel="1">
      <c r="A2296" s="32">
        <v>2</v>
      </c>
      <c r="B2296" s="2150"/>
      <c r="C2296" s="32">
        <v>9.32</v>
      </c>
      <c r="D2296" s="32">
        <v>9.32</v>
      </c>
      <c r="E2296" s="2150"/>
    </row>
    <row r="2297" spans="1:5" hidden="1" outlineLevel="1">
      <c r="A2297" s="32">
        <v>4</v>
      </c>
      <c r="B2297" s="2150"/>
      <c r="C2297" s="32">
        <v>18.64</v>
      </c>
      <c r="D2297" s="32">
        <v>18.64</v>
      </c>
      <c r="E2297" s="2150"/>
    </row>
    <row r="2298" spans="1:5" hidden="1" outlineLevel="1">
      <c r="A2298" s="32">
        <v>3</v>
      </c>
      <c r="B2298" s="2150"/>
      <c r="C2298" s="32">
        <v>13.98</v>
      </c>
      <c r="D2298" s="32">
        <v>13.98</v>
      </c>
      <c r="E2298" s="2150"/>
    </row>
    <row r="2299" spans="1:5" hidden="1" outlineLevel="1">
      <c r="A2299" s="32">
        <v>3</v>
      </c>
      <c r="B2299" s="2150"/>
      <c r="C2299" s="32">
        <v>13.98</v>
      </c>
      <c r="D2299" s="32">
        <v>13.98</v>
      </c>
      <c r="E2299" s="2150"/>
    </row>
    <row r="2300" spans="1:5" hidden="1" outlineLevel="1">
      <c r="A2300" s="32">
        <v>2</v>
      </c>
      <c r="B2300" s="2150"/>
      <c r="C2300" s="32">
        <v>9.32</v>
      </c>
      <c r="D2300" s="32">
        <v>9.32</v>
      </c>
      <c r="E2300" s="2150"/>
    </row>
    <row r="2301" spans="1:5" hidden="1" outlineLevel="1">
      <c r="A2301" s="32">
        <v>2</v>
      </c>
      <c r="B2301" s="2150"/>
      <c r="C2301" s="32">
        <v>9.32</v>
      </c>
      <c r="D2301" s="32">
        <v>9.32</v>
      </c>
      <c r="E2301" s="2150"/>
    </row>
    <row r="2302" spans="1:5" hidden="1" outlineLevel="1">
      <c r="A2302" s="32">
        <v>1</v>
      </c>
      <c r="B2302" s="2150"/>
      <c r="C2302" s="32">
        <v>4.66</v>
      </c>
      <c r="D2302" s="32">
        <v>4.66</v>
      </c>
      <c r="E2302" s="2150"/>
    </row>
    <row r="2303" spans="1:5" hidden="1" outlineLevel="1">
      <c r="A2303" s="32">
        <v>2</v>
      </c>
      <c r="B2303" s="2150"/>
      <c r="C2303" s="32">
        <v>9.32</v>
      </c>
      <c r="D2303" s="32">
        <v>9.32</v>
      </c>
      <c r="E2303" s="2150"/>
    </row>
    <row r="2304" spans="1:5" hidden="1" outlineLevel="1">
      <c r="A2304" s="32">
        <v>2</v>
      </c>
      <c r="B2304" s="2150"/>
      <c r="C2304" s="32">
        <v>9.32</v>
      </c>
      <c r="D2304" s="32">
        <v>9.32</v>
      </c>
      <c r="E2304" s="2150"/>
    </row>
    <row r="2305" spans="1:5" hidden="1" outlineLevel="1">
      <c r="A2305" s="32">
        <v>1</v>
      </c>
      <c r="B2305" s="2150"/>
      <c r="C2305" s="32">
        <v>4.66</v>
      </c>
      <c r="D2305" s="32">
        <v>4.66</v>
      </c>
      <c r="E2305" s="2150"/>
    </row>
    <row r="2306" spans="1:5" hidden="1" outlineLevel="1">
      <c r="A2306" s="32">
        <v>2</v>
      </c>
      <c r="B2306" s="2150"/>
      <c r="C2306" s="32">
        <v>9.32</v>
      </c>
      <c r="D2306" s="32">
        <v>9.32</v>
      </c>
      <c r="E2306" s="2150"/>
    </row>
    <row r="2307" spans="1:5" hidden="1" outlineLevel="1">
      <c r="A2307" s="32">
        <v>2</v>
      </c>
      <c r="B2307" s="2150"/>
      <c r="C2307" s="32">
        <v>9.32</v>
      </c>
      <c r="D2307" s="32">
        <v>9.32</v>
      </c>
      <c r="E2307" s="2150"/>
    </row>
    <row r="2308" spans="1:5" hidden="1" outlineLevel="1">
      <c r="A2308" s="32">
        <v>2</v>
      </c>
      <c r="B2308" s="2150"/>
      <c r="C2308" s="32">
        <v>9.32</v>
      </c>
      <c r="D2308" s="32">
        <v>9.32</v>
      </c>
      <c r="E2308" s="2150"/>
    </row>
    <row r="2309" spans="1:5" hidden="1" outlineLevel="1">
      <c r="A2309" s="32">
        <v>1</v>
      </c>
      <c r="B2309" s="2150"/>
      <c r="C2309" s="32">
        <v>4.66</v>
      </c>
      <c r="D2309" s="32">
        <v>4.66</v>
      </c>
      <c r="E2309" s="2150"/>
    </row>
    <row r="2310" spans="1:5" hidden="1" outlineLevel="1">
      <c r="A2310" s="32">
        <v>2</v>
      </c>
      <c r="B2310" s="2150"/>
      <c r="C2310" s="32">
        <v>9.32</v>
      </c>
      <c r="D2310" s="32">
        <v>9.32</v>
      </c>
      <c r="E2310" s="2150"/>
    </row>
    <row r="2311" spans="1:5" hidden="1" outlineLevel="1">
      <c r="A2311" s="32">
        <v>3</v>
      </c>
      <c r="B2311" s="2150"/>
      <c r="C2311" s="32">
        <v>13.98</v>
      </c>
      <c r="D2311" s="32">
        <v>13.98</v>
      </c>
      <c r="E2311" s="2150"/>
    </row>
    <row r="2312" spans="1:5" hidden="1" outlineLevel="1">
      <c r="A2312" s="32">
        <v>3</v>
      </c>
      <c r="B2312" s="2150"/>
      <c r="C2312" s="32">
        <v>13.98</v>
      </c>
      <c r="D2312" s="32">
        <v>13.98</v>
      </c>
      <c r="E2312" s="2150"/>
    </row>
    <row r="2313" spans="1:5" hidden="1" outlineLevel="1">
      <c r="A2313" s="32">
        <v>1</v>
      </c>
      <c r="B2313" s="2150"/>
      <c r="C2313" s="32">
        <v>4.66</v>
      </c>
      <c r="D2313" s="32">
        <v>4.66</v>
      </c>
      <c r="E2313" s="2150"/>
    </row>
    <row r="2314" spans="1:5" hidden="1" outlineLevel="1">
      <c r="A2314" s="32">
        <v>5</v>
      </c>
      <c r="B2314" s="2150"/>
      <c r="C2314" s="32">
        <v>23.3</v>
      </c>
      <c r="D2314" s="32">
        <v>23.3</v>
      </c>
      <c r="E2314" s="2150"/>
    </row>
    <row r="2315" spans="1:5" hidden="1" outlineLevel="1">
      <c r="A2315" s="32">
        <v>3</v>
      </c>
      <c r="B2315" s="2150"/>
      <c r="C2315" s="32">
        <v>13.98</v>
      </c>
      <c r="D2315" s="32">
        <v>13.98</v>
      </c>
      <c r="E2315" s="2150"/>
    </row>
    <row r="2316" spans="1:5" hidden="1" outlineLevel="1">
      <c r="A2316" s="32">
        <v>1</v>
      </c>
      <c r="B2316" s="2150"/>
      <c r="C2316" s="32">
        <v>4.66</v>
      </c>
      <c r="D2316" s="32">
        <v>4.66</v>
      </c>
      <c r="E2316" s="2150"/>
    </row>
    <row r="2317" spans="1:5" hidden="1" outlineLevel="1">
      <c r="A2317" s="32">
        <v>1</v>
      </c>
      <c r="B2317" s="2150"/>
      <c r="C2317" s="32">
        <v>4.66</v>
      </c>
      <c r="D2317" s="32">
        <v>4.66</v>
      </c>
      <c r="E2317" s="2150"/>
    </row>
    <row r="2318" spans="1:5" hidden="1" outlineLevel="1">
      <c r="A2318" s="32">
        <v>2</v>
      </c>
      <c r="B2318" s="2150"/>
      <c r="C2318" s="32">
        <v>9.32</v>
      </c>
      <c r="D2318" s="32">
        <v>9.32</v>
      </c>
      <c r="E2318" s="2150"/>
    </row>
    <row r="2319" spans="1:5" hidden="1" outlineLevel="1">
      <c r="A2319" s="32">
        <v>5</v>
      </c>
      <c r="B2319" s="2150"/>
      <c r="C2319" s="32">
        <v>23.3</v>
      </c>
      <c r="D2319" s="32">
        <v>23.3</v>
      </c>
      <c r="E2319" s="2150"/>
    </row>
    <row r="2320" spans="1:5" hidden="1" outlineLevel="1">
      <c r="A2320" s="32">
        <v>2</v>
      </c>
      <c r="B2320" s="2150"/>
      <c r="C2320" s="32">
        <v>9.32</v>
      </c>
      <c r="D2320" s="32">
        <v>9.32</v>
      </c>
      <c r="E2320" s="2150"/>
    </row>
    <row r="2321" spans="1:5" hidden="1" outlineLevel="1">
      <c r="A2321" s="32">
        <v>2</v>
      </c>
      <c r="B2321" s="2150"/>
      <c r="C2321" s="32">
        <v>9.32</v>
      </c>
      <c r="D2321" s="32">
        <v>9.32</v>
      </c>
      <c r="E2321" s="2150"/>
    </row>
    <row r="2322" spans="1:5" hidden="1" outlineLevel="1">
      <c r="A2322" s="32">
        <v>1</v>
      </c>
      <c r="B2322" s="2150"/>
      <c r="C2322" s="32">
        <v>4.66</v>
      </c>
      <c r="D2322" s="32">
        <v>4.66</v>
      </c>
      <c r="E2322" s="2150"/>
    </row>
    <row r="2323" spans="1:5" hidden="1" outlineLevel="1">
      <c r="A2323" s="32">
        <v>1</v>
      </c>
      <c r="B2323" s="2150"/>
      <c r="C2323" s="32">
        <v>4.66</v>
      </c>
      <c r="D2323" s="32">
        <v>4.66</v>
      </c>
      <c r="E2323" s="2150"/>
    </row>
    <row r="2324" spans="1:5" hidden="1" outlineLevel="1">
      <c r="A2324" s="32">
        <v>2</v>
      </c>
      <c r="B2324" s="2150"/>
      <c r="C2324" s="32">
        <v>9.32</v>
      </c>
      <c r="D2324" s="32">
        <v>9.32</v>
      </c>
      <c r="E2324" s="2150"/>
    </row>
    <row r="2325" spans="1:5" hidden="1" outlineLevel="1">
      <c r="A2325" s="32">
        <v>3</v>
      </c>
      <c r="B2325" s="2150"/>
      <c r="C2325" s="32">
        <v>13.98</v>
      </c>
      <c r="D2325" s="32">
        <v>13.98</v>
      </c>
      <c r="E2325" s="2150"/>
    </row>
    <row r="2326" spans="1:5" hidden="1" outlineLevel="1">
      <c r="A2326" s="32">
        <v>2</v>
      </c>
      <c r="B2326" s="2150"/>
      <c r="C2326" s="32">
        <v>9.32</v>
      </c>
      <c r="D2326" s="32">
        <v>9.32</v>
      </c>
      <c r="E2326" s="2150"/>
    </row>
    <row r="2327" spans="1:5" hidden="1" outlineLevel="1">
      <c r="A2327" s="32">
        <v>2</v>
      </c>
      <c r="B2327" s="2150"/>
      <c r="C2327" s="32">
        <v>9.32</v>
      </c>
      <c r="D2327" s="32">
        <v>9.32</v>
      </c>
      <c r="E2327" s="2150"/>
    </row>
    <row r="2328" spans="1:5" hidden="1" outlineLevel="1">
      <c r="A2328" s="32">
        <v>2</v>
      </c>
      <c r="B2328" s="2150"/>
      <c r="C2328" s="32">
        <v>9.32</v>
      </c>
      <c r="D2328" s="32">
        <v>9.32</v>
      </c>
      <c r="E2328" s="2150"/>
    </row>
    <row r="2329" spans="1:5" hidden="1" outlineLevel="1">
      <c r="A2329" s="32">
        <v>2</v>
      </c>
      <c r="B2329" s="2150"/>
      <c r="C2329" s="32">
        <v>9.32</v>
      </c>
      <c r="D2329" s="32">
        <v>9.32</v>
      </c>
      <c r="E2329" s="2150"/>
    </row>
    <row r="2330" spans="1:5" hidden="1" outlineLevel="1">
      <c r="A2330" s="32">
        <v>3</v>
      </c>
      <c r="B2330" s="2150"/>
      <c r="C2330" s="32">
        <v>13.98</v>
      </c>
      <c r="D2330" s="32">
        <v>13.98</v>
      </c>
      <c r="E2330" s="2150"/>
    </row>
    <row r="2331" spans="1:5" hidden="1" outlineLevel="1">
      <c r="A2331" s="32">
        <v>2</v>
      </c>
      <c r="B2331" s="2150"/>
      <c r="C2331" s="32">
        <v>9.32</v>
      </c>
      <c r="D2331" s="32">
        <v>9.32</v>
      </c>
      <c r="E2331" s="2150"/>
    </row>
    <row r="2332" spans="1:5" hidden="1" outlineLevel="1">
      <c r="A2332" s="32">
        <v>2</v>
      </c>
      <c r="B2332" s="2150"/>
      <c r="C2332" s="32">
        <v>9.32</v>
      </c>
      <c r="D2332" s="32">
        <v>9.32</v>
      </c>
      <c r="E2332" s="2150"/>
    </row>
    <row r="2333" spans="1:5" hidden="1" outlineLevel="1">
      <c r="A2333" s="32">
        <v>2</v>
      </c>
      <c r="B2333" s="2150"/>
      <c r="C2333" s="32">
        <v>9.32</v>
      </c>
      <c r="D2333" s="32">
        <v>9.32</v>
      </c>
      <c r="E2333" s="2150"/>
    </row>
    <row r="2334" spans="1:5" hidden="1" outlineLevel="1">
      <c r="A2334" s="32">
        <v>1</v>
      </c>
      <c r="B2334" s="2150"/>
      <c r="C2334" s="32">
        <v>4.66</v>
      </c>
      <c r="D2334" s="32">
        <v>4.66</v>
      </c>
      <c r="E2334" s="2150"/>
    </row>
    <row r="2335" spans="1:5" hidden="1" outlineLevel="1">
      <c r="A2335" s="32">
        <v>1</v>
      </c>
      <c r="B2335" s="2150"/>
      <c r="C2335" s="32">
        <v>4.66</v>
      </c>
      <c r="D2335" s="32">
        <v>4.66</v>
      </c>
      <c r="E2335" s="2150"/>
    </row>
    <row r="2336" spans="1:5" hidden="1" outlineLevel="1">
      <c r="A2336" s="32">
        <v>1</v>
      </c>
      <c r="B2336" s="2150"/>
      <c r="C2336" s="32">
        <v>4.66</v>
      </c>
      <c r="D2336" s="32">
        <v>4.66</v>
      </c>
      <c r="E2336" s="2150"/>
    </row>
    <row r="2337" spans="1:5" hidden="1" outlineLevel="1">
      <c r="A2337" s="32">
        <v>2</v>
      </c>
      <c r="B2337" s="2150"/>
      <c r="C2337" s="32">
        <v>9.32</v>
      </c>
      <c r="D2337" s="32">
        <v>9.32</v>
      </c>
      <c r="E2337" s="2150"/>
    </row>
    <row r="2338" spans="1:5" hidden="1" outlineLevel="1">
      <c r="A2338" s="32">
        <v>2</v>
      </c>
      <c r="B2338" s="2150"/>
      <c r="C2338" s="32">
        <v>9.32</v>
      </c>
      <c r="D2338" s="32">
        <v>9.32</v>
      </c>
      <c r="E2338" s="2150"/>
    </row>
    <row r="2339" spans="1:5" hidden="1" outlineLevel="1">
      <c r="A2339" s="32">
        <v>2</v>
      </c>
      <c r="B2339" s="2150"/>
      <c r="C2339" s="32">
        <v>9.32</v>
      </c>
      <c r="D2339" s="32">
        <v>9.32</v>
      </c>
      <c r="E2339" s="2150"/>
    </row>
    <row r="2340" spans="1:5" hidden="1" outlineLevel="1">
      <c r="A2340" s="32">
        <v>2</v>
      </c>
      <c r="B2340" s="2150"/>
      <c r="C2340" s="32">
        <v>9.32</v>
      </c>
      <c r="D2340" s="32">
        <v>9.32</v>
      </c>
      <c r="E2340" s="2150"/>
    </row>
    <row r="2341" spans="1:5" hidden="1" outlineLevel="1">
      <c r="A2341" s="32">
        <v>2</v>
      </c>
      <c r="B2341" s="2150"/>
      <c r="C2341" s="32">
        <v>9.32</v>
      </c>
      <c r="D2341" s="32">
        <v>9.32</v>
      </c>
      <c r="E2341" s="2150"/>
    </row>
    <row r="2342" spans="1:5" hidden="1" outlineLevel="1">
      <c r="A2342" s="32">
        <v>2</v>
      </c>
      <c r="B2342" s="2150"/>
      <c r="C2342" s="32">
        <v>9.32</v>
      </c>
      <c r="D2342" s="32">
        <v>9.32</v>
      </c>
      <c r="E2342" s="2150"/>
    </row>
    <row r="2343" spans="1:5" hidden="1" outlineLevel="1">
      <c r="A2343" s="32">
        <v>2</v>
      </c>
      <c r="B2343" s="2150"/>
      <c r="C2343" s="32">
        <v>9.32</v>
      </c>
      <c r="D2343" s="32">
        <v>9.32</v>
      </c>
      <c r="E2343" s="2150"/>
    </row>
    <row r="2344" spans="1:5" hidden="1" outlineLevel="1">
      <c r="A2344" s="32">
        <v>2</v>
      </c>
      <c r="B2344" s="2150"/>
      <c r="C2344" s="32">
        <v>9.32</v>
      </c>
      <c r="D2344" s="32">
        <v>9.32</v>
      </c>
      <c r="E2344" s="2150"/>
    </row>
    <row r="2345" spans="1:5" ht="13.5" hidden="1" customHeight="1" outlineLevel="1">
      <c r="A2345" s="2146" t="s">
        <v>563</v>
      </c>
      <c r="B2345" s="2146"/>
      <c r="C2345" s="2146"/>
      <c r="D2345" s="2147">
        <f>SUM(D2272:D2344)</f>
        <v>915.96000000000106</v>
      </c>
      <c r="E2345" s="2147" t="s">
        <v>39</v>
      </c>
    </row>
    <row r="2346" spans="1:5" hidden="1" outlineLevel="1">
      <c r="A2346" s="2146"/>
      <c r="B2346" s="2146"/>
      <c r="C2346" s="2146"/>
      <c r="D2346" s="2147"/>
      <c r="E2346" s="2147"/>
    </row>
    <row r="2347" spans="1:5" hidden="1" outlineLevel="1">
      <c r="A2347" s="32">
        <v>2</v>
      </c>
      <c r="B2347" s="2150">
        <v>4.2200000000000006</v>
      </c>
      <c r="C2347" s="32">
        <v>8.4400000000000013</v>
      </c>
      <c r="D2347" s="32">
        <v>8.4400000000000013</v>
      </c>
      <c r="E2347" s="2150" t="s">
        <v>39</v>
      </c>
    </row>
    <row r="2348" spans="1:5" hidden="1" outlineLevel="1">
      <c r="A2348" s="32">
        <v>5</v>
      </c>
      <c r="B2348" s="2150"/>
      <c r="C2348" s="32">
        <v>21.1</v>
      </c>
      <c r="D2348" s="32">
        <v>21.1</v>
      </c>
      <c r="E2348" s="2150"/>
    </row>
    <row r="2349" spans="1:5" hidden="1" outlineLevel="1">
      <c r="A2349" s="32">
        <v>2</v>
      </c>
      <c r="B2349" s="2150"/>
      <c r="C2349" s="32">
        <v>8.4400000000000013</v>
      </c>
      <c r="D2349" s="32">
        <v>8.4400000000000013</v>
      </c>
      <c r="E2349" s="2150"/>
    </row>
    <row r="2350" spans="1:5" hidden="1" outlineLevel="1">
      <c r="A2350" s="32">
        <v>2</v>
      </c>
      <c r="B2350" s="2150"/>
      <c r="C2350" s="32">
        <v>8.4400000000000013</v>
      </c>
      <c r="D2350" s="32">
        <v>8.4400000000000013</v>
      </c>
      <c r="E2350" s="2150"/>
    </row>
    <row r="2351" spans="1:5" hidden="1" outlineLevel="1">
      <c r="A2351" s="32">
        <v>4</v>
      </c>
      <c r="B2351" s="2150"/>
      <c r="C2351" s="32">
        <v>16.880000000000003</v>
      </c>
      <c r="D2351" s="32">
        <v>16.880000000000003</v>
      </c>
      <c r="E2351" s="2150"/>
    </row>
    <row r="2352" spans="1:5" hidden="1" outlineLevel="1">
      <c r="A2352" s="32">
        <v>1</v>
      </c>
      <c r="B2352" s="2150"/>
      <c r="C2352" s="32">
        <v>4.2200000000000006</v>
      </c>
      <c r="D2352" s="32">
        <v>4.2200000000000006</v>
      </c>
      <c r="E2352" s="2150"/>
    </row>
    <row r="2353" spans="1:5" hidden="1" outlineLevel="1">
      <c r="A2353" s="32">
        <v>1</v>
      </c>
      <c r="B2353" s="2150"/>
      <c r="C2353" s="32">
        <v>4.2200000000000006</v>
      </c>
      <c r="D2353" s="32">
        <v>4.2200000000000006</v>
      </c>
      <c r="E2353" s="2150"/>
    </row>
    <row r="2354" spans="1:5" hidden="1" outlineLevel="1">
      <c r="A2354" s="32">
        <v>2</v>
      </c>
      <c r="B2354" s="2150"/>
      <c r="C2354" s="32">
        <v>8.4400000000000013</v>
      </c>
      <c r="D2354" s="32">
        <v>8.4400000000000013</v>
      </c>
      <c r="E2354" s="2150"/>
    </row>
    <row r="2355" spans="1:5" hidden="1" outlineLevel="1">
      <c r="A2355" s="32">
        <v>8</v>
      </c>
      <c r="B2355" s="621">
        <v>4.66</v>
      </c>
      <c r="C2355" s="32">
        <v>37.28</v>
      </c>
      <c r="D2355" s="32">
        <v>37.28</v>
      </c>
      <c r="E2355" s="2150"/>
    </row>
    <row r="2356" spans="1:5" hidden="1" outlineLevel="1">
      <c r="A2356" s="32">
        <v>2</v>
      </c>
      <c r="B2356" s="2150">
        <v>4.2200000000000006</v>
      </c>
      <c r="C2356" s="32">
        <v>8.4400000000000013</v>
      </c>
      <c r="D2356" s="32">
        <v>8.4400000000000013</v>
      </c>
      <c r="E2356" s="2150"/>
    </row>
    <row r="2357" spans="1:5" hidden="1" outlineLevel="1">
      <c r="A2357" s="32">
        <v>6</v>
      </c>
      <c r="B2357" s="2150"/>
      <c r="C2357" s="32">
        <v>25.320000000000004</v>
      </c>
      <c r="D2357" s="32">
        <v>25.320000000000004</v>
      </c>
      <c r="E2357" s="2150"/>
    </row>
    <row r="2358" spans="1:5" hidden="1" outlineLevel="1">
      <c r="A2358" s="32">
        <v>8</v>
      </c>
      <c r="B2358" s="2150"/>
      <c r="C2358" s="32">
        <v>33.760000000000005</v>
      </c>
      <c r="D2358" s="32">
        <v>33.760000000000005</v>
      </c>
      <c r="E2358" s="2150"/>
    </row>
    <row r="2359" spans="1:5" hidden="1" outlineLevel="1">
      <c r="A2359" s="32">
        <v>5</v>
      </c>
      <c r="B2359" s="2150"/>
      <c r="C2359" s="32">
        <v>21.1</v>
      </c>
      <c r="D2359" s="32">
        <v>21.1</v>
      </c>
      <c r="E2359" s="2150"/>
    </row>
    <row r="2360" spans="1:5" hidden="1" outlineLevel="1">
      <c r="A2360" s="32">
        <v>3</v>
      </c>
      <c r="B2360" s="2150"/>
      <c r="C2360" s="32">
        <v>12.660000000000002</v>
      </c>
      <c r="D2360" s="32">
        <v>12.660000000000002</v>
      </c>
      <c r="E2360" s="2150"/>
    </row>
    <row r="2361" spans="1:5" hidden="1" outlineLevel="1">
      <c r="A2361" s="32">
        <v>4</v>
      </c>
      <c r="B2361" s="2150"/>
      <c r="C2361" s="32">
        <v>16.880000000000003</v>
      </c>
      <c r="D2361" s="32">
        <v>16.880000000000003</v>
      </c>
      <c r="E2361" s="2150"/>
    </row>
    <row r="2362" spans="1:5" hidden="1" outlineLevel="1">
      <c r="A2362" s="32">
        <v>3</v>
      </c>
      <c r="B2362" s="2150">
        <v>4.66</v>
      </c>
      <c r="C2362" s="32">
        <v>13.98</v>
      </c>
      <c r="D2362" s="32">
        <v>13.98</v>
      </c>
      <c r="E2362" s="2150"/>
    </row>
    <row r="2363" spans="1:5" hidden="1" outlineLevel="1">
      <c r="A2363" s="32">
        <v>1</v>
      </c>
      <c r="B2363" s="2150"/>
      <c r="C2363" s="32">
        <v>4.66</v>
      </c>
      <c r="D2363" s="32">
        <v>4.66</v>
      </c>
      <c r="E2363" s="2150"/>
    </row>
    <row r="2364" spans="1:5" hidden="1" outlineLevel="1">
      <c r="A2364" s="32">
        <v>1</v>
      </c>
      <c r="B2364" s="2150"/>
      <c r="C2364" s="32">
        <v>4.66</v>
      </c>
      <c r="D2364" s="32">
        <v>4.66</v>
      </c>
      <c r="E2364" s="2150"/>
    </row>
    <row r="2365" spans="1:5" hidden="1" outlineLevel="1">
      <c r="A2365" s="32">
        <v>3</v>
      </c>
      <c r="B2365" s="2150"/>
      <c r="C2365" s="32">
        <v>13.98</v>
      </c>
      <c r="D2365" s="32">
        <v>13.98</v>
      </c>
      <c r="E2365" s="2150"/>
    </row>
    <row r="2366" spans="1:5" hidden="1" outlineLevel="1">
      <c r="A2366" s="32">
        <v>3</v>
      </c>
      <c r="B2366" s="2150"/>
      <c r="C2366" s="32">
        <v>13.98</v>
      </c>
      <c r="D2366" s="32">
        <v>13.98</v>
      </c>
      <c r="E2366" s="2150"/>
    </row>
    <row r="2367" spans="1:5" hidden="1" outlineLevel="1">
      <c r="A2367" s="32">
        <v>1</v>
      </c>
      <c r="B2367" s="2150"/>
      <c r="C2367" s="32">
        <v>4.66</v>
      </c>
      <c r="D2367" s="32">
        <v>4.66</v>
      </c>
      <c r="E2367" s="2150"/>
    </row>
    <row r="2368" spans="1:5" hidden="1" outlineLevel="1">
      <c r="A2368" s="32">
        <v>2</v>
      </c>
      <c r="B2368" s="2150"/>
      <c r="C2368" s="32">
        <v>9.32</v>
      </c>
      <c r="D2368" s="32">
        <v>9.32</v>
      </c>
      <c r="E2368" s="2150"/>
    </row>
    <row r="2369" spans="1:5" hidden="1" outlineLevel="1">
      <c r="A2369" s="32">
        <v>1</v>
      </c>
      <c r="B2369" s="2150"/>
      <c r="C2369" s="32">
        <v>4.66</v>
      </c>
      <c r="D2369" s="32">
        <v>4.66</v>
      </c>
      <c r="E2369" s="2150"/>
    </row>
    <row r="2370" spans="1:5" hidden="1" outlineLevel="1">
      <c r="A2370" s="32">
        <v>1</v>
      </c>
      <c r="B2370" s="2150"/>
      <c r="C2370" s="32">
        <v>4.66</v>
      </c>
      <c r="D2370" s="32">
        <v>4.66</v>
      </c>
      <c r="E2370" s="2150"/>
    </row>
    <row r="2371" spans="1:5" hidden="1" outlineLevel="1">
      <c r="A2371" s="32">
        <v>3</v>
      </c>
      <c r="B2371" s="2150"/>
      <c r="C2371" s="32">
        <v>13.98</v>
      </c>
      <c r="D2371" s="32">
        <v>13.98</v>
      </c>
      <c r="E2371" s="2150"/>
    </row>
    <row r="2372" spans="1:5" hidden="1" outlineLevel="1">
      <c r="A2372" s="32">
        <v>5</v>
      </c>
      <c r="B2372" s="2150"/>
      <c r="C2372" s="32">
        <v>23.3</v>
      </c>
      <c r="D2372" s="32">
        <v>23.3</v>
      </c>
      <c r="E2372" s="2150"/>
    </row>
    <row r="2373" spans="1:5" hidden="1" outlineLevel="1">
      <c r="A2373" s="32">
        <v>2</v>
      </c>
      <c r="B2373" s="2150"/>
      <c r="C2373" s="32">
        <v>9.32</v>
      </c>
      <c r="D2373" s="32">
        <v>9.32</v>
      </c>
      <c r="E2373" s="2150"/>
    </row>
    <row r="2374" spans="1:5" hidden="1" outlineLevel="1">
      <c r="A2374" s="32">
        <v>1</v>
      </c>
      <c r="B2374" s="2150"/>
      <c r="C2374" s="32">
        <v>4.66</v>
      </c>
      <c r="D2374" s="32">
        <v>4.66</v>
      </c>
      <c r="E2374" s="2150"/>
    </row>
    <row r="2375" spans="1:5" hidden="1" outlineLevel="1">
      <c r="A2375" s="32">
        <v>1</v>
      </c>
      <c r="B2375" s="2150"/>
      <c r="C2375" s="32">
        <v>4.66</v>
      </c>
      <c r="D2375" s="32">
        <v>4.66</v>
      </c>
      <c r="E2375" s="2150"/>
    </row>
    <row r="2376" spans="1:5" hidden="1" outlineLevel="1">
      <c r="A2376" s="32">
        <v>2</v>
      </c>
      <c r="B2376" s="2150"/>
      <c r="C2376" s="32">
        <v>9.32</v>
      </c>
      <c r="D2376" s="32">
        <v>9.32</v>
      </c>
      <c r="E2376" s="2150"/>
    </row>
    <row r="2377" spans="1:5" hidden="1" outlineLevel="1">
      <c r="A2377" s="32">
        <v>1</v>
      </c>
      <c r="B2377" s="2150"/>
      <c r="C2377" s="32">
        <v>4.66</v>
      </c>
      <c r="D2377" s="32">
        <v>4.66</v>
      </c>
      <c r="E2377" s="2150"/>
    </row>
    <row r="2378" spans="1:5" hidden="1" outlineLevel="1">
      <c r="A2378" s="32">
        <v>1</v>
      </c>
      <c r="B2378" s="2150"/>
      <c r="C2378" s="32">
        <v>4.66</v>
      </c>
      <c r="D2378" s="32">
        <v>4.66</v>
      </c>
      <c r="E2378" s="2150"/>
    </row>
    <row r="2379" spans="1:5" hidden="1" outlineLevel="1">
      <c r="A2379" s="32">
        <v>3</v>
      </c>
      <c r="B2379" s="2150"/>
      <c r="C2379" s="32">
        <v>13.98</v>
      </c>
      <c r="D2379" s="32">
        <v>13.98</v>
      </c>
      <c r="E2379" s="2150"/>
    </row>
    <row r="2380" spans="1:5" hidden="1" outlineLevel="1">
      <c r="A2380" s="32">
        <v>2</v>
      </c>
      <c r="B2380" s="2150"/>
      <c r="C2380" s="32">
        <v>9.32</v>
      </c>
      <c r="D2380" s="32">
        <v>9.32</v>
      </c>
      <c r="E2380" s="2150"/>
    </row>
    <row r="2381" spans="1:5" hidden="1" outlineLevel="1">
      <c r="A2381" s="32">
        <v>6</v>
      </c>
      <c r="B2381" s="2150">
        <v>4.2200000000000006</v>
      </c>
      <c r="C2381" s="32">
        <v>25.320000000000004</v>
      </c>
      <c r="D2381" s="32">
        <v>25.320000000000004</v>
      </c>
      <c r="E2381" s="2150"/>
    </row>
    <row r="2382" spans="1:5" hidden="1" outlineLevel="1">
      <c r="A2382" s="32">
        <v>2</v>
      </c>
      <c r="B2382" s="2150"/>
      <c r="C2382" s="32">
        <v>8.4400000000000013</v>
      </c>
      <c r="D2382" s="32">
        <v>8.4400000000000013</v>
      </c>
      <c r="E2382" s="2150"/>
    </row>
    <row r="2383" spans="1:5" hidden="1" outlineLevel="1">
      <c r="A2383" s="32">
        <v>10</v>
      </c>
      <c r="B2383" s="2150"/>
      <c r="C2383" s="32">
        <v>42.2</v>
      </c>
      <c r="D2383" s="32">
        <v>42.2</v>
      </c>
      <c r="E2383" s="2150"/>
    </row>
    <row r="2384" spans="1:5" hidden="1" outlineLevel="1">
      <c r="A2384" s="32">
        <v>10</v>
      </c>
      <c r="B2384" s="2150"/>
      <c r="C2384" s="32">
        <v>42.2</v>
      </c>
      <c r="D2384" s="32">
        <v>42.2</v>
      </c>
      <c r="E2384" s="2150"/>
    </row>
    <row r="2385" spans="1:5" hidden="1" outlineLevel="1">
      <c r="A2385" s="32">
        <v>1</v>
      </c>
      <c r="B2385" s="2150"/>
      <c r="C2385" s="32">
        <v>4.2200000000000006</v>
      </c>
      <c r="D2385" s="32">
        <v>4.2200000000000006</v>
      </c>
      <c r="E2385" s="2150"/>
    </row>
    <row r="2386" spans="1:5" hidden="1" outlineLevel="1">
      <c r="A2386" s="32">
        <v>3</v>
      </c>
      <c r="B2386" s="2150"/>
      <c r="C2386" s="32">
        <v>12.660000000000002</v>
      </c>
      <c r="D2386" s="32">
        <v>12.660000000000002</v>
      </c>
      <c r="E2386" s="2150"/>
    </row>
    <row r="2387" spans="1:5" hidden="1" outlineLevel="1">
      <c r="A2387" s="32">
        <v>8</v>
      </c>
      <c r="B2387" s="2150"/>
      <c r="C2387" s="32">
        <v>33.760000000000005</v>
      </c>
      <c r="D2387" s="32">
        <v>33.760000000000005</v>
      </c>
      <c r="E2387" s="2150"/>
    </row>
    <row r="2388" spans="1:5" hidden="1" outlineLevel="1">
      <c r="A2388" s="32">
        <v>5</v>
      </c>
      <c r="B2388" s="2150"/>
      <c r="C2388" s="32">
        <v>21.1</v>
      </c>
      <c r="D2388" s="32">
        <v>21.1</v>
      </c>
      <c r="E2388" s="2150"/>
    </row>
    <row r="2389" spans="1:5" hidden="1" outlineLevel="1">
      <c r="A2389" s="32">
        <v>3</v>
      </c>
      <c r="B2389" s="2150"/>
      <c r="C2389" s="32">
        <v>12.660000000000002</v>
      </c>
      <c r="D2389" s="32">
        <v>12.660000000000002</v>
      </c>
      <c r="E2389" s="2150"/>
    </row>
    <row r="2390" spans="1:5" hidden="1" outlineLevel="1">
      <c r="A2390" s="32">
        <v>2</v>
      </c>
      <c r="B2390" s="621">
        <v>4.66</v>
      </c>
      <c r="C2390" s="32">
        <v>9.32</v>
      </c>
      <c r="D2390" s="32">
        <v>9.32</v>
      </c>
      <c r="E2390" s="2150"/>
    </row>
    <row r="2391" spans="1:5" hidden="1" outlineLevel="1">
      <c r="A2391" s="32">
        <v>2</v>
      </c>
      <c r="B2391" s="2150">
        <v>4.2200000000000006</v>
      </c>
      <c r="C2391" s="32">
        <v>8.4400000000000013</v>
      </c>
      <c r="D2391" s="32">
        <v>8.4400000000000013</v>
      </c>
      <c r="E2391" s="2150"/>
    </row>
    <row r="2392" spans="1:5" hidden="1" outlineLevel="1">
      <c r="A2392" s="32">
        <v>4</v>
      </c>
      <c r="B2392" s="2150"/>
      <c r="C2392" s="32">
        <v>16.880000000000003</v>
      </c>
      <c r="D2392" s="32">
        <v>16.880000000000003</v>
      </c>
      <c r="E2392" s="2150"/>
    </row>
    <row r="2393" spans="1:5" hidden="1" outlineLevel="1">
      <c r="A2393" s="32">
        <v>5</v>
      </c>
      <c r="B2393" s="2150">
        <v>4.66</v>
      </c>
      <c r="C2393" s="32">
        <v>23.3</v>
      </c>
      <c r="D2393" s="32">
        <v>23.3</v>
      </c>
      <c r="E2393" s="2150"/>
    </row>
    <row r="2394" spans="1:5" hidden="1" outlineLevel="1">
      <c r="A2394" s="32">
        <v>1</v>
      </c>
      <c r="B2394" s="2150"/>
      <c r="C2394" s="32">
        <v>4.66</v>
      </c>
      <c r="D2394" s="32">
        <v>4.66</v>
      </c>
      <c r="E2394" s="2150"/>
    </row>
    <row r="2395" spans="1:5" hidden="1" outlineLevel="1">
      <c r="A2395" s="32">
        <v>2</v>
      </c>
      <c r="B2395" s="2150"/>
      <c r="C2395" s="32">
        <v>9.32</v>
      </c>
      <c r="D2395" s="32">
        <v>9.32</v>
      </c>
      <c r="E2395" s="2150"/>
    </row>
    <row r="2396" spans="1:5" hidden="1" outlineLevel="1">
      <c r="A2396" s="32">
        <v>3</v>
      </c>
      <c r="B2396" s="2150">
        <v>4.2200000000000006</v>
      </c>
      <c r="C2396" s="32">
        <v>12.660000000000002</v>
      </c>
      <c r="D2396" s="32">
        <v>12.660000000000002</v>
      </c>
      <c r="E2396" s="2150"/>
    </row>
    <row r="2397" spans="1:5" hidden="1" outlineLevel="1">
      <c r="A2397" s="32">
        <v>4</v>
      </c>
      <c r="B2397" s="2150"/>
      <c r="C2397" s="32">
        <v>16.880000000000003</v>
      </c>
      <c r="D2397" s="32">
        <v>16.880000000000003</v>
      </c>
      <c r="E2397" s="2150"/>
    </row>
    <row r="2398" spans="1:5" hidden="1" outlineLevel="1">
      <c r="A2398" s="32">
        <v>2</v>
      </c>
      <c r="B2398" s="2150"/>
      <c r="C2398" s="32">
        <v>8.4400000000000013</v>
      </c>
      <c r="D2398" s="32">
        <v>8.4400000000000013</v>
      </c>
      <c r="E2398" s="2150"/>
    </row>
    <row r="2399" spans="1:5" hidden="1" outlineLevel="1">
      <c r="A2399" s="32">
        <v>3</v>
      </c>
      <c r="B2399" s="621">
        <v>4.66</v>
      </c>
      <c r="C2399" s="32">
        <v>13.98</v>
      </c>
      <c r="D2399" s="32">
        <v>13.98</v>
      </c>
      <c r="E2399" s="2150"/>
    </row>
    <row r="2400" spans="1:5" hidden="1" outlineLevel="1">
      <c r="A2400" s="32">
        <v>5</v>
      </c>
      <c r="B2400" s="2150">
        <v>4.2200000000000006</v>
      </c>
      <c r="C2400" s="32">
        <v>21.1</v>
      </c>
      <c r="D2400" s="32">
        <v>21.1</v>
      </c>
      <c r="E2400" s="2150"/>
    </row>
    <row r="2401" spans="1:5" hidden="1" outlineLevel="1">
      <c r="A2401" s="32">
        <v>3</v>
      </c>
      <c r="B2401" s="2150"/>
      <c r="C2401" s="32">
        <v>12.660000000000002</v>
      </c>
      <c r="D2401" s="32">
        <v>12.660000000000002</v>
      </c>
      <c r="E2401" s="2150"/>
    </row>
    <row r="2402" spans="1:5" hidden="1" outlineLevel="1">
      <c r="A2402" s="32">
        <v>2</v>
      </c>
      <c r="B2402" s="2150"/>
      <c r="C2402" s="32">
        <v>8.4400000000000013</v>
      </c>
      <c r="D2402" s="32">
        <v>8.4400000000000013</v>
      </c>
      <c r="E2402" s="2150"/>
    </row>
    <row r="2403" spans="1:5" hidden="1" outlineLevel="1">
      <c r="A2403" s="32">
        <v>3</v>
      </c>
      <c r="B2403" s="2150"/>
      <c r="C2403" s="32">
        <v>12.660000000000002</v>
      </c>
      <c r="D2403" s="32">
        <v>12.660000000000002</v>
      </c>
      <c r="E2403" s="2150"/>
    </row>
    <row r="2404" spans="1:5" hidden="1" outlineLevel="1">
      <c r="A2404" s="32">
        <v>8</v>
      </c>
      <c r="B2404" s="2150"/>
      <c r="C2404" s="32">
        <v>33.760000000000005</v>
      </c>
      <c r="D2404" s="32">
        <v>33.760000000000005</v>
      </c>
      <c r="E2404" s="2150"/>
    </row>
    <row r="2405" spans="1:5" hidden="1" outlineLevel="1">
      <c r="A2405" s="32">
        <v>3</v>
      </c>
      <c r="B2405" s="2150"/>
      <c r="C2405" s="32">
        <v>12.660000000000002</v>
      </c>
      <c r="D2405" s="32">
        <v>12.660000000000002</v>
      </c>
      <c r="E2405" s="2150"/>
    </row>
    <row r="2406" spans="1:5" hidden="1" outlineLevel="1">
      <c r="A2406" s="32">
        <v>1</v>
      </c>
      <c r="B2406" s="2150">
        <v>4.66</v>
      </c>
      <c r="C2406" s="32">
        <v>4.66</v>
      </c>
      <c r="D2406" s="32">
        <v>4.66</v>
      </c>
      <c r="E2406" s="2150"/>
    </row>
    <row r="2407" spans="1:5" hidden="1" outlineLevel="1">
      <c r="A2407" s="32">
        <v>2</v>
      </c>
      <c r="B2407" s="2150"/>
      <c r="C2407" s="32">
        <v>9.32</v>
      </c>
      <c r="D2407" s="32">
        <v>9.32</v>
      </c>
      <c r="E2407" s="2150"/>
    </row>
    <row r="2408" spans="1:5" hidden="1" outlineLevel="1">
      <c r="A2408" s="32">
        <v>3</v>
      </c>
      <c r="B2408" s="2150"/>
      <c r="C2408" s="32">
        <v>13.98</v>
      </c>
      <c r="D2408" s="32">
        <v>13.98</v>
      </c>
      <c r="E2408" s="2150"/>
    </row>
    <row r="2409" spans="1:5" hidden="1" outlineLevel="1">
      <c r="A2409" s="32">
        <v>5</v>
      </c>
      <c r="B2409" s="2150"/>
      <c r="C2409" s="32">
        <v>23.3</v>
      </c>
      <c r="D2409" s="32">
        <v>23.3</v>
      </c>
      <c r="E2409" s="2150"/>
    </row>
    <row r="2410" spans="1:5" hidden="1" outlineLevel="1">
      <c r="A2410" s="32">
        <v>1</v>
      </c>
      <c r="B2410" s="2150"/>
      <c r="C2410" s="32">
        <v>4.66</v>
      </c>
      <c r="D2410" s="32">
        <v>4.66</v>
      </c>
      <c r="E2410" s="2150"/>
    </row>
    <row r="2411" spans="1:5" hidden="1" outlineLevel="1">
      <c r="A2411" s="32">
        <v>1</v>
      </c>
      <c r="B2411" s="2150"/>
      <c r="C2411" s="32">
        <v>4.66</v>
      </c>
      <c r="D2411" s="32">
        <v>4.66</v>
      </c>
      <c r="E2411" s="2150"/>
    </row>
    <row r="2412" spans="1:5" hidden="1" outlineLevel="1">
      <c r="A2412" s="32">
        <v>1</v>
      </c>
      <c r="B2412" s="2150"/>
      <c r="C2412" s="32">
        <v>4.66</v>
      </c>
      <c r="D2412" s="32">
        <v>4.66</v>
      </c>
      <c r="E2412" s="2150"/>
    </row>
    <row r="2413" spans="1:5" hidden="1" outlineLevel="1">
      <c r="A2413" s="32">
        <v>3</v>
      </c>
      <c r="B2413" s="2150"/>
      <c r="C2413" s="32">
        <v>13.98</v>
      </c>
      <c r="D2413" s="32">
        <v>13.98</v>
      </c>
      <c r="E2413" s="2150"/>
    </row>
    <row r="2414" spans="1:5" hidden="1" outlineLevel="1">
      <c r="A2414" s="32">
        <v>1</v>
      </c>
      <c r="B2414" s="2150"/>
      <c r="C2414" s="32">
        <v>4.66</v>
      </c>
      <c r="D2414" s="32">
        <v>4.66</v>
      </c>
      <c r="E2414" s="2150"/>
    </row>
    <row r="2415" spans="1:5" hidden="1" outlineLevel="1">
      <c r="A2415" s="32">
        <v>2</v>
      </c>
      <c r="B2415" s="2150"/>
      <c r="C2415" s="32">
        <v>9.32</v>
      </c>
      <c r="D2415" s="32">
        <v>9.32</v>
      </c>
      <c r="E2415" s="2150"/>
    </row>
    <row r="2416" spans="1:5" hidden="1" outlineLevel="1">
      <c r="A2416" s="32">
        <v>2</v>
      </c>
      <c r="B2416" s="2150"/>
      <c r="C2416" s="32">
        <v>9.32</v>
      </c>
      <c r="D2416" s="32">
        <v>9.32</v>
      </c>
      <c r="E2416" s="2150"/>
    </row>
    <row r="2417" spans="1:5" hidden="1" outlineLevel="1">
      <c r="A2417" s="32">
        <v>2</v>
      </c>
      <c r="B2417" s="2150"/>
      <c r="C2417" s="32">
        <v>9.32</v>
      </c>
      <c r="D2417" s="32">
        <v>9.32</v>
      </c>
      <c r="E2417" s="2150"/>
    </row>
    <row r="2418" spans="1:5" hidden="1" outlineLevel="1">
      <c r="A2418" s="32">
        <v>2</v>
      </c>
      <c r="B2418" s="2150"/>
      <c r="C2418" s="32">
        <v>9.32</v>
      </c>
      <c r="D2418" s="32">
        <v>9.32</v>
      </c>
      <c r="E2418" s="2150"/>
    </row>
    <row r="2419" spans="1:5" hidden="1" outlineLevel="1">
      <c r="A2419" s="32">
        <v>4</v>
      </c>
      <c r="B2419" s="2150"/>
      <c r="C2419" s="32">
        <v>18.64</v>
      </c>
      <c r="D2419" s="32">
        <v>18.64</v>
      </c>
      <c r="E2419" s="2150"/>
    </row>
    <row r="2420" spans="1:5" hidden="1" outlineLevel="1">
      <c r="A2420" s="32">
        <v>2</v>
      </c>
      <c r="B2420" s="2150"/>
      <c r="C2420" s="32">
        <v>9.32</v>
      </c>
      <c r="D2420" s="32">
        <v>9.32</v>
      </c>
      <c r="E2420" s="2150"/>
    </row>
    <row r="2421" spans="1:5" hidden="1" outlineLevel="1">
      <c r="A2421" s="32">
        <v>1</v>
      </c>
      <c r="B2421" s="2150"/>
      <c r="C2421" s="32">
        <v>4.66</v>
      </c>
      <c r="D2421" s="32">
        <v>4.66</v>
      </c>
      <c r="E2421" s="2150"/>
    </row>
    <row r="2422" spans="1:5" hidden="1" outlineLevel="1">
      <c r="A2422" s="32">
        <v>2</v>
      </c>
      <c r="B2422" s="2150"/>
      <c r="C2422" s="32">
        <v>9.32</v>
      </c>
      <c r="D2422" s="32">
        <v>9.32</v>
      </c>
      <c r="E2422" s="2150"/>
    </row>
    <row r="2423" spans="1:5" hidden="1" outlineLevel="1">
      <c r="A2423" s="32">
        <v>1</v>
      </c>
      <c r="B2423" s="2150"/>
      <c r="C2423" s="32">
        <v>4.66</v>
      </c>
      <c r="D2423" s="32">
        <v>4.66</v>
      </c>
      <c r="E2423" s="2150"/>
    </row>
    <row r="2424" spans="1:5" hidden="1" outlineLevel="1">
      <c r="A2424" s="2146" t="s">
        <v>562</v>
      </c>
      <c r="B2424" s="2146"/>
      <c r="C2424" s="2146"/>
      <c r="D2424" s="2147">
        <f>SUM(D2347:D2423)</f>
        <v>1003.5200000000004</v>
      </c>
      <c r="E2424" s="2147" t="s">
        <v>39</v>
      </c>
    </row>
    <row r="2425" spans="1:5" hidden="1" outlineLevel="1">
      <c r="A2425" s="2146"/>
      <c r="B2425" s="2146"/>
      <c r="C2425" s="2146"/>
      <c r="D2425" s="2147"/>
      <c r="E2425" s="2147"/>
    </row>
    <row r="2426" spans="1:5" hidden="1" outlineLevel="1">
      <c r="A2426" s="32">
        <v>2</v>
      </c>
      <c r="B2426" s="2151">
        <v>5.0199999999999996</v>
      </c>
      <c r="C2426" s="32">
        <v>10.039999999999999</v>
      </c>
      <c r="D2426" s="32">
        <v>10.039999999999999</v>
      </c>
      <c r="E2426" s="2150" t="s">
        <v>39</v>
      </c>
    </row>
    <row r="2427" spans="1:5" hidden="1" outlineLevel="1">
      <c r="A2427" s="32">
        <v>2</v>
      </c>
      <c r="B2427" s="2151"/>
      <c r="C2427" s="32">
        <v>10.039999999999999</v>
      </c>
      <c r="D2427" s="32">
        <v>10.039999999999999</v>
      </c>
      <c r="E2427" s="2150"/>
    </row>
    <row r="2428" spans="1:5" hidden="1" outlineLevel="1">
      <c r="A2428" s="32">
        <v>4</v>
      </c>
      <c r="B2428" s="2151"/>
      <c r="C2428" s="32">
        <v>20.079999999999998</v>
      </c>
      <c r="D2428" s="32">
        <v>20.079999999999998</v>
      </c>
      <c r="E2428" s="2150"/>
    </row>
    <row r="2429" spans="1:5" hidden="1" outlineLevel="1">
      <c r="A2429" s="32">
        <v>5</v>
      </c>
      <c r="B2429" s="2151"/>
      <c r="C2429" s="32">
        <v>25.099999999999998</v>
      </c>
      <c r="D2429" s="32">
        <v>25.099999999999998</v>
      </c>
      <c r="E2429" s="2150"/>
    </row>
    <row r="2430" spans="1:5" hidden="1" outlineLevel="1">
      <c r="A2430" s="32">
        <v>2</v>
      </c>
      <c r="B2430" s="2151"/>
      <c r="C2430" s="32">
        <v>10.039999999999999</v>
      </c>
      <c r="D2430" s="32">
        <v>10.039999999999999</v>
      </c>
      <c r="E2430" s="2150"/>
    </row>
    <row r="2431" spans="1:5" hidden="1" outlineLevel="1">
      <c r="A2431" s="32">
        <v>1</v>
      </c>
      <c r="B2431" s="2151"/>
      <c r="C2431" s="32">
        <v>5.0199999999999996</v>
      </c>
      <c r="D2431" s="32">
        <v>5.0199999999999996</v>
      </c>
      <c r="E2431" s="2150"/>
    </row>
    <row r="2432" spans="1:5" hidden="1" outlineLevel="1">
      <c r="A2432" s="32">
        <v>4</v>
      </c>
      <c r="B2432" s="2151"/>
      <c r="C2432" s="32">
        <v>20.079999999999998</v>
      </c>
      <c r="D2432" s="32">
        <v>20.079999999999998</v>
      </c>
      <c r="E2432" s="2150"/>
    </row>
    <row r="2433" spans="1:5" hidden="1" outlineLevel="1">
      <c r="A2433" s="32">
        <v>3</v>
      </c>
      <c r="B2433" s="2151"/>
      <c r="C2433" s="32">
        <v>15.059999999999999</v>
      </c>
      <c r="D2433" s="32">
        <v>15.059999999999999</v>
      </c>
      <c r="E2433" s="2150"/>
    </row>
    <row r="2434" spans="1:5" hidden="1" outlineLevel="1">
      <c r="A2434" s="32">
        <v>1</v>
      </c>
      <c r="B2434" s="2151"/>
      <c r="C2434" s="32">
        <v>5.0199999999999996</v>
      </c>
      <c r="D2434" s="32">
        <v>5.0199999999999996</v>
      </c>
      <c r="E2434" s="2150"/>
    </row>
    <row r="2435" spans="1:5" hidden="1" outlineLevel="1">
      <c r="A2435" s="32">
        <v>2</v>
      </c>
      <c r="B2435" s="2151"/>
      <c r="C2435" s="32">
        <v>10.039999999999999</v>
      </c>
      <c r="D2435" s="32">
        <v>10.039999999999999</v>
      </c>
      <c r="E2435" s="2150"/>
    </row>
    <row r="2436" spans="1:5" hidden="1" outlineLevel="1">
      <c r="A2436" s="32">
        <v>2</v>
      </c>
      <c r="B2436" s="2151"/>
      <c r="C2436" s="32">
        <v>10.039999999999999</v>
      </c>
      <c r="D2436" s="32">
        <v>10.039999999999999</v>
      </c>
      <c r="E2436" s="2150"/>
    </row>
    <row r="2437" spans="1:5" hidden="1" outlineLevel="1">
      <c r="A2437" s="32">
        <v>1</v>
      </c>
      <c r="B2437" s="2151"/>
      <c r="C2437" s="32">
        <v>5.0199999999999996</v>
      </c>
      <c r="D2437" s="32">
        <v>5.0199999999999996</v>
      </c>
      <c r="E2437" s="2150"/>
    </row>
    <row r="2438" spans="1:5" hidden="1" outlineLevel="1">
      <c r="A2438" s="32">
        <v>1</v>
      </c>
      <c r="B2438" s="2151"/>
      <c r="C2438" s="32">
        <v>5.0199999999999996</v>
      </c>
      <c r="D2438" s="32">
        <v>5.0199999999999996</v>
      </c>
      <c r="E2438" s="2150"/>
    </row>
    <row r="2439" spans="1:5" hidden="1" outlineLevel="1">
      <c r="A2439" s="32">
        <v>2</v>
      </c>
      <c r="B2439" s="2151"/>
      <c r="C2439" s="32">
        <v>10.039999999999999</v>
      </c>
      <c r="D2439" s="32">
        <v>10.039999999999999</v>
      </c>
      <c r="E2439" s="2150"/>
    </row>
    <row r="2440" spans="1:5" hidden="1" outlineLevel="1">
      <c r="A2440" s="32">
        <v>2</v>
      </c>
      <c r="B2440" s="2151"/>
      <c r="C2440" s="32">
        <v>10.039999999999999</v>
      </c>
      <c r="D2440" s="32">
        <v>10.039999999999999</v>
      </c>
      <c r="E2440" s="2150"/>
    </row>
    <row r="2441" spans="1:5" hidden="1" outlineLevel="1">
      <c r="A2441" s="32">
        <v>3</v>
      </c>
      <c r="B2441" s="2151"/>
      <c r="C2441" s="32">
        <v>15.059999999999999</v>
      </c>
      <c r="D2441" s="32">
        <v>15.059999999999999</v>
      </c>
      <c r="E2441" s="2150"/>
    </row>
    <row r="2442" spans="1:5" hidden="1" outlineLevel="1">
      <c r="A2442" s="32">
        <v>2</v>
      </c>
      <c r="B2442" s="2151"/>
      <c r="C2442" s="32">
        <v>10.039999999999999</v>
      </c>
      <c r="D2442" s="32">
        <v>10.039999999999999</v>
      </c>
      <c r="E2442" s="2150"/>
    </row>
    <row r="2443" spans="1:5" hidden="1" outlineLevel="1">
      <c r="A2443" s="32">
        <v>2</v>
      </c>
      <c r="B2443" s="2151"/>
      <c r="C2443" s="32">
        <v>10.039999999999999</v>
      </c>
      <c r="D2443" s="32">
        <v>10.039999999999999</v>
      </c>
      <c r="E2443" s="2150"/>
    </row>
    <row r="2444" spans="1:5" hidden="1" outlineLevel="1">
      <c r="A2444" s="32">
        <v>5</v>
      </c>
      <c r="B2444" s="2151"/>
      <c r="C2444" s="32">
        <v>25.099999999999998</v>
      </c>
      <c r="D2444" s="32">
        <v>25.099999999999998</v>
      </c>
      <c r="E2444" s="2150"/>
    </row>
    <row r="2445" spans="1:5" hidden="1" outlineLevel="1">
      <c r="A2445" s="32">
        <v>3</v>
      </c>
      <c r="B2445" s="2151"/>
      <c r="C2445" s="32">
        <v>15.059999999999999</v>
      </c>
      <c r="D2445" s="32">
        <v>15.059999999999999</v>
      </c>
      <c r="E2445" s="2150"/>
    </row>
    <row r="2446" spans="1:5" hidden="1" outlineLevel="1">
      <c r="A2446" s="32">
        <v>1</v>
      </c>
      <c r="B2446" s="2151"/>
      <c r="C2446" s="32">
        <v>5.0199999999999996</v>
      </c>
      <c r="D2446" s="32">
        <v>5.0199999999999996</v>
      </c>
      <c r="E2446" s="2150"/>
    </row>
    <row r="2447" spans="1:5" hidden="1" outlineLevel="1">
      <c r="A2447" s="32">
        <v>2</v>
      </c>
      <c r="B2447" s="2151"/>
      <c r="C2447" s="32">
        <v>10.039999999999999</v>
      </c>
      <c r="D2447" s="32">
        <v>10.039999999999999</v>
      </c>
      <c r="E2447" s="2150"/>
    </row>
    <row r="2448" spans="1:5" hidden="1" outlineLevel="1">
      <c r="A2448" s="32">
        <v>1</v>
      </c>
      <c r="B2448" s="2151"/>
      <c r="C2448" s="32">
        <v>5.0199999999999996</v>
      </c>
      <c r="D2448" s="32">
        <v>5.0199999999999996</v>
      </c>
      <c r="E2448" s="2150"/>
    </row>
    <row r="2449" spans="1:5" hidden="1" outlineLevel="1">
      <c r="A2449" s="32">
        <v>2</v>
      </c>
      <c r="B2449" s="2151"/>
      <c r="C2449" s="32">
        <v>10.039999999999999</v>
      </c>
      <c r="D2449" s="32">
        <v>10.039999999999999</v>
      </c>
      <c r="E2449" s="2150"/>
    </row>
    <row r="2450" spans="1:5" hidden="1" outlineLevel="1">
      <c r="A2450" s="32">
        <v>1</v>
      </c>
      <c r="B2450" s="2151"/>
      <c r="C2450" s="32">
        <v>5.0199999999999996</v>
      </c>
      <c r="D2450" s="32">
        <v>5.0199999999999996</v>
      </c>
      <c r="E2450" s="2150"/>
    </row>
    <row r="2451" spans="1:5" hidden="1" outlineLevel="1">
      <c r="A2451" s="32">
        <v>1</v>
      </c>
      <c r="B2451" s="2151"/>
      <c r="C2451" s="32">
        <v>5.0199999999999996</v>
      </c>
      <c r="D2451" s="32">
        <v>5.0199999999999996</v>
      </c>
      <c r="E2451" s="2150"/>
    </row>
    <row r="2452" spans="1:5" hidden="1" outlineLevel="1">
      <c r="A2452" s="32">
        <v>1</v>
      </c>
      <c r="B2452" s="2151"/>
      <c r="C2452" s="32">
        <v>5.0199999999999996</v>
      </c>
      <c r="D2452" s="32">
        <v>5.0199999999999996</v>
      </c>
      <c r="E2452" s="2150"/>
    </row>
    <row r="2453" spans="1:5" hidden="1" outlineLevel="1">
      <c r="A2453" s="32">
        <v>2</v>
      </c>
      <c r="B2453" s="2151"/>
      <c r="C2453" s="32">
        <v>10.039999999999999</v>
      </c>
      <c r="D2453" s="32">
        <v>10.039999999999999</v>
      </c>
      <c r="E2453" s="2150"/>
    </row>
    <row r="2454" spans="1:5" hidden="1" outlineLevel="1">
      <c r="A2454" s="32">
        <v>1</v>
      </c>
      <c r="B2454" s="2151"/>
      <c r="C2454" s="32">
        <v>5.0199999999999996</v>
      </c>
      <c r="D2454" s="32">
        <v>5.0199999999999996</v>
      </c>
      <c r="E2454" s="2150"/>
    </row>
    <row r="2455" spans="1:5" hidden="1" outlineLevel="1">
      <c r="A2455" s="32">
        <v>2</v>
      </c>
      <c r="B2455" s="2151"/>
      <c r="C2455" s="32">
        <v>10.039999999999999</v>
      </c>
      <c r="D2455" s="32">
        <v>10.039999999999999</v>
      </c>
      <c r="E2455" s="2150"/>
    </row>
    <row r="2456" spans="1:5" hidden="1" outlineLevel="1">
      <c r="A2456" s="32">
        <v>1</v>
      </c>
      <c r="B2456" s="2151"/>
      <c r="C2456" s="32">
        <v>5.0199999999999996</v>
      </c>
      <c r="D2456" s="32">
        <v>5.0199999999999996</v>
      </c>
      <c r="E2456" s="2150"/>
    </row>
    <row r="2457" spans="1:5" hidden="1" outlineLevel="1">
      <c r="A2457" s="32">
        <v>1</v>
      </c>
      <c r="B2457" s="2151"/>
      <c r="C2457" s="32">
        <v>5.0199999999999996</v>
      </c>
      <c r="D2457" s="32">
        <v>5.0199999999999996</v>
      </c>
      <c r="E2457" s="2150"/>
    </row>
    <row r="2458" spans="1:5" hidden="1" outlineLevel="1">
      <c r="A2458" s="32">
        <v>5</v>
      </c>
      <c r="B2458" s="2151"/>
      <c r="C2458" s="32">
        <v>25.099999999999998</v>
      </c>
      <c r="D2458" s="32">
        <v>25.099999999999998</v>
      </c>
      <c r="E2458" s="2150"/>
    </row>
    <row r="2459" spans="1:5" hidden="1" outlineLevel="1">
      <c r="A2459" s="32">
        <v>1</v>
      </c>
      <c r="B2459" s="2151"/>
      <c r="C2459" s="32">
        <v>5.0199999999999996</v>
      </c>
      <c r="D2459" s="32">
        <v>5.0199999999999996</v>
      </c>
      <c r="E2459" s="2150"/>
    </row>
    <row r="2460" spans="1:5" hidden="1" outlineLevel="1">
      <c r="A2460" s="32">
        <v>1</v>
      </c>
      <c r="B2460" s="2151"/>
      <c r="C2460" s="32">
        <v>5.0199999999999996</v>
      </c>
      <c r="D2460" s="32">
        <v>5.0199999999999996</v>
      </c>
      <c r="E2460" s="2150"/>
    </row>
    <row r="2461" spans="1:5" hidden="1" outlineLevel="1">
      <c r="A2461" s="32">
        <v>2</v>
      </c>
      <c r="B2461" s="2151"/>
      <c r="C2461" s="32">
        <v>10.039999999999999</v>
      </c>
      <c r="D2461" s="32">
        <v>10.039999999999999</v>
      </c>
      <c r="E2461" s="2150"/>
    </row>
    <row r="2462" spans="1:5" hidden="1" outlineLevel="1">
      <c r="A2462" s="32">
        <v>3</v>
      </c>
      <c r="B2462" s="2151"/>
      <c r="C2462" s="32">
        <v>15.059999999999999</v>
      </c>
      <c r="D2462" s="32">
        <v>15.059999999999999</v>
      </c>
      <c r="E2462" s="2150"/>
    </row>
    <row r="2463" spans="1:5" hidden="1" outlineLevel="1">
      <c r="A2463" s="32">
        <v>2</v>
      </c>
      <c r="B2463" s="2151"/>
      <c r="C2463" s="32">
        <v>10.039999999999999</v>
      </c>
      <c r="D2463" s="32">
        <v>10.039999999999999</v>
      </c>
      <c r="E2463" s="2150"/>
    </row>
    <row r="2464" spans="1:5" hidden="1" outlineLevel="1">
      <c r="A2464" s="32">
        <v>1</v>
      </c>
      <c r="B2464" s="2151"/>
      <c r="C2464" s="32">
        <v>5.0199999999999996</v>
      </c>
      <c r="D2464" s="32">
        <v>5.0199999999999996</v>
      </c>
      <c r="E2464" s="2150"/>
    </row>
    <row r="2465" spans="1:5" hidden="1" outlineLevel="1">
      <c r="A2465" s="32">
        <v>3</v>
      </c>
      <c r="B2465" s="2151"/>
      <c r="C2465" s="32">
        <v>15.059999999999999</v>
      </c>
      <c r="D2465" s="32">
        <v>15.059999999999999</v>
      </c>
      <c r="E2465" s="2150"/>
    </row>
    <row r="2466" spans="1:5" ht="13.5" hidden="1" customHeight="1" outlineLevel="1">
      <c r="A2466" s="2152" t="s">
        <v>561</v>
      </c>
      <c r="B2466" s="2153"/>
      <c r="C2466" s="2154"/>
      <c r="D2466" s="622">
        <f>SUM(D2426:D2465)</f>
        <v>416.65999999999991</v>
      </c>
      <c r="E2466" s="622" t="s">
        <v>39</v>
      </c>
    </row>
    <row r="2467" spans="1:5" hidden="1" outlineLevel="1">
      <c r="A2467" s="623" t="s">
        <v>1237</v>
      </c>
      <c r="B2467" s="623" t="s">
        <v>1238</v>
      </c>
      <c r="C2467" s="623" t="s">
        <v>1239</v>
      </c>
      <c r="D2467" s="624">
        <v>45.8</v>
      </c>
      <c r="E2467" s="2155" t="s">
        <v>699</v>
      </c>
    </row>
    <row r="2468" spans="1:5" hidden="1" outlineLevel="1">
      <c r="A2468" s="32">
        <v>1</v>
      </c>
      <c r="B2468" s="2150">
        <v>5.0199999999999996</v>
      </c>
      <c r="C2468" s="32">
        <v>5.0199999999999996</v>
      </c>
      <c r="D2468" s="32">
        <v>5.0199999999999996</v>
      </c>
      <c r="E2468" s="2156"/>
    </row>
    <row r="2469" spans="1:5" hidden="1" outlineLevel="1">
      <c r="A2469" s="32">
        <v>1</v>
      </c>
      <c r="B2469" s="2150"/>
      <c r="C2469" s="32">
        <v>5.0199999999999996</v>
      </c>
      <c r="D2469" s="32">
        <v>5.0199999999999996</v>
      </c>
      <c r="E2469" s="2156"/>
    </row>
    <row r="2470" spans="1:5" hidden="1" outlineLevel="1">
      <c r="A2470" s="32">
        <v>2</v>
      </c>
      <c r="B2470" s="2150"/>
      <c r="C2470" s="32">
        <v>10.039999999999999</v>
      </c>
      <c r="D2470" s="32">
        <v>10.039999999999999</v>
      </c>
      <c r="E2470" s="2156"/>
    </row>
    <row r="2471" spans="1:5" hidden="1" outlineLevel="1">
      <c r="A2471" s="32">
        <v>1</v>
      </c>
      <c r="B2471" s="2150"/>
      <c r="C2471" s="32">
        <v>5.0199999999999996</v>
      </c>
      <c r="D2471" s="32">
        <v>5.0199999999999996</v>
      </c>
      <c r="E2471" s="2156"/>
    </row>
    <row r="2472" spans="1:5" hidden="1" outlineLevel="1">
      <c r="A2472" s="32">
        <v>1</v>
      </c>
      <c r="B2472" s="2150"/>
      <c r="C2472" s="32">
        <v>5.0199999999999996</v>
      </c>
      <c r="D2472" s="32">
        <v>5.0199999999999996</v>
      </c>
      <c r="E2472" s="2156"/>
    </row>
    <row r="2473" spans="1:5" hidden="1" outlineLevel="1">
      <c r="A2473" s="32">
        <v>1</v>
      </c>
      <c r="B2473" s="2150"/>
      <c r="C2473" s="32">
        <v>5.0199999999999996</v>
      </c>
      <c r="D2473" s="32">
        <v>5.0199999999999996</v>
      </c>
      <c r="E2473" s="2156"/>
    </row>
    <row r="2474" spans="1:5" hidden="1" outlineLevel="1">
      <c r="A2474" s="32">
        <v>1</v>
      </c>
      <c r="B2474" s="2150"/>
      <c r="C2474" s="32">
        <v>5.0199999999999996</v>
      </c>
      <c r="D2474" s="32">
        <v>5.0199999999999996</v>
      </c>
      <c r="E2474" s="2156"/>
    </row>
    <row r="2475" spans="1:5" hidden="1" outlineLevel="1">
      <c r="A2475" s="32">
        <v>1</v>
      </c>
      <c r="B2475" s="2150"/>
      <c r="C2475" s="32">
        <v>5.0199999999999996</v>
      </c>
      <c r="D2475" s="32">
        <v>5.0199999999999996</v>
      </c>
      <c r="E2475" s="2156"/>
    </row>
    <row r="2476" spans="1:5" hidden="1" outlineLevel="1">
      <c r="A2476" s="32">
        <v>1</v>
      </c>
      <c r="B2476" s="2150"/>
      <c r="C2476" s="32">
        <v>5.0199999999999996</v>
      </c>
      <c r="D2476" s="32">
        <v>5.0199999999999996</v>
      </c>
      <c r="E2476" s="2156"/>
    </row>
    <row r="2477" spans="1:5" hidden="1" outlineLevel="1">
      <c r="A2477" s="32">
        <v>1</v>
      </c>
      <c r="B2477" s="2150"/>
      <c r="C2477" s="32">
        <v>5.0199999999999996</v>
      </c>
      <c r="D2477" s="32">
        <v>5.0199999999999996</v>
      </c>
      <c r="E2477" s="2156"/>
    </row>
    <row r="2478" spans="1:5" hidden="1" outlineLevel="1">
      <c r="A2478" s="32">
        <v>1</v>
      </c>
      <c r="B2478" s="2150"/>
      <c r="C2478" s="32">
        <v>5.0199999999999996</v>
      </c>
      <c r="D2478" s="32">
        <v>5.0199999999999996</v>
      </c>
      <c r="E2478" s="2156"/>
    </row>
    <row r="2479" spans="1:5" hidden="1" outlineLevel="1">
      <c r="A2479" s="32">
        <v>2</v>
      </c>
      <c r="B2479" s="2150"/>
      <c r="C2479" s="32">
        <v>10.039999999999999</v>
      </c>
      <c r="D2479" s="32">
        <v>10.039999999999999</v>
      </c>
      <c r="E2479" s="2156"/>
    </row>
    <row r="2480" spans="1:5" hidden="1" outlineLevel="1">
      <c r="A2480" s="32">
        <v>3</v>
      </c>
      <c r="B2480" s="2150"/>
      <c r="C2480" s="32">
        <v>15.059999999999999</v>
      </c>
      <c r="D2480" s="32">
        <v>15.059999999999999</v>
      </c>
      <c r="E2480" s="2156"/>
    </row>
    <row r="2481" spans="1:5" hidden="1" outlineLevel="1">
      <c r="A2481" s="32">
        <v>2</v>
      </c>
      <c r="B2481" s="2150"/>
      <c r="C2481" s="32">
        <v>10.039999999999999</v>
      </c>
      <c r="D2481" s="32">
        <v>10.039999999999999</v>
      </c>
      <c r="E2481" s="2156"/>
    </row>
    <row r="2482" spans="1:5" hidden="1" outlineLevel="1">
      <c r="A2482" s="32">
        <v>2</v>
      </c>
      <c r="B2482" s="2150"/>
      <c r="C2482" s="32">
        <v>10.039999999999999</v>
      </c>
      <c r="D2482" s="32">
        <v>10.039999999999999</v>
      </c>
      <c r="E2482" s="2156"/>
    </row>
    <row r="2483" spans="1:5" hidden="1" outlineLevel="1">
      <c r="A2483" s="32">
        <v>7</v>
      </c>
      <c r="B2483" s="2150"/>
      <c r="C2483" s="32">
        <v>35.14</v>
      </c>
      <c r="D2483" s="32">
        <v>35.14</v>
      </c>
      <c r="E2483" s="2156"/>
    </row>
    <row r="2484" spans="1:5" hidden="1" outlineLevel="1">
      <c r="A2484" s="32">
        <v>1</v>
      </c>
      <c r="B2484" s="2150"/>
      <c r="C2484" s="32">
        <v>5.0199999999999996</v>
      </c>
      <c r="D2484" s="32">
        <v>5.0199999999999996</v>
      </c>
      <c r="E2484" s="2156"/>
    </row>
    <row r="2485" spans="1:5" hidden="1" outlineLevel="1">
      <c r="A2485" s="32">
        <v>2</v>
      </c>
      <c r="B2485" s="2150"/>
      <c r="C2485" s="32">
        <v>10.039999999999999</v>
      </c>
      <c r="D2485" s="32">
        <v>10.039999999999999</v>
      </c>
      <c r="E2485" s="2156"/>
    </row>
    <row r="2486" spans="1:5" hidden="1" outlineLevel="1">
      <c r="A2486" s="32">
        <v>1</v>
      </c>
      <c r="B2486" s="2150"/>
      <c r="C2486" s="32">
        <v>5.0199999999999996</v>
      </c>
      <c r="D2486" s="32">
        <v>5.0199999999999996</v>
      </c>
      <c r="E2486" s="2156"/>
    </row>
    <row r="2487" spans="1:5" hidden="1" outlineLevel="1">
      <c r="A2487" s="32">
        <v>3</v>
      </c>
      <c r="B2487" s="2150"/>
      <c r="C2487" s="32">
        <v>15.059999999999999</v>
      </c>
      <c r="D2487" s="32">
        <v>15.059999999999999</v>
      </c>
      <c r="E2487" s="2156"/>
    </row>
    <row r="2488" spans="1:5" hidden="1" outlineLevel="1">
      <c r="A2488" s="32">
        <v>2</v>
      </c>
      <c r="B2488" s="2150"/>
      <c r="C2488" s="32">
        <v>10.039999999999999</v>
      </c>
      <c r="D2488" s="32">
        <v>10.039999999999999</v>
      </c>
      <c r="E2488" s="2156"/>
    </row>
    <row r="2489" spans="1:5" hidden="1" outlineLevel="1">
      <c r="A2489" s="32">
        <v>1</v>
      </c>
      <c r="B2489" s="2150"/>
      <c r="C2489" s="32">
        <v>5.0199999999999996</v>
      </c>
      <c r="D2489" s="32">
        <v>5.0199999999999996</v>
      </c>
      <c r="E2489" s="2156"/>
    </row>
    <row r="2490" spans="1:5" hidden="1" outlineLevel="1">
      <c r="A2490" s="32">
        <v>2</v>
      </c>
      <c r="B2490" s="2150"/>
      <c r="C2490" s="32">
        <v>10.039999999999999</v>
      </c>
      <c r="D2490" s="32">
        <v>10.039999999999999</v>
      </c>
      <c r="E2490" s="2156"/>
    </row>
    <row r="2491" spans="1:5" hidden="1" outlineLevel="1">
      <c r="A2491" s="32">
        <v>2</v>
      </c>
      <c r="B2491" s="2150"/>
      <c r="C2491" s="32">
        <v>10.039999999999999</v>
      </c>
      <c r="D2491" s="32">
        <v>10.039999999999999</v>
      </c>
      <c r="E2491" s="2156"/>
    </row>
    <row r="2492" spans="1:5" hidden="1" outlineLevel="1">
      <c r="A2492" s="32">
        <v>2</v>
      </c>
      <c r="B2492" s="2150"/>
      <c r="C2492" s="32">
        <v>10.039999999999999</v>
      </c>
      <c r="D2492" s="32">
        <v>10.039999999999999</v>
      </c>
      <c r="E2492" s="2156"/>
    </row>
    <row r="2493" spans="1:5" hidden="1" outlineLevel="1">
      <c r="A2493" s="32">
        <v>3</v>
      </c>
      <c r="B2493" s="2150"/>
      <c r="C2493" s="32">
        <v>15.059999999999999</v>
      </c>
      <c r="D2493" s="32">
        <v>15.059999999999999</v>
      </c>
      <c r="E2493" s="2156"/>
    </row>
    <row r="2494" spans="1:5" hidden="1" outlineLevel="1">
      <c r="A2494" s="32">
        <v>3</v>
      </c>
      <c r="B2494" s="2150"/>
      <c r="C2494" s="32">
        <v>15.059999999999999</v>
      </c>
      <c r="D2494" s="32">
        <v>15.059999999999999</v>
      </c>
      <c r="E2494" s="2156"/>
    </row>
    <row r="2495" spans="1:5" hidden="1" outlineLevel="1">
      <c r="A2495" s="32">
        <v>1</v>
      </c>
      <c r="B2495" s="2150"/>
      <c r="C2495" s="32">
        <v>5.0199999999999996</v>
      </c>
      <c r="D2495" s="32">
        <v>5.0199999999999996</v>
      </c>
      <c r="E2495" s="2156"/>
    </row>
    <row r="2496" spans="1:5" hidden="1" outlineLevel="1">
      <c r="A2496" s="32">
        <v>2</v>
      </c>
      <c r="B2496" s="2150"/>
      <c r="C2496" s="32">
        <v>10.039999999999999</v>
      </c>
      <c r="D2496" s="32">
        <v>10.039999999999999</v>
      </c>
      <c r="E2496" s="2156"/>
    </row>
    <row r="2497" spans="1:5" hidden="1" outlineLevel="1">
      <c r="A2497" s="32">
        <v>3</v>
      </c>
      <c r="B2497" s="2150"/>
      <c r="C2497" s="32">
        <v>15.059999999999999</v>
      </c>
      <c r="D2497" s="32">
        <v>15.059999999999999</v>
      </c>
      <c r="E2497" s="2156"/>
    </row>
    <row r="2498" spans="1:5" hidden="1" outlineLevel="1">
      <c r="A2498" s="32">
        <v>2</v>
      </c>
      <c r="B2498" s="2150"/>
      <c r="C2498" s="32">
        <v>10.039999999999999</v>
      </c>
      <c r="D2498" s="32">
        <v>10.039999999999999</v>
      </c>
      <c r="E2498" s="2156"/>
    </row>
    <row r="2499" spans="1:5" hidden="1" outlineLevel="1">
      <c r="A2499" s="32">
        <v>1</v>
      </c>
      <c r="B2499" s="2150"/>
      <c r="C2499" s="32">
        <v>5.0199999999999996</v>
      </c>
      <c r="D2499" s="32">
        <v>5.0199999999999996</v>
      </c>
      <c r="E2499" s="2156"/>
    </row>
    <row r="2500" spans="1:5" hidden="1" outlineLevel="1">
      <c r="A2500" s="32">
        <v>2</v>
      </c>
      <c r="B2500" s="2150"/>
      <c r="C2500" s="32">
        <v>10.039999999999999</v>
      </c>
      <c r="D2500" s="32">
        <v>10.039999999999999</v>
      </c>
      <c r="E2500" s="2156"/>
    </row>
    <row r="2501" spans="1:5" hidden="1" outlineLevel="1">
      <c r="A2501" s="32">
        <v>2</v>
      </c>
      <c r="B2501" s="2150"/>
      <c r="C2501" s="32">
        <v>10.039999999999999</v>
      </c>
      <c r="D2501" s="32">
        <v>10.039999999999999</v>
      </c>
      <c r="E2501" s="2156"/>
    </row>
    <row r="2502" spans="1:5" hidden="1" outlineLevel="1">
      <c r="A2502" s="32">
        <v>3</v>
      </c>
      <c r="B2502" s="2150"/>
      <c r="C2502" s="32">
        <v>15.059999999999999</v>
      </c>
      <c r="D2502" s="32">
        <v>15.059999999999999</v>
      </c>
      <c r="E2502" s="2156"/>
    </row>
    <row r="2503" spans="1:5" hidden="1" outlineLevel="1">
      <c r="A2503" s="32">
        <v>3</v>
      </c>
      <c r="B2503" s="2150"/>
      <c r="C2503" s="32">
        <v>15.059999999999999</v>
      </c>
      <c r="D2503" s="32">
        <v>15.059999999999999</v>
      </c>
      <c r="E2503" s="2156"/>
    </row>
    <row r="2504" spans="1:5" hidden="1" outlineLevel="1">
      <c r="A2504" s="32">
        <v>4</v>
      </c>
      <c r="B2504" s="2150"/>
      <c r="C2504" s="32">
        <v>20.079999999999998</v>
      </c>
      <c r="D2504" s="32">
        <v>20.079999999999998</v>
      </c>
      <c r="E2504" s="2156"/>
    </row>
    <row r="2505" spans="1:5" hidden="1" outlineLevel="1">
      <c r="A2505" s="32">
        <v>2</v>
      </c>
      <c r="B2505" s="2150"/>
      <c r="C2505" s="32">
        <v>10.039999999999999</v>
      </c>
      <c r="D2505" s="32">
        <v>10.039999999999999</v>
      </c>
      <c r="E2505" s="2156"/>
    </row>
    <row r="2506" spans="1:5" hidden="1" outlineLevel="1">
      <c r="A2506" s="32">
        <v>1</v>
      </c>
      <c r="B2506" s="2150"/>
      <c r="C2506" s="32">
        <v>5.0199999999999996</v>
      </c>
      <c r="D2506" s="32">
        <v>5.0199999999999996</v>
      </c>
      <c r="E2506" s="2156"/>
    </row>
    <row r="2507" spans="1:5" hidden="1" outlineLevel="1">
      <c r="A2507" s="32">
        <v>1</v>
      </c>
      <c r="B2507" s="2150"/>
      <c r="C2507" s="32">
        <v>5.0199999999999996</v>
      </c>
      <c r="D2507" s="32">
        <v>5.0199999999999996</v>
      </c>
      <c r="E2507" s="2156"/>
    </row>
    <row r="2508" spans="1:5" hidden="1" outlineLevel="1">
      <c r="A2508" s="32">
        <v>1</v>
      </c>
      <c r="B2508" s="2150"/>
      <c r="C2508" s="32">
        <v>5.0199999999999996</v>
      </c>
      <c r="D2508" s="32">
        <v>5.0199999999999996</v>
      </c>
      <c r="E2508" s="2156"/>
    </row>
    <row r="2509" spans="1:5" hidden="1" outlineLevel="1">
      <c r="A2509" s="32">
        <v>6</v>
      </c>
      <c r="B2509" s="2151">
        <v>4.58</v>
      </c>
      <c r="C2509" s="32">
        <v>27.48</v>
      </c>
      <c r="D2509" s="32">
        <v>27.48</v>
      </c>
      <c r="E2509" s="2156"/>
    </row>
    <row r="2510" spans="1:5" hidden="1" outlineLevel="1">
      <c r="A2510" s="32">
        <v>7</v>
      </c>
      <c r="B2510" s="2151"/>
      <c r="C2510" s="32">
        <v>32.06</v>
      </c>
      <c r="D2510" s="32">
        <v>32.06</v>
      </c>
      <c r="E2510" s="2156"/>
    </row>
    <row r="2511" spans="1:5" hidden="1" outlineLevel="1">
      <c r="A2511" s="32">
        <v>12</v>
      </c>
      <c r="B2511" s="2151"/>
      <c r="C2511" s="32">
        <v>54.96</v>
      </c>
      <c r="D2511" s="32">
        <v>54.96</v>
      </c>
      <c r="E2511" s="2156"/>
    </row>
    <row r="2512" spans="1:5" hidden="1" outlineLevel="1">
      <c r="A2512" s="32">
        <v>41</v>
      </c>
      <c r="B2512" s="2151"/>
      <c r="C2512" s="32">
        <v>187.78</v>
      </c>
      <c r="D2512" s="32">
        <v>187.78</v>
      </c>
      <c r="E2512" s="2156"/>
    </row>
    <row r="2513" spans="1:5" hidden="1" outlineLevel="1">
      <c r="A2513" s="32">
        <v>3</v>
      </c>
      <c r="B2513" s="2151">
        <v>5.0199999999999996</v>
      </c>
      <c r="C2513" s="32">
        <v>15.059999999999999</v>
      </c>
      <c r="D2513" s="32">
        <v>15.059999999999999</v>
      </c>
      <c r="E2513" s="2156"/>
    </row>
    <row r="2514" spans="1:5" hidden="1" outlineLevel="1">
      <c r="A2514" s="32">
        <v>3</v>
      </c>
      <c r="B2514" s="2151"/>
      <c r="C2514" s="32">
        <v>15.059999999999999</v>
      </c>
      <c r="D2514" s="32">
        <v>15.059999999999999</v>
      </c>
      <c r="E2514" s="2156"/>
    </row>
    <row r="2515" spans="1:5" hidden="1" outlineLevel="1">
      <c r="A2515" s="32">
        <v>3</v>
      </c>
      <c r="B2515" s="2151"/>
      <c r="C2515" s="32">
        <v>15.059999999999999</v>
      </c>
      <c r="D2515" s="32">
        <v>15.059999999999999</v>
      </c>
      <c r="E2515" s="2156"/>
    </row>
    <row r="2516" spans="1:5" hidden="1" outlineLevel="1">
      <c r="A2516" s="32">
        <v>3</v>
      </c>
      <c r="B2516" s="2151"/>
      <c r="C2516" s="32">
        <v>15.059999999999999</v>
      </c>
      <c r="D2516" s="32">
        <v>15.059999999999999</v>
      </c>
      <c r="E2516" s="2156"/>
    </row>
    <row r="2517" spans="1:5" hidden="1" outlineLevel="1">
      <c r="A2517" s="32">
        <v>3</v>
      </c>
      <c r="B2517" s="2151"/>
      <c r="C2517" s="32">
        <v>15.059999999999999</v>
      </c>
      <c r="D2517" s="32">
        <v>15.059999999999999</v>
      </c>
      <c r="E2517" s="2156"/>
    </row>
    <row r="2518" spans="1:5" hidden="1" outlineLevel="1">
      <c r="A2518" s="32">
        <v>3</v>
      </c>
      <c r="B2518" s="2151"/>
      <c r="C2518" s="32">
        <v>15.059999999999999</v>
      </c>
      <c r="D2518" s="32">
        <v>15.059999999999999</v>
      </c>
      <c r="E2518" s="2156"/>
    </row>
    <row r="2519" spans="1:5" hidden="1" outlineLevel="1">
      <c r="A2519" s="32">
        <v>3</v>
      </c>
      <c r="B2519" s="2151"/>
      <c r="C2519" s="32">
        <v>15.059999999999999</v>
      </c>
      <c r="D2519" s="32">
        <v>15.059999999999999</v>
      </c>
      <c r="E2519" s="2156"/>
    </row>
    <row r="2520" spans="1:5" hidden="1" outlineLevel="1">
      <c r="A2520" s="32">
        <v>3</v>
      </c>
      <c r="B2520" s="2151"/>
      <c r="C2520" s="32">
        <v>15.059999999999999</v>
      </c>
      <c r="D2520" s="32">
        <v>15.059999999999999</v>
      </c>
      <c r="E2520" s="2156"/>
    </row>
    <row r="2521" spans="1:5" hidden="1" outlineLevel="1">
      <c r="A2521" s="32">
        <v>3</v>
      </c>
      <c r="B2521" s="2151"/>
      <c r="C2521" s="32">
        <v>15.059999999999999</v>
      </c>
      <c r="D2521" s="32">
        <v>15.059999999999999</v>
      </c>
      <c r="E2521" s="2156"/>
    </row>
    <row r="2522" spans="1:5" hidden="1" outlineLevel="1">
      <c r="A2522" s="32">
        <v>2</v>
      </c>
      <c r="B2522" s="2151"/>
      <c r="C2522" s="32">
        <v>10.039999999999999</v>
      </c>
      <c r="D2522" s="32">
        <v>10.039999999999999</v>
      </c>
      <c r="E2522" s="2156"/>
    </row>
    <row r="2523" spans="1:5" hidden="1" outlineLevel="1">
      <c r="A2523" s="32">
        <v>2</v>
      </c>
      <c r="B2523" s="2151"/>
      <c r="C2523" s="32">
        <v>10.039999999999999</v>
      </c>
      <c r="D2523" s="32">
        <v>10.039999999999999</v>
      </c>
      <c r="E2523" s="2156"/>
    </row>
    <row r="2524" spans="1:5" hidden="1" outlineLevel="1">
      <c r="A2524" s="32">
        <v>3</v>
      </c>
      <c r="B2524" s="2151"/>
      <c r="C2524" s="32">
        <v>15.059999999999999</v>
      </c>
      <c r="D2524" s="32">
        <v>15.059999999999999</v>
      </c>
      <c r="E2524" s="2156"/>
    </row>
    <row r="2525" spans="1:5" hidden="1" outlineLevel="1">
      <c r="A2525" s="32">
        <v>3</v>
      </c>
      <c r="B2525" s="2151"/>
      <c r="C2525" s="32">
        <v>15.059999999999999</v>
      </c>
      <c r="D2525" s="32">
        <v>15.059999999999999</v>
      </c>
      <c r="E2525" s="2156"/>
    </row>
    <row r="2526" spans="1:5" hidden="1" outlineLevel="1">
      <c r="A2526" s="32">
        <v>2</v>
      </c>
      <c r="B2526" s="2151"/>
      <c r="C2526" s="32">
        <v>10.039999999999999</v>
      </c>
      <c r="D2526" s="32">
        <v>10.039999999999999</v>
      </c>
      <c r="E2526" s="2156"/>
    </row>
    <row r="2527" spans="1:5" hidden="1" outlineLevel="1">
      <c r="A2527" s="32">
        <v>3</v>
      </c>
      <c r="B2527" s="2151"/>
      <c r="C2527" s="32">
        <v>15.059999999999999</v>
      </c>
      <c r="D2527" s="32">
        <v>15.059999999999999</v>
      </c>
      <c r="E2527" s="2156"/>
    </row>
    <row r="2528" spans="1:5" hidden="1" outlineLevel="1">
      <c r="A2528" s="32">
        <v>3</v>
      </c>
      <c r="B2528" s="2151"/>
      <c r="C2528" s="32">
        <v>15.059999999999999</v>
      </c>
      <c r="D2528" s="32">
        <v>15.059999999999999</v>
      </c>
      <c r="E2528" s="2156"/>
    </row>
    <row r="2529" spans="1:5" hidden="1" outlineLevel="1">
      <c r="A2529" s="32">
        <v>3</v>
      </c>
      <c r="B2529" s="2151"/>
      <c r="C2529" s="32">
        <v>15.059999999999999</v>
      </c>
      <c r="D2529" s="32">
        <v>15.059999999999999</v>
      </c>
      <c r="E2529" s="2156"/>
    </row>
    <row r="2530" spans="1:5" hidden="1" outlineLevel="1">
      <c r="A2530" s="32">
        <v>3</v>
      </c>
      <c r="B2530" s="2151"/>
      <c r="C2530" s="32">
        <v>15.059999999999999</v>
      </c>
      <c r="D2530" s="32">
        <v>15.059999999999999</v>
      </c>
      <c r="E2530" s="2156"/>
    </row>
    <row r="2531" spans="1:5" hidden="1" outlineLevel="1">
      <c r="A2531" s="32">
        <v>3</v>
      </c>
      <c r="B2531" s="2151"/>
      <c r="C2531" s="32">
        <v>15.059999999999999</v>
      </c>
      <c r="D2531" s="32">
        <v>15.059999999999999</v>
      </c>
      <c r="E2531" s="2156"/>
    </row>
    <row r="2532" spans="1:5" hidden="1" outlineLevel="1">
      <c r="A2532" s="32">
        <v>3</v>
      </c>
      <c r="B2532" s="2151"/>
      <c r="C2532" s="32">
        <v>15.059999999999999</v>
      </c>
      <c r="D2532" s="32">
        <v>15.059999999999999</v>
      </c>
      <c r="E2532" s="2156"/>
    </row>
    <row r="2533" spans="1:5" hidden="1" outlineLevel="1">
      <c r="A2533" s="32">
        <v>3</v>
      </c>
      <c r="B2533" s="2151"/>
      <c r="C2533" s="32">
        <v>15.059999999999999</v>
      </c>
      <c r="D2533" s="32">
        <v>15.059999999999999</v>
      </c>
      <c r="E2533" s="2156"/>
    </row>
    <row r="2534" spans="1:5" hidden="1" outlineLevel="1">
      <c r="A2534" s="32">
        <v>3</v>
      </c>
      <c r="B2534" s="2151"/>
      <c r="C2534" s="32">
        <v>15.059999999999999</v>
      </c>
      <c r="D2534" s="32">
        <v>15.059999999999999</v>
      </c>
      <c r="E2534" s="2156"/>
    </row>
    <row r="2535" spans="1:5" hidden="1" outlineLevel="1">
      <c r="A2535" s="32">
        <v>2</v>
      </c>
      <c r="B2535" s="2151"/>
      <c r="C2535" s="32">
        <v>10.039999999999999</v>
      </c>
      <c r="D2535" s="32">
        <v>10.039999999999999</v>
      </c>
      <c r="E2535" s="2156"/>
    </row>
    <row r="2536" spans="1:5" hidden="1" outlineLevel="1">
      <c r="A2536" s="32">
        <v>3</v>
      </c>
      <c r="B2536" s="2151"/>
      <c r="C2536" s="32">
        <v>15.059999999999999</v>
      </c>
      <c r="D2536" s="32">
        <v>15.059999999999999</v>
      </c>
      <c r="E2536" s="2156"/>
    </row>
    <row r="2537" spans="1:5" hidden="1" outlineLevel="1">
      <c r="A2537" s="32">
        <v>3</v>
      </c>
      <c r="B2537" s="2151"/>
      <c r="C2537" s="32">
        <v>15.059999999999999</v>
      </c>
      <c r="D2537" s="32">
        <v>15.059999999999999</v>
      </c>
      <c r="E2537" s="2156"/>
    </row>
    <row r="2538" spans="1:5" hidden="1" outlineLevel="1">
      <c r="A2538" s="32">
        <v>1</v>
      </c>
      <c r="B2538" s="2151"/>
      <c r="C2538" s="32">
        <v>5.0199999999999996</v>
      </c>
      <c r="D2538" s="32">
        <v>5.0199999999999996</v>
      </c>
      <c r="E2538" s="2156"/>
    </row>
    <row r="2539" spans="1:5" hidden="1" outlineLevel="1">
      <c r="A2539" s="32">
        <v>2</v>
      </c>
      <c r="B2539" s="2151"/>
      <c r="C2539" s="32">
        <v>10.039999999999999</v>
      </c>
      <c r="D2539" s="32">
        <v>10.039999999999999</v>
      </c>
      <c r="E2539" s="2156"/>
    </row>
    <row r="2540" spans="1:5" hidden="1" outlineLevel="1">
      <c r="A2540" s="32">
        <v>3</v>
      </c>
      <c r="B2540" s="2151"/>
      <c r="C2540" s="32">
        <v>15.059999999999999</v>
      </c>
      <c r="D2540" s="32">
        <v>15.059999999999999</v>
      </c>
      <c r="E2540" s="2156"/>
    </row>
    <row r="2541" spans="1:5" hidden="1" outlineLevel="1">
      <c r="A2541" s="32">
        <v>1</v>
      </c>
      <c r="B2541" s="2151"/>
      <c r="C2541" s="32">
        <v>5.0199999999999996</v>
      </c>
      <c r="D2541" s="32">
        <v>5.0199999999999996</v>
      </c>
      <c r="E2541" s="2156"/>
    </row>
    <row r="2542" spans="1:5" hidden="1" outlineLevel="1">
      <c r="A2542" s="32">
        <v>1</v>
      </c>
      <c r="B2542" s="2151"/>
      <c r="C2542" s="32">
        <v>5.0199999999999996</v>
      </c>
      <c r="D2542" s="32">
        <v>5.0199999999999996</v>
      </c>
      <c r="E2542" s="2156"/>
    </row>
    <row r="2543" spans="1:5" hidden="1" outlineLevel="1">
      <c r="A2543" s="32">
        <v>6</v>
      </c>
      <c r="B2543" s="2151"/>
      <c r="C2543" s="32">
        <v>30.119999999999997</v>
      </c>
      <c r="D2543" s="32">
        <v>30.119999999999997</v>
      </c>
      <c r="E2543" s="2156"/>
    </row>
    <row r="2544" spans="1:5" hidden="1" outlineLevel="1">
      <c r="A2544" s="32">
        <v>4</v>
      </c>
      <c r="B2544" s="2151"/>
      <c r="C2544" s="32">
        <v>20.079999999999998</v>
      </c>
      <c r="D2544" s="32">
        <v>20.079999999999998</v>
      </c>
      <c r="E2544" s="2156"/>
    </row>
    <row r="2545" spans="1:5" hidden="1" outlineLevel="1">
      <c r="A2545" s="32">
        <v>2</v>
      </c>
      <c r="B2545" s="2151"/>
      <c r="C2545" s="32">
        <v>10.039999999999999</v>
      </c>
      <c r="D2545" s="32">
        <v>10.039999999999999</v>
      </c>
      <c r="E2545" s="2156"/>
    </row>
    <row r="2546" spans="1:5" hidden="1" outlineLevel="1">
      <c r="A2546" s="32">
        <v>4</v>
      </c>
      <c r="B2546" s="2151"/>
      <c r="C2546" s="32">
        <v>20.079999999999998</v>
      </c>
      <c r="D2546" s="32">
        <v>20.079999999999998</v>
      </c>
      <c r="E2546" s="2156"/>
    </row>
    <row r="2547" spans="1:5" hidden="1" outlineLevel="1">
      <c r="A2547" s="32">
        <v>2</v>
      </c>
      <c r="B2547" s="2151"/>
      <c r="C2547" s="32">
        <v>10.039999999999999</v>
      </c>
      <c r="D2547" s="32">
        <v>10.039999999999999</v>
      </c>
      <c r="E2547" s="2156"/>
    </row>
    <row r="2548" spans="1:5" hidden="1" outlineLevel="1">
      <c r="A2548" s="32">
        <v>4</v>
      </c>
      <c r="B2548" s="2151"/>
      <c r="C2548" s="32">
        <v>20.079999999999998</v>
      </c>
      <c r="D2548" s="32">
        <v>20.079999999999998</v>
      </c>
      <c r="E2548" s="2156"/>
    </row>
    <row r="2549" spans="1:5" hidden="1" outlineLevel="1">
      <c r="A2549" s="32">
        <v>4</v>
      </c>
      <c r="B2549" s="2151"/>
      <c r="C2549" s="32">
        <v>20.079999999999998</v>
      </c>
      <c r="D2549" s="32">
        <v>20.079999999999998</v>
      </c>
      <c r="E2549" s="2156"/>
    </row>
    <row r="2550" spans="1:5" hidden="1" outlineLevel="1">
      <c r="A2550" s="32">
        <v>2</v>
      </c>
      <c r="B2550" s="2151"/>
      <c r="C2550" s="32">
        <v>10.039999999999999</v>
      </c>
      <c r="D2550" s="32">
        <v>10.039999999999999</v>
      </c>
      <c r="E2550" s="2156"/>
    </row>
    <row r="2551" spans="1:5" hidden="1" outlineLevel="1">
      <c r="A2551" s="32">
        <v>2</v>
      </c>
      <c r="B2551" s="2151"/>
      <c r="C2551" s="32">
        <v>10.039999999999999</v>
      </c>
      <c r="D2551" s="32">
        <v>10.039999999999999</v>
      </c>
      <c r="E2551" s="2157"/>
    </row>
    <row r="2552" spans="1:5" hidden="1" outlineLevel="1">
      <c r="A2552" s="2146" t="s">
        <v>560</v>
      </c>
      <c r="B2552" s="2146"/>
      <c r="C2552" s="2146"/>
      <c r="D2552" s="2147">
        <f>SUM(D2467:D2551)</f>
        <v>1286.8199999999981</v>
      </c>
      <c r="E2552" s="2147" t="s">
        <v>39</v>
      </c>
    </row>
    <row r="2553" spans="1:5" hidden="1" outlineLevel="1">
      <c r="A2553" s="2146"/>
      <c r="B2553" s="2146"/>
      <c r="C2553" s="2146"/>
      <c r="D2553" s="2147"/>
      <c r="E2553" s="2147"/>
    </row>
    <row r="2554" spans="1:5" hidden="1" outlineLevel="1">
      <c r="A2554" s="32">
        <v>10</v>
      </c>
      <c r="B2554" s="63">
        <v>4.58</v>
      </c>
      <c r="C2554" s="32">
        <v>45.8</v>
      </c>
      <c r="D2554" s="32">
        <v>45.8</v>
      </c>
      <c r="E2554" s="2150" t="s">
        <v>39</v>
      </c>
    </row>
    <row r="2555" spans="1:5" hidden="1" outlineLevel="1">
      <c r="A2555" s="32">
        <v>1</v>
      </c>
      <c r="B2555" s="2150">
        <v>5.0199999999999996</v>
      </c>
      <c r="C2555" s="32">
        <v>5.0199999999999996</v>
      </c>
      <c r="D2555" s="32">
        <v>5.0199999999999996</v>
      </c>
      <c r="E2555" s="2150"/>
    </row>
    <row r="2556" spans="1:5" hidden="1" outlineLevel="1">
      <c r="A2556" s="32">
        <v>1</v>
      </c>
      <c r="B2556" s="2150"/>
      <c r="C2556" s="32">
        <v>5.0199999999999996</v>
      </c>
      <c r="D2556" s="32">
        <v>5.0199999999999996</v>
      </c>
      <c r="E2556" s="2150"/>
    </row>
    <row r="2557" spans="1:5" hidden="1" outlineLevel="1">
      <c r="A2557" s="32">
        <v>2</v>
      </c>
      <c r="B2557" s="2150"/>
      <c r="C2557" s="32">
        <v>10.039999999999999</v>
      </c>
      <c r="D2557" s="32">
        <v>10.039999999999999</v>
      </c>
      <c r="E2557" s="2150"/>
    </row>
    <row r="2558" spans="1:5" hidden="1" outlineLevel="1">
      <c r="A2558" s="32">
        <v>1</v>
      </c>
      <c r="B2558" s="2150"/>
      <c r="C2558" s="32">
        <v>5.0199999999999996</v>
      </c>
      <c r="D2558" s="32">
        <v>5.0199999999999996</v>
      </c>
      <c r="E2558" s="2150"/>
    </row>
    <row r="2559" spans="1:5" hidden="1" outlineLevel="1">
      <c r="A2559" s="32">
        <v>1</v>
      </c>
      <c r="B2559" s="2150"/>
      <c r="C2559" s="32">
        <v>5.0199999999999996</v>
      </c>
      <c r="D2559" s="32">
        <v>5.0199999999999996</v>
      </c>
      <c r="E2559" s="2150"/>
    </row>
    <row r="2560" spans="1:5" hidden="1" outlineLevel="1">
      <c r="A2560" s="32">
        <v>1</v>
      </c>
      <c r="B2560" s="2150"/>
      <c r="C2560" s="32">
        <v>5.0199999999999996</v>
      </c>
      <c r="D2560" s="32">
        <v>5.0199999999999996</v>
      </c>
      <c r="E2560" s="2150"/>
    </row>
    <row r="2561" spans="1:5" hidden="1" outlineLevel="1">
      <c r="A2561" s="32">
        <v>1</v>
      </c>
      <c r="B2561" s="2150"/>
      <c r="C2561" s="32">
        <v>5.0199999999999996</v>
      </c>
      <c r="D2561" s="32">
        <v>5.0199999999999996</v>
      </c>
      <c r="E2561" s="2150"/>
    </row>
    <row r="2562" spans="1:5" hidden="1" outlineLevel="1">
      <c r="A2562" s="32">
        <v>1</v>
      </c>
      <c r="B2562" s="2150"/>
      <c r="C2562" s="32">
        <v>5.0199999999999996</v>
      </c>
      <c r="D2562" s="32">
        <v>5.0199999999999996</v>
      </c>
      <c r="E2562" s="2150"/>
    </row>
    <row r="2563" spans="1:5" hidden="1" outlineLevel="1">
      <c r="A2563" s="32">
        <v>1</v>
      </c>
      <c r="B2563" s="2150"/>
      <c r="C2563" s="32">
        <v>5.0199999999999996</v>
      </c>
      <c r="D2563" s="32">
        <v>5.0199999999999996</v>
      </c>
      <c r="E2563" s="2150"/>
    </row>
    <row r="2564" spans="1:5" hidden="1" outlineLevel="1">
      <c r="A2564" s="32">
        <v>1</v>
      </c>
      <c r="B2564" s="2150"/>
      <c r="C2564" s="32">
        <v>5.0199999999999996</v>
      </c>
      <c r="D2564" s="32">
        <v>5.0199999999999996</v>
      </c>
      <c r="E2564" s="2150"/>
    </row>
    <row r="2565" spans="1:5" hidden="1" outlineLevel="1">
      <c r="A2565" s="32">
        <v>1</v>
      </c>
      <c r="B2565" s="2150"/>
      <c r="C2565" s="32">
        <v>5.0199999999999996</v>
      </c>
      <c r="D2565" s="32">
        <v>5.0199999999999996</v>
      </c>
      <c r="E2565" s="2150"/>
    </row>
    <row r="2566" spans="1:5" hidden="1" outlineLevel="1">
      <c r="A2566" s="32">
        <v>2</v>
      </c>
      <c r="B2566" s="2150"/>
      <c r="C2566" s="32">
        <v>10.039999999999999</v>
      </c>
      <c r="D2566" s="32">
        <v>10.039999999999999</v>
      </c>
      <c r="E2566" s="2150"/>
    </row>
    <row r="2567" spans="1:5" hidden="1" outlineLevel="1">
      <c r="A2567" s="32">
        <v>3</v>
      </c>
      <c r="B2567" s="2150"/>
      <c r="C2567" s="32">
        <v>15.059999999999999</v>
      </c>
      <c r="D2567" s="32">
        <v>15.059999999999999</v>
      </c>
      <c r="E2567" s="2150"/>
    </row>
    <row r="2568" spans="1:5" hidden="1" outlineLevel="1">
      <c r="A2568" s="32">
        <v>2</v>
      </c>
      <c r="B2568" s="2150"/>
      <c r="C2568" s="32">
        <v>10.039999999999999</v>
      </c>
      <c r="D2568" s="32">
        <v>10.039999999999999</v>
      </c>
      <c r="E2568" s="2150"/>
    </row>
    <row r="2569" spans="1:5" hidden="1" outlineLevel="1">
      <c r="A2569" s="32">
        <v>2</v>
      </c>
      <c r="B2569" s="2150"/>
      <c r="C2569" s="32">
        <v>10.039999999999999</v>
      </c>
      <c r="D2569" s="32">
        <v>10.039999999999999</v>
      </c>
      <c r="E2569" s="2150"/>
    </row>
    <row r="2570" spans="1:5" hidden="1" outlineLevel="1">
      <c r="A2570" s="32">
        <v>7</v>
      </c>
      <c r="B2570" s="2150"/>
      <c r="C2570" s="32">
        <v>35.14</v>
      </c>
      <c r="D2570" s="32">
        <v>35.14</v>
      </c>
      <c r="E2570" s="2150"/>
    </row>
    <row r="2571" spans="1:5" hidden="1" outlineLevel="1">
      <c r="A2571" s="32">
        <v>1</v>
      </c>
      <c r="B2571" s="2150"/>
      <c r="C2571" s="32">
        <v>5.0199999999999996</v>
      </c>
      <c r="D2571" s="32">
        <v>5.0199999999999996</v>
      </c>
      <c r="E2571" s="2150"/>
    </row>
    <row r="2572" spans="1:5" hidden="1" outlineLevel="1">
      <c r="A2572" s="32">
        <v>2</v>
      </c>
      <c r="B2572" s="2150"/>
      <c r="C2572" s="32">
        <v>10.039999999999999</v>
      </c>
      <c r="D2572" s="32">
        <v>10.039999999999999</v>
      </c>
      <c r="E2572" s="2150"/>
    </row>
    <row r="2573" spans="1:5" hidden="1" outlineLevel="1">
      <c r="A2573" s="32">
        <v>1</v>
      </c>
      <c r="B2573" s="2150"/>
      <c r="C2573" s="32">
        <v>5.0199999999999996</v>
      </c>
      <c r="D2573" s="32">
        <v>5.0199999999999996</v>
      </c>
      <c r="E2573" s="2150"/>
    </row>
    <row r="2574" spans="1:5" hidden="1" outlineLevel="1">
      <c r="A2574" s="32">
        <v>3</v>
      </c>
      <c r="B2574" s="2150"/>
      <c r="C2574" s="32">
        <v>15.059999999999999</v>
      </c>
      <c r="D2574" s="32">
        <v>15.059999999999999</v>
      </c>
      <c r="E2574" s="2150"/>
    </row>
    <row r="2575" spans="1:5" hidden="1" outlineLevel="1">
      <c r="A2575" s="32">
        <v>2</v>
      </c>
      <c r="B2575" s="2150"/>
      <c r="C2575" s="32">
        <v>10.039999999999999</v>
      </c>
      <c r="D2575" s="32">
        <v>10.039999999999999</v>
      </c>
      <c r="E2575" s="2150"/>
    </row>
    <row r="2576" spans="1:5" hidden="1" outlineLevel="1">
      <c r="A2576" s="32">
        <v>1</v>
      </c>
      <c r="B2576" s="2150"/>
      <c r="C2576" s="32">
        <v>5.0199999999999996</v>
      </c>
      <c r="D2576" s="32">
        <v>5.0199999999999996</v>
      </c>
      <c r="E2576" s="2150"/>
    </row>
    <row r="2577" spans="1:5" hidden="1" outlineLevel="1">
      <c r="A2577" s="32">
        <v>2</v>
      </c>
      <c r="B2577" s="2150"/>
      <c r="C2577" s="32">
        <v>10.039999999999999</v>
      </c>
      <c r="D2577" s="32">
        <v>10.039999999999999</v>
      </c>
      <c r="E2577" s="2150"/>
    </row>
    <row r="2578" spans="1:5" hidden="1" outlineLevel="1">
      <c r="A2578" s="32">
        <v>2</v>
      </c>
      <c r="B2578" s="2150"/>
      <c r="C2578" s="32">
        <v>10.039999999999999</v>
      </c>
      <c r="D2578" s="32">
        <v>10.039999999999999</v>
      </c>
      <c r="E2578" s="2150"/>
    </row>
    <row r="2579" spans="1:5" hidden="1" outlineLevel="1">
      <c r="A2579" s="32">
        <v>2</v>
      </c>
      <c r="B2579" s="2150"/>
      <c r="C2579" s="32">
        <v>10.039999999999999</v>
      </c>
      <c r="D2579" s="32">
        <v>10.039999999999999</v>
      </c>
      <c r="E2579" s="2150"/>
    </row>
    <row r="2580" spans="1:5" hidden="1" outlineLevel="1">
      <c r="A2580" s="32">
        <v>3</v>
      </c>
      <c r="B2580" s="2150"/>
      <c r="C2580" s="32">
        <v>15.059999999999999</v>
      </c>
      <c r="D2580" s="32">
        <v>15.059999999999999</v>
      </c>
      <c r="E2580" s="2150"/>
    </row>
    <row r="2581" spans="1:5" hidden="1" outlineLevel="1">
      <c r="A2581" s="32">
        <v>3</v>
      </c>
      <c r="B2581" s="2150"/>
      <c r="C2581" s="32">
        <v>15.059999999999999</v>
      </c>
      <c r="D2581" s="32">
        <v>15.059999999999999</v>
      </c>
      <c r="E2581" s="2150"/>
    </row>
    <row r="2582" spans="1:5" hidden="1" outlineLevel="1">
      <c r="A2582" s="32">
        <v>1</v>
      </c>
      <c r="B2582" s="2150"/>
      <c r="C2582" s="32">
        <v>5.0199999999999996</v>
      </c>
      <c r="D2582" s="32">
        <v>5.0199999999999996</v>
      </c>
      <c r="E2582" s="2150"/>
    </row>
    <row r="2583" spans="1:5" hidden="1" outlineLevel="1">
      <c r="A2583" s="32">
        <v>2</v>
      </c>
      <c r="B2583" s="2150"/>
      <c r="C2583" s="32">
        <v>10.039999999999999</v>
      </c>
      <c r="D2583" s="32">
        <v>10.039999999999999</v>
      </c>
      <c r="E2583" s="2150"/>
    </row>
    <row r="2584" spans="1:5" hidden="1" outlineLevel="1">
      <c r="A2584" s="32">
        <v>3</v>
      </c>
      <c r="B2584" s="2150"/>
      <c r="C2584" s="32">
        <v>15.059999999999999</v>
      </c>
      <c r="D2584" s="32">
        <v>15.059999999999999</v>
      </c>
      <c r="E2584" s="2150"/>
    </row>
    <row r="2585" spans="1:5" hidden="1" outlineLevel="1">
      <c r="A2585" s="32">
        <v>2</v>
      </c>
      <c r="B2585" s="2150"/>
      <c r="C2585" s="32">
        <v>10.039999999999999</v>
      </c>
      <c r="D2585" s="32">
        <v>10.039999999999999</v>
      </c>
      <c r="E2585" s="2150"/>
    </row>
    <row r="2586" spans="1:5" hidden="1" outlineLevel="1">
      <c r="A2586" s="32">
        <v>1</v>
      </c>
      <c r="B2586" s="2150"/>
      <c r="C2586" s="32">
        <v>5.0199999999999996</v>
      </c>
      <c r="D2586" s="32">
        <v>5.0199999999999996</v>
      </c>
      <c r="E2586" s="2150"/>
    </row>
    <row r="2587" spans="1:5" hidden="1" outlineLevel="1">
      <c r="A2587" s="32">
        <v>2</v>
      </c>
      <c r="B2587" s="2150"/>
      <c r="C2587" s="32">
        <v>10.039999999999999</v>
      </c>
      <c r="D2587" s="32">
        <v>10.039999999999999</v>
      </c>
      <c r="E2587" s="2150"/>
    </row>
    <row r="2588" spans="1:5" hidden="1" outlineLevel="1">
      <c r="A2588" s="32">
        <v>2</v>
      </c>
      <c r="B2588" s="2150"/>
      <c r="C2588" s="32">
        <v>10.039999999999999</v>
      </c>
      <c r="D2588" s="32">
        <v>10.039999999999999</v>
      </c>
      <c r="E2588" s="2150"/>
    </row>
    <row r="2589" spans="1:5" hidden="1" outlineLevel="1">
      <c r="A2589" s="32">
        <v>3</v>
      </c>
      <c r="B2589" s="2150"/>
      <c r="C2589" s="32">
        <v>15.059999999999999</v>
      </c>
      <c r="D2589" s="32">
        <v>15.059999999999999</v>
      </c>
      <c r="E2589" s="2150"/>
    </row>
    <row r="2590" spans="1:5" hidden="1" outlineLevel="1">
      <c r="A2590" s="32">
        <v>3</v>
      </c>
      <c r="B2590" s="2150"/>
      <c r="C2590" s="32">
        <v>15.059999999999999</v>
      </c>
      <c r="D2590" s="32">
        <v>15.059999999999999</v>
      </c>
      <c r="E2590" s="2150"/>
    </row>
    <row r="2591" spans="1:5" hidden="1" outlineLevel="1">
      <c r="A2591" s="32">
        <v>4</v>
      </c>
      <c r="B2591" s="2150"/>
      <c r="C2591" s="32">
        <v>20.079999999999998</v>
      </c>
      <c r="D2591" s="32">
        <v>20.079999999999998</v>
      </c>
      <c r="E2591" s="2150"/>
    </row>
    <row r="2592" spans="1:5" hidden="1" outlineLevel="1">
      <c r="A2592" s="32">
        <v>2</v>
      </c>
      <c r="B2592" s="2150"/>
      <c r="C2592" s="32">
        <v>10.039999999999999</v>
      </c>
      <c r="D2592" s="32">
        <v>10.039999999999999</v>
      </c>
      <c r="E2592" s="2150"/>
    </row>
    <row r="2593" spans="1:5" hidden="1" outlineLevel="1">
      <c r="A2593" s="32">
        <v>1</v>
      </c>
      <c r="B2593" s="2150"/>
      <c r="C2593" s="32">
        <v>5.0199999999999996</v>
      </c>
      <c r="D2593" s="32">
        <v>5.0199999999999996</v>
      </c>
      <c r="E2593" s="2150"/>
    </row>
    <row r="2594" spans="1:5" hidden="1" outlineLevel="1">
      <c r="A2594" s="32">
        <v>1</v>
      </c>
      <c r="B2594" s="2150"/>
      <c r="C2594" s="32">
        <v>5.0199999999999996</v>
      </c>
      <c r="D2594" s="32">
        <v>5.0199999999999996</v>
      </c>
      <c r="E2594" s="2150"/>
    </row>
    <row r="2595" spans="1:5" hidden="1" outlineLevel="1">
      <c r="A2595" s="32">
        <v>1</v>
      </c>
      <c r="B2595" s="2150"/>
      <c r="C2595" s="32">
        <v>5.0199999999999996</v>
      </c>
      <c r="D2595" s="32">
        <v>5.0199999999999996</v>
      </c>
      <c r="E2595" s="2150"/>
    </row>
    <row r="2596" spans="1:5" hidden="1" outlineLevel="1">
      <c r="A2596" s="32">
        <v>6</v>
      </c>
      <c r="B2596" s="2150">
        <v>4.58</v>
      </c>
      <c r="C2596" s="32">
        <v>27.48</v>
      </c>
      <c r="D2596" s="32">
        <v>27.48</v>
      </c>
      <c r="E2596" s="2150"/>
    </row>
    <row r="2597" spans="1:5" hidden="1" outlineLevel="1">
      <c r="A2597" s="32">
        <v>7</v>
      </c>
      <c r="B2597" s="2150"/>
      <c r="C2597" s="32">
        <v>32.06</v>
      </c>
      <c r="D2597" s="32">
        <v>32.06</v>
      </c>
      <c r="E2597" s="2150"/>
    </row>
    <row r="2598" spans="1:5" hidden="1" outlineLevel="1">
      <c r="A2598" s="32">
        <v>12</v>
      </c>
      <c r="B2598" s="2150"/>
      <c r="C2598" s="32">
        <v>54.96</v>
      </c>
      <c r="D2598" s="32">
        <v>54.96</v>
      </c>
      <c r="E2598" s="2150"/>
    </row>
    <row r="2599" spans="1:5" hidden="1" outlineLevel="1">
      <c r="A2599" s="32">
        <v>41</v>
      </c>
      <c r="B2599" s="2150"/>
      <c r="C2599" s="32">
        <v>187.78</v>
      </c>
      <c r="D2599" s="32">
        <v>187.78</v>
      </c>
      <c r="E2599" s="2150"/>
    </row>
    <row r="2600" spans="1:5" hidden="1" outlineLevel="1">
      <c r="A2600" s="32">
        <v>3</v>
      </c>
      <c r="B2600" s="2150">
        <v>5.0199999999999996</v>
      </c>
      <c r="C2600" s="32">
        <v>15.059999999999999</v>
      </c>
      <c r="D2600" s="32">
        <v>15.059999999999999</v>
      </c>
      <c r="E2600" s="2150"/>
    </row>
    <row r="2601" spans="1:5" hidden="1" outlineLevel="1">
      <c r="A2601" s="32">
        <v>3</v>
      </c>
      <c r="B2601" s="2150"/>
      <c r="C2601" s="32">
        <v>15.059999999999999</v>
      </c>
      <c r="D2601" s="32">
        <v>15.059999999999999</v>
      </c>
      <c r="E2601" s="2150"/>
    </row>
    <row r="2602" spans="1:5" hidden="1" outlineLevel="1">
      <c r="A2602" s="32">
        <v>3</v>
      </c>
      <c r="B2602" s="2150"/>
      <c r="C2602" s="32">
        <v>15.059999999999999</v>
      </c>
      <c r="D2602" s="32">
        <v>15.059999999999999</v>
      </c>
      <c r="E2602" s="2150"/>
    </row>
    <row r="2603" spans="1:5" hidden="1" outlineLevel="1">
      <c r="A2603" s="32">
        <v>3</v>
      </c>
      <c r="B2603" s="2150"/>
      <c r="C2603" s="32">
        <v>15.059999999999999</v>
      </c>
      <c r="D2603" s="32">
        <v>15.059999999999999</v>
      </c>
      <c r="E2603" s="2150"/>
    </row>
    <row r="2604" spans="1:5" hidden="1" outlineLevel="1">
      <c r="A2604" s="32">
        <v>3</v>
      </c>
      <c r="B2604" s="2150"/>
      <c r="C2604" s="32">
        <v>15.059999999999999</v>
      </c>
      <c r="D2604" s="32">
        <v>15.059999999999999</v>
      </c>
      <c r="E2604" s="2150"/>
    </row>
    <row r="2605" spans="1:5" hidden="1" outlineLevel="1">
      <c r="A2605" s="32">
        <v>3</v>
      </c>
      <c r="B2605" s="2150"/>
      <c r="C2605" s="32">
        <v>15.059999999999999</v>
      </c>
      <c r="D2605" s="32">
        <v>15.059999999999999</v>
      </c>
      <c r="E2605" s="2150"/>
    </row>
    <row r="2606" spans="1:5" hidden="1" outlineLevel="1">
      <c r="A2606" s="32">
        <v>3</v>
      </c>
      <c r="B2606" s="2150"/>
      <c r="C2606" s="32">
        <v>15.059999999999999</v>
      </c>
      <c r="D2606" s="32">
        <v>15.059999999999999</v>
      </c>
      <c r="E2606" s="2150"/>
    </row>
    <row r="2607" spans="1:5" hidden="1" outlineLevel="1">
      <c r="A2607" s="32">
        <v>3</v>
      </c>
      <c r="B2607" s="2150"/>
      <c r="C2607" s="32">
        <v>15.059999999999999</v>
      </c>
      <c r="D2607" s="32">
        <v>15.059999999999999</v>
      </c>
      <c r="E2607" s="2150"/>
    </row>
    <row r="2608" spans="1:5" hidden="1" outlineLevel="1">
      <c r="A2608" s="32">
        <v>3</v>
      </c>
      <c r="B2608" s="2150"/>
      <c r="C2608" s="32">
        <v>15.059999999999999</v>
      </c>
      <c r="D2608" s="32">
        <v>15.059999999999999</v>
      </c>
      <c r="E2608" s="2150"/>
    </row>
    <row r="2609" spans="1:5" hidden="1" outlineLevel="1">
      <c r="A2609" s="32">
        <v>2</v>
      </c>
      <c r="B2609" s="2150"/>
      <c r="C2609" s="32">
        <v>10.039999999999999</v>
      </c>
      <c r="D2609" s="32">
        <v>10.039999999999999</v>
      </c>
      <c r="E2609" s="2150"/>
    </row>
    <row r="2610" spans="1:5" hidden="1" outlineLevel="1">
      <c r="A2610" s="32">
        <v>2</v>
      </c>
      <c r="B2610" s="2150"/>
      <c r="C2610" s="32">
        <v>10.039999999999999</v>
      </c>
      <c r="D2610" s="32">
        <v>10.039999999999999</v>
      </c>
      <c r="E2610" s="2150"/>
    </row>
    <row r="2611" spans="1:5" hidden="1" outlineLevel="1">
      <c r="A2611" s="32">
        <v>3</v>
      </c>
      <c r="B2611" s="2150"/>
      <c r="C2611" s="32">
        <v>15.059999999999999</v>
      </c>
      <c r="D2611" s="32">
        <v>15.059999999999999</v>
      </c>
      <c r="E2611" s="2150"/>
    </row>
    <row r="2612" spans="1:5" hidden="1" outlineLevel="1">
      <c r="A2612" s="32">
        <v>3</v>
      </c>
      <c r="B2612" s="2150"/>
      <c r="C2612" s="32">
        <v>15.059999999999999</v>
      </c>
      <c r="D2612" s="32">
        <v>15.059999999999999</v>
      </c>
      <c r="E2612" s="2150"/>
    </row>
    <row r="2613" spans="1:5" hidden="1" outlineLevel="1">
      <c r="A2613" s="32">
        <v>2</v>
      </c>
      <c r="B2613" s="2150"/>
      <c r="C2613" s="32">
        <v>10.039999999999999</v>
      </c>
      <c r="D2613" s="32">
        <v>10.039999999999999</v>
      </c>
      <c r="E2613" s="2150"/>
    </row>
    <row r="2614" spans="1:5" hidden="1" outlineLevel="1">
      <c r="A2614" s="32">
        <v>3</v>
      </c>
      <c r="B2614" s="2150"/>
      <c r="C2614" s="32">
        <v>15.059999999999999</v>
      </c>
      <c r="D2614" s="32">
        <v>15.059999999999999</v>
      </c>
      <c r="E2614" s="2150"/>
    </row>
    <row r="2615" spans="1:5" hidden="1" outlineLevel="1">
      <c r="A2615" s="32">
        <v>3</v>
      </c>
      <c r="B2615" s="2150"/>
      <c r="C2615" s="32">
        <v>15.059999999999999</v>
      </c>
      <c r="D2615" s="32">
        <v>15.059999999999999</v>
      </c>
      <c r="E2615" s="2150"/>
    </row>
    <row r="2616" spans="1:5" hidden="1" outlineLevel="1">
      <c r="A2616" s="32">
        <v>3</v>
      </c>
      <c r="B2616" s="2150"/>
      <c r="C2616" s="32">
        <v>15.059999999999999</v>
      </c>
      <c r="D2616" s="32">
        <v>15.059999999999999</v>
      </c>
      <c r="E2616" s="2150"/>
    </row>
    <row r="2617" spans="1:5" hidden="1" outlineLevel="1">
      <c r="A2617" s="32">
        <v>3</v>
      </c>
      <c r="B2617" s="2150"/>
      <c r="C2617" s="32">
        <v>15.059999999999999</v>
      </c>
      <c r="D2617" s="32">
        <v>15.059999999999999</v>
      </c>
      <c r="E2617" s="2150"/>
    </row>
    <row r="2618" spans="1:5" hidden="1" outlineLevel="1">
      <c r="A2618" s="32">
        <v>3</v>
      </c>
      <c r="B2618" s="2150"/>
      <c r="C2618" s="32">
        <v>15.059999999999999</v>
      </c>
      <c r="D2618" s="32">
        <v>15.059999999999999</v>
      </c>
      <c r="E2618" s="2150"/>
    </row>
    <row r="2619" spans="1:5" hidden="1" outlineLevel="1">
      <c r="A2619" s="32">
        <v>3</v>
      </c>
      <c r="B2619" s="2150"/>
      <c r="C2619" s="32">
        <v>15.059999999999999</v>
      </c>
      <c r="D2619" s="32">
        <v>15.059999999999999</v>
      </c>
      <c r="E2619" s="2150"/>
    </row>
    <row r="2620" spans="1:5" hidden="1" outlineLevel="1">
      <c r="A2620" s="32">
        <v>3</v>
      </c>
      <c r="B2620" s="2150"/>
      <c r="C2620" s="32">
        <v>15.059999999999999</v>
      </c>
      <c r="D2620" s="32">
        <v>15.059999999999999</v>
      </c>
      <c r="E2620" s="2150"/>
    </row>
    <row r="2621" spans="1:5" hidden="1" outlineLevel="1">
      <c r="A2621" s="32">
        <v>20</v>
      </c>
      <c r="B2621" s="2150"/>
      <c r="C2621" s="32">
        <v>100.39999999999999</v>
      </c>
      <c r="D2621" s="32">
        <v>100.39999999999999</v>
      </c>
      <c r="E2621" s="2150"/>
    </row>
    <row r="2622" spans="1:5" hidden="1" outlineLevel="1">
      <c r="A2622" s="32">
        <v>2</v>
      </c>
      <c r="B2622" s="2150"/>
      <c r="C2622" s="32">
        <v>10.039999999999999</v>
      </c>
      <c r="D2622" s="32">
        <v>10.039999999999999</v>
      </c>
      <c r="E2622" s="2150"/>
    </row>
    <row r="2623" spans="1:5" hidden="1" outlineLevel="1">
      <c r="A2623" s="32">
        <v>3</v>
      </c>
      <c r="B2623" s="2150"/>
      <c r="C2623" s="32">
        <v>15.059999999999999</v>
      </c>
      <c r="D2623" s="32">
        <v>15.059999999999999</v>
      </c>
      <c r="E2623" s="2150"/>
    </row>
    <row r="2624" spans="1:5" hidden="1" outlineLevel="1">
      <c r="A2624" s="32">
        <v>1</v>
      </c>
      <c r="B2624" s="2150"/>
      <c r="C2624" s="32">
        <v>5.0199999999999996</v>
      </c>
      <c r="D2624" s="32">
        <v>5.0199999999999996</v>
      </c>
      <c r="E2624" s="2150"/>
    </row>
    <row r="2625" spans="1:5" hidden="1" outlineLevel="1">
      <c r="A2625" s="32">
        <v>6</v>
      </c>
      <c r="B2625" s="2150"/>
      <c r="C2625" s="32">
        <v>30.119999999999997</v>
      </c>
      <c r="D2625" s="32">
        <v>30.119999999999997</v>
      </c>
      <c r="E2625" s="2150"/>
    </row>
    <row r="2626" spans="1:5" hidden="1" outlineLevel="1">
      <c r="A2626" s="32">
        <v>1</v>
      </c>
      <c r="B2626" s="2150"/>
      <c r="C2626" s="32">
        <v>5.0199999999999996</v>
      </c>
      <c r="D2626" s="32">
        <v>5.0199999999999996</v>
      </c>
      <c r="E2626" s="2150"/>
    </row>
    <row r="2627" spans="1:5" hidden="1" outlineLevel="1">
      <c r="A2627" s="32">
        <v>4</v>
      </c>
      <c r="B2627" s="2150"/>
      <c r="C2627" s="32">
        <v>20.079999999999998</v>
      </c>
      <c r="D2627" s="32">
        <v>20.079999999999998</v>
      </c>
      <c r="E2627" s="2150"/>
    </row>
    <row r="2628" spans="1:5" hidden="1" outlineLevel="1">
      <c r="A2628" s="32">
        <v>2</v>
      </c>
      <c r="B2628" s="2150"/>
      <c r="C2628" s="32">
        <v>10.039999999999999</v>
      </c>
      <c r="D2628" s="32">
        <v>10.039999999999999</v>
      </c>
      <c r="E2628" s="2150"/>
    </row>
    <row r="2629" spans="1:5" hidden="1" outlineLevel="1">
      <c r="A2629" s="32">
        <v>1</v>
      </c>
      <c r="B2629" s="2150"/>
      <c r="C2629" s="32">
        <v>5.0199999999999996</v>
      </c>
      <c r="D2629" s="32">
        <v>5.0199999999999996</v>
      </c>
      <c r="E2629" s="2150"/>
    </row>
    <row r="2630" spans="1:5" hidden="1" outlineLevel="1">
      <c r="A2630" s="32">
        <v>6</v>
      </c>
      <c r="B2630" s="2150"/>
      <c r="C2630" s="32">
        <v>30.119999999999997</v>
      </c>
      <c r="D2630" s="32">
        <v>30.119999999999997</v>
      </c>
      <c r="E2630" s="2150"/>
    </row>
    <row r="2631" spans="1:5" hidden="1" outlineLevel="1">
      <c r="A2631" s="32">
        <v>6</v>
      </c>
      <c r="B2631" s="2150"/>
      <c r="C2631" s="32">
        <v>30.119999999999997</v>
      </c>
      <c r="D2631" s="32">
        <v>30.119999999999997</v>
      </c>
      <c r="E2631" s="2150"/>
    </row>
    <row r="2632" spans="1:5" hidden="1" outlineLevel="1">
      <c r="A2632" s="32">
        <v>2</v>
      </c>
      <c r="B2632" s="2150"/>
      <c r="C2632" s="32">
        <v>10.039999999999999</v>
      </c>
      <c r="D2632" s="32">
        <v>10.039999999999999</v>
      </c>
      <c r="E2632" s="2150"/>
    </row>
    <row r="2633" spans="1:5" hidden="1" outlineLevel="1">
      <c r="A2633" s="32">
        <v>4</v>
      </c>
      <c r="B2633" s="2150"/>
      <c r="C2633" s="32">
        <v>20.079999999999998</v>
      </c>
      <c r="D2633" s="32">
        <v>20.079999999999998</v>
      </c>
      <c r="E2633" s="2150"/>
    </row>
    <row r="2634" spans="1:5" hidden="1" outlineLevel="1">
      <c r="A2634" s="32">
        <v>2</v>
      </c>
      <c r="B2634" s="2150"/>
      <c r="C2634" s="32">
        <v>10.039999999999999</v>
      </c>
      <c r="D2634" s="32">
        <v>10.039999999999999</v>
      </c>
      <c r="E2634" s="2150"/>
    </row>
    <row r="2635" spans="1:5" hidden="1" outlineLevel="1">
      <c r="A2635" s="32">
        <v>4</v>
      </c>
      <c r="B2635" s="2150"/>
      <c r="C2635" s="32">
        <v>20.079999999999998</v>
      </c>
      <c r="D2635" s="32">
        <v>20.079999999999998</v>
      </c>
      <c r="E2635" s="2150"/>
    </row>
    <row r="2636" spans="1:5" hidden="1" outlineLevel="1">
      <c r="A2636" s="32">
        <v>4</v>
      </c>
      <c r="B2636" s="2150"/>
      <c r="C2636" s="32">
        <v>20.079999999999998</v>
      </c>
      <c r="D2636" s="32">
        <v>20.079999999999998</v>
      </c>
      <c r="E2636" s="2150"/>
    </row>
    <row r="2637" spans="1:5" hidden="1" outlineLevel="1">
      <c r="A2637" s="32">
        <v>2</v>
      </c>
      <c r="B2637" s="2150"/>
      <c r="C2637" s="32">
        <v>10.039999999999999</v>
      </c>
      <c r="D2637" s="32">
        <v>10.039999999999999</v>
      </c>
      <c r="E2637" s="2150"/>
    </row>
    <row r="2638" spans="1:5" hidden="1" outlineLevel="1">
      <c r="A2638" s="32">
        <v>2</v>
      </c>
      <c r="B2638" s="2150"/>
      <c r="C2638" s="32">
        <v>10.039999999999999</v>
      </c>
      <c r="D2638" s="32">
        <v>10.039999999999999</v>
      </c>
      <c r="E2638" s="2150"/>
    </row>
    <row r="2639" spans="1:5" hidden="1" outlineLevel="1">
      <c r="A2639" s="2146" t="s">
        <v>559</v>
      </c>
      <c r="B2639" s="2146"/>
      <c r="C2639" s="2146"/>
      <c r="D2639" s="2147">
        <f>SUM(D2554:D2638)</f>
        <v>1402.2799999999982</v>
      </c>
      <c r="E2639" s="2147" t="s">
        <v>39</v>
      </c>
    </row>
    <row r="2640" spans="1:5" hidden="1" outlineLevel="1">
      <c r="A2640" s="2146"/>
      <c r="B2640" s="2146"/>
      <c r="C2640" s="2146"/>
      <c r="D2640" s="2147"/>
      <c r="E2640" s="2147"/>
    </row>
    <row r="2641" spans="1:5" hidden="1" outlineLevel="1">
      <c r="A2641" s="32">
        <v>10</v>
      </c>
      <c r="B2641" s="621">
        <v>4.58</v>
      </c>
      <c r="C2641" s="32">
        <v>45.8</v>
      </c>
      <c r="D2641" s="32">
        <v>45.8</v>
      </c>
      <c r="E2641" s="2150" t="s">
        <v>39</v>
      </c>
    </row>
    <row r="2642" spans="1:5" hidden="1" outlineLevel="1">
      <c r="A2642" s="32">
        <v>1</v>
      </c>
      <c r="B2642" s="2150">
        <v>5.0199999999999996</v>
      </c>
      <c r="C2642" s="32">
        <v>5.0199999999999996</v>
      </c>
      <c r="D2642" s="32">
        <v>5.0199999999999996</v>
      </c>
      <c r="E2642" s="2150"/>
    </row>
    <row r="2643" spans="1:5" hidden="1" outlineLevel="1">
      <c r="A2643" s="32">
        <v>1</v>
      </c>
      <c r="B2643" s="2150"/>
      <c r="C2643" s="32">
        <v>5.0199999999999996</v>
      </c>
      <c r="D2643" s="32">
        <v>5.0199999999999996</v>
      </c>
      <c r="E2643" s="2150"/>
    </row>
    <row r="2644" spans="1:5" hidden="1" outlineLevel="1">
      <c r="A2644" s="32">
        <v>2</v>
      </c>
      <c r="B2644" s="2150"/>
      <c r="C2644" s="32">
        <v>10.039999999999999</v>
      </c>
      <c r="D2644" s="32">
        <v>10.039999999999999</v>
      </c>
      <c r="E2644" s="2150"/>
    </row>
    <row r="2645" spans="1:5" hidden="1" outlineLevel="1">
      <c r="A2645" s="32">
        <v>1</v>
      </c>
      <c r="B2645" s="2150"/>
      <c r="C2645" s="32">
        <v>5.0199999999999996</v>
      </c>
      <c r="D2645" s="32">
        <v>5.0199999999999996</v>
      </c>
      <c r="E2645" s="2150"/>
    </row>
    <row r="2646" spans="1:5" hidden="1" outlineLevel="1">
      <c r="A2646" s="32">
        <v>1</v>
      </c>
      <c r="B2646" s="2150"/>
      <c r="C2646" s="32">
        <v>5.0199999999999996</v>
      </c>
      <c r="D2646" s="32">
        <v>5.0199999999999996</v>
      </c>
      <c r="E2646" s="2150"/>
    </row>
    <row r="2647" spans="1:5" hidden="1" outlineLevel="1">
      <c r="A2647" s="32">
        <v>1</v>
      </c>
      <c r="B2647" s="2150"/>
      <c r="C2647" s="32">
        <v>5.0199999999999996</v>
      </c>
      <c r="D2647" s="32">
        <v>5.0199999999999996</v>
      </c>
      <c r="E2647" s="2150"/>
    </row>
    <row r="2648" spans="1:5" hidden="1" outlineLevel="1">
      <c r="A2648" s="32">
        <v>1</v>
      </c>
      <c r="B2648" s="2150"/>
      <c r="C2648" s="32">
        <v>5.0199999999999996</v>
      </c>
      <c r="D2648" s="32">
        <v>5.0199999999999996</v>
      </c>
      <c r="E2648" s="2150"/>
    </row>
    <row r="2649" spans="1:5" hidden="1" outlineLevel="1">
      <c r="A2649" s="32">
        <v>1</v>
      </c>
      <c r="B2649" s="2150"/>
      <c r="C2649" s="32">
        <v>5.0199999999999996</v>
      </c>
      <c r="D2649" s="32">
        <v>5.0199999999999996</v>
      </c>
      <c r="E2649" s="2150"/>
    </row>
    <row r="2650" spans="1:5" hidden="1" outlineLevel="1">
      <c r="A2650" s="32">
        <v>1</v>
      </c>
      <c r="B2650" s="2150"/>
      <c r="C2650" s="32">
        <v>5.0199999999999996</v>
      </c>
      <c r="D2650" s="32">
        <v>5.0199999999999996</v>
      </c>
      <c r="E2650" s="2150"/>
    </row>
    <row r="2651" spans="1:5" hidden="1" outlineLevel="1">
      <c r="A2651" s="32">
        <v>1</v>
      </c>
      <c r="B2651" s="2150"/>
      <c r="C2651" s="32">
        <v>5.0199999999999996</v>
      </c>
      <c r="D2651" s="32">
        <v>5.0199999999999996</v>
      </c>
      <c r="E2651" s="2150"/>
    </row>
    <row r="2652" spans="1:5" hidden="1" outlineLevel="1">
      <c r="A2652" s="32">
        <v>1</v>
      </c>
      <c r="B2652" s="2150"/>
      <c r="C2652" s="32">
        <v>5.0199999999999996</v>
      </c>
      <c r="D2652" s="32">
        <v>5.0199999999999996</v>
      </c>
      <c r="E2652" s="2150"/>
    </row>
    <row r="2653" spans="1:5" hidden="1" outlineLevel="1">
      <c r="A2653" s="32">
        <v>2</v>
      </c>
      <c r="B2653" s="2150"/>
      <c r="C2653" s="32">
        <v>10.039999999999999</v>
      </c>
      <c r="D2653" s="32">
        <v>10.039999999999999</v>
      </c>
      <c r="E2653" s="2150"/>
    </row>
    <row r="2654" spans="1:5" hidden="1" outlineLevel="1">
      <c r="A2654" s="32">
        <v>3</v>
      </c>
      <c r="B2654" s="2150"/>
      <c r="C2654" s="32">
        <v>15.059999999999999</v>
      </c>
      <c r="D2654" s="32">
        <v>15.059999999999999</v>
      </c>
      <c r="E2654" s="2150"/>
    </row>
    <row r="2655" spans="1:5" hidden="1" outlineLevel="1">
      <c r="A2655" s="32">
        <v>2</v>
      </c>
      <c r="B2655" s="2150"/>
      <c r="C2655" s="32">
        <v>10.039999999999999</v>
      </c>
      <c r="D2655" s="32">
        <v>10.039999999999999</v>
      </c>
      <c r="E2655" s="2150"/>
    </row>
    <row r="2656" spans="1:5" hidden="1" outlineLevel="1">
      <c r="A2656" s="32">
        <v>2</v>
      </c>
      <c r="B2656" s="2150"/>
      <c r="C2656" s="32">
        <v>10.039999999999999</v>
      </c>
      <c r="D2656" s="32">
        <v>10.039999999999999</v>
      </c>
      <c r="E2656" s="2150"/>
    </row>
    <row r="2657" spans="1:5" hidden="1" outlineLevel="1">
      <c r="A2657" s="32">
        <v>7</v>
      </c>
      <c r="B2657" s="2150"/>
      <c r="C2657" s="32">
        <v>35.14</v>
      </c>
      <c r="D2657" s="32">
        <v>35.14</v>
      </c>
      <c r="E2657" s="2150"/>
    </row>
    <row r="2658" spans="1:5" hidden="1" outlineLevel="1">
      <c r="A2658" s="32">
        <v>1</v>
      </c>
      <c r="B2658" s="2150"/>
      <c r="C2658" s="32">
        <v>5.0199999999999996</v>
      </c>
      <c r="D2658" s="32">
        <v>5.0199999999999996</v>
      </c>
      <c r="E2658" s="2150"/>
    </row>
    <row r="2659" spans="1:5" hidden="1" outlineLevel="1">
      <c r="A2659" s="32">
        <v>2</v>
      </c>
      <c r="B2659" s="2150"/>
      <c r="C2659" s="32">
        <v>10.039999999999999</v>
      </c>
      <c r="D2659" s="32">
        <v>10.039999999999999</v>
      </c>
      <c r="E2659" s="2150"/>
    </row>
    <row r="2660" spans="1:5" hidden="1" outlineLevel="1">
      <c r="A2660" s="32">
        <v>1</v>
      </c>
      <c r="B2660" s="2150"/>
      <c r="C2660" s="32">
        <v>5.0199999999999996</v>
      </c>
      <c r="D2660" s="32">
        <v>5.0199999999999996</v>
      </c>
      <c r="E2660" s="2150"/>
    </row>
    <row r="2661" spans="1:5" hidden="1" outlineLevel="1">
      <c r="A2661" s="32">
        <v>3</v>
      </c>
      <c r="B2661" s="2150"/>
      <c r="C2661" s="32">
        <v>15.059999999999999</v>
      </c>
      <c r="D2661" s="32">
        <v>15.059999999999999</v>
      </c>
      <c r="E2661" s="2150"/>
    </row>
    <row r="2662" spans="1:5" hidden="1" outlineLevel="1">
      <c r="A2662" s="32">
        <v>2</v>
      </c>
      <c r="B2662" s="2150"/>
      <c r="C2662" s="32">
        <v>10.039999999999999</v>
      </c>
      <c r="D2662" s="32">
        <v>10.039999999999999</v>
      </c>
      <c r="E2662" s="2150"/>
    </row>
    <row r="2663" spans="1:5" hidden="1" outlineLevel="1">
      <c r="A2663" s="32">
        <v>1</v>
      </c>
      <c r="B2663" s="2150"/>
      <c r="C2663" s="32">
        <v>5.0199999999999996</v>
      </c>
      <c r="D2663" s="32">
        <v>5.0199999999999996</v>
      </c>
      <c r="E2663" s="2150"/>
    </row>
    <row r="2664" spans="1:5" hidden="1" outlineLevel="1">
      <c r="A2664" s="32">
        <v>2</v>
      </c>
      <c r="B2664" s="2150"/>
      <c r="C2664" s="32">
        <v>10.039999999999999</v>
      </c>
      <c r="D2664" s="32">
        <v>10.039999999999999</v>
      </c>
      <c r="E2664" s="2150"/>
    </row>
    <row r="2665" spans="1:5" hidden="1" outlineLevel="1">
      <c r="A2665" s="32">
        <v>2</v>
      </c>
      <c r="B2665" s="2150"/>
      <c r="C2665" s="32">
        <v>10.039999999999999</v>
      </c>
      <c r="D2665" s="32">
        <v>10.039999999999999</v>
      </c>
      <c r="E2665" s="2150"/>
    </row>
    <row r="2666" spans="1:5" hidden="1" outlineLevel="1">
      <c r="A2666" s="32">
        <v>2</v>
      </c>
      <c r="B2666" s="2150"/>
      <c r="C2666" s="32">
        <v>10.039999999999999</v>
      </c>
      <c r="D2666" s="32">
        <v>10.039999999999999</v>
      </c>
      <c r="E2666" s="2150"/>
    </row>
    <row r="2667" spans="1:5" hidden="1" outlineLevel="1">
      <c r="A2667" s="32">
        <v>3</v>
      </c>
      <c r="B2667" s="2150"/>
      <c r="C2667" s="32">
        <v>15.059999999999999</v>
      </c>
      <c r="D2667" s="32">
        <v>15.059999999999999</v>
      </c>
      <c r="E2667" s="2150"/>
    </row>
    <row r="2668" spans="1:5" hidden="1" outlineLevel="1">
      <c r="A2668" s="32">
        <v>3</v>
      </c>
      <c r="B2668" s="2150"/>
      <c r="C2668" s="32">
        <v>15.059999999999999</v>
      </c>
      <c r="D2668" s="32">
        <v>15.059999999999999</v>
      </c>
      <c r="E2668" s="2150"/>
    </row>
    <row r="2669" spans="1:5" hidden="1" outlineLevel="1">
      <c r="A2669" s="32">
        <v>1</v>
      </c>
      <c r="B2669" s="2150"/>
      <c r="C2669" s="32">
        <v>5.0199999999999996</v>
      </c>
      <c r="D2669" s="32">
        <v>5.0199999999999996</v>
      </c>
      <c r="E2669" s="2150"/>
    </row>
    <row r="2670" spans="1:5" hidden="1" outlineLevel="1">
      <c r="A2670" s="32">
        <v>2</v>
      </c>
      <c r="B2670" s="2150"/>
      <c r="C2670" s="32">
        <v>10.039999999999999</v>
      </c>
      <c r="D2670" s="32">
        <v>10.039999999999999</v>
      </c>
      <c r="E2670" s="2150"/>
    </row>
    <row r="2671" spans="1:5" hidden="1" outlineLevel="1">
      <c r="A2671" s="32">
        <v>3</v>
      </c>
      <c r="B2671" s="2150"/>
      <c r="C2671" s="32">
        <v>15.059999999999999</v>
      </c>
      <c r="D2671" s="32">
        <v>15.059999999999999</v>
      </c>
      <c r="E2671" s="2150"/>
    </row>
    <row r="2672" spans="1:5" hidden="1" outlineLevel="1">
      <c r="A2672" s="32">
        <v>2</v>
      </c>
      <c r="B2672" s="2150"/>
      <c r="C2672" s="32">
        <v>10.039999999999999</v>
      </c>
      <c r="D2672" s="32">
        <v>10.039999999999999</v>
      </c>
      <c r="E2672" s="2150"/>
    </row>
    <row r="2673" spans="1:5" hidden="1" outlineLevel="1">
      <c r="A2673" s="32">
        <v>1</v>
      </c>
      <c r="B2673" s="2150"/>
      <c r="C2673" s="32">
        <v>5.0199999999999996</v>
      </c>
      <c r="D2673" s="32">
        <v>5.0199999999999996</v>
      </c>
      <c r="E2673" s="2150"/>
    </row>
    <row r="2674" spans="1:5" hidden="1" outlineLevel="1">
      <c r="A2674" s="32">
        <v>2</v>
      </c>
      <c r="B2674" s="2150"/>
      <c r="C2674" s="32">
        <v>10.039999999999999</v>
      </c>
      <c r="D2674" s="32">
        <v>10.039999999999999</v>
      </c>
      <c r="E2674" s="2150"/>
    </row>
    <row r="2675" spans="1:5" hidden="1" outlineLevel="1">
      <c r="A2675" s="32">
        <v>2</v>
      </c>
      <c r="B2675" s="2150"/>
      <c r="C2675" s="32">
        <v>10.039999999999999</v>
      </c>
      <c r="D2675" s="32">
        <v>10.039999999999999</v>
      </c>
      <c r="E2675" s="2150"/>
    </row>
    <row r="2676" spans="1:5" hidden="1" outlineLevel="1">
      <c r="A2676" s="32">
        <v>3</v>
      </c>
      <c r="B2676" s="2150"/>
      <c r="C2676" s="32">
        <v>15.059999999999999</v>
      </c>
      <c r="D2676" s="32">
        <v>15.059999999999999</v>
      </c>
      <c r="E2676" s="2150"/>
    </row>
    <row r="2677" spans="1:5" hidden="1" outlineLevel="1">
      <c r="A2677" s="32">
        <v>3</v>
      </c>
      <c r="B2677" s="2150"/>
      <c r="C2677" s="32">
        <v>15.059999999999999</v>
      </c>
      <c r="D2677" s="32">
        <v>15.059999999999999</v>
      </c>
      <c r="E2677" s="2150"/>
    </row>
    <row r="2678" spans="1:5" hidden="1" outlineLevel="1">
      <c r="A2678" s="32">
        <v>4</v>
      </c>
      <c r="B2678" s="2150"/>
      <c r="C2678" s="32">
        <v>20.079999999999998</v>
      </c>
      <c r="D2678" s="32">
        <v>20.079999999999998</v>
      </c>
      <c r="E2678" s="2150"/>
    </row>
    <row r="2679" spans="1:5" hidden="1" outlineLevel="1">
      <c r="A2679" s="32">
        <v>2</v>
      </c>
      <c r="B2679" s="2150"/>
      <c r="C2679" s="32">
        <v>10.039999999999999</v>
      </c>
      <c r="D2679" s="32">
        <v>10.039999999999999</v>
      </c>
      <c r="E2679" s="2150"/>
    </row>
    <row r="2680" spans="1:5" hidden="1" outlineLevel="1">
      <c r="A2680" s="32">
        <v>1</v>
      </c>
      <c r="B2680" s="2150"/>
      <c r="C2680" s="32">
        <v>5.0199999999999996</v>
      </c>
      <c r="D2680" s="32">
        <v>5.0199999999999996</v>
      </c>
      <c r="E2680" s="2150"/>
    </row>
    <row r="2681" spans="1:5" hidden="1" outlineLevel="1">
      <c r="A2681" s="32">
        <v>1</v>
      </c>
      <c r="B2681" s="2150"/>
      <c r="C2681" s="32">
        <v>5.0199999999999996</v>
      </c>
      <c r="D2681" s="32">
        <v>5.0199999999999996</v>
      </c>
      <c r="E2681" s="2150"/>
    </row>
    <row r="2682" spans="1:5" hidden="1" outlineLevel="1">
      <c r="A2682" s="32">
        <v>1</v>
      </c>
      <c r="B2682" s="2150"/>
      <c r="C2682" s="32">
        <v>5.0199999999999996</v>
      </c>
      <c r="D2682" s="32">
        <v>5.0199999999999996</v>
      </c>
      <c r="E2682" s="2150"/>
    </row>
    <row r="2683" spans="1:5" hidden="1" outlineLevel="1">
      <c r="A2683" s="32">
        <v>6</v>
      </c>
      <c r="B2683" s="2150">
        <v>4.58</v>
      </c>
      <c r="C2683" s="32">
        <v>27.48</v>
      </c>
      <c r="D2683" s="32">
        <v>27.48</v>
      </c>
      <c r="E2683" s="2150"/>
    </row>
    <row r="2684" spans="1:5" hidden="1" outlineLevel="1">
      <c r="A2684" s="32">
        <v>7</v>
      </c>
      <c r="B2684" s="2150"/>
      <c r="C2684" s="32">
        <v>32.06</v>
      </c>
      <c r="D2684" s="32">
        <v>32.06</v>
      </c>
      <c r="E2684" s="2150"/>
    </row>
    <row r="2685" spans="1:5" hidden="1" outlineLevel="1">
      <c r="A2685" s="32">
        <v>12</v>
      </c>
      <c r="B2685" s="2150"/>
      <c r="C2685" s="32">
        <v>54.96</v>
      </c>
      <c r="D2685" s="32">
        <v>54.96</v>
      </c>
      <c r="E2685" s="2150"/>
    </row>
    <row r="2686" spans="1:5" hidden="1" outlineLevel="1">
      <c r="A2686" s="32">
        <v>41</v>
      </c>
      <c r="B2686" s="2150"/>
      <c r="C2686" s="32">
        <v>187.78</v>
      </c>
      <c r="D2686" s="32">
        <v>187.78</v>
      </c>
      <c r="E2686" s="2150"/>
    </row>
    <row r="2687" spans="1:5" hidden="1" outlineLevel="1">
      <c r="A2687" s="32">
        <v>3</v>
      </c>
      <c r="B2687" s="2150">
        <v>5.0199999999999996</v>
      </c>
      <c r="C2687" s="32">
        <v>15.059999999999999</v>
      </c>
      <c r="D2687" s="32">
        <v>15.059999999999999</v>
      </c>
      <c r="E2687" s="2150"/>
    </row>
    <row r="2688" spans="1:5" hidden="1" outlineLevel="1">
      <c r="A2688" s="32">
        <v>3</v>
      </c>
      <c r="B2688" s="2150"/>
      <c r="C2688" s="32">
        <v>15.059999999999999</v>
      </c>
      <c r="D2688" s="32">
        <v>15.059999999999999</v>
      </c>
      <c r="E2688" s="2150"/>
    </row>
    <row r="2689" spans="1:5" hidden="1" outlineLevel="1">
      <c r="A2689" s="32">
        <v>3</v>
      </c>
      <c r="B2689" s="2150"/>
      <c r="C2689" s="32">
        <v>15.059999999999999</v>
      </c>
      <c r="D2689" s="32">
        <v>15.059999999999999</v>
      </c>
      <c r="E2689" s="2150"/>
    </row>
    <row r="2690" spans="1:5" hidden="1" outlineLevel="1">
      <c r="A2690" s="32">
        <v>3</v>
      </c>
      <c r="B2690" s="2150"/>
      <c r="C2690" s="32">
        <v>15.059999999999999</v>
      </c>
      <c r="D2690" s="32">
        <v>15.059999999999999</v>
      </c>
      <c r="E2690" s="2150"/>
    </row>
    <row r="2691" spans="1:5" hidden="1" outlineLevel="1">
      <c r="A2691" s="32">
        <v>3</v>
      </c>
      <c r="B2691" s="2150"/>
      <c r="C2691" s="32">
        <v>15.059999999999999</v>
      </c>
      <c r="D2691" s="32">
        <v>15.059999999999999</v>
      </c>
      <c r="E2691" s="2150"/>
    </row>
    <row r="2692" spans="1:5" hidden="1" outlineLevel="1">
      <c r="A2692" s="32">
        <v>3</v>
      </c>
      <c r="B2692" s="2150"/>
      <c r="C2692" s="32">
        <v>15.059999999999999</v>
      </c>
      <c r="D2692" s="32">
        <v>15.059999999999999</v>
      </c>
      <c r="E2692" s="2150"/>
    </row>
    <row r="2693" spans="1:5" hidden="1" outlineLevel="1">
      <c r="A2693" s="32">
        <v>3</v>
      </c>
      <c r="B2693" s="2150"/>
      <c r="C2693" s="32">
        <v>15.059999999999999</v>
      </c>
      <c r="D2693" s="32">
        <v>15.059999999999999</v>
      </c>
      <c r="E2693" s="2150"/>
    </row>
    <row r="2694" spans="1:5" hidden="1" outlineLevel="1">
      <c r="A2694" s="32">
        <v>3</v>
      </c>
      <c r="B2694" s="2150"/>
      <c r="C2694" s="32">
        <v>15.059999999999999</v>
      </c>
      <c r="D2694" s="32">
        <v>15.059999999999999</v>
      </c>
      <c r="E2694" s="2150"/>
    </row>
    <row r="2695" spans="1:5" hidden="1" outlineLevel="1">
      <c r="A2695" s="32">
        <v>3</v>
      </c>
      <c r="B2695" s="2150"/>
      <c r="C2695" s="32">
        <v>15.059999999999999</v>
      </c>
      <c r="D2695" s="32">
        <v>15.059999999999999</v>
      </c>
      <c r="E2695" s="2150"/>
    </row>
    <row r="2696" spans="1:5" hidden="1" outlineLevel="1">
      <c r="A2696" s="32">
        <v>2</v>
      </c>
      <c r="B2696" s="2150"/>
      <c r="C2696" s="32">
        <v>10.039999999999999</v>
      </c>
      <c r="D2696" s="32">
        <v>10.039999999999999</v>
      </c>
      <c r="E2696" s="2150"/>
    </row>
    <row r="2697" spans="1:5" hidden="1" outlineLevel="1">
      <c r="A2697" s="32">
        <v>2</v>
      </c>
      <c r="B2697" s="2150"/>
      <c r="C2697" s="32">
        <v>10.039999999999999</v>
      </c>
      <c r="D2697" s="32">
        <v>10.039999999999999</v>
      </c>
      <c r="E2697" s="2150"/>
    </row>
    <row r="2698" spans="1:5" hidden="1" outlineLevel="1">
      <c r="A2698" s="32">
        <v>3</v>
      </c>
      <c r="B2698" s="2150"/>
      <c r="C2698" s="32">
        <v>15.059999999999999</v>
      </c>
      <c r="D2698" s="32">
        <v>15.059999999999999</v>
      </c>
      <c r="E2698" s="2150"/>
    </row>
    <row r="2699" spans="1:5" hidden="1" outlineLevel="1">
      <c r="A2699" s="32">
        <v>3</v>
      </c>
      <c r="B2699" s="2150"/>
      <c r="C2699" s="32">
        <v>15.059999999999999</v>
      </c>
      <c r="D2699" s="32">
        <v>15.059999999999999</v>
      </c>
      <c r="E2699" s="2150"/>
    </row>
    <row r="2700" spans="1:5" hidden="1" outlineLevel="1">
      <c r="A2700" s="32">
        <v>2</v>
      </c>
      <c r="B2700" s="2150"/>
      <c r="C2700" s="32">
        <v>10.039999999999999</v>
      </c>
      <c r="D2700" s="32">
        <v>10.039999999999999</v>
      </c>
      <c r="E2700" s="2150"/>
    </row>
    <row r="2701" spans="1:5" hidden="1" outlineLevel="1">
      <c r="A2701" s="32">
        <v>3</v>
      </c>
      <c r="B2701" s="2150"/>
      <c r="C2701" s="32">
        <v>15.059999999999999</v>
      </c>
      <c r="D2701" s="32">
        <v>15.059999999999999</v>
      </c>
      <c r="E2701" s="2150"/>
    </row>
    <row r="2702" spans="1:5" hidden="1" outlineLevel="1">
      <c r="A2702" s="32">
        <v>3</v>
      </c>
      <c r="B2702" s="2150"/>
      <c r="C2702" s="32">
        <v>15.059999999999999</v>
      </c>
      <c r="D2702" s="32">
        <v>15.059999999999999</v>
      </c>
      <c r="E2702" s="2150"/>
    </row>
    <row r="2703" spans="1:5" hidden="1" outlineLevel="1">
      <c r="A2703" s="32">
        <v>3</v>
      </c>
      <c r="B2703" s="2150"/>
      <c r="C2703" s="32">
        <v>15.059999999999999</v>
      </c>
      <c r="D2703" s="32">
        <v>15.059999999999999</v>
      </c>
      <c r="E2703" s="2150"/>
    </row>
    <row r="2704" spans="1:5" hidden="1" outlineLevel="1">
      <c r="A2704" s="32">
        <v>3</v>
      </c>
      <c r="B2704" s="2150"/>
      <c r="C2704" s="32">
        <v>15.059999999999999</v>
      </c>
      <c r="D2704" s="32">
        <v>15.059999999999999</v>
      </c>
      <c r="E2704" s="2150"/>
    </row>
    <row r="2705" spans="1:5" hidden="1" outlineLevel="1">
      <c r="A2705" s="32">
        <v>3</v>
      </c>
      <c r="B2705" s="2150"/>
      <c r="C2705" s="32">
        <v>15.059999999999999</v>
      </c>
      <c r="D2705" s="32">
        <v>15.059999999999999</v>
      </c>
      <c r="E2705" s="2150"/>
    </row>
    <row r="2706" spans="1:5" hidden="1" outlineLevel="1">
      <c r="A2706" s="32">
        <v>3</v>
      </c>
      <c r="B2706" s="2150"/>
      <c r="C2706" s="32">
        <v>15.059999999999999</v>
      </c>
      <c r="D2706" s="32">
        <v>15.059999999999999</v>
      </c>
      <c r="E2706" s="2150"/>
    </row>
    <row r="2707" spans="1:5" hidden="1" outlineLevel="1">
      <c r="A2707" s="32">
        <v>3</v>
      </c>
      <c r="B2707" s="2150"/>
      <c r="C2707" s="32">
        <v>15.059999999999999</v>
      </c>
      <c r="D2707" s="32">
        <v>15.059999999999999</v>
      </c>
      <c r="E2707" s="2150"/>
    </row>
    <row r="2708" spans="1:5" hidden="1" outlineLevel="1">
      <c r="A2708" s="32">
        <v>20</v>
      </c>
      <c r="B2708" s="2150"/>
      <c r="C2708" s="32">
        <v>100.39999999999999</v>
      </c>
      <c r="D2708" s="32">
        <v>100.39999999999999</v>
      </c>
      <c r="E2708" s="2150"/>
    </row>
    <row r="2709" spans="1:5" hidden="1" outlineLevel="1">
      <c r="A2709" s="32">
        <v>2</v>
      </c>
      <c r="B2709" s="2150"/>
      <c r="C2709" s="32">
        <v>10.039999999999999</v>
      </c>
      <c r="D2709" s="32">
        <v>10.039999999999999</v>
      </c>
      <c r="E2709" s="2150"/>
    </row>
    <row r="2710" spans="1:5" hidden="1" outlineLevel="1">
      <c r="A2710" s="32">
        <v>3</v>
      </c>
      <c r="B2710" s="2150"/>
      <c r="C2710" s="32">
        <v>15.059999999999999</v>
      </c>
      <c r="D2710" s="32">
        <v>15.059999999999999</v>
      </c>
      <c r="E2710" s="2150"/>
    </row>
    <row r="2711" spans="1:5" hidden="1" outlineLevel="1">
      <c r="A2711" s="32">
        <v>1</v>
      </c>
      <c r="B2711" s="2150"/>
      <c r="C2711" s="32">
        <v>5.0199999999999996</v>
      </c>
      <c r="D2711" s="32">
        <v>5.0199999999999996</v>
      </c>
      <c r="E2711" s="2150"/>
    </row>
    <row r="2712" spans="1:5" hidden="1" outlineLevel="1">
      <c r="A2712" s="32">
        <v>6</v>
      </c>
      <c r="B2712" s="2150"/>
      <c r="C2712" s="32">
        <v>30.119999999999997</v>
      </c>
      <c r="D2712" s="32">
        <v>30.119999999999997</v>
      </c>
      <c r="E2712" s="2150"/>
    </row>
    <row r="2713" spans="1:5" hidden="1" outlineLevel="1">
      <c r="A2713" s="32">
        <v>1</v>
      </c>
      <c r="B2713" s="2150"/>
      <c r="C2713" s="32">
        <v>5.0199999999999996</v>
      </c>
      <c r="D2713" s="32">
        <v>5.0199999999999996</v>
      </c>
      <c r="E2713" s="2150"/>
    </row>
    <row r="2714" spans="1:5" hidden="1" outlineLevel="1">
      <c r="A2714" s="32">
        <v>4</v>
      </c>
      <c r="B2714" s="2150"/>
      <c r="C2714" s="32">
        <v>20.079999999999998</v>
      </c>
      <c r="D2714" s="32">
        <v>20.079999999999998</v>
      </c>
      <c r="E2714" s="2150"/>
    </row>
    <row r="2715" spans="1:5" hidden="1" outlineLevel="1">
      <c r="A2715" s="32">
        <v>2</v>
      </c>
      <c r="B2715" s="2150"/>
      <c r="C2715" s="32">
        <v>10.039999999999999</v>
      </c>
      <c r="D2715" s="32">
        <v>10.039999999999999</v>
      </c>
      <c r="E2715" s="2150"/>
    </row>
    <row r="2716" spans="1:5" hidden="1" outlineLevel="1">
      <c r="A2716" s="32">
        <v>1</v>
      </c>
      <c r="B2716" s="2150"/>
      <c r="C2716" s="32">
        <v>5.0199999999999996</v>
      </c>
      <c r="D2716" s="32">
        <v>5.0199999999999996</v>
      </c>
      <c r="E2716" s="2150"/>
    </row>
    <row r="2717" spans="1:5" hidden="1" outlineLevel="1">
      <c r="A2717" s="32">
        <v>6</v>
      </c>
      <c r="B2717" s="2150"/>
      <c r="C2717" s="32">
        <v>30.119999999999997</v>
      </c>
      <c r="D2717" s="32">
        <v>30.119999999999997</v>
      </c>
      <c r="E2717" s="2150"/>
    </row>
    <row r="2718" spans="1:5" hidden="1" outlineLevel="1">
      <c r="A2718" s="32">
        <v>6</v>
      </c>
      <c r="B2718" s="2150"/>
      <c r="C2718" s="32">
        <v>30.119999999999997</v>
      </c>
      <c r="D2718" s="32">
        <v>30.119999999999997</v>
      </c>
      <c r="E2718" s="2150"/>
    </row>
    <row r="2719" spans="1:5" hidden="1" outlineLevel="1">
      <c r="A2719" s="32">
        <v>2</v>
      </c>
      <c r="B2719" s="2150"/>
      <c r="C2719" s="32">
        <v>10.039999999999999</v>
      </c>
      <c r="D2719" s="32">
        <v>10.039999999999999</v>
      </c>
      <c r="E2719" s="2150"/>
    </row>
    <row r="2720" spans="1:5" hidden="1" outlineLevel="1">
      <c r="A2720" s="32">
        <v>4</v>
      </c>
      <c r="B2720" s="2150"/>
      <c r="C2720" s="32">
        <v>20.079999999999998</v>
      </c>
      <c r="D2720" s="32">
        <v>20.079999999999998</v>
      </c>
      <c r="E2720" s="2150"/>
    </row>
    <row r="2721" spans="1:5" hidden="1" outlineLevel="1">
      <c r="A2721" s="32">
        <v>2</v>
      </c>
      <c r="B2721" s="2150"/>
      <c r="C2721" s="32">
        <v>10.039999999999999</v>
      </c>
      <c r="D2721" s="32">
        <v>10.039999999999999</v>
      </c>
      <c r="E2721" s="2150"/>
    </row>
    <row r="2722" spans="1:5" hidden="1" outlineLevel="1">
      <c r="A2722" s="32">
        <v>4</v>
      </c>
      <c r="B2722" s="2150"/>
      <c r="C2722" s="32">
        <v>20.079999999999998</v>
      </c>
      <c r="D2722" s="32">
        <v>20.079999999999998</v>
      </c>
      <c r="E2722" s="2150"/>
    </row>
    <row r="2723" spans="1:5" hidden="1" outlineLevel="1">
      <c r="A2723" s="32">
        <v>4</v>
      </c>
      <c r="B2723" s="2150"/>
      <c r="C2723" s="32">
        <v>20.079999999999998</v>
      </c>
      <c r="D2723" s="32">
        <v>20.079999999999998</v>
      </c>
      <c r="E2723" s="2150"/>
    </row>
    <row r="2724" spans="1:5" hidden="1" outlineLevel="1">
      <c r="A2724" s="32">
        <v>2</v>
      </c>
      <c r="B2724" s="2150"/>
      <c r="C2724" s="32">
        <v>10.039999999999999</v>
      </c>
      <c r="D2724" s="32">
        <v>10.039999999999999</v>
      </c>
      <c r="E2724" s="2150"/>
    </row>
    <row r="2725" spans="1:5" hidden="1" outlineLevel="1">
      <c r="A2725" s="32">
        <v>2</v>
      </c>
      <c r="B2725" s="2150"/>
      <c r="C2725" s="32">
        <v>10.039999999999999</v>
      </c>
      <c r="D2725" s="32">
        <v>10.039999999999999</v>
      </c>
      <c r="E2725" s="2150"/>
    </row>
    <row r="2726" spans="1:5" hidden="1" outlineLevel="1">
      <c r="A2726" s="2146" t="s">
        <v>558</v>
      </c>
      <c r="B2726" s="2146"/>
      <c r="C2726" s="2146"/>
      <c r="D2726" s="2147">
        <f>SUM(D2641:D2725)</f>
        <v>1402.2799999999982</v>
      </c>
      <c r="E2726" s="2147" t="s">
        <v>39</v>
      </c>
    </row>
    <row r="2727" spans="1:5" hidden="1" outlineLevel="1">
      <c r="A2727" s="2146"/>
      <c r="B2727" s="2146"/>
      <c r="C2727" s="2146"/>
      <c r="D2727" s="2147"/>
      <c r="E2727" s="2147"/>
    </row>
    <row r="2728" spans="1:5" hidden="1" outlineLevel="1">
      <c r="A2728" s="32">
        <v>10</v>
      </c>
      <c r="B2728" s="63">
        <v>4.58</v>
      </c>
      <c r="C2728" s="32">
        <v>45.8</v>
      </c>
      <c r="D2728" s="32">
        <v>45.8</v>
      </c>
      <c r="E2728" s="2150" t="s">
        <v>39</v>
      </c>
    </row>
    <row r="2729" spans="1:5" hidden="1" outlineLevel="1">
      <c r="A2729" s="32">
        <v>1</v>
      </c>
      <c r="B2729" s="2150">
        <v>5.0199999999999996</v>
      </c>
      <c r="C2729" s="32">
        <v>5.0199999999999996</v>
      </c>
      <c r="D2729" s="32">
        <v>5.0199999999999996</v>
      </c>
      <c r="E2729" s="2150"/>
    </row>
    <row r="2730" spans="1:5" hidden="1" outlineLevel="1">
      <c r="A2730" s="32">
        <v>1</v>
      </c>
      <c r="B2730" s="2150"/>
      <c r="C2730" s="32">
        <v>5.0199999999999996</v>
      </c>
      <c r="D2730" s="32">
        <v>5.0199999999999996</v>
      </c>
      <c r="E2730" s="2150"/>
    </row>
    <row r="2731" spans="1:5" hidden="1" outlineLevel="1">
      <c r="A2731" s="32">
        <v>1</v>
      </c>
      <c r="B2731" s="2150"/>
      <c r="C2731" s="32">
        <v>5.0199999999999996</v>
      </c>
      <c r="D2731" s="32">
        <v>5.0199999999999996</v>
      </c>
      <c r="E2731" s="2150"/>
    </row>
    <row r="2732" spans="1:5" hidden="1" outlineLevel="1">
      <c r="A2732" s="32">
        <v>2</v>
      </c>
      <c r="B2732" s="2150"/>
      <c r="C2732" s="32">
        <v>10.039999999999999</v>
      </c>
      <c r="D2732" s="32">
        <v>10.039999999999999</v>
      </c>
      <c r="E2732" s="2150"/>
    </row>
    <row r="2733" spans="1:5" hidden="1" outlineLevel="1">
      <c r="A2733" s="32">
        <v>1</v>
      </c>
      <c r="B2733" s="2150"/>
      <c r="C2733" s="32">
        <v>5.0199999999999996</v>
      </c>
      <c r="D2733" s="32">
        <v>5.0199999999999996</v>
      </c>
      <c r="E2733" s="2150"/>
    </row>
    <row r="2734" spans="1:5" hidden="1" outlineLevel="1">
      <c r="A2734" s="32">
        <v>1</v>
      </c>
      <c r="B2734" s="2150"/>
      <c r="C2734" s="32">
        <v>5.0199999999999996</v>
      </c>
      <c r="D2734" s="32">
        <v>5.0199999999999996</v>
      </c>
      <c r="E2734" s="2150"/>
    </row>
    <row r="2735" spans="1:5" hidden="1" outlineLevel="1">
      <c r="A2735" s="32">
        <v>2</v>
      </c>
      <c r="B2735" s="2150"/>
      <c r="C2735" s="32">
        <v>10.039999999999999</v>
      </c>
      <c r="D2735" s="32">
        <v>10.039999999999999</v>
      </c>
      <c r="E2735" s="2150"/>
    </row>
    <row r="2736" spans="1:5" hidden="1" outlineLevel="1">
      <c r="A2736" s="32">
        <v>1</v>
      </c>
      <c r="B2736" s="2150"/>
      <c r="C2736" s="32">
        <v>5.0199999999999996</v>
      </c>
      <c r="D2736" s="32">
        <v>5.0199999999999996</v>
      </c>
      <c r="E2736" s="2150"/>
    </row>
    <row r="2737" spans="1:5" hidden="1" outlineLevel="1">
      <c r="A2737" s="32">
        <v>3</v>
      </c>
      <c r="B2737" s="2150"/>
      <c r="C2737" s="32">
        <v>15.059999999999999</v>
      </c>
      <c r="D2737" s="32">
        <v>15.059999999999999</v>
      </c>
      <c r="E2737" s="2150"/>
    </row>
    <row r="2738" spans="1:5" hidden="1" outlineLevel="1">
      <c r="A2738" s="32">
        <v>1</v>
      </c>
      <c r="B2738" s="2150"/>
      <c r="C2738" s="32">
        <v>5.0199999999999996</v>
      </c>
      <c r="D2738" s="32">
        <v>5.0199999999999996</v>
      </c>
      <c r="E2738" s="2150"/>
    </row>
    <row r="2739" spans="1:5" hidden="1" outlineLevel="1">
      <c r="A2739" s="32">
        <v>1</v>
      </c>
      <c r="B2739" s="2150"/>
      <c r="C2739" s="32">
        <v>5.0199999999999996</v>
      </c>
      <c r="D2739" s="32">
        <v>5.0199999999999996</v>
      </c>
      <c r="E2739" s="2150"/>
    </row>
    <row r="2740" spans="1:5" hidden="1" outlineLevel="1">
      <c r="A2740" s="32">
        <v>2</v>
      </c>
      <c r="B2740" s="2150"/>
      <c r="C2740" s="32">
        <v>10.039999999999999</v>
      </c>
      <c r="D2740" s="32">
        <v>10.039999999999999</v>
      </c>
      <c r="E2740" s="2150"/>
    </row>
    <row r="2741" spans="1:5" hidden="1" outlineLevel="1">
      <c r="A2741" s="32">
        <v>2</v>
      </c>
      <c r="B2741" s="2150"/>
      <c r="C2741" s="32">
        <v>10.039999999999999</v>
      </c>
      <c r="D2741" s="32">
        <v>10.039999999999999</v>
      </c>
      <c r="E2741" s="2150"/>
    </row>
    <row r="2742" spans="1:5" hidden="1" outlineLevel="1">
      <c r="A2742" s="32">
        <v>2</v>
      </c>
      <c r="B2742" s="2150"/>
      <c r="C2742" s="32">
        <v>10.039999999999999</v>
      </c>
      <c r="D2742" s="32">
        <v>10.039999999999999</v>
      </c>
      <c r="E2742" s="2150"/>
    </row>
    <row r="2743" spans="1:5" hidden="1" outlineLevel="1">
      <c r="A2743" s="32">
        <v>3</v>
      </c>
      <c r="B2743" s="2150"/>
      <c r="C2743" s="32">
        <v>15.059999999999999</v>
      </c>
      <c r="D2743" s="32">
        <v>15.059999999999999</v>
      </c>
      <c r="E2743" s="2150"/>
    </row>
    <row r="2744" spans="1:5" hidden="1" outlineLevel="1">
      <c r="A2744" s="32">
        <v>5</v>
      </c>
      <c r="B2744" s="2150"/>
      <c r="C2744" s="32">
        <v>25.099999999999998</v>
      </c>
      <c r="D2744" s="32">
        <v>25.099999999999998</v>
      </c>
      <c r="E2744" s="2150"/>
    </row>
    <row r="2745" spans="1:5" hidden="1" outlineLevel="1">
      <c r="A2745" s="32">
        <v>2</v>
      </c>
      <c r="B2745" s="2150"/>
      <c r="C2745" s="32">
        <v>10.039999999999999</v>
      </c>
      <c r="D2745" s="32">
        <v>10.039999999999999</v>
      </c>
      <c r="E2745" s="2150"/>
    </row>
    <row r="2746" spans="1:5" hidden="1" outlineLevel="1">
      <c r="A2746" s="32">
        <v>2</v>
      </c>
      <c r="B2746" s="2150"/>
      <c r="C2746" s="32">
        <v>10.039999999999999</v>
      </c>
      <c r="D2746" s="32">
        <v>10.039999999999999</v>
      </c>
      <c r="E2746" s="2150"/>
    </row>
    <row r="2747" spans="1:5" hidden="1" outlineLevel="1">
      <c r="A2747" s="32">
        <v>3</v>
      </c>
      <c r="B2747" s="2150"/>
      <c r="C2747" s="32">
        <v>15.059999999999999</v>
      </c>
      <c r="D2747" s="32">
        <v>15.059999999999999</v>
      </c>
      <c r="E2747" s="2150"/>
    </row>
    <row r="2748" spans="1:5" hidden="1" outlineLevel="1">
      <c r="A2748" s="32">
        <v>2</v>
      </c>
      <c r="B2748" s="2150"/>
      <c r="C2748" s="32">
        <v>10.039999999999999</v>
      </c>
      <c r="D2748" s="32">
        <v>10.039999999999999</v>
      </c>
      <c r="E2748" s="2150"/>
    </row>
    <row r="2749" spans="1:5" hidden="1" outlineLevel="1">
      <c r="A2749" s="32">
        <v>2</v>
      </c>
      <c r="B2749" s="2150"/>
      <c r="C2749" s="32">
        <v>10.039999999999999</v>
      </c>
      <c r="D2749" s="32">
        <v>10.039999999999999</v>
      </c>
      <c r="E2749" s="2150"/>
    </row>
    <row r="2750" spans="1:5" hidden="1" outlineLevel="1">
      <c r="A2750" s="32">
        <v>3</v>
      </c>
      <c r="B2750" s="2150"/>
      <c r="C2750" s="32">
        <v>15.059999999999999</v>
      </c>
      <c r="D2750" s="32">
        <v>15.059999999999999</v>
      </c>
      <c r="E2750" s="2150"/>
    </row>
    <row r="2751" spans="1:5" hidden="1" outlineLevel="1">
      <c r="A2751" s="32">
        <v>1</v>
      </c>
      <c r="B2751" s="2150"/>
      <c r="C2751" s="32">
        <v>5.0199999999999996</v>
      </c>
      <c r="D2751" s="32">
        <v>5.0199999999999996</v>
      </c>
      <c r="E2751" s="2150"/>
    </row>
    <row r="2752" spans="1:5" hidden="1" outlineLevel="1">
      <c r="A2752" s="32">
        <v>2</v>
      </c>
      <c r="B2752" s="2150"/>
      <c r="C2752" s="32">
        <v>10.039999999999999</v>
      </c>
      <c r="D2752" s="32">
        <v>10.039999999999999</v>
      </c>
      <c r="E2752" s="2150"/>
    </row>
    <row r="2753" spans="1:5" hidden="1" outlineLevel="1">
      <c r="A2753" s="32">
        <v>3</v>
      </c>
      <c r="B2753" s="2150"/>
      <c r="C2753" s="32">
        <v>15.059999999999999</v>
      </c>
      <c r="D2753" s="32">
        <v>15.059999999999999</v>
      </c>
      <c r="E2753" s="2150"/>
    </row>
    <row r="2754" spans="1:5" hidden="1" outlineLevel="1">
      <c r="A2754" s="32">
        <v>3</v>
      </c>
      <c r="B2754" s="2150"/>
      <c r="C2754" s="32">
        <v>15.059999999999999</v>
      </c>
      <c r="D2754" s="32">
        <v>15.059999999999999</v>
      </c>
      <c r="E2754" s="2150"/>
    </row>
    <row r="2755" spans="1:5" hidden="1" outlineLevel="1">
      <c r="A2755" s="32">
        <v>2</v>
      </c>
      <c r="B2755" s="2150"/>
      <c r="C2755" s="32">
        <v>10.039999999999999</v>
      </c>
      <c r="D2755" s="32">
        <v>10.039999999999999</v>
      </c>
      <c r="E2755" s="2150"/>
    </row>
    <row r="2756" spans="1:5" hidden="1" outlineLevel="1">
      <c r="A2756" s="32">
        <v>2</v>
      </c>
      <c r="B2756" s="2150"/>
      <c r="C2756" s="32">
        <v>10.039999999999999</v>
      </c>
      <c r="D2756" s="32">
        <v>10.039999999999999</v>
      </c>
      <c r="E2756" s="2150"/>
    </row>
    <row r="2757" spans="1:5" hidden="1" outlineLevel="1">
      <c r="A2757" s="32">
        <v>1</v>
      </c>
      <c r="B2757" s="2150"/>
      <c r="C2757" s="32">
        <v>5.0199999999999996</v>
      </c>
      <c r="D2757" s="32">
        <v>5.0199999999999996</v>
      </c>
      <c r="E2757" s="2150"/>
    </row>
    <row r="2758" spans="1:5" hidden="1" outlineLevel="1">
      <c r="A2758" s="32">
        <v>2</v>
      </c>
      <c r="B2758" s="2150"/>
      <c r="C2758" s="32">
        <v>10.039999999999999</v>
      </c>
      <c r="D2758" s="32">
        <v>10.039999999999999</v>
      </c>
      <c r="E2758" s="2150"/>
    </row>
    <row r="2759" spans="1:5" hidden="1" outlineLevel="1">
      <c r="A2759" s="32">
        <v>2</v>
      </c>
      <c r="B2759" s="2150"/>
      <c r="C2759" s="32">
        <v>10.039999999999999</v>
      </c>
      <c r="D2759" s="32">
        <v>10.039999999999999</v>
      </c>
      <c r="E2759" s="2150"/>
    </row>
    <row r="2760" spans="1:5" hidden="1" outlineLevel="1">
      <c r="A2760" s="32">
        <v>1</v>
      </c>
      <c r="B2760" s="2150"/>
      <c r="C2760" s="32">
        <v>5.0199999999999996</v>
      </c>
      <c r="D2760" s="32">
        <v>5.0199999999999996</v>
      </c>
      <c r="E2760" s="2150"/>
    </row>
    <row r="2761" spans="1:5" hidden="1" outlineLevel="1">
      <c r="A2761" s="32">
        <v>2</v>
      </c>
      <c r="B2761" s="2150"/>
      <c r="C2761" s="32">
        <v>10.039999999999999</v>
      </c>
      <c r="D2761" s="32">
        <v>10.039999999999999</v>
      </c>
      <c r="E2761" s="2150"/>
    </row>
    <row r="2762" spans="1:5" hidden="1" outlineLevel="1">
      <c r="A2762" s="32">
        <v>2</v>
      </c>
      <c r="B2762" s="2150"/>
      <c r="C2762" s="32">
        <v>10.039999999999999</v>
      </c>
      <c r="D2762" s="32">
        <v>10.039999999999999</v>
      </c>
      <c r="E2762" s="2150"/>
    </row>
    <row r="2763" spans="1:5" hidden="1" outlineLevel="1">
      <c r="A2763" s="32">
        <v>2</v>
      </c>
      <c r="B2763" s="2150"/>
      <c r="C2763" s="32">
        <v>10.039999999999999</v>
      </c>
      <c r="D2763" s="32">
        <v>10.039999999999999</v>
      </c>
      <c r="E2763" s="2150"/>
    </row>
    <row r="2764" spans="1:5" hidden="1" outlineLevel="1">
      <c r="A2764" s="32">
        <v>1</v>
      </c>
      <c r="B2764" s="2150"/>
      <c r="C2764" s="32">
        <v>5.0199999999999996</v>
      </c>
      <c r="D2764" s="32">
        <v>5.0199999999999996</v>
      </c>
      <c r="E2764" s="2150"/>
    </row>
    <row r="2765" spans="1:5" hidden="1" outlineLevel="1">
      <c r="A2765" s="32">
        <v>3</v>
      </c>
      <c r="B2765" s="2150"/>
      <c r="C2765" s="32">
        <v>15.059999999999999</v>
      </c>
      <c r="D2765" s="32">
        <v>15.059999999999999</v>
      </c>
      <c r="E2765" s="2150"/>
    </row>
    <row r="2766" spans="1:5" hidden="1" outlineLevel="1">
      <c r="A2766" s="32">
        <v>3</v>
      </c>
      <c r="B2766" s="2150"/>
      <c r="C2766" s="32">
        <v>15.059999999999999</v>
      </c>
      <c r="D2766" s="32">
        <v>15.059999999999999</v>
      </c>
      <c r="E2766" s="2150"/>
    </row>
    <row r="2767" spans="1:5" hidden="1" outlineLevel="1">
      <c r="A2767" s="32">
        <v>4</v>
      </c>
      <c r="B2767" s="2150"/>
      <c r="C2767" s="32">
        <v>20.079999999999998</v>
      </c>
      <c r="D2767" s="32">
        <v>20.079999999999998</v>
      </c>
      <c r="E2767" s="2150"/>
    </row>
    <row r="2768" spans="1:5" hidden="1" outlineLevel="1">
      <c r="A2768" s="32">
        <v>3</v>
      </c>
      <c r="B2768" s="2150"/>
      <c r="C2768" s="32">
        <v>15.059999999999999</v>
      </c>
      <c r="D2768" s="32">
        <v>15.059999999999999</v>
      </c>
      <c r="E2768" s="2150"/>
    </row>
    <row r="2769" spans="1:5" hidden="1" outlineLevel="1">
      <c r="A2769" s="32">
        <v>2</v>
      </c>
      <c r="B2769" s="2150"/>
      <c r="C2769" s="32">
        <v>10.039999999999999</v>
      </c>
      <c r="D2769" s="32">
        <v>10.039999999999999</v>
      </c>
      <c r="E2769" s="2150"/>
    </row>
    <row r="2770" spans="1:5" hidden="1" outlineLevel="1">
      <c r="A2770" s="32">
        <v>1</v>
      </c>
      <c r="B2770" s="2150"/>
      <c r="C2770" s="32">
        <v>5.0199999999999996</v>
      </c>
      <c r="D2770" s="32">
        <v>5.0199999999999996</v>
      </c>
      <c r="E2770" s="2150"/>
    </row>
    <row r="2771" spans="1:5" hidden="1" outlineLevel="1">
      <c r="A2771" s="32">
        <v>1</v>
      </c>
      <c r="B2771" s="2150"/>
      <c r="C2771" s="32">
        <v>5.0199999999999996</v>
      </c>
      <c r="D2771" s="32">
        <v>5.0199999999999996</v>
      </c>
      <c r="E2771" s="2150"/>
    </row>
    <row r="2772" spans="1:5" hidden="1" outlineLevel="1">
      <c r="A2772" s="32">
        <v>6</v>
      </c>
      <c r="B2772" s="621">
        <v>4.58</v>
      </c>
      <c r="C2772" s="32">
        <v>27.48</v>
      </c>
      <c r="D2772" s="32">
        <v>27.48</v>
      </c>
      <c r="E2772" s="2150"/>
    </row>
    <row r="2773" spans="1:5" hidden="1" outlineLevel="1">
      <c r="A2773" s="32">
        <v>2</v>
      </c>
      <c r="B2773" s="2150">
        <v>5.0199999999999996</v>
      </c>
      <c r="C2773" s="32">
        <v>10.039999999999999</v>
      </c>
      <c r="D2773" s="32">
        <v>10.039999999999999</v>
      </c>
      <c r="E2773" s="2150"/>
    </row>
    <row r="2774" spans="1:5" hidden="1" outlineLevel="1">
      <c r="A2774" s="32">
        <v>2</v>
      </c>
      <c r="B2774" s="2150"/>
      <c r="C2774" s="32">
        <v>10.039999999999999</v>
      </c>
      <c r="D2774" s="32">
        <v>10.039999999999999</v>
      </c>
      <c r="E2774" s="2150"/>
    </row>
    <row r="2775" spans="1:5" hidden="1" outlineLevel="1">
      <c r="A2775" s="32">
        <v>5</v>
      </c>
      <c r="B2775" s="2150">
        <v>4.58</v>
      </c>
      <c r="C2775" s="32">
        <v>22.9</v>
      </c>
      <c r="D2775" s="32">
        <v>22.9</v>
      </c>
      <c r="E2775" s="2150"/>
    </row>
    <row r="2776" spans="1:5" hidden="1" outlineLevel="1">
      <c r="A2776" s="32">
        <v>12</v>
      </c>
      <c r="B2776" s="2150"/>
      <c r="C2776" s="32">
        <v>54.96</v>
      </c>
      <c r="D2776" s="32">
        <v>54.96</v>
      </c>
      <c r="E2776" s="2150"/>
    </row>
    <row r="2777" spans="1:5" hidden="1" outlineLevel="1">
      <c r="A2777" s="32">
        <v>41</v>
      </c>
      <c r="B2777" s="2150"/>
      <c r="C2777" s="32">
        <v>187.78</v>
      </c>
      <c r="D2777" s="32">
        <v>187.78</v>
      </c>
      <c r="E2777" s="2150"/>
    </row>
    <row r="2778" spans="1:5" hidden="1" outlineLevel="1">
      <c r="A2778" s="32">
        <v>3</v>
      </c>
      <c r="B2778" s="2150">
        <v>5.0199999999999996</v>
      </c>
      <c r="C2778" s="32">
        <v>15.059999999999999</v>
      </c>
      <c r="D2778" s="32">
        <v>15.059999999999999</v>
      </c>
      <c r="E2778" s="2150"/>
    </row>
    <row r="2779" spans="1:5" hidden="1" outlineLevel="1">
      <c r="A2779" s="32">
        <v>3</v>
      </c>
      <c r="B2779" s="2150"/>
      <c r="C2779" s="32">
        <v>15.059999999999999</v>
      </c>
      <c r="D2779" s="32">
        <v>15.059999999999999</v>
      </c>
      <c r="E2779" s="2150"/>
    </row>
    <row r="2780" spans="1:5" hidden="1" outlineLevel="1">
      <c r="A2780" s="32">
        <v>1</v>
      </c>
      <c r="B2780" s="2150"/>
      <c r="C2780" s="32">
        <v>5.0199999999999996</v>
      </c>
      <c r="D2780" s="32">
        <v>5.0199999999999996</v>
      </c>
      <c r="E2780" s="2150"/>
    </row>
    <row r="2781" spans="1:5" hidden="1" outlineLevel="1">
      <c r="A2781" s="32">
        <v>2</v>
      </c>
      <c r="B2781" s="2150"/>
      <c r="C2781" s="32">
        <v>10.039999999999999</v>
      </c>
      <c r="D2781" s="32">
        <v>10.039999999999999</v>
      </c>
      <c r="E2781" s="2150"/>
    </row>
    <row r="2782" spans="1:5" hidden="1" outlineLevel="1">
      <c r="A2782" s="32">
        <v>7</v>
      </c>
      <c r="B2782" s="2150"/>
      <c r="C2782" s="32">
        <v>35.14</v>
      </c>
      <c r="D2782" s="32">
        <v>35.14</v>
      </c>
      <c r="E2782" s="2150"/>
    </row>
    <row r="2783" spans="1:5" hidden="1" outlineLevel="1">
      <c r="A2783" s="32">
        <v>2</v>
      </c>
      <c r="B2783" s="2150"/>
      <c r="C2783" s="32">
        <v>10.039999999999999</v>
      </c>
      <c r="D2783" s="32">
        <v>10.039999999999999</v>
      </c>
      <c r="E2783" s="2150"/>
    </row>
    <row r="2784" spans="1:5" hidden="1" outlineLevel="1">
      <c r="A2784" s="32">
        <v>2</v>
      </c>
      <c r="B2784" s="2150"/>
      <c r="C2784" s="32">
        <v>10.039999999999999</v>
      </c>
      <c r="D2784" s="32">
        <v>10.039999999999999</v>
      </c>
      <c r="E2784" s="2150"/>
    </row>
    <row r="2785" spans="1:5" hidden="1" outlineLevel="1">
      <c r="A2785" s="32">
        <v>2</v>
      </c>
      <c r="B2785" s="2150"/>
      <c r="C2785" s="32">
        <v>10.039999999999999</v>
      </c>
      <c r="D2785" s="32">
        <v>10.039999999999999</v>
      </c>
      <c r="E2785" s="2150"/>
    </row>
    <row r="2786" spans="1:5" hidden="1" outlineLevel="1">
      <c r="A2786" s="32">
        <v>2</v>
      </c>
      <c r="B2786" s="2150"/>
      <c r="C2786" s="32">
        <v>10.039999999999999</v>
      </c>
      <c r="D2786" s="32">
        <v>10.039999999999999</v>
      </c>
      <c r="E2786" s="2150"/>
    </row>
    <row r="2787" spans="1:5" hidden="1" outlineLevel="1">
      <c r="A2787" s="32">
        <v>3</v>
      </c>
      <c r="B2787" s="2150"/>
      <c r="C2787" s="32">
        <v>15.059999999999999</v>
      </c>
      <c r="D2787" s="32">
        <v>15.059999999999999</v>
      </c>
      <c r="E2787" s="2150"/>
    </row>
    <row r="2788" spans="1:5" hidden="1" outlineLevel="1">
      <c r="A2788" s="32">
        <v>4</v>
      </c>
      <c r="B2788" s="2150"/>
      <c r="C2788" s="32">
        <v>20.079999999999998</v>
      </c>
      <c r="D2788" s="32">
        <v>20.079999999999998</v>
      </c>
      <c r="E2788" s="2150"/>
    </row>
    <row r="2789" spans="1:5" hidden="1" outlineLevel="1">
      <c r="A2789" s="32">
        <v>4</v>
      </c>
      <c r="B2789" s="2150"/>
      <c r="C2789" s="32">
        <v>20.079999999999998</v>
      </c>
      <c r="D2789" s="32">
        <v>20.079999999999998</v>
      </c>
      <c r="E2789" s="2150"/>
    </row>
    <row r="2790" spans="1:5" hidden="1" outlineLevel="1">
      <c r="A2790" s="32">
        <v>4</v>
      </c>
      <c r="B2790" s="2150"/>
      <c r="C2790" s="32">
        <v>20.079999999999998</v>
      </c>
      <c r="D2790" s="32">
        <v>20.079999999999998</v>
      </c>
      <c r="E2790" s="2150"/>
    </row>
    <row r="2791" spans="1:5" hidden="1" outlineLevel="1">
      <c r="A2791" s="32">
        <v>7</v>
      </c>
      <c r="B2791" s="2150"/>
      <c r="C2791" s="32">
        <v>35.14</v>
      </c>
      <c r="D2791" s="32">
        <v>35.14</v>
      </c>
      <c r="E2791" s="2150"/>
    </row>
    <row r="2792" spans="1:5" hidden="1" outlineLevel="1">
      <c r="A2792" s="32">
        <v>6</v>
      </c>
      <c r="B2792" s="2150"/>
      <c r="C2792" s="32">
        <v>30.119999999999997</v>
      </c>
      <c r="D2792" s="32">
        <v>30.119999999999997</v>
      </c>
      <c r="E2792" s="2150"/>
    </row>
    <row r="2793" spans="1:5" hidden="1" outlineLevel="1">
      <c r="A2793" s="32">
        <v>5</v>
      </c>
      <c r="B2793" s="2150"/>
      <c r="C2793" s="32">
        <v>25.099999999999998</v>
      </c>
      <c r="D2793" s="32">
        <v>25.099999999999998</v>
      </c>
      <c r="E2793" s="2150"/>
    </row>
    <row r="2794" spans="1:5" hidden="1" outlineLevel="1">
      <c r="A2794" s="32">
        <v>7</v>
      </c>
      <c r="B2794" s="2150"/>
      <c r="C2794" s="32">
        <v>35.14</v>
      </c>
      <c r="D2794" s="32">
        <v>35.14</v>
      </c>
      <c r="E2794" s="2150"/>
    </row>
    <row r="2795" spans="1:5" hidden="1" outlineLevel="1">
      <c r="A2795" s="32">
        <v>1</v>
      </c>
      <c r="B2795" s="2150"/>
      <c r="C2795" s="32">
        <v>5.0199999999999996</v>
      </c>
      <c r="D2795" s="32">
        <v>5.0199999999999996</v>
      </c>
      <c r="E2795" s="2150"/>
    </row>
    <row r="2796" spans="1:5" hidden="1" outlineLevel="1">
      <c r="A2796" s="32">
        <v>3</v>
      </c>
      <c r="B2796" s="2150"/>
      <c r="C2796" s="32">
        <v>15.059999999999999</v>
      </c>
      <c r="D2796" s="32">
        <v>15.059999999999999</v>
      </c>
      <c r="E2796" s="2150"/>
    </row>
    <row r="2797" spans="1:5" hidden="1" outlineLevel="1">
      <c r="A2797" s="32">
        <v>2</v>
      </c>
      <c r="B2797" s="2150"/>
      <c r="C2797" s="32">
        <v>10.039999999999999</v>
      </c>
      <c r="D2797" s="32">
        <v>10.039999999999999</v>
      </c>
      <c r="E2797" s="2150"/>
    </row>
    <row r="2798" spans="1:5" hidden="1" outlineLevel="1">
      <c r="A2798" s="32">
        <v>1</v>
      </c>
      <c r="B2798" s="2150"/>
      <c r="C2798" s="32">
        <v>5.0199999999999996</v>
      </c>
      <c r="D2798" s="32">
        <v>5.0199999999999996</v>
      </c>
      <c r="E2798" s="2150"/>
    </row>
    <row r="2799" spans="1:5" hidden="1" outlineLevel="1">
      <c r="A2799" s="2146" t="s">
        <v>557</v>
      </c>
      <c r="B2799" s="2146"/>
      <c r="C2799" s="2146"/>
      <c r="D2799" s="2147">
        <f>SUM(D2728:D2798)</f>
        <v>1147.1399999999994</v>
      </c>
      <c r="E2799" s="2147" t="s">
        <v>39</v>
      </c>
    </row>
    <row r="2800" spans="1:5" hidden="1" outlineLevel="1">
      <c r="A2800" s="2146"/>
      <c r="B2800" s="2146"/>
      <c r="C2800" s="2146"/>
      <c r="D2800" s="2147"/>
      <c r="E2800" s="2147"/>
    </row>
    <row r="2801" spans="1:15" hidden="1" outlineLevel="1"/>
    <row r="2802" spans="1:15" ht="15.75" collapsed="1">
      <c r="A2802" s="2129" t="s">
        <v>1235</v>
      </c>
      <c r="B2802" s="2130"/>
      <c r="C2802" s="2130"/>
      <c r="D2802" s="2130"/>
      <c r="E2802" s="2130"/>
      <c r="F2802" s="2130"/>
      <c r="G2802" s="2130"/>
      <c r="H2802" s="556">
        <v>0</v>
      </c>
      <c r="I2802" s="556">
        <v>0</v>
      </c>
      <c r="J2802" s="620">
        <f>D2799+D2726+D2639+D2552+D2466+D2424+D2345+D2270+D2213</f>
        <v>8622.0399999999936</v>
      </c>
      <c r="K2802" s="556">
        <v>0</v>
      </c>
      <c r="L2802" s="556">
        <v>0</v>
      </c>
      <c r="M2802" s="556">
        <v>0</v>
      </c>
      <c r="N2802" s="556">
        <v>0</v>
      </c>
      <c r="O2802" s="556">
        <v>0</v>
      </c>
    </row>
    <row r="2803" spans="1:15" ht="16.5" thickBot="1">
      <c r="A2803" s="2131" t="s">
        <v>1236</v>
      </c>
      <c r="B2803" s="2132"/>
      <c r="C2803" s="2132"/>
      <c r="D2803" s="2132"/>
      <c r="E2803" s="2132"/>
      <c r="F2803" s="2132"/>
      <c r="G2803" s="2132"/>
      <c r="H2803" s="2133">
        <f>SUM(H2802:O2802)</f>
        <v>8622.0399999999936</v>
      </c>
      <c r="I2803" s="2134"/>
      <c r="J2803" s="2134"/>
      <c r="K2803" s="2134"/>
      <c r="L2803" s="2134"/>
      <c r="M2803" s="2134"/>
      <c r="N2803" s="2134"/>
      <c r="O2803" s="2135"/>
    </row>
    <row r="2806" spans="1:15" ht="14.25" thickBot="1"/>
    <row r="2807" spans="1:15" ht="16.5" thickBot="1">
      <c r="A2807" s="2143" t="s">
        <v>47</v>
      </c>
      <c r="B2807" s="2144"/>
      <c r="C2807" s="2144"/>
      <c r="D2807" s="2144"/>
      <c r="E2807" s="2144"/>
      <c r="F2807" s="2144"/>
      <c r="G2807" s="2144"/>
      <c r="H2807" s="2144"/>
      <c r="I2807" s="2144"/>
      <c r="J2807" s="2144"/>
      <c r="K2807" s="2144"/>
      <c r="L2807" s="2144"/>
      <c r="M2807" s="2144"/>
      <c r="N2807" s="2144"/>
      <c r="O2807" s="2145"/>
    </row>
    <row r="2808" spans="1:15" ht="15.75">
      <c r="A2808" s="2116" t="s">
        <v>1235</v>
      </c>
      <c r="B2808" s="2117"/>
      <c r="C2808" s="2117"/>
      <c r="D2808" s="2117"/>
      <c r="E2808" s="2117"/>
      <c r="F2808" s="2117"/>
      <c r="G2808" s="2117"/>
      <c r="H2808" s="625">
        <f>(5*H906)+(4*H1371)+H1893+H1911+H1929+H2124+H2165+H2802</f>
        <v>4837.7650000000003</v>
      </c>
      <c r="I2808" s="625">
        <f t="shared" ref="I2808:O2808" si="300">(5*I906)+(4*I1371)+I1893+I1911+I1929+I2124+I2165+I2802</f>
        <v>27242.7232</v>
      </c>
      <c r="J2808" s="625">
        <f t="shared" si="300"/>
        <v>29699.952030233566</v>
      </c>
      <c r="K2808" s="625">
        <f t="shared" si="300"/>
        <v>20362.772000000001</v>
      </c>
      <c r="L2808" s="625">
        <f t="shared" si="300"/>
        <v>34588.827799999999</v>
      </c>
      <c r="M2808" s="625">
        <f t="shared" si="300"/>
        <v>31893.599999999999</v>
      </c>
      <c r="N2808" s="625">
        <f t="shared" si="300"/>
        <v>53043.92</v>
      </c>
      <c r="O2808" s="625">
        <f t="shared" si="300"/>
        <v>138838.326</v>
      </c>
    </row>
    <row r="2809" spans="1:15" ht="16.5" thickBot="1">
      <c r="A2809" s="2118" t="s">
        <v>1236</v>
      </c>
      <c r="B2809" s="2119"/>
      <c r="C2809" s="2119"/>
      <c r="D2809" s="2119"/>
      <c r="E2809" s="2119"/>
      <c r="F2809" s="2119"/>
      <c r="G2809" s="2119"/>
      <c r="H2809" s="2120">
        <f>SUM(H2808:O2808)</f>
        <v>340507.88603023358</v>
      </c>
      <c r="I2809" s="2121"/>
      <c r="J2809" s="2121"/>
      <c r="K2809" s="2121"/>
      <c r="L2809" s="2121"/>
      <c r="M2809" s="2121"/>
      <c r="N2809" s="2121"/>
      <c r="O2809" s="2122"/>
    </row>
    <row r="2811" spans="1:15" ht="14.25" thickBot="1"/>
    <row r="2812" spans="1:15" ht="16.5" thickBot="1">
      <c r="A2812" s="2123" t="s">
        <v>1240</v>
      </c>
      <c r="B2812" s="2124"/>
      <c r="C2812" s="2124"/>
      <c r="D2812" s="2124"/>
      <c r="E2812" s="2124"/>
      <c r="F2812" s="2124"/>
      <c r="G2812" s="2124"/>
      <c r="H2812" s="2124"/>
      <c r="I2812" s="2124"/>
      <c r="J2812" s="2124"/>
      <c r="K2812" s="2124"/>
      <c r="L2812" s="2124"/>
      <c r="M2812" s="2124"/>
      <c r="N2812" s="2124"/>
      <c r="O2812" s="2125"/>
    </row>
    <row r="2813" spans="1:15" ht="16.5" thickBot="1">
      <c r="A2813" s="626"/>
      <c r="B2813" s="627"/>
      <c r="C2813" s="627"/>
      <c r="D2813" s="627"/>
      <c r="E2813" s="627"/>
      <c r="F2813" s="627"/>
      <c r="G2813" s="627"/>
      <c r="H2813" s="2123" t="s">
        <v>1244</v>
      </c>
      <c r="I2813" s="2124"/>
      <c r="J2813" s="2124"/>
      <c r="K2813" s="2124"/>
      <c r="L2813" s="2124"/>
      <c r="M2813" s="2124"/>
      <c r="N2813" s="2124"/>
      <c r="O2813" s="2125"/>
    </row>
    <row r="2814" spans="1:15" ht="15.75">
      <c r="A2814" s="2136" t="s">
        <v>1242</v>
      </c>
      <c r="B2814" s="2137"/>
      <c r="C2814" s="2137"/>
      <c r="D2814" s="2137"/>
      <c r="E2814" s="2137"/>
      <c r="F2814" s="2137"/>
      <c r="G2814" s="2138"/>
      <c r="H2814" s="2126">
        <f>'6. Mampostería'!U638</f>
        <v>1846.84</v>
      </c>
      <c r="I2814" s="2127"/>
      <c r="J2814" s="2127"/>
      <c r="K2814" s="2127"/>
      <c r="L2814" s="2127"/>
      <c r="M2814" s="2127"/>
      <c r="N2814" s="2127"/>
      <c r="O2814" s="2128"/>
    </row>
    <row r="2815" spans="1:15" ht="16.5" thickBot="1">
      <c r="A2815" s="2139" t="s">
        <v>1243</v>
      </c>
      <c r="B2815" s="2140"/>
      <c r="C2815" s="2140"/>
      <c r="D2815" s="2140"/>
      <c r="E2815" s="2140"/>
      <c r="F2815" s="2140"/>
      <c r="G2815" s="2141"/>
      <c r="H2815" s="2142">
        <f>H2814</f>
        <v>1846.84</v>
      </c>
      <c r="I2815" s="2134"/>
      <c r="J2815" s="2134"/>
      <c r="K2815" s="2134"/>
      <c r="L2815" s="2134"/>
      <c r="M2815" s="2134"/>
      <c r="N2815" s="2134"/>
      <c r="O2815" s="2135"/>
    </row>
  </sheetData>
  <mergeCells count="514">
    <mergeCell ref="D1897:D1898"/>
    <mergeCell ref="E1897:E1898"/>
    <mergeCell ref="F1897:F1898"/>
    <mergeCell ref="G1897:G1898"/>
    <mergeCell ref="H1897:O1897"/>
    <mergeCell ref="A2128:O2128"/>
    <mergeCell ref="A2145:O2145"/>
    <mergeCell ref="H1930:O1930"/>
    <mergeCell ref="A1914:O1914"/>
    <mergeCell ref="A1932:O1932"/>
    <mergeCell ref="A2127:O2127"/>
    <mergeCell ref="C1915:C1916"/>
    <mergeCell ref="D1915:D1916"/>
    <mergeCell ref="E1915:E1916"/>
    <mergeCell ref="F1915:F1916"/>
    <mergeCell ref="G1915:G1916"/>
    <mergeCell ref="H1915:O1915"/>
    <mergeCell ref="A1924:B1924"/>
    <mergeCell ref="A1925:B1925"/>
    <mergeCell ref="A1926:B1926"/>
    <mergeCell ref="A1927:B1927"/>
    <mergeCell ref="A1928:B1928"/>
    <mergeCell ref="A1929:G1929"/>
    <mergeCell ref="A1930:G1930"/>
    <mergeCell ref="A1862:G1862"/>
    <mergeCell ref="A1863:G1863"/>
    <mergeCell ref="H1863:O1863"/>
    <mergeCell ref="A1889:G1889"/>
    <mergeCell ref="A1890:G1890"/>
    <mergeCell ref="H1890:O1890"/>
    <mergeCell ref="A909:O909"/>
    <mergeCell ref="A5:O5"/>
    <mergeCell ref="A1896:O1896"/>
    <mergeCell ref="A1812:G1812"/>
    <mergeCell ref="A1813:G1813"/>
    <mergeCell ref="H1813:O1813"/>
    <mergeCell ref="A1837:G1837"/>
    <mergeCell ref="A1838:G1838"/>
    <mergeCell ref="H1838:O1838"/>
    <mergeCell ref="A1845:G1845"/>
    <mergeCell ref="A1846:G1846"/>
    <mergeCell ref="H1846:O1846"/>
    <mergeCell ref="A1711:G1711"/>
    <mergeCell ref="A1712:G1712"/>
    <mergeCell ref="H1712:O1712"/>
    <mergeCell ref="A1728:G1728"/>
    <mergeCell ref="A1729:G1729"/>
    <mergeCell ref="H1729:O1729"/>
    <mergeCell ref="A1745:G1745"/>
    <mergeCell ref="A1746:G1746"/>
    <mergeCell ref="H1746:O1746"/>
    <mergeCell ref="A1634:G1634"/>
    <mergeCell ref="A1635:G1635"/>
    <mergeCell ref="H1635:O1635"/>
    <mergeCell ref="A1651:G1651"/>
    <mergeCell ref="A1652:G1652"/>
    <mergeCell ref="H1652:O1652"/>
    <mergeCell ref="A1680:G1680"/>
    <mergeCell ref="A1681:G1681"/>
    <mergeCell ref="H1681:O1681"/>
    <mergeCell ref="H1697:O1697"/>
    <mergeCell ref="A1371:G1371"/>
    <mergeCell ref="A1372:G1372"/>
    <mergeCell ref="H1372:O1372"/>
    <mergeCell ref="A1104:G1104"/>
    <mergeCell ref="A1105:G1105"/>
    <mergeCell ref="H1105:O1105"/>
    <mergeCell ref="A1340:G1340"/>
    <mergeCell ref="A1341:G1341"/>
    <mergeCell ref="H1341:O1341"/>
    <mergeCell ref="A1351:G1351"/>
    <mergeCell ref="A1352:G1352"/>
    <mergeCell ref="H1352:O1352"/>
    <mergeCell ref="A1369:G1369"/>
    <mergeCell ref="H1369:O1369"/>
    <mergeCell ref="A977:G977"/>
    <mergeCell ref="H977:O977"/>
    <mergeCell ref="A1002:G1002"/>
    <mergeCell ref="A1003:G1003"/>
    <mergeCell ref="H1003:O1003"/>
    <mergeCell ref="A1013:G1013"/>
    <mergeCell ref="A1014:G1014"/>
    <mergeCell ref="H1014:O1014"/>
    <mergeCell ref="A1028:G1028"/>
    <mergeCell ref="A1794:G1794"/>
    <mergeCell ref="A1795:G1795"/>
    <mergeCell ref="H1795:O1795"/>
    <mergeCell ref="A1343:O1343"/>
    <mergeCell ref="A1354:O1354"/>
    <mergeCell ref="H1527:O1527"/>
    <mergeCell ref="A1554:G1554"/>
    <mergeCell ref="A1555:G1555"/>
    <mergeCell ref="H1555:O1555"/>
    <mergeCell ref="A1576:G1576"/>
    <mergeCell ref="A1577:G1577"/>
    <mergeCell ref="H1577:O1577"/>
    <mergeCell ref="A1590:G1590"/>
    <mergeCell ref="A1591:G1591"/>
    <mergeCell ref="H1591:O1591"/>
    <mergeCell ref="A1598:G1598"/>
    <mergeCell ref="A1599:G1599"/>
    <mergeCell ref="H1599:O1599"/>
    <mergeCell ref="A1619:G1619"/>
    <mergeCell ref="A1620:G1620"/>
    <mergeCell ref="A1776:G1776"/>
    <mergeCell ref="A1777:G1777"/>
    <mergeCell ref="A1440:G1440"/>
    <mergeCell ref="A1441:G1441"/>
    <mergeCell ref="H1620:O1620"/>
    <mergeCell ref="A1107:O1107"/>
    <mergeCell ref="A1029:G1029"/>
    <mergeCell ref="H1029:O1029"/>
    <mergeCell ref="A1049:G1049"/>
    <mergeCell ref="A1050:G1050"/>
    <mergeCell ref="H1050:O1050"/>
    <mergeCell ref="A1060:G1060"/>
    <mergeCell ref="A1061:G1061"/>
    <mergeCell ref="H1061:O1061"/>
    <mergeCell ref="A1526:G1526"/>
    <mergeCell ref="A1527:G1527"/>
    <mergeCell ref="H1441:O1441"/>
    <mergeCell ref="A1479:G1479"/>
    <mergeCell ref="A1480:G1480"/>
    <mergeCell ref="H1480:O1480"/>
    <mergeCell ref="A1506:G1506"/>
    <mergeCell ref="A1507:G1507"/>
    <mergeCell ref="H1507:O1507"/>
    <mergeCell ref="A1374:O1374"/>
    <mergeCell ref="A1408:G1408"/>
    <mergeCell ref="A1409:G1409"/>
    <mergeCell ref="H1409:O1409"/>
    <mergeCell ref="A1368:G1368"/>
    <mergeCell ref="H950:O950"/>
    <mergeCell ref="A976:G976"/>
    <mergeCell ref="F910:F911"/>
    <mergeCell ref="G910:G911"/>
    <mergeCell ref="H910:O910"/>
    <mergeCell ref="A885:O885"/>
    <mergeCell ref="A900:G900"/>
    <mergeCell ref="A901:G901"/>
    <mergeCell ref="H901:O901"/>
    <mergeCell ref="A906:G906"/>
    <mergeCell ref="A907:G907"/>
    <mergeCell ref="H907:O907"/>
    <mergeCell ref="A910:A911"/>
    <mergeCell ref="B910:B911"/>
    <mergeCell ref="C910:C911"/>
    <mergeCell ref="D910:D911"/>
    <mergeCell ref="E910:E911"/>
    <mergeCell ref="A912:O912"/>
    <mergeCell ref="A923:G923"/>
    <mergeCell ref="A924:G924"/>
    <mergeCell ref="H924:O924"/>
    <mergeCell ref="A949:G949"/>
    <mergeCell ref="A950:G950"/>
    <mergeCell ref="A869:G869"/>
    <mergeCell ref="H869:O869"/>
    <mergeCell ref="A864:G864"/>
    <mergeCell ref="A843:G843"/>
    <mergeCell ref="A848:G848"/>
    <mergeCell ref="A863:G863"/>
    <mergeCell ref="H864:O864"/>
    <mergeCell ref="A868:G868"/>
    <mergeCell ref="A859:O859"/>
    <mergeCell ref="A865:O865"/>
    <mergeCell ref="A849:O849"/>
    <mergeCell ref="A391:G391"/>
    <mergeCell ref="A392:G392"/>
    <mergeCell ref="H392:O392"/>
    <mergeCell ref="A426:O426"/>
    <mergeCell ref="A470:O470"/>
    <mergeCell ref="A535:O535"/>
    <mergeCell ref="A541:O541"/>
    <mergeCell ref="A546:O546"/>
    <mergeCell ref="A569:G569"/>
    <mergeCell ref="H569:O569"/>
    <mergeCell ref="A556:G556"/>
    <mergeCell ref="A534:G534"/>
    <mergeCell ref="H534:O534"/>
    <mergeCell ref="A539:G539"/>
    <mergeCell ref="A540:G540"/>
    <mergeCell ref="H540:O540"/>
    <mergeCell ref="A544:G544"/>
    <mergeCell ref="A545:G545"/>
    <mergeCell ref="A557:G557"/>
    <mergeCell ref="H557:O557"/>
    <mergeCell ref="A558:O558"/>
    <mergeCell ref="H563:O563"/>
    <mergeCell ref="A469:G469"/>
    <mergeCell ref="A564:O564"/>
    <mergeCell ref="H322:O322"/>
    <mergeCell ref="A290:G290"/>
    <mergeCell ref="A138:O138"/>
    <mergeCell ref="A154:O154"/>
    <mergeCell ref="A424:G424"/>
    <mergeCell ref="A292:O292"/>
    <mergeCell ref="A323:O323"/>
    <mergeCell ref="A176:G176"/>
    <mergeCell ref="H177:O177"/>
    <mergeCell ref="A224:G224"/>
    <mergeCell ref="A225:G225"/>
    <mergeCell ref="H225:O225"/>
    <mergeCell ref="A362:G362"/>
    <mergeCell ref="H362:O362"/>
    <mergeCell ref="H343:O343"/>
    <mergeCell ref="A393:O393"/>
    <mergeCell ref="A344:O344"/>
    <mergeCell ref="A363:O363"/>
    <mergeCell ref="A178:O178"/>
    <mergeCell ref="A226:O226"/>
    <mergeCell ref="A258:O258"/>
    <mergeCell ref="A177:G177"/>
    <mergeCell ref="A342:G342"/>
    <mergeCell ref="A343:G343"/>
    <mergeCell ref="A43:G43"/>
    <mergeCell ref="A80:G80"/>
    <mergeCell ref="A82:O82"/>
    <mergeCell ref="A45:O45"/>
    <mergeCell ref="A116:O116"/>
    <mergeCell ref="A114:G114"/>
    <mergeCell ref="D6:D7"/>
    <mergeCell ref="A6:A7"/>
    <mergeCell ref="E6:E7"/>
    <mergeCell ref="F6:F7"/>
    <mergeCell ref="C6:C7"/>
    <mergeCell ref="H6:O6"/>
    <mergeCell ref="G6:G7"/>
    <mergeCell ref="B6:B7"/>
    <mergeCell ref="A8:O8"/>
    <mergeCell ref="A115:G115"/>
    <mergeCell ref="H115:O115"/>
    <mergeCell ref="H833:O833"/>
    <mergeCell ref="A813:G813"/>
    <mergeCell ref="A814:G814"/>
    <mergeCell ref="H814:O814"/>
    <mergeCell ref="A819:G819"/>
    <mergeCell ref="A820:G820"/>
    <mergeCell ref="H820:O820"/>
    <mergeCell ref="A44:G44"/>
    <mergeCell ref="H44:O44"/>
    <mergeCell ref="A81:G81"/>
    <mergeCell ref="H81:O81"/>
    <mergeCell ref="A136:G136"/>
    <mergeCell ref="A137:G137"/>
    <mergeCell ref="H137:O137"/>
    <mergeCell ref="A321:G321"/>
    <mergeCell ref="A322:G322"/>
    <mergeCell ref="A291:G291"/>
    <mergeCell ref="H291:O291"/>
    <mergeCell ref="A257:G257"/>
    <mergeCell ref="H257:O257"/>
    <mergeCell ref="A256:G256"/>
    <mergeCell ref="A152:G152"/>
    <mergeCell ref="A153:G153"/>
    <mergeCell ref="H153:O153"/>
    <mergeCell ref="A718:G718"/>
    <mergeCell ref="A780:O780"/>
    <mergeCell ref="A794:O794"/>
    <mergeCell ref="A803:O803"/>
    <mergeCell ref="A815:O815"/>
    <mergeCell ref="A821:O821"/>
    <mergeCell ref="A827:O827"/>
    <mergeCell ref="A834:O834"/>
    <mergeCell ref="A844:O844"/>
    <mergeCell ref="H779:O779"/>
    <mergeCell ref="A778:G778"/>
    <mergeCell ref="A779:G779"/>
    <mergeCell ref="A730:G730"/>
    <mergeCell ref="A719:O719"/>
    <mergeCell ref="A725:O725"/>
    <mergeCell ref="A731:O731"/>
    <mergeCell ref="A801:G801"/>
    <mergeCell ref="A802:G802"/>
    <mergeCell ref="H802:O802"/>
    <mergeCell ref="A826:G826"/>
    <mergeCell ref="A833:G833"/>
    <mergeCell ref="A792:G792"/>
    <mergeCell ref="A793:G793"/>
    <mergeCell ref="H793:O793"/>
    <mergeCell ref="A711:O711"/>
    <mergeCell ref="A568:G568"/>
    <mergeCell ref="A562:G562"/>
    <mergeCell ref="A563:G563"/>
    <mergeCell ref="A574:G574"/>
    <mergeCell ref="H575:O575"/>
    <mergeCell ref="H656:O656"/>
    <mergeCell ref="H650:O650"/>
    <mergeCell ref="H639:O639"/>
    <mergeCell ref="A649:G649"/>
    <mergeCell ref="A640:O640"/>
    <mergeCell ref="A651:O651"/>
    <mergeCell ref="H681:O681"/>
    <mergeCell ref="A638:G638"/>
    <mergeCell ref="A639:G639"/>
    <mergeCell ref="A655:G655"/>
    <mergeCell ref="A709:G709"/>
    <mergeCell ref="A576:O576"/>
    <mergeCell ref="A607:O607"/>
    <mergeCell ref="A570:O570"/>
    <mergeCell ref="H606:O606"/>
    <mergeCell ref="A613:O613"/>
    <mergeCell ref="A688:G688"/>
    <mergeCell ref="A689:G689"/>
    <mergeCell ref="H551:O551"/>
    <mergeCell ref="A468:G468"/>
    <mergeCell ref="H469:O469"/>
    <mergeCell ref="A510:G510"/>
    <mergeCell ref="A511:G511"/>
    <mergeCell ref="H511:O511"/>
    <mergeCell ref="A533:G533"/>
    <mergeCell ref="A517:O517"/>
    <mergeCell ref="A690:O690"/>
    <mergeCell ref="A514:G514"/>
    <mergeCell ref="H689:O689"/>
    <mergeCell ref="A681:G681"/>
    <mergeCell ref="A680:G680"/>
    <mergeCell ref="A656:G656"/>
    <mergeCell ref="A650:G650"/>
    <mergeCell ref="A657:O657"/>
    <mergeCell ref="A682:O682"/>
    <mergeCell ref="A575:G575"/>
    <mergeCell ref="A605:G605"/>
    <mergeCell ref="A606:G606"/>
    <mergeCell ref="A611:G611"/>
    <mergeCell ref="A612:G612"/>
    <mergeCell ref="H612:O612"/>
    <mergeCell ref="A729:G729"/>
    <mergeCell ref="H730:O730"/>
    <mergeCell ref="A724:G724"/>
    <mergeCell ref="A425:G425"/>
    <mergeCell ref="H425:O425"/>
    <mergeCell ref="A361:G361"/>
    <mergeCell ref="A875:O875"/>
    <mergeCell ref="A878:G878"/>
    <mergeCell ref="A879:G879"/>
    <mergeCell ref="H879:N879"/>
    <mergeCell ref="A825:G825"/>
    <mergeCell ref="H826:O826"/>
    <mergeCell ref="A832:G832"/>
    <mergeCell ref="A842:G842"/>
    <mergeCell ref="H843:O843"/>
    <mergeCell ref="A847:G847"/>
    <mergeCell ref="H848:O848"/>
    <mergeCell ref="A857:G857"/>
    <mergeCell ref="A858:G858"/>
    <mergeCell ref="H858:O858"/>
    <mergeCell ref="A552:O552"/>
    <mergeCell ref="H545:O545"/>
    <mergeCell ref="A550:G550"/>
    <mergeCell ref="A551:G551"/>
    <mergeCell ref="A1907:C1907"/>
    <mergeCell ref="A1908:C1908"/>
    <mergeCell ref="A1909:C1909"/>
    <mergeCell ref="A883:G883"/>
    <mergeCell ref="H883:O883"/>
    <mergeCell ref="A903:G903"/>
    <mergeCell ref="A904:G904"/>
    <mergeCell ref="H904:O904"/>
    <mergeCell ref="A515:G515"/>
    <mergeCell ref="H515:O515"/>
    <mergeCell ref="A872:G872"/>
    <mergeCell ref="A873:G873"/>
    <mergeCell ref="H873:O873"/>
    <mergeCell ref="A882:G882"/>
    <mergeCell ref="A761:O761"/>
    <mergeCell ref="A710:G710"/>
    <mergeCell ref="H710:O710"/>
    <mergeCell ref="A717:G717"/>
    <mergeCell ref="A760:G760"/>
    <mergeCell ref="A759:G759"/>
    <mergeCell ref="H760:O760"/>
    <mergeCell ref="H718:O718"/>
    <mergeCell ref="A723:G723"/>
    <mergeCell ref="H724:O724"/>
    <mergeCell ref="A1933:D1933"/>
    <mergeCell ref="A1934:D1934"/>
    <mergeCell ref="H1777:O1777"/>
    <mergeCell ref="A1696:G1696"/>
    <mergeCell ref="A1697:G1697"/>
    <mergeCell ref="A1944:D1944"/>
    <mergeCell ref="A1954:D1954"/>
    <mergeCell ref="A1974:D1974"/>
    <mergeCell ref="A1979:D1979"/>
    <mergeCell ref="A1893:G1893"/>
    <mergeCell ref="A1894:G1894"/>
    <mergeCell ref="H1894:O1894"/>
    <mergeCell ref="H1912:O1912"/>
    <mergeCell ref="A1911:G1911"/>
    <mergeCell ref="A1912:G1912"/>
    <mergeCell ref="A1897:C1898"/>
    <mergeCell ref="A1899:C1899"/>
    <mergeCell ref="A1900:C1900"/>
    <mergeCell ref="A1901:C1901"/>
    <mergeCell ref="A1902:C1902"/>
    <mergeCell ref="A1903:C1903"/>
    <mergeCell ref="A1904:C1904"/>
    <mergeCell ref="A1905:C1905"/>
    <mergeCell ref="A1906:C1906"/>
    <mergeCell ref="A1910:C1910"/>
    <mergeCell ref="A1915:B1916"/>
    <mergeCell ref="A1917:B1917"/>
    <mergeCell ref="A1918:B1918"/>
    <mergeCell ref="A1919:B1919"/>
    <mergeCell ref="A1920:B1920"/>
    <mergeCell ref="A1921:B1921"/>
    <mergeCell ref="A1922:B1922"/>
    <mergeCell ref="A1923:B1923"/>
    <mergeCell ref="A2048:D2048"/>
    <mergeCell ref="A2053:D2053"/>
    <mergeCell ref="A2058:D2058"/>
    <mergeCell ref="A2073:D2073"/>
    <mergeCell ref="A2085:D2085"/>
    <mergeCell ref="A2097:D2097"/>
    <mergeCell ref="A2111:D2111"/>
    <mergeCell ref="A2063:D2063"/>
    <mergeCell ref="A1964:D1964"/>
    <mergeCell ref="A2018:D2018"/>
    <mergeCell ref="A2033:D2033"/>
    <mergeCell ref="A1992:D1992"/>
    <mergeCell ref="A2005:D2005"/>
    <mergeCell ref="A2165:G2165"/>
    <mergeCell ref="A2166:G2166"/>
    <mergeCell ref="H2166:O2166"/>
    <mergeCell ref="A2168:O2168"/>
    <mergeCell ref="A2124:G2124"/>
    <mergeCell ref="A2125:G2125"/>
    <mergeCell ref="H2125:O2125"/>
    <mergeCell ref="A2143:G2143"/>
    <mergeCell ref="A2144:G2144"/>
    <mergeCell ref="H2144:O2144"/>
    <mergeCell ref="A2162:G2162"/>
    <mergeCell ref="A2163:G2163"/>
    <mergeCell ref="H2163:O2163"/>
    <mergeCell ref="B2173:B2193"/>
    <mergeCell ref="E2173:E2212"/>
    <mergeCell ref="B2194:B2212"/>
    <mergeCell ref="A2213:C2214"/>
    <mergeCell ref="D2213:D2214"/>
    <mergeCell ref="E2213:E2214"/>
    <mergeCell ref="B2215:B2246"/>
    <mergeCell ref="E2215:E2269"/>
    <mergeCell ref="B2247:B2269"/>
    <mergeCell ref="A2270:C2271"/>
    <mergeCell ref="D2270:D2271"/>
    <mergeCell ref="E2270:E2271"/>
    <mergeCell ref="B2272:B2294"/>
    <mergeCell ref="E2272:E2344"/>
    <mergeCell ref="B2295:B2344"/>
    <mergeCell ref="A2345:C2346"/>
    <mergeCell ref="D2345:D2346"/>
    <mergeCell ref="E2345:E2346"/>
    <mergeCell ref="B2347:B2354"/>
    <mergeCell ref="E2347:E2423"/>
    <mergeCell ref="B2356:B2361"/>
    <mergeCell ref="B2362:B2380"/>
    <mergeCell ref="B2381:B2389"/>
    <mergeCell ref="B2391:B2392"/>
    <mergeCell ref="B2393:B2395"/>
    <mergeCell ref="B2396:B2398"/>
    <mergeCell ref="B2400:B2405"/>
    <mergeCell ref="B2406:B2423"/>
    <mergeCell ref="A2424:C2425"/>
    <mergeCell ref="D2424:D2425"/>
    <mergeCell ref="E2424:E2425"/>
    <mergeCell ref="B2426:B2465"/>
    <mergeCell ref="E2426:E2465"/>
    <mergeCell ref="A2466:C2466"/>
    <mergeCell ref="E2467:E2551"/>
    <mergeCell ref="B2468:B2508"/>
    <mergeCell ref="B2509:B2512"/>
    <mergeCell ref="B2513:B2551"/>
    <mergeCell ref="D2552:D2553"/>
    <mergeCell ref="E2552:E2553"/>
    <mergeCell ref="E2554:E2638"/>
    <mergeCell ref="B2555:B2595"/>
    <mergeCell ref="B2596:B2599"/>
    <mergeCell ref="B2600:B2638"/>
    <mergeCell ref="A2639:C2640"/>
    <mergeCell ref="D2639:D2640"/>
    <mergeCell ref="E2639:E2640"/>
    <mergeCell ref="A2815:G2815"/>
    <mergeCell ref="H2815:O2815"/>
    <mergeCell ref="A2807:O2807"/>
    <mergeCell ref="A2799:C2800"/>
    <mergeCell ref="D2799:D2800"/>
    <mergeCell ref="E2799:E2800"/>
    <mergeCell ref="A2169:A2172"/>
    <mergeCell ref="B2169:B2172"/>
    <mergeCell ref="C2169:C2172"/>
    <mergeCell ref="D2169:D2172"/>
    <mergeCell ref="E2169:E2172"/>
    <mergeCell ref="E2641:E2725"/>
    <mergeCell ref="B2642:B2682"/>
    <mergeCell ref="B2683:B2686"/>
    <mergeCell ref="B2687:B2725"/>
    <mergeCell ref="A2726:C2727"/>
    <mergeCell ref="D2726:D2727"/>
    <mergeCell ref="E2726:E2727"/>
    <mergeCell ref="E2728:E2798"/>
    <mergeCell ref="B2729:B2771"/>
    <mergeCell ref="B2773:B2774"/>
    <mergeCell ref="B2775:B2777"/>
    <mergeCell ref="B2778:B2798"/>
    <mergeCell ref="A2552:C2553"/>
    <mergeCell ref="A2808:G2808"/>
    <mergeCell ref="A2809:G2809"/>
    <mergeCell ref="H2809:O2809"/>
    <mergeCell ref="H2813:O2813"/>
    <mergeCell ref="H2814:O2814"/>
    <mergeCell ref="A2802:G2802"/>
    <mergeCell ref="A2803:G2803"/>
    <mergeCell ref="H2803:O2803"/>
    <mergeCell ref="A2812:O2812"/>
    <mergeCell ref="A2814:G2814"/>
  </mergeCells>
  <phoneticPr fontId="0" type="noConversion"/>
  <printOptions horizontalCentered="1" verticalCentered="1"/>
  <pageMargins left="0.75" right="0.75" top="1" bottom="1" header="0" footer="0"/>
  <pageSetup scale="10" orientation="landscape" horizontalDpi="360" r:id="rId1"/>
  <headerFooter alignWithMargins="0">
    <oddFooter>&amp;C&amp;"Century Gothic,Negrita"&amp;8Presupuestos y Programación de ConstrucciónUNIVERSIDAD EAFIT</oddFooter>
  </headerFooter>
  <ignoredErrors>
    <ignoredError sqref="C41 C77:C78 C75" formula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"/>
  <sheetViews>
    <sheetView workbookViewId="0">
      <selection activeCell="I3" sqref="I3"/>
    </sheetView>
  </sheetViews>
  <sheetFormatPr baseColWidth="10" defaultRowHeight="12.75"/>
  <cols>
    <col min="9" max="9" width="12.28515625" bestFit="1" customWidth="1"/>
    <col min="17" max="17" width="21.5703125" bestFit="1" customWidth="1"/>
    <col min="18" max="18" width="15.28515625" bestFit="1" customWidth="1"/>
  </cols>
  <sheetData>
    <row r="1" spans="1:18" ht="13.5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716">
        <v>42457</v>
      </c>
      <c r="J1" s="18"/>
      <c r="K1" s="24"/>
      <c r="L1" s="3"/>
      <c r="M1" s="3"/>
      <c r="N1" s="8"/>
      <c r="O1" s="8"/>
      <c r="P1" s="8"/>
    </row>
    <row r="2" spans="1:18" ht="13.5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5</v>
      </c>
      <c r="J2" s="18"/>
      <c r="K2" s="24"/>
      <c r="L2" s="3"/>
      <c r="M2" s="3"/>
      <c r="N2" s="8"/>
      <c r="O2" s="8"/>
      <c r="P2" s="8"/>
    </row>
    <row r="3" spans="1:18" ht="13.5">
      <c r="A3" s="2273" t="s">
        <v>444</v>
      </c>
      <c r="B3" s="2273"/>
      <c r="C3" s="17"/>
      <c r="D3" s="17"/>
      <c r="E3" s="17"/>
      <c r="F3" s="17"/>
      <c r="G3" s="17"/>
      <c r="H3" s="17"/>
      <c r="I3" s="17"/>
      <c r="J3" s="18"/>
      <c r="K3" s="24"/>
      <c r="L3" s="3"/>
      <c r="M3" s="3"/>
      <c r="N3" s="8"/>
      <c r="O3" s="8"/>
      <c r="P3" s="8"/>
    </row>
    <row r="4" spans="1:18">
      <c r="A4" s="2287" t="s">
        <v>0</v>
      </c>
      <c r="B4" s="2288" t="s">
        <v>5</v>
      </c>
      <c r="C4" s="2261" t="s">
        <v>19</v>
      </c>
      <c r="D4" s="2261" t="s">
        <v>20</v>
      </c>
      <c r="E4" s="2261" t="s">
        <v>21</v>
      </c>
      <c r="F4" s="2261" t="s">
        <v>22</v>
      </c>
      <c r="G4" s="2261" t="s">
        <v>23</v>
      </c>
      <c r="H4" s="2261" t="s">
        <v>24</v>
      </c>
      <c r="I4" s="2261" t="s">
        <v>25</v>
      </c>
      <c r="J4" s="2261" t="s">
        <v>23</v>
      </c>
      <c r="K4" s="2286"/>
      <c r="L4" s="8"/>
      <c r="M4" s="8"/>
      <c r="N4" s="8"/>
      <c r="O4" s="8"/>
      <c r="P4" s="8"/>
    </row>
    <row r="5" spans="1:18">
      <c r="A5" s="2287"/>
      <c r="B5" s="2288"/>
      <c r="C5" s="2261"/>
      <c r="D5" s="2261"/>
      <c r="E5" s="2261"/>
      <c r="F5" s="2261"/>
      <c r="G5" s="2261"/>
      <c r="H5" s="2261"/>
      <c r="I5" s="2261"/>
      <c r="J5" s="2261"/>
      <c r="K5" s="2286"/>
      <c r="L5" s="8"/>
      <c r="M5" s="8"/>
      <c r="N5" s="8"/>
      <c r="O5" s="8"/>
      <c r="P5" s="8"/>
    </row>
    <row r="6" spans="1:18" ht="18" customHeight="1">
      <c r="A6" s="2289" t="s">
        <v>250</v>
      </c>
      <c r="B6" s="2290"/>
      <c r="C6" s="2290"/>
      <c r="D6" s="2290"/>
      <c r="E6" s="2290"/>
      <c r="F6" s="2290"/>
      <c r="G6" s="2290"/>
      <c r="H6" s="2290"/>
      <c r="I6" s="2290"/>
      <c r="J6" s="2290"/>
      <c r="K6" s="2291"/>
      <c r="L6" s="8"/>
      <c r="M6" s="8"/>
      <c r="N6" s="8"/>
      <c r="O6" s="8"/>
      <c r="P6" s="8"/>
    </row>
    <row r="7" spans="1:18" ht="12.75" customHeight="1">
      <c r="A7" s="2274" t="s">
        <v>26</v>
      </c>
      <c r="B7" s="2292"/>
      <c r="C7" s="2283" t="s">
        <v>249</v>
      </c>
      <c r="D7" s="1989">
        <v>2.4</v>
      </c>
      <c r="E7" s="1989">
        <v>6</v>
      </c>
      <c r="F7" s="2262">
        <f>+D7*E7</f>
        <v>14.399999999999999</v>
      </c>
      <c r="G7" s="2262">
        <f>2.96*F7</f>
        <v>42.623999999999995</v>
      </c>
      <c r="H7" s="1989">
        <v>90</v>
      </c>
      <c r="I7" s="1989">
        <f>+F7*H7</f>
        <v>1295.9999999999998</v>
      </c>
      <c r="J7" s="2277">
        <f>H7*G7</f>
        <v>3836.1599999999994</v>
      </c>
      <c r="K7" s="2278"/>
      <c r="L7" s="8"/>
      <c r="M7" s="8"/>
      <c r="N7" s="8"/>
      <c r="O7" s="8"/>
      <c r="P7" s="8"/>
    </row>
    <row r="8" spans="1:18" ht="12.75" customHeight="1">
      <c r="A8" s="2275"/>
      <c r="B8" s="2292"/>
      <c r="C8" s="2284"/>
      <c r="D8" s="1990"/>
      <c r="E8" s="1990"/>
      <c r="F8" s="2263"/>
      <c r="G8" s="2263"/>
      <c r="H8" s="1990"/>
      <c r="I8" s="1990"/>
      <c r="J8" s="2279"/>
      <c r="K8" s="2280"/>
    </row>
    <row r="9" spans="1:18" ht="12.75" customHeight="1">
      <c r="A9" s="2275"/>
      <c r="B9" s="2292"/>
      <c r="C9" s="2284"/>
      <c r="D9" s="1990"/>
      <c r="E9" s="1990"/>
      <c r="F9" s="2263"/>
      <c r="G9" s="2263"/>
      <c r="H9" s="1990"/>
      <c r="I9" s="1990"/>
      <c r="J9" s="2279"/>
      <c r="K9" s="2280"/>
      <c r="Q9" s="4" t="s">
        <v>28</v>
      </c>
      <c r="R9" s="4" t="s">
        <v>29</v>
      </c>
    </row>
    <row r="10" spans="1:18" ht="6" customHeight="1">
      <c r="A10" s="2275"/>
      <c r="B10" s="2292"/>
      <c r="C10" s="2285"/>
      <c r="D10" s="1991"/>
      <c r="E10" s="1991"/>
      <c r="F10" s="2264"/>
      <c r="G10" s="2264"/>
      <c r="H10" s="1991"/>
      <c r="I10" s="1991"/>
      <c r="J10" s="2281"/>
      <c r="K10" s="2282"/>
      <c r="Q10" s="5">
        <v>56.43</v>
      </c>
      <c r="R10" s="5">
        <f>+Q10/(18*2.35)</f>
        <v>1.3340425531914892</v>
      </c>
    </row>
    <row r="11" spans="1:18" ht="12.75" customHeight="1">
      <c r="A11" s="2275"/>
      <c r="B11" s="2292"/>
      <c r="C11" s="2283" t="s">
        <v>249</v>
      </c>
      <c r="D11" s="1989">
        <v>2.9</v>
      </c>
      <c r="E11" s="1989">
        <v>2.4</v>
      </c>
      <c r="F11" s="2262">
        <f>+D11*E11</f>
        <v>6.96</v>
      </c>
      <c r="G11" s="2262">
        <f>2.96*F11</f>
        <v>20.601600000000001</v>
      </c>
      <c r="H11" s="1989">
        <v>4</v>
      </c>
      <c r="I11" s="1989">
        <f>+F11*H11</f>
        <v>27.84</v>
      </c>
      <c r="J11" s="2277">
        <f>H11*G11</f>
        <v>82.406400000000005</v>
      </c>
      <c r="K11" s="2278"/>
    </row>
    <row r="12" spans="1:18" ht="12.75" customHeight="1">
      <c r="A12" s="2275"/>
      <c r="B12" s="2292"/>
      <c r="C12" s="2284"/>
      <c r="D12" s="1990"/>
      <c r="E12" s="1990"/>
      <c r="F12" s="2263"/>
      <c r="G12" s="2263"/>
      <c r="H12" s="1990"/>
      <c r="I12" s="1990"/>
      <c r="J12" s="2279"/>
      <c r="K12" s="2280"/>
    </row>
    <row r="13" spans="1:18" ht="12.75" customHeight="1">
      <c r="A13" s="2275"/>
      <c r="B13" s="2292"/>
      <c r="C13" s="2284"/>
      <c r="D13" s="1990"/>
      <c r="E13" s="1990"/>
      <c r="F13" s="2263"/>
      <c r="G13" s="2263"/>
      <c r="H13" s="1990"/>
      <c r="I13" s="1990"/>
      <c r="J13" s="2279"/>
      <c r="K13" s="2280"/>
    </row>
    <row r="14" spans="1:18" ht="12.75" customHeight="1">
      <c r="A14" s="2275"/>
      <c r="B14" s="2292"/>
      <c r="C14" s="2285"/>
      <c r="D14" s="1991"/>
      <c r="E14" s="1991"/>
      <c r="F14" s="2264"/>
      <c r="G14" s="2264"/>
      <c r="H14" s="1991"/>
      <c r="I14" s="1991"/>
      <c r="J14" s="2281"/>
      <c r="K14" s="2282"/>
    </row>
    <row r="15" spans="1:18" ht="12.75" customHeight="1">
      <c r="A15" s="2275"/>
      <c r="B15" s="2292"/>
      <c r="C15" s="2283" t="s">
        <v>249</v>
      </c>
      <c r="D15" s="1989">
        <v>3.36</v>
      </c>
      <c r="E15" s="1989">
        <v>1.4</v>
      </c>
      <c r="F15" s="2262">
        <f>+D15*E15</f>
        <v>4.7039999999999997</v>
      </c>
      <c r="G15" s="2262">
        <f>2.96*F15</f>
        <v>13.923839999999998</v>
      </c>
      <c r="H15" s="1989">
        <v>1</v>
      </c>
      <c r="I15" s="1989">
        <f>+F15*H15</f>
        <v>4.7039999999999997</v>
      </c>
      <c r="J15" s="2277">
        <f>H15*G15</f>
        <v>13.923839999999998</v>
      </c>
      <c r="K15" s="2278"/>
    </row>
    <row r="16" spans="1:18" ht="12.75" customHeight="1">
      <c r="A16" s="2275"/>
      <c r="B16" s="2292"/>
      <c r="C16" s="2284"/>
      <c r="D16" s="1990"/>
      <c r="E16" s="1990"/>
      <c r="F16" s="2263"/>
      <c r="G16" s="2263"/>
      <c r="H16" s="1990"/>
      <c r="I16" s="1990"/>
      <c r="J16" s="2279"/>
      <c r="K16" s="2280"/>
    </row>
    <row r="17" spans="1:18" ht="12.75" customHeight="1">
      <c r="A17" s="2275"/>
      <c r="B17" s="2292"/>
      <c r="C17" s="2284"/>
      <c r="D17" s="1990"/>
      <c r="E17" s="1990"/>
      <c r="F17" s="2263"/>
      <c r="G17" s="2263"/>
      <c r="H17" s="1990"/>
      <c r="I17" s="1990"/>
      <c r="J17" s="2279"/>
      <c r="K17" s="2280"/>
    </row>
    <row r="18" spans="1:18" ht="12.75" customHeight="1">
      <c r="A18" s="2275"/>
      <c r="B18" s="2292"/>
      <c r="C18" s="2285"/>
      <c r="D18" s="1991"/>
      <c r="E18" s="1991"/>
      <c r="F18" s="2264"/>
      <c r="G18" s="2264"/>
      <c r="H18" s="1991"/>
      <c r="I18" s="1991"/>
      <c r="J18" s="2281"/>
      <c r="K18" s="2282"/>
      <c r="Q18">
        <f>5.85/2.35</f>
        <v>2.4893617021276593</v>
      </c>
      <c r="R18">
        <f>+(Q18-2)*2.35</f>
        <v>1.1499999999999992</v>
      </c>
    </row>
    <row r="19" spans="1:18" ht="12.75" customHeight="1">
      <c r="A19" s="2275"/>
      <c r="B19" s="2292"/>
      <c r="C19" s="2283" t="s">
        <v>249</v>
      </c>
      <c r="D19" s="1989">
        <v>1.91</v>
      </c>
      <c r="E19" s="1989">
        <v>2.91</v>
      </c>
      <c r="F19" s="2262">
        <f>+D19*E19</f>
        <v>5.5580999999999996</v>
      </c>
      <c r="G19" s="2262">
        <f>2.96*F19</f>
        <v>16.451975999999998</v>
      </c>
      <c r="H19" s="1989">
        <v>1</v>
      </c>
      <c r="I19" s="1989">
        <f>+F19*H19</f>
        <v>5.5580999999999996</v>
      </c>
      <c r="J19" s="2277">
        <f>H19*G19</f>
        <v>16.451975999999998</v>
      </c>
      <c r="K19" s="2278"/>
    </row>
    <row r="20" spans="1:18" ht="12.75" customHeight="1">
      <c r="A20" s="2275"/>
      <c r="B20" s="2292"/>
      <c r="C20" s="2284"/>
      <c r="D20" s="1990"/>
      <c r="E20" s="1990"/>
      <c r="F20" s="2263"/>
      <c r="G20" s="2263"/>
      <c r="H20" s="1990"/>
      <c r="I20" s="1990"/>
      <c r="J20" s="2279"/>
      <c r="K20" s="2280"/>
    </row>
    <row r="21" spans="1:18" ht="12.75" customHeight="1">
      <c r="A21" s="2275"/>
      <c r="B21" s="2292"/>
      <c r="C21" s="2284"/>
      <c r="D21" s="1990"/>
      <c r="E21" s="1990"/>
      <c r="F21" s="2263"/>
      <c r="G21" s="2263"/>
      <c r="H21" s="1990"/>
      <c r="I21" s="1990"/>
      <c r="J21" s="2279"/>
      <c r="K21" s="2280"/>
    </row>
    <row r="22" spans="1:18" ht="12.75" customHeight="1">
      <c r="A22" s="2275"/>
      <c r="B22" s="2292"/>
      <c r="C22" s="2285"/>
      <c r="D22" s="1991"/>
      <c r="E22" s="1991"/>
      <c r="F22" s="2264"/>
      <c r="G22" s="2264"/>
      <c r="H22" s="1991"/>
      <c r="I22" s="1991"/>
      <c r="J22" s="2281"/>
      <c r="K22" s="2282"/>
    </row>
    <row r="23" spans="1:18" ht="12.75" customHeight="1">
      <c r="A23" s="2275"/>
      <c r="B23" s="2292"/>
      <c r="C23" s="2283" t="s">
        <v>249</v>
      </c>
      <c r="D23" s="1989">
        <v>2.4</v>
      </c>
      <c r="E23" s="1989">
        <v>1.7</v>
      </c>
      <c r="F23" s="2262">
        <f>+D23*E23</f>
        <v>4.08</v>
      </c>
      <c r="G23" s="2262">
        <f>2.96*F23</f>
        <v>12.0768</v>
      </c>
      <c r="H23" s="1989">
        <v>1</v>
      </c>
      <c r="I23" s="1989">
        <f>+F23*H23</f>
        <v>4.08</v>
      </c>
      <c r="J23" s="2277">
        <f>H23*G23</f>
        <v>12.0768</v>
      </c>
      <c r="K23" s="2278"/>
    </row>
    <row r="24" spans="1:18" ht="12.75" customHeight="1">
      <c r="A24" s="2275"/>
      <c r="B24" s="2292"/>
      <c r="C24" s="2284"/>
      <c r="D24" s="1990"/>
      <c r="E24" s="1990"/>
      <c r="F24" s="2263"/>
      <c r="G24" s="2263"/>
      <c r="H24" s="1990"/>
      <c r="I24" s="1990"/>
      <c r="J24" s="2279"/>
      <c r="K24" s="2280"/>
    </row>
    <row r="25" spans="1:18" ht="12.75" customHeight="1">
      <c r="A25" s="2275"/>
      <c r="B25" s="2292"/>
      <c r="C25" s="2284"/>
      <c r="D25" s="1990"/>
      <c r="E25" s="1990"/>
      <c r="F25" s="2263"/>
      <c r="G25" s="2263"/>
      <c r="H25" s="1990"/>
      <c r="I25" s="1990"/>
      <c r="J25" s="2279"/>
      <c r="K25" s="2280"/>
    </row>
    <row r="26" spans="1:18" ht="12.75" customHeight="1">
      <c r="A26" s="2275"/>
      <c r="B26" s="2292"/>
      <c r="C26" s="2285"/>
      <c r="D26" s="1991"/>
      <c r="E26" s="1991"/>
      <c r="F26" s="2264"/>
      <c r="G26" s="2264"/>
      <c r="H26" s="1991"/>
      <c r="I26" s="1991"/>
      <c r="J26" s="2281"/>
      <c r="K26" s="2282"/>
    </row>
    <row r="27" spans="1:18" ht="12.75" customHeight="1">
      <c r="A27" s="2275"/>
      <c r="B27" s="2292"/>
      <c r="C27" s="2283" t="s">
        <v>249</v>
      </c>
      <c r="D27" s="1989">
        <v>1.1299999999999999</v>
      </c>
      <c r="E27" s="1989">
        <v>2.9</v>
      </c>
      <c r="F27" s="2262">
        <f>+D27*E27</f>
        <v>3.2769999999999997</v>
      </c>
      <c r="G27" s="2262">
        <f>2.96*F27</f>
        <v>9.6999199999999988</v>
      </c>
      <c r="H27" s="1989">
        <v>1</v>
      </c>
      <c r="I27" s="1989">
        <f>+F27*H27</f>
        <v>3.2769999999999997</v>
      </c>
      <c r="J27" s="2277">
        <f>H27*G27</f>
        <v>9.6999199999999988</v>
      </c>
      <c r="K27" s="2278"/>
    </row>
    <row r="28" spans="1:18" ht="12.75" customHeight="1">
      <c r="A28" s="2275"/>
      <c r="B28" s="2292"/>
      <c r="C28" s="2284"/>
      <c r="D28" s="1990"/>
      <c r="E28" s="1990"/>
      <c r="F28" s="2263"/>
      <c r="G28" s="2263"/>
      <c r="H28" s="1990"/>
      <c r="I28" s="1990"/>
      <c r="J28" s="2279"/>
      <c r="K28" s="2280"/>
    </row>
    <row r="29" spans="1:18" ht="12.75" customHeight="1">
      <c r="A29" s="2275"/>
      <c r="B29" s="2292"/>
      <c r="C29" s="2284"/>
      <c r="D29" s="1990"/>
      <c r="E29" s="1990"/>
      <c r="F29" s="2263"/>
      <c r="G29" s="2263"/>
      <c r="H29" s="1990"/>
      <c r="I29" s="1990"/>
      <c r="J29" s="2279"/>
      <c r="K29" s="2280"/>
    </row>
    <row r="30" spans="1:18" ht="12.75" customHeight="1">
      <c r="A30" s="2275"/>
      <c r="B30" s="2292"/>
      <c r="C30" s="2285"/>
      <c r="D30" s="1991"/>
      <c r="E30" s="1991"/>
      <c r="F30" s="2264"/>
      <c r="G30" s="2264"/>
      <c r="H30" s="1991"/>
      <c r="I30" s="1991"/>
      <c r="J30" s="2281"/>
      <c r="K30" s="2282"/>
    </row>
    <row r="31" spans="1:18" ht="13.5" thickBot="1">
      <c r="A31" s="2276"/>
      <c r="B31" s="2265" t="s">
        <v>27</v>
      </c>
      <c r="C31" s="2265"/>
      <c r="D31" s="2265"/>
      <c r="E31" s="2265"/>
      <c r="F31" s="2265"/>
      <c r="G31" s="2265"/>
      <c r="H31" s="2265"/>
      <c r="I31" s="2265"/>
      <c r="J31" s="2295">
        <f>+SUM(J7:K30)</f>
        <v>3970.7189359999988</v>
      </c>
      <c r="K31" s="2296"/>
    </row>
    <row r="32" spans="1:18" ht="13.5" thickBot="1">
      <c r="A32" s="628"/>
      <c r="B32" s="2265" t="s">
        <v>1258</v>
      </c>
      <c r="C32" s="2265"/>
      <c r="D32" s="2265"/>
      <c r="E32" s="2265"/>
      <c r="F32" s="2265"/>
      <c r="G32" s="2265"/>
      <c r="H32" s="2265"/>
      <c r="I32" s="2266"/>
      <c r="J32" s="2267">
        <f>J31*5</f>
        <v>19853.594679999995</v>
      </c>
      <c r="K32" s="2268"/>
    </row>
    <row r="34" spans="1:11" ht="13.5" thickBot="1">
      <c r="A34" s="2273" t="s">
        <v>443</v>
      </c>
      <c r="B34" s="2273"/>
    </row>
    <row r="35" spans="1:11">
      <c r="A35" s="2297" t="s">
        <v>0</v>
      </c>
      <c r="B35" s="2298" t="s">
        <v>5</v>
      </c>
      <c r="C35" s="2293" t="s">
        <v>19</v>
      </c>
      <c r="D35" s="2293" t="s">
        <v>20</v>
      </c>
      <c r="E35" s="2293" t="s">
        <v>21</v>
      </c>
      <c r="F35" s="2293" t="s">
        <v>22</v>
      </c>
      <c r="G35" s="2293" t="s">
        <v>23</v>
      </c>
      <c r="H35" s="2293" t="s">
        <v>24</v>
      </c>
      <c r="I35" s="2293" t="s">
        <v>25</v>
      </c>
      <c r="J35" s="2293" t="s">
        <v>23</v>
      </c>
      <c r="K35" s="2294"/>
    </row>
    <row r="36" spans="1:11">
      <c r="A36" s="2287"/>
      <c r="B36" s="2288"/>
      <c r="C36" s="2261"/>
      <c r="D36" s="2261"/>
      <c r="E36" s="2261"/>
      <c r="F36" s="2261"/>
      <c r="G36" s="2261"/>
      <c r="H36" s="2261"/>
      <c r="I36" s="2261"/>
      <c r="J36" s="2261"/>
      <c r="K36" s="2286"/>
    </row>
    <row r="37" spans="1:11">
      <c r="A37" s="2289" t="s">
        <v>442</v>
      </c>
      <c r="B37" s="2290"/>
      <c r="C37" s="2290"/>
      <c r="D37" s="2290"/>
      <c r="E37" s="2290"/>
      <c r="F37" s="2290"/>
      <c r="G37" s="2290"/>
      <c r="H37" s="2290"/>
      <c r="I37" s="2290"/>
      <c r="J37" s="2290"/>
      <c r="K37" s="2291"/>
    </row>
    <row r="38" spans="1:11">
      <c r="A38" s="2274" t="s">
        <v>26</v>
      </c>
      <c r="B38" s="2292"/>
      <c r="C38" s="2283" t="s">
        <v>249</v>
      </c>
      <c r="D38" s="1989">
        <v>2.4</v>
      </c>
      <c r="E38" s="1989">
        <v>6</v>
      </c>
      <c r="F38" s="2262">
        <f>+D38*E38</f>
        <v>14.399999999999999</v>
      </c>
      <c r="G38" s="2262">
        <f>2.96*F38</f>
        <v>42.623999999999995</v>
      </c>
      <c r="H38" s="1989">
        <v>37</v>
      </c>
      <c r="I38" s="1989">
        <f>+F38*H38</f>
        <v>532.79999999999995</v>
      </c>
      <c r="J38" s="2277">
        <f>H38*G38</f>
        <v>1577.0879999999997</v>
      </c>
      <c r="K38" s="2278"/>
    </row>
    <row r="39" spans="1:11">
      <c r="A39" s="2275"/>
      <c r="B39" s="2292"/>
      <c r="C39" s="2284"/>
      <c r="D39" s="1990"/>
      <c r="E39" s="1990"/>
      <c r="F39" s="2263"/>
      <c r="G39" s="2263"/>
      <c r="H39" s="1990"/>
      <c r="I39" s="1990"/>
      <c r="J39" s="2279"/>
      <c r="K39" s="2280"/>
    </row>
    <row r="40" spans="1:11">
      <c r="A40" s="2275"/>
      <c r="B40" s="2292"/>
      <c r="C40" s="2284"/>
      <c r="D40" s="1990"/>
      <c r="E40" s="1990"/>
      <c r="F40" s="2263"/>
      <c r="G40" s="2263"/>
      <c r="H40" s="1990"/>
      <c r="I40" s="1990"/>
      <c r="J40" s="2279"/>
      <c r="K40" s="2280"/>
    </row>
    <row r="41" spans="1:11">
      <c r="A41" s="2275"/>
      <c r="B41" s="2292"/>
      <c r="C41" s="2285"/>
      <c r="D41" s="1991"/>
      <c r="E41" s="1991"/>
      <c r="F41" s="2264"/>
      <c r="G41" s="2264"/>
      <c r="H41" s="1991"/>
      <c r="I41" s="1991"/>
      <c r="J41" s="2281"/>
      <c r="K41" s="2282"/>
    </row>
    <row r="42" spans="1:11">
      <c r="A42" s="2275"/>
      <c r="B42" s="2292"/>
      <c r="C42" s="2283" t="s">
        <v>249</v>
      </c>
      <c r="D42" s="1989">
        <v>1.67</v>
      </c>
      <c r="E42" s="1989">
        <v>2.4</v>
      </c>
      <c r="F42" s="2262">
        <f>+D42*E42</f>
        <v>4.008</v>
      </c>
      <c r="G42" s="2262">
        <f>2.96*F42</f>
        <v>11.86368</v>
      </c>
      <c r="H42" s="1989">
        <v>1</v>
      </c>
      <c r="I42" s="1989">
        <f>+F42*H42</f>
        <v>4.008</v>
      </c>
      <c r="J42" s="2277">
        <f>H42*G42</f>
        <v>11.86368</v>
      </c>
      <c r="K42" s="2278"/>
    </row>
    <row r="43" spans="1:11">
      <c r="A43" s="2275"/>
      <c r="B43" s="2292"/>
      <c r="C43" s="2284"/>
      <c r="D43" s="1990"/>
      <c r="E43" s="1990"/>
      <c r="F43" s="2263"/>
      <c r="G43" s="2263"/>
      <c r="H43" s="1990"/>
      <c r="I43" s="1990"/>
      <c r="J43" s="2279"/>
      <c r="K43" s="2280"/>
    </row>
    <row r="44" spans="1:11">
      <c r="A44" s="2275"/>
      <c r="B44" s="2292"/>
      <c r="C44" s="2284"/>
      <c r="D44" s="1990"/>
      <c r="E44" s="1990"/>
      <c r="F44" s="2263"/>
      <c r="G44" s="2263"/>
      <c r="H44" s="1990"/>
      <c r="I44" s="1990"/>
      <c r="J44" s="2279"/>
      <c r="K44" s="2280"/>
    </row>
    <row r="45" spans="1:11">
      <c r="A45" s="2275"/>
      <c r="B45" s="2292"/>
      <c r="C45" s="2285"/>
      <c r="D45" s="1991"/>
      <c r="E45" s="1991"/>
      <c r="F45" s="2264"/>
      <c r="G45" s="2264"/>
      <c r="H45" s="1991"/>
      <c r="I45" s="1991"/>
      <c r="J45" s="2281"/>
      <c r="K45" s="2282"/>
    </row>
    <row r="46" spans="1:11">
      <c r="A46" s="2275"/>
      <c r="B46" s="2292"/>
      <c r="C46" s="2283" t="s">
        <v>249</v>
      </c>
      <c r="D46" s="1989">
        <v>1.64</v>
      </c>
      <c r="E46" s="1989">
        <v>3.3</v>
      </c>
      <c r="F46" s="2262">
        <f>+D46*E46</f>
        <v>5.411999999999999</v>
      </c>
      <c r="G46" s="2262">
        <f>2.96*F46</f>
        <v>16.019519999999996</v>
      </c>
      <c r="H46" s="1989">
        <v>1</v>
      </c>
      <c r="I46" s="1989">
        <f>+F46*H46</f>
        <v>5.411999999999999</v>
      </c>
      <c r="J46" s="2277">
        <f>H46*G46</f>
        <v>16.019519999999996</v>
      </c>
      <c r="K46" s="2278"/>
    </row>
    <row r="47" spans="1:11">
      <c r="A47" s="2275"/>
      <c r="B47" s="2292"/>
      <c r="C47" s="2284"/>
      <c r="D47" s="1990"/>
      <c r="E47" s="1990"/>
      <c r="F47" s="2263"/>
      <c r="G47" s="2263"/>
      <c r="H47" s="1990"/>
      <c r="I47" s="1990"/>
      <c r="J47" s="2279"/>
      <c r="K47" s="2280"/>
    </row>
    <row r="48" spans="1:11">
      <c r="A48" s="2275"/>
      <c r="B48" s="2292"/>
      <c r="C48" s="2284"/>
      <c r="D48" s="1990"/>
      <c r="E48" s="1990"/>
      <c r="F48" s="2263"/>
      <c r="G48" s="2263"/>
      <c r="H48" s="1990"/>
      <c r="I48" s="1990"/>
      <c r="J48" s="2279"/>
      <c r="K48" s="2280"/>
    </row>
    <row r="49" spans="1:11">
      <c r="A49" s="2275"/>
      <c r="B49" s="2292"/>
      <c r="C49" s="2285"/>
      <c r="D49" s="1991"/>
      <c r="E49" s="1991"/>
      <c r="F49" s="2264"/>
      <c r="G49" s="2264"/>
      <c r="H49" s="1991"/>
      <c r="I49" s="1991"/>
      <c r="J49" s="2281"/>
      <c r="K49" s="2282"/>
    </row>
    <row r="50" spans="1:11">
      <c r="A50" s="2275"/>
      <c r="B50" s="2292"/>
      <c r="C50" s="2283" t="s">
        <v>249</v>
      </c>
      <c r="D50" s="1989">
        <v>1.46</v>
      </c>
      <c r="E50" s="1989">
        <v>6</v>
      </c>
      <c r="F50" s="2262">
        <f>+D50*E50</f>
        <v>8.76</v>
      </c>
      <c r="G50" s="2262">
        <f>2.96*F50</f>
        <v>25.929600000000001</v>
      </c>
      <c r="H50" s="1989">
        <v>1</v>
      </c>
      <c r="I50" s="1989">
        <f>+F50*H50</f>
        <v>8.76</v>
      </c>
      <c r="J50" s="2277">
        <f>H50*G50</f>
        <v>25.929600000000001</v>
      </c>
      <c r="K50" s="2278"/>
    </row>
    <row r="51" spans="1:11">
      <c r="A51" s="2275"/>
      <c r="B51" s="2292"/>
      <c r="C51" s="2284"/>
      <c r="D51" s="1990"/>
      <c r="E51" s="1990"/>
      <c r="F51" s="2263"/>
      <c r="G51" s="2263"/>
      <c r="H51" s="1990"/>
      <c r="I51" s="1990"/>
      <c r="J51" s="2279"/>
      <c r="K51" s="2280"/>
    </row>
    <row r="52" spans="1:11">
      <c r="A52" s="2275"/>
      <c r="B52" s="2292"/>
      <c r="C52" s="2284"/>
      <c r="D52" s="1990"/>
      <c r="E52" s="1990"/>
      <c r="F52" s="2263"/>
      <c r="G52" s="2263"/>
      <c r="H52" s="1990"/>
      <c r="I52" s="1990"/>
      <c r="J52" s="2279"/>
      <c r="K52" s="2280"/>
    </row>
    <row r="53" spans="1:11">
      <c r="A53" s="2275"/>
      <c r="B53" s="2292"/>
      <c r="C53" s="2285"/>
      <c r="D53" s="1991"/>
      <c r="E53" s="1991"/>
      <c r="F53" s="2264"/>
      <c r="G53" s="2264"/>
      <c r="H53" s="1991"/>
      <c r="I53" s="1991"/>
      <c r="J53" s="2281"/>
      <c r="K53" s="2282"/>
    </row>
    <row r="54" spans="1:11">
      <c r="A54" s="2275"/>
      <c r="B54" s="2292"/>
      <c r="C54" s="2283" t="s">
        <v>249</v>
      </c>
      <c r="D54" s="1989">
        <v>2.64</v>
      </c>
      <c r="E54" s="1989">
        <v>2.12</v>
      </c>
      <c r="F54" s="2262">
        <f>+D54*E54</f>
        <v>5.5968000000000009</v>
      </c>
      <c r="G54" s="2262">
        <f>2.96*F54</f>
        <v>16.566528000000002</v>
      </c>
      <c r="H54" s="1989">
        <v>1</v>
      </c>
      <c r="I54" s="1989">
        <f>+F54*H54</f>
        <v>5.5968000000000009</v>
      </c>
      <c r="J54" s="2277">
        <f>H54*G54</f>
        <v>16.566528000000002</v>
      </c>
      <c r="K54" s="2278"/>
    </row>
    <row r="55" spans="1:11">
      <c r="A55" s="2275"/>
      <c r="B55" s="2292"/>
      <c r="C55" s="2284"/>
      <c r="D55" s="1990"/>
      <c r="E55" s="1990"/>
      <c r="F55" s="2263"/>
      <c r="G55" s="2263"/>
      <c r="H55" s="1990"/>
      <c r="I55" s="1990"/>
      <c r="J55" s="2279"/>
      <c r="K55" s="2280"/>
    </row>
    <row r="56" spans="1:11">
      <c r="A56" s="2275"/>
      <c r="B56" s="2292"/>
      <c r="C56" s="2284"/>
      <c r="D56" s="1990"/>
      <c r="E56" s="1990"/>
      <c r="F56" s="2263"/>
      <c r="G56" s="2263"/>
      <c r="H56" s="1990"/>
      <c r="I56" s="1990"/>
      <c r="J56" s="2279"/>
      <c r="K56" s="2280"/>
    </row>
    <row r="57" spans="1:11">
      <c r="A57" s="2275"/>
      <c r="B57" s="2292"/>
      <c r="C57" s="2285"/>
      <c r="D57" s="1991"/>
      <c r="E57" s="1991"/>
      <c r="F57" s="2264"/>
      <c r="G57" s="2264"/>
      <c r="H57" s="1991"/>
      <c r="I57" s="1991"/>
      <c r="J57" s="2281"/>
      <c r="K57" s="2282"/>
    </row>
    <row r="58" spans="1:11">
      <c r="A58" s="2275"/>
      <c r="B58" s="2292"/>
      <c r="C58" s="1957" t="s">
        <v>249</v>
      </c>
      <c r="D58" s="2292">
        <v>1.5</v>
      </c>
      <c r="E58" s="2292">
        <v>5.4</v>
      </c>
      <c r="F58" s="2016">
        <f>+D58*E58</f>
        <v>8.1000000000000014</v>
      </c>
      <c r="G58" s="2016">
        <f>2.96*F58</f>
        <v>23.976000000000003</v>
      </c>
      <c r="H58" s="2292">
        <v>1</v>
      </c>
      <c r="I58" s="2292">
        <f>+F58*H58</f>
        <v>8.1000000000000014</v>
      </c>
      <c r="J58" s="2277">
        <f>H58*G58</f>
        <v>23.976000000000003</v>
      </c>
      <c r="K58" s="2278"/>
    </row>
    <row r="59" spans="1:11">
      <c r="A59" s="2275"/>
      <c r="B59" s="2292"/>
      <c r="C59" s="1957"/>
      <c r="D59" s="2292"/>
      <c r="E59" s="2292"/>
      <c r="F59" s="2016"/>
      <c r="G59" s="2016"/>
      <c r="H59" s="2292"/>
      <c r="I59" s="2292"/>
      <c r="J59" s="2279"/>
      <c r="K59" s="2280"/>
    </row>
    <row r="60" spans="1:11">
      <c r="A60" s="2275"/>
      <c r="B60" s="2292"/>
      <c r="C60" s="1957"/>
      <c r="D60" s="2292"/>
      <c r="E60" s="2292"/>
      <c r="F60" s="2016"/>
      <c r="G60" s="2016"/>
      <c r="H60" s="2292"/>
      <c r="I60" s="2292"/>
      <c r="J60" s="2279"/>
      <c r="K60" s="2280"/>
    </row>
    <row r="61" spans="1:11">
      <c r="A61" s="2275"/>
      <c r="B61" s="2292"/>
      <c r="C61" s="1957"/>
      <c r="D61" s="2292"/>
      <c r="E61" s="2292"/>
      <c r="F61" s="2016"/>
      <c r="G61" s="2016"/>
      <c r="H61" s="2292"/>
      <c r="I61" s="2292"/>
      <c r="J61" s="2281"/>
      <c r="K61" s="2282"/>
    </row>
    <row r="62" spans="1:11" ht="45" customHeight="1">
      <c r="A62" s="2275"/>
      <c r="B62" s="207"/>
      <c r="C62" s="225" t="s">
        <v>249</v>
      </c>
      <c r="D62" s="207">
        <v>2.4</v>
      </c>
      <c r="E62" s="207">
        <v>4.6500000000000004</v>
      </c>
      <c r="F62" s="6">
        <f>+D62*E62</f>
        <v>11.16</v>
      </c>
      <c r="G62" s="6">
        <f>2.96*F62</f>
        <v>33.0336</v>
      </c>
      <c r="H62" s="207">
        <v>2</v>
      </c>
      <c r="I62" s="207">
        <f>+F62*H62</f>
        <v>22.32</v>
      </c>
      <c r="J62" s="2299">
        <f>+H62*G62</f>
        <v>66.0672</v>
      </c>
      <c r="K62" s="2300"/>
    </row>
    <row r="63" spans="1:11" ht="45" customHeight="1">
      <c r="A63" s="2275"/>
      <c r="B63" s="207"/>
      <c r="C63" s="225" t="s">
        <v>249</v>
      </c>
      <c r="D63" s="207">
        <v>2.4</v>
      </c>
      <c r="E63" s="207">
        <v>3.3</v>
      </c>
      <c r="F63" s="6">
        <f>+D63*E63</f>
        <v>7.919999999999999</v>
      </c>
      <c r="G63" s="6">
        <f>2.96*F63</f>
        <v>23.443199999999997</v>
      </c>
      <c r="H63" s="207">
        <v>1</v>
      </c>
      <c r="I63" s="207">
        <f>+F63*H63</f>
        <v>7.919999999999999</v>
      </c>
      <c r="J63" s="2299">
        <f>+H63*G63</f>
        <v>23.443199999999997</v>
      </c>
      <c r="K63" s="2300"/>
    </row>
    <row r="64" spans="1:11" ht="13.5" thickBot="1">
      <c r="A64" s="2276"/>
      <c r="B64" s="2266" t="s">
        <v>27</v>
      </c>
      <c r="C64" s="2301"/>
      <c r="D64" s="2301"/>
      <c r="E64" s="2301"/>
      <c r="F64" s="2301"/>
      <c r="G64" s="2301"/>
      <c r="H64" s="2301"/>
      <c r="I64" s="2302"/>
      <c r="J64" s="2303">
        <f>+SUM(J38:K61)</f>
        <v>1671.4433279999998</v>
      </c>
      <c r="K64" s="2304"/>
    </row>
    <row r="65" spans="2:11" ht="13.5" thickBot="1">
      <c r="B65" s="2265" t="s">
        <v>1259</v>
      </c>
      <c r="C65" s="2265"/>
      <c r="D65" s="2265"/>
      <c r="E65" s="2265"/>
      <c r="F65" s="2265"/>
      <c r="G65" s="2265"/>
      <c r="H65" s="2265"/>
      <c r="I65" s="2266"/>
      <c r="J65" s="2267">
        <f>J64*4</f>
        <v>6685.7733119999994</v>
      </c>
      <c r="K65" s="2268"/>
    </row>
    <row r="66" spans="2:11" ht="13.5" thickBot="1"/>
    <row r="67" spans="2:11" ht="13.5" thickBot="1">
      <c r="B67" s="2269" t="s">
        <v>1260</v>
      </c>
      <c r="C67" s="2270"/>
      <c r="D67" s="2270"/>
      <c r="E67" s="2270"/>
      <c r="F67" s="2270"/>
      <c r="G67" s="2270"/>
      <c r="H67" s="2270"/>
      <c r="I67" s="2271"/>
      <c r="J67" s="2272">
        <f>J65+J32</f>
        <v>26539.367991999992</v>
      </c>
      <c r="K67" s="2271"/>
    </row>
  </sheetData>
  <mergeCells count="146">
    <mergeCell ref="J63:K63"/>
    <mergeCell ref="B64:I64"/>
    <mergeCell ref="J64:K64"/>
    <mergeCell ref="A34:B34"/>
    <mergeCell ref="G58:G61"/>
    <mergeCell ref="H58:H61"/>
    <mergeCell ref="I58:I61"/>
    <mergeCell ref="J58:K61"/>
    <mergeCell ref="J62:K62"/>
    <mergeCell ref="B58:B61"/>
    <mergeCell ref="C58:C61"/>
    <mergeCell ref="D58:D61"/>
    <mergeCell ref="E58:E61"/>
    <mergeCell ref="F58:F61"/>
    <mergeCell ref="G50:G53"/>
    <mergeCell ref="H50:H53"/>
    <mergeCell ref="I50:I53"/>
    <mergeCell ref="J50:K53"/>
    <mergeCell ref="B54:B57"/>
    <mergeCell ref="C54:C57"/>
    <mergeCell ref="D54:D57"/>
    <mergeCell ref="E54:E57"/>
    <mergeCell ref="F54:F57"/>
    <mergeCell ref="G54:G57"/>
    <mergeCell ref="B50:B53"/>
    <mergeCell ref="C50:C53"/>
    <mergeCell ref="D50:D53"/>
    <mergeCell ref="E50:E53"/>
    <mergeCell ref="F50:F53"/>
    <mergeCell ref="G42:G45"/>
    <mergeCell ref="H42:H45"/>
    <mergeCell ref="I42:I45"/>
    <mergeCell ref="J42:K45"/>
    <mergeCell ref="B46:B49"/>
    <mergeCell ref="C46:C49"/>
    <mergeCell ref="D46:D49"/>
    <mergeCell ref="E46:E49"/>
    <mergeCell ref="F46:F49"/>
    <mergeCell ref="G46:G49"/>
    <mergeCell ref="H46:H49"/>
    <mergeCell ref="I46:I49"/>
    <mergeCell ref="J46:K49"/>
    <mergeCell ref="A35:A36"/>
    <mergeCell ref="B35:B36"/>
    <mergeCell ref="C35:C36"/>
    <mergeCell ref="D35:D36"/>
    <mergeCell ref="E35:E36"/>
    <mergeCell ref="A37:K37"/>
    <mergeCell ref="A38:A64"/>
    <mergeCell ref="B38:B41"/>
    <mergeCell ref="C38:C41"/>
    <mergeCell ref="D38:D41"/>
    <mergeCell ref="E38:E41"/>
    <mergeCell ref="F38:F41"/>
    <mergeCell ref="G38:G41"/>
    <mergeCell ref="H38:H41"/>
    <mergeCell ref="I38:I41"/>
    <mergeCell ref="J38:K41"/>
    <mergeCell ref="B42:B45"/>
    <mergeCell ref="C42:C45"/>
    <mergeCell ref="D42:D45"/>
    <mergeCell ref="E42:E45"/>
    <mergeCell ref="F42:F45"/>
    <mergeCell ref="H54:H57"/>
    <mergeCell ref="I54:I57"/>
    <mergeCell ref="J54:K57"/>
    <mergeCell ref="F35:F36"/>
    <mergeCell ref="G35:G36"/>
    <mergeCell ref="H35:H36"/>
    <mergeCell ref="I35:I36"/>
    <mergeCell ref="J35:K36"/>
    <mergeCell ref="B32:I32"/>
    <mergeCell ref="J32:K32"/>
    <mergeCell ref="B27:B30"/>
    <mergeCell ref="J23:K26"/>
    <mergeCell ref="D23:D26"/>
    <mergeCell ref="E23:E26"/>
    <mergeCell ref="F23:F26"/>
    <mergeCell ref="G23:G26"/>
    <mergeCell ref="H23:H26"/>
    <mergeCell ref="I23:I26"/>
    <mergeCell ref="B31:I31"/>
    <mergeCell ref="B23:B26"/>
    <mergeCell ref="C23:C26"/>
    <mergeCell ref="J31:K31"/>
    <mergeCell ref="J11:K14"/>
    <mergeCell ref="F11:F14"/>
    <mergeCell ref="B15:B18"/>
    <mergeCell ref="B19:B22"/>
    <mergeCell ref="C11:C14"/>
    <mergeCell ref="C15:C18"/>
    <mergeCell ref="F15:F18"/>
    <mergeCell ref="D15:D18"/>
    <mergeCell ref="C19:C22"/>
    <mergeCell ref="D19:D22"/>
    <mergeCell ref="E15:E18"/>
    <mergeCell ref="E19:E22"/>
    <mergeCell ref="F19:F22"/>
    <mergeCell ref="B4:B5"/>
    <mergeCell ref="C4:C5"/>
    <mergeCell ref="G19:G22"/>
    <mergeCell ref="H19:H22"/>
    <mergeCell ref="I19:I22"/>
    <mergeCell ref="J15:K18"/>
    <mergeCell ref="J19:K22"/>
    <mergeCell ref="G15:G18"/>
    <mergeCell ref="H15:H18"/>
    <mergeCell ref="I15:I18"/>
    <mergeCell ref="A6:K6"/>
    <mergeCell ref="B11:B14"/>
    <mergeCell ref="E11:E14"/>
    <mergeCell ref="I11:I14"/>
    <mergeCell ref="D11:D14"/>
    <mergeCell ref="B7:B10"/>
    <mergeCell ref="C7:C10"/>
    <mergeCell ref="J7:K10"/>
    <mergeCell ref="G7:G10"/>
    <mergeCell ref="H7:H10"/>
    <mergeCell ref="I7:I10"/>
    <mergeCell ref="D7:D10"/>
    <mergeCell ref="E7:E10"/>
    <mergeCell ref="F7:F10"/>
    <mergeCell ref="D4:D5"/>
    <mergeCell ref="E4:E5"/>
    <mergeCell ref="G11:G14"/>
    <mergeCell ref="H11:H14"/>
    <mergeCell ref="B65:I65"/>
    <mergeCell ref="J65:K65"/>
    <mergeCell ref="B67:I67"/>
    <mergeCell ref="J67:K67"/>
    <mergeCell ref="A3:B3"/>
    <mergeCell ref="A7:A31"/>
    <mergeCell ref="J27:K30"/>
    <mergeCell ref="H27:H30"/>
    <mergeCell ref="I27:I30"/>
    <mergeCell ref="F27:F30"/>
    <mergeCell ref="C27:C30"/>
    <mergeCell ref="G27:G30"/>
    <mergeCell ref="D27:D30"/>
    <mergeCell ref="E27:E30"/>
    <mergeCell ref="F4:F5"/>
    <mergeCell ref="G4:G5"/>
    <mergeCell ref="H4:H5"/>
    <mergeCell ref="I4:I5"/>
    <mergeCell ref="J4:K5"/>
    <mergeCell ref="A4:A5"/>
  </mergeCells>
  <phoneticPr fontId="0" type="noConversion"/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9"/>
  <sheetViews>
    <sheetView topLeftCell="A473" zoomScale="70" zoomScaleNormal="70" workbookViewId="0">
      <selection activeCell="A8" sqref="A8:A47"/>
    </sheetView>
  </sheetViews>
  <sheetFormatPr baseColWidth="10" defaultRowHeight="12.75"/>
  <cols>
    <col min="6" max="6" width="11.140625" bestFit="1" customWidth="1"/>
    <col min="8" max="8" width="10.5703125" bestFit="1" customWidth="1"/>
    <col min="9" max="9" width="10.5703125" customWidth="1"/>
  </cols>
  <sheetData>
    <row r="1" spans="1:22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22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6</v>
      </c>
      <c r="J2" s="18"/>
      <c r="K2" s="24"/>
    </row>
    <row r="3" spans="1:22" ht="13.5" thickBot="1"/>
    <row r="4" spans="1:22" ht="13.5" customHeight="1" thickBot="1">
      <c r="L4" s="2357" t="s">
        <v>553</v>
      </c>
      <c r="M4" s="2359" t="s">
        <v>555</v>
      </c>
      <c r="N4" s="2359" t="s">
        <v>554</v>
      </c>
      <c r="O4" s="2359" t="s">
        <v>556</v>
      </c>
      <c r="P4" s="2361" t="s">
        <v>42</v>
      </c>
      <c r="R4" s="2357" t="s">
        <v>567</v>
      </c>
      <c r="S4" s="2359" t="s">
        <v>568</v>
      </c>
      <c r="T4" s="2359" t="s">
        <v>569</v>
      </c>
      <c r="U4" s="2359" t="s">
        <v>570</v>
      </c>
      <c r="V4" s="2361" t="s">
        <v>42</v>
      </c>
    </row>
    <row r="5" spans="1:22" ht="16.5" customHeight="1" thickBot="1">
      <c r="A5" s="2354" t="s">
        <v>545</v>
      </c>
      <c r="B5" s="2355"/>
      <c r="C5" s="2355"/>
      <c r="D5" s="2355"/>
      <c r="E5" s="2355"/>
      <c r="F5" s="2355"/>
      <c r="G5" s="2355"/>
      <c r="H5" s="2355"/>
      <c r="I5" s="2355"/>
      <c r="J5" s="2356"/>
      <c r="L5" s="2379"/>
      <c r="M5" s="2149"/>
      <c r="N5" s="2149"/>
      <c r="O5" s="2149"/>
      <c r="P5" s="2382"/>
      <c r="R5" s="2379"/>
      <c r="S5" s="2149"/>
      <c r="T5" s="2149"/>
      <c r="U5" s="2149"/>
      <c r="V5" s="2382"/>
    </row>
    <row r="6" spans="1:22" ht="12.75" customHeight="1">
      <c r="A6" s="2357" t="s">
        <v>542</v>
      </c>
      <c r="B6" s="2359" t="s">
        <v>546</v>
      </c>
      <c r="C6" s="2359" t="s">
        <v>543</v>
      </c>
      <c r="D6" s="2359" t="s">
        <v>485</v>
      </c>
      <c r="E6" s="2359" t="s">
        <v>544</v>
      </c>
      <c r="F6" s="2359" t="s">
        <v>21</v>
      </c>
      <c r="G6" s="2359" t="s">
        <v>25</v>
      </c>
      <c r="H6" s="2352" t="s">
        <v>547</v>
      </c>
      <c r="I6" s="2352" t="s">
        <v>548</v>
      </c>
      <c r="J6" s="2361" t="s">
        <v>42</v>
      </c>
      <c r="L6" s="2379"/>
      <c r="M6" s="2149"/>
      <c r="N6" s="2149"/>
      <c r="O6" s="2149"/>
      <c r="P6" s="2382"/>
      <c r="R6" s="2379"/>
      <c r="S6" s="2149"/>
      <c r="T6" s="2149"/>
      <c r="U6" s="2149"/>
      <c r="V6" s="2382"/>
    </row>
    <row r="7" spans="1:22" ht="17.25" customHeight="1" thickBot="1">
      <c r="A7" s="2358"/>
      <c r="B7" s="2360"/>
      <c r="C7" s="2360"/>
      <c r="D7" s="2360"/>
      <c r="E7" s="2360"/>
      <c r="F7" s="2360"/>
      <c r="G7" s="2360"/>
      <c r="H7" s="2353"/>
      <c r="I7" s="2353"/>
      <c r="J7" s="2362"/>
      <c r="L7" s="2380"/>
      <c r="M7" s="2381"/>
      <c r="N7" s="2381"/>
      <c r="O7" s="2381"/>
      <c r="P7" s="2383"/>
      <c r="R7" s="2380"/>
      <c r="S7" s="2381"/>
      <c r="T7" s="2381"/>
      <c r="U7" s="2381"/>
      <c r="V7" s="2383"/>
    </row>
    <row r="8" spans="1:22" ht="12.75" customHeight="1">
      <c r="A8" s="2335">
        <v>1</v>
      </c>
      <c r="B8" s="2348" t="s">
        <v>549</v>
      </c>
      <c r="C8" s="165">
        <v>1</v>
      </c>
      <c r="D8" s="2312">
        <v>0.15</v>
      </c>
      <c r="E8" s="2320">
        <f>3.24-0.6</f>
        <v>2.64</v>
      </c>
      <c r="F8" s="165">
        <v>6.1</v>
      </c>
      <c r="G8" s="165">
        <f>F8*$E$8</f>
        <v>16.103999999999999</v>
      </c>
      <c r="H8" s="165"/>
      <c r="I8" s="165">
        <f>G8-H8</f>
        <v>16.103999999999999</v>
      </c>
      <c r="J8" s="2338" t="s">
        <v>55</v>
      </c>
      <c r="L8" s="154">
        <f>TRUNC((F8/1.2))+1</f>
        <v>6</v>
      </c>
      <c r="M8" s="2322">
        <f>($E$8)+(0.12+0.56+0.9)</f>
        <v>4.2200000000000006</v>
      </c>
      <c r="N8" s="253">
        <f>L8*$M$8</f>
        <v>25.320000000000004</v>
      </c>
      <c r="O8" s="253">
        <f>N8*1</f>
        <v>25.320000000000004</v>
      </c>
      <c r="P8" s="2374" t="s">
        <v>39</v>
      </c>
      <c r="R8" s="2345">
        <v>8</v>
      </c>
      <c r="S8" s="405">
        <f>F8</f>
        <v>6.1</v>
      </c>
      <c r="T8" s="253">
        <f>$R$8*S8</f>
        <v>48.8</v>
      </c>
      <c r="U8" s="253">
        <f>T8*0.1</f>
        <v>4.88</v>
      </c>
      <c r="V8" s="2374" t="s">
        <v>39</v>
      </c>
    </row>
    <row r="9" spans="1:22">
      <c r="A9" s="2336"/>
      <c r="B9" s="2321"/>
      <c r="C9" s="5">
        <v>2</v>
      </c>
      <c r="D9" s="2313"/>
      <c r="E9" s="2321"/>
      <c r="F9" s="5">
        <v>2.1800000000000002</v>
      </c>
      <c r="G9" s="5">
        <f t="shared" ref="G9:G28" si="0">F9*$E$8</f>
        <v>5.7552000000000003</v>
      </c>
      <c r="H9" s="5">
        <f>1.605*1.395</f>
        <v>2.2389749999999999</v>
      </c>
      <c r="I9" s="5">
        <f t="shared" ref="I9:I47" si="1">G9-H9</f>
        <v>3.5162250000000004</v>
      </c>
      <c r="J9" s="2339"/>
      <c r="L9" s="145">
        <f t="shared" ref="L9:L28" si="2">TRUNC((F9/1.2))+1</f>
        <v>2</v>
      </c>
      <c r="M9" s="2325"/>
      <c r="N9" s="5">
        <f t="shared" ref="N9:N28" si="3">L9*$M$8</f>
        <v>8.4400000000000013</v>
      </c>
      <c r="O9" s="5">
        <f t="shared" ref="O9:O72" si="4">N9*1</f>
        <v>8.4400000000000013</v>
      </c>
      <c r="P9" s="2339"/>
      <c r="R9" s="2346"/>
      <c r="S9" s="405">
        <f t="shared" ref="S9:S28" si="5">F9</f>
        <v>2.1800000000000002</v>
      </c>
      <c r="T9" s="253">
        <f t="shared" ref="T9:T47" si="6">$R$8*S9</f>
        <v>17.440000000000001</v>
      </c>
      <c r="U9" s="253">
        <f t="shared" ref="U9:U47" si="7">T9*0.1</f>
        <v>1.7440000000000002</v>
      </c>
      <c r="V9" s="2339"/>
    </row>
    <row r="10" spans="1:22">
      <c r="A10" s="2336"/>
      <c r="B10" s="2321"/>
      <c r="C10" s="5">
        <v>3</v>
      </c>
      <c r="D10" s="2313"/>
      <c r="E10" s="2321"/>
      <c r="F10" s="5">
        <v>3.41</v>
      </c>
      <c r="G10" s="5">
        <f t="shared" si="0"/>
        <v>9.0024000000000015</v>
      </c>
      <c r="H10" s="5">
        <f>1.57*1.395</f>
        <v>2.19015</v>
      </c>
      <c r="I10" s="5">
        <f t="shared" si="1"/>
        <v>6.8122500000000015</v>
      </c>
      <c r="J10" s="2339"/>
      <c r="L10" s="145">
        <f t="shared" si="2"/>
        <v>3</v>
      </c>
      <c r="M10" s="2325"/>
      <c r="N10" s="5">
        <f t="shared" si="3"/>
        <v>12.660000000000002</v>
      </c>
      <c r="O10" s="5">
        <f t="shared" si="4"/>
        <v>12.660000000000002</v>
      </c>
      <c r="P10" s="2339"/>
      <c r="R10" s="2346"/>
      <c r="S10" s="405">
        <f t="shared" si="5"/>
        <v>3.41</v>
      </c>
      <c r="T10" s="253">
        <f t="shared" si="6"/>
        <v>27.28</v>
      </c>
      <c r="U10" s="253">
        <f t="shared" si="7"/>
        <v>2.7280000000000002</v>
      </c>
      <c r="V10" s="2339"/>
    </row>
    <row r="11" spans="1:22">
      <c r="A11" s="2336"/>
      <c r="B11" s="2321"/>
      <c r="C11" s="5">
        <v>4</v>
      </c>
      <c r="D11" s="2313"/>
      <c r="E11" s="2321"/>
      <c r="F11" s="5">
        <v>0.87</v>
      </c>
      <c r="G11" s="5">
        <f t="shared" si="0"/>
        <v>2.2968000000000002</v>
      </c>
      <c r="H11" s="5"/>
      <c r="I11" s="5">
        <f t="shared" si="1"/>
        <v>2.2968000000000002</v>
      </c>
      <c r="J11" s="2339"/>
      <c r="L11" s="145">
        <f t="shared" si="2"/>
        <v>1</v>
      </c>
      <c r="M11" s="2325"/>
      <c r="N11" s="5">
        <f t="shared" si="3"/>
        <v>4.2200000000000006</v>
      </c>
      <c r="O11" s="5">
        <f t="shared" si="4"/>
        <v>4.2200000000000006</v>
      </c>
      <c r="P11" s="2339"/>
      <c r="R11" s="2346"/>
      <c r="S11" s="405">
        <f t="shared" si="5"/>
        <v>0.87</v>
      </c>
      <c r="T11" s="253">
        <f t="shared" si="6"/>
        <v>6.96</v>
      </c>
      <c r="U11" s="253">
        <f t="shared" si="7"/>
        <v>0.69600000000000006</v>
      </c>
      <c r="V11" s="2339"/>
    </row>
    <row r="12" spans="1:22">
      <c r="A12" s="2336"/>
      <c r="B12" s="2321"/>
      <c r="C12" s="5">
        <v>5</v>
      </c>
      <c r="D12" s="2313"/>
      <c r="E12" s="2321"/>
      <c r="F12" s="5">
        <f>1.51+1.5+0.51</f>
        <v>3.5199999999999996</v>
      </c>
      <c r="G12" s="5">
        <f t="shared" si="0"/>
        <v>9.2927999999999997</v>
      </c>
      <c r="H12" s="5">
        <f>2*1.5*1.395</f>
        <v>4.1850000000000005</v>
      </c>
      <c r="I12" s="5">
        <f t="shared" si="1"/>
        <v>5.1077999999999992</v>
      </c>
      <c r="J12" s="2339"/>
      <c r="L12" s="145">
        <f t="shared" si="2"/>
        <v>3</v>
      </c>
      <c r="M12" s="2325"/>
      <c r="N12" s="5">
        <f t="shared" si="3"/>
        <v>12.660000000000002</v>
      </c>
      <c r="O12" s="5">
        <f t="shared" si="4"/>
        <v>12.660000000000002</v>
      </c>
      <c r="P12" s="2339"/>
      <c r="R12" s="2346"/>
      <c r="S12" s="405">
        <f t="shared" si="5"/>
        <v>3.5199999999999996</v>
      </c>
      <c r="T12" s="253">
        <f t="shared" si="6"/>
        <v>28.159999999999997</v>
      </c>
      <c r="U12" s="253">
        <f t="shared" si="7"/>
        <v>2.8159999999999998</v>
      </c>
      <c r="V12" s="2339"/>
    </row>
    <row r="13" spans="1:22">
      <c r="A13" s="2336"/>
      <c r="B13" s="2321"/>
      <c r="C13" s="5">
        <v>6</v>
      </c>
      <c r="D13" s="2313"/>
      <c r="E13" s="2321"/>
      <c r="F13" s="5">
        <f>1.5+2.32+0.75+1.85+0.75+2.31</f>
        <v>9.48</v>
      </c>
      <c r="G13" s="5">
        <f t="shared" si="0"/>
        <v>25.027200000000001</v>
      </c>
      <c r="H13" s="5">
        <f>2*(0.75*0.63)+(1.5*1.395)</f>
        <v>3.0375000000000005</v>
      </c>
      <c r="I13" s="5">
        <f t="shared" si="1"/>
        <v>21.989699999999999</v>
      </c>
      <c r="J13" s="2339"/>
      <c r="L13" s="145">
        <f t="shared" si="2"/>
        <v>8</v>
      </c>
      <c r="M13" s="2325"/>
      <c r="N13" s="5">
        <f t="shared" si="3"/>
        <v>33.760000000000005</v>
      </c>
      <c r="O13" s="5">
        <f t="shared" si="4"/>
        <v>33.760000000000005</v>
      </c>
      <c r="P13" s="2339"/>
      <c r="R13" s="2346"/>
      <c r="S13" s="405">
        <f t="shared" si="5"/>
        <v>9.48</v>
      </c>
      <c r="T13" s="253">
        <f t="shared" si="6"/>
        <v>75.84</v>
      </c>
      <c r="U13" s="253">
        <f t="shared" si="7"/>
        <v>7.5840000000000005</v>
      </c>
      <c r="V13" s="2339"/>
    </row>
    <row r="14" spans="1:22">
      <c r="A14" s="2336"/>
      <c r="B14" s="2321"/>
      <c r="C14" s="5">
        <v>7</v>
      </c>
      <c r="D14" s="2313"/>
      <c r="E14" s="2321"/>
      <c r="F14" s="5">
        <f>2.86+0.75+2.77+2.25</f>
        <v>8.629999999999999</v>
      </c>
      <c r="G14" s="5">
        <f t="shared" si="0"/>
        <v>22.783199999999997</v>
      </c>
      <c r="H14" s="5">
        <f>(0.75*0.63)+(0.875*0.75)</f>
        <v>1.1287500000000001</v>
      </c>
      <c r="I14" s="5">
        <f t="shared" si="1"/>
        <v>21.654449999999997</v>
      </c>
      <c r="J14" s="2339"/>
      <c r="L14" s="145">
        <f>TRUNC((F14/1.2))+1</f>
        <v>8</v>
      </c>
      <c r="M14" s="2325"/>
      <c r="N14" s="5">
        <f t="shared" si="3"/>
        <v>33.760000000000005</v>
      </c>
      <c r="O14" s="5">
        <f t="shared" si="4"/>
        <v>33.760000000000005</v>
      </c>
      <c r="P14" s="2339"/>
      <c r="R14" s="2346"/>
      <c r="S14" s="405">
        <f t="shared" si="5"/>
        <v>8.629999999999999</v>
      </c>
      <c r="T14" s="253">
        <f t="shared" si="6"/>
        <v>69.039999999999992</v>
      </c>
      <c r="U14" s="253">
        <f t="shared" si="7"/>
        <v>6.9039999999999999</v>
      </c>
      <c r="V14" s="2339"/>
    </row>
    <row r="15" spans="1:22">
      <c r="A15" s="2336"/>
      <c r="B15" s="2321"/>
      <c r="C15" s="5">
        <v>8</v>
      </c>
      <c r="D15" s="2313"/>
      <c r="E15" s="2321"/>
      <c r="F15" s="5">
        <v>1.18</v>
      </c>
      <c r="G15" s="5">
        <f t="shared" si="0"/>
        <v>3.1152000000000002</v>
      </c>
      <c r="H15" s="5"/>
      <c r="I15" s="5">
        <f t="shared" si="1"/>
        <v>3.1152000000000002</v>
      </c>
      <c r="J15" s="2339"/>
      <c r="L15" s="145">
        <f t="shared" si="2"/>
        <v>1</v>
      </c>
      <c r="M15" s="2325"/>
      <c r="N15" s="5">
        <f t="shared" si="3"/>
        <v>4.2200000000000006</v>
      </c>
      <c r="O15" s="5">
        <f t="shared" si="4"/>
        <v>4.2200000000000006</v>
      </c>
      <c r="P15" s="2339"/>
      <c r="R15" s="2346"/>
      <c r="S15" s="405">
        <f t="shared" si="5"/>
        <v>1.18</v>
      </c>
      <c r="T15" s="253">
        <f t="shared" si="6"/>
        <v>9.44</v>
      </c>
      <c r="U15" s="253">
        <f t="shared" si="7"/>
        <v>0.94399999999999995</v>
      </c>
      <c r="V15" s="2339"/>
    </row>
    <row r="16" spans="1:22">
      <c r="A16" s="2336"/>
      <c r="B16" s="2321"/>
      <c r="C16" s="5">
        <v>9</v>
      </c>
      <c r="D16" s="2313"/>
      <c r="E16" s="2321"/>
      <c r="F16" s="5">
        <v>2.78</v>
      </c>
      <c r="G16" s="5">
        <f t="shared" si="0"/>
        <v>7.3391999999999999</v>
      </c>
      <c r="H16" s="5"/>
      <c r="I16" s="5">
        <f t="shared" si="1"/>
        <v>7.3391999999999999</v>
      </c>
      <c r="J16" s="2339"/>
      <c r="L16" s="145">
        <f t="shared" si="2"/>
        <v>3</v>
      </c>
      <c r="M16" s="2325"/>
      <c r="N16" s="5">
        <f t="shared" si="3"/>
        <v>12.660000000000002</v>
      </c>
      <c r="O16" s="5">
        <f t="shared" si="4"/>
        <v>12.660000000000002</v>
      </c>
      <c r="P16" s="2339"/>
      <c r="R16" s="2346"/>
      <c r="S16" s="405">
        <f t="shared" si="5"/>
        <v>2.78</v>
      </c>
      <c r="T16" s="253">
        <f t="shared" si="6"/>
        <v>22.24</v>
      </c>
      <c r="U16" s="253">
        <f t="shared" si="7"/>
        <v>2.2239999999999998</v>
      </c>
      <c r="V16" s="2339"/>
    </row>
    <row r="17" spans="1:22">
      <c r="A17" s="2336"/>
      <c r="B17" s="2321"/>
      <c r="C17" s="5">
        <v>10</v>
      </c>
      <c r="D17" s="2313"/>
      <c r="E17" s="2321"/>
      <c r="F17" s="5">
        <v>3.82</v>
      </c>
      <c r="G17" s="5">
        <f t="shared" si="0"/>
        <v>10.0848</v>
      </c>
      <c r="H17" s="5"/>
      <c r="I17" s="5">
        <f t="shared" si="1"/>
        <v>10.0848</v>
      </c>
      <c r="J17" s="2339"/>
      <c r="L17" s="145">
        <f t="shared" si="2"/>
        <v>4</v>
      </c>
      <c r="M17" s="2325"/>
      <c r="N17" s="5">
        <f t="shared" si="3"/>
        <v>16.880000000000003</v>
      </c>
      <c r="O17" s="5">
        <f t="shared" si="4"/>
        <v>16.880000000000003</v>
      </c>
      <c r="P17" s="2339"/>
      <c r="R17" s="2346"/>
      <c r="S17" s="405">
        <f t="shared" si="5"/>
        <v>3.82</v>
      </c>
      <c r="T17" s="253">
        <f t="shared" si="6"/>
        <v>30.56</v>
      </c>
      <c r="U17" s="253">
        <f t="shared" si="7"/>
        <v>3.056</v>
      </c>
      <c r="V17" s="2339"/>
    </row>
    <row r="18" spans="1:22">
      <c r="A18" s="2336"/>
      <c r="B18" s="2321"/>
      <c r="C18" s="5">
        <v>11</v>
      </c>
      <c r="D18" s="2313"/>
      <c r="E18" s="2321"/>
      <c r="F18" s="5">
        <f>4.81-1.7</f>
        <v>3.1099999999999994</v>
      </c>
      <c r="G18" s="5">
        <f t="shared" si="0"/>
        <v>8.2103999999999981</v>
      </c>
      <c r="H18" s="5">
        <f>(0.75*0.63)*2</f>
        <v>0.94500000000000006</v>
      </c>
      <c r="I18" s="5">
        <f t="shared" si="1"/>
        <v>7.2653999999999979</v>
      </c>
      <c r="J18" s="2339"/>
      <c r="L18" s="145">
        <f t="shared" si="2"/>
        <v>3</v>
      </c>
      <c r="M18" s="2325"/>
      <c r="N18" s="5">
        <f t="shared" si="3"/>
        <v>12.660000000000002</v>
      </c>
      <c r="O18" s="5">
        <f t="shared" si="4"/>
        <v>12.660000000000002</v>
      </c>
      <c r="P18" s="2339"/>
      <c r="R18" s="2346"/>
      <c r="S18" s="405">
        <f t="shared" si="5"/>
        <v>3.1099999999999994</v>
      </c>
      <c r="T18" s="253">
        <f t="shared" si="6"/>
        <v>24.879999999999995</v>
      </c>
      <c r="U18" s="253">
        <f t="shared" si="7"/>
        <v>2.4879999999999995</v>
      </c>
      <c r="V18" s="2339"/>
    </row>
    <row r="19" spans="1:22">
      <c r="A19" s="2336"/>
      <c r="B19" s="2321"/>
      <c r="C19" s="5">
        <v>12</v>
      </c>
      <c r="D19" s="2313"/>
      <c r="E19" s="2321"/>
      <c r="F19" s="5">
        <v>1.1000000000000001</v>
      </c>
      <c r="G19" s="5">
        <f>F19*$E$8</f>
        <v>2.9040000000000004</v>
      </c>
      <c r="H19" s="5"/>
      <c r="I19" s="5">
        <f t="shared" si="1"/>
        <v>2.9040000000000004</v>
      </c>
      <c r="J19" s="2339"/>
      <c r="L19" s="145">
        <f t="shared" si="2"/>
        <v>1</v>
      </c>
      <c r="M19" s="2325"/>
      <c r="N19" s="5">
        <f t="shared" si="3"/>
        <v>4.2200000000000006</v>
      </c>
      <c r="O19" s="5">
        <f t="shared" si="4"/>
        <v>4.2200000000000006</v>
      </c>
      <c r="P19" s="2339"/>
      <c r="R19" s="2346"/>
      <c r="S19" s="405">
        <f t="shared" si="5"/>
        <v>1.1000000000000001</v>
      </c>
      <c r="T19" s="253">
        <f t="shared" si="6"/>
        <v>8.8000000000000007</v>
      </c>
      <c r="U19" s="253">
        <f t="shared" si="7"/>
        <v>0.88000000000000012</v>
      </c>
      <c r="V19" s="2339"/>
    </row>
    <row r="20" spans="1:22">
      <c r="A20" s="2336"/>
      <c r="B20" s="2321"/>
      <c r="C20" s="5">
        <v>13</v>
      </c>
      <c r="D20" s="2313"/>
      <c r="E20" s="2321"/>
      <c r="F20" s="5">
        <f>4.71+1.54</f>
        <v>6.25</v>
      </c>
      <c r="G20" s="5">
        <f>F20*$E$8</f>
        <v>16.5</v>
      </c>
      <c r="H20" s="5">
        <f>1.33*1.395</f>
        <v>1.8553500000000001</v>
      </c>
      <c r="I20" s="5">
        <f t="shared" si="1"/>
        <v>14.64465</v>
      </c>
      <c r="J20" s="2339"/>
      <c r="L20" s="145">
        <f t="shared" si="2"/>
        <v>6</v>
      </c>
      <c r="M20" s="2325"/>
      <c r="N20" s="5">
        <f t="shared" si="3"/>
        <v>25.320000000000004</v>
      </c>
      <c r="O20" s="5">
        <f t="shared" si="4"/>
        <v>25.320000000000004</v>
      </c>
      <c r="P20" s="2339"/>
      <c r="R20" s="2346"/>
      <c r="S20" s="405">
        <f t="shared" si="5"/>
        <v>6.25</v>
      </c>
      <c r="T20" s="253">
        <f t="shared" si="6"/>
        <v>50</v>
      </c>
      <c r="U20" s="253">
        <f t="shared" si="7"/>
        <v>5</v>
      </c>
      <c r="V20" s="2339"/>
    </row>
    <row r="21" spans="1:22">
      <c r="A21" s="2336"/>
      <c r="B21" s="2321"/>
      <c r="C21" s="5">
        <v>14</v>
      </c>
      <c r="D21" s="2313"/>
      <c r="E21" s="2321"/>
      <c r="F21" s="5">
        <v>1</v>
      </c>
      <c r="G21" s="5">
        <f t="shared" si="0"/>
        <v>2.64</v>
      </c>
      <c r="H21" s="5">
        <f>0.992*1.395</f>
        <v>1.38384</v>
      </c>
      <c r="I21" s="5">
        <f t="shared" si="1"/>
        <v>1.2561600000000002</v>
      </c>
      <c r="J21" s="2339"/>
      <c r="L21" s="145">
        <f t="shared" si="2"/>
        <v>1</v>
      </c>
      <c r="M21" s="2325"/>
      <c r="N21" s="5">
        <f t="shared" si="3"/>
        <v>4.2200000000000006</v>
      </c>
      <c r="O21" s="5">
        <f t="shared" si="4"/>
        <v>4.2200000000000006</v>
      </c>
      <c r="P21" s="2339"/>
      <c r="R21" s="2346"/>
      <c r="S21" s="405">
        <f t="shared" si="5"/>
        <v>1</v>
      </c>
      <c r="T21" s="253">
        <f t="shared" si="6"/>
        <v>8</v>
      </c>
      <c r="U21" s="253">
        <f t="shared" si="7"/>
        <v>0.8</v>
      </c>
      <c r="V21" s="2339"/>
    </row>
    <row r="22" spans="1:22">
      <c r="A22" s="2336"/>
      <c r="B22" s="2321"/>
      <c r="C22" s="5">
        <v>15</v>
      </c>
      <c r="D22" s="2313"/>
      <c r="E22" s="2321"/>
      <c r="F22" s="5">
        <v>2.59</v>
      </c>
      <c r="G22" s="5">
        <f t="shared" si="0"/>
        <v>6.8376000000000001</v>
      </c>
      <c r="H22" s="5"/>
      <c r="I22" s="5">
        <f t="shared" si="1"/>
        <v>6.8376000000000001</v>
      </c>
      <c r="J22" s="2339"/>
      <c r="L22" s="145">
        <f t="shared" si="2"/>
        <v>3</v>
      </c>
      <c r="M22" s="2325"/>
      <c r="N22" s="5">
        <f t="shared" si="3"/>
        <v>12.660000000000002</v>
      </c>
      <c r="O22" s="5">
        <f t="shared" si="4"/>
        <v>12.660000000000002</v>
      </c>
      <c r="P22" s="2339"/>
      <c r="R22" s="2346"/>
      <c r="S22" s="405">
        <f t="shared" si="5"/>
        <v>2.59</v>
      </c>
      <c r="T22" s="253">
        <f t="shared" si="6"/>
        <v>20.72</v>
      </c>
      <c r="U22" s="253">
        <f t="shared" si="7"/>
        <v>2.0720000000000001</v>
      </c>
      <c r="V22" s="2339"/>
    </row>
    <row r="23" spans="1:22">
      <c r="A23" s="2336"/>
      <c r="B23" s="2321"/>
      <c r="C23" s="5">
        <v>16</v>
      </c>
      <c r="D23" s="2313"/>
      <c r="E23" s="2321"/>
      <c r="F23" s="5">
        <v>4.9400000000000004</v>
      </c>
      <c r="G23" s="5">
        <f t="shared" si="0"/>
        <v>13.041600000000003</v>
      </c>
      <c r="H23" s="5">
        <f>1.57*1.395*2</f>
        <v>4.3803000000000001</v>
      </c>
      <c r="I23" s="5">
        <f t="shared" si="1"/>
        <v>8.6613000000000024</v>
      </c>
      <c r="J23" s="2339"/>
      <c r="L23" s="145">
        <f t="shared" si="2"/>
        <v>5</v>
      </c>
      <c r="M23" s="2325"/>
      <c r="N23" s="5">
        <f t="shared" si="3"/>
        <v>21.1</v>
      </c>
      <c r="O23" s="5">
        <f t="shared" si="4"/>
        <v>21.1</v>
      </c>
      <c r="P23" s="2339"/>
      <c r="R23" s="2346"/>
      <c r="S23" s="405">
        <f t="shared" si="5"/>
        <v>4.9400000000000004</v>
      </c>
      <c r="T23" s="253">
        <f t="shared" si="6"/>
        <v>39.520000000000003</v>
      </c>
      <c r="U23" s="253">
        <f t="shared" si="7"/>
        <v>3.9520000000000004</v>
      </c>
      <c r="V23" s="2339"/>
    </row>
    <row r="24" spans="1:22">
      <c r="A24" s="2336"/>
      <c r="B24" s="2321"/>
      <c r="C24" s="5">
        <v>17</v>
      </c>
      <c r="D24" s="2313"/>
      <c r="E24" s="2321"/>
      <c r="F24" s="5">
        <v>3.44</v>
      </c>
      <c r="G24" s="5">
        <f t="shared" si="0"/>
        <v>9.0815999999999999</v>
      </c>
      <c r="H24" s="5"/>
      <c r="I24" s="5">
        <f t="shared" si="1"/>
        <v>9.0815999999999999</v>
      </c>
      <c r="J24" s="2339"/>
      <c r="L24" s="145">
        <f t="shared" si="2"/>
        <v>3</v>
      </c>
      <c r="M24" s="2325"/>
      <c r="N24" s="5">
        <f t="shared" si="3"/>
        <v>12.660000000000002</v>
      </c>
      <c r="O24" s="5">
        <f t="shared" si="4"/>
        <v>12.660000000000002</v>
      </c>
      <c r="P24" s="2339"/>
      <c r="R24" s="2346"/>
      <c r="S24" s="405">
        <f t="shared" si="5"/>
        <v>3.44</v>
      </c>
      <c r="T24" s="253">
        <f t="shared" si="6"/>
        <v>27.52</v>
      </c>
      <c r="U24" s="253">
        <f t="shared" si="7"/>
        <v>2.7520000000000002</v>
      </c>
      <c r="V24" s="2339"/>
    </row>
    <row r="25" spans="1:22">
      <c r="A25" s="2336"/>
      <c r="B25" s="2321"/>
      <c r="C25" s="5">
        <v>18</v>
      </c>
      <c r="D25" s="2313"/>
      <c r="E25" s="2321"/>
      <c r="F25" s="5">
        <f>1.62+1.5</f>
        <v>3.12</v>
      </c>
      <c r="G25" s="5">
        <f t="shared" si="0"/>
        <v>8.2368000000000006</v>
      </c>
      <c r="H25" s="5">
        <f>1.57*1.395</f>
        <v>2.19015</v>
      </c>
      <c r="I25" s="5">
        <f t="shared" si="1"/>
        <v>6.0466500000000005</v>
      </c>
      <c r="J25" s="2339"/>
      <c r="L25" s="145">
        <f t="shared" si="2"/>
        <v>3</v>
      </c>
      <c r="M25" s="2325"/>
      <c r="N25" s="5">
        <f t="shared" si="3"/>
        <v>12.660000000000002</v>
      </c>
      <c r="O25" s="5">
        <f t="shared" si="4"/>
        <v>12.660000000000002</v>
      </c>
      <c r="P25" s="2339"/>
      <c r="R25" s="2346"/>
      <c r="S25" s="405">
        <f t="shared" si="5"/>
        <v>3.12</v>
      </c>
      <c r="T25" s="253">
        <f t="shared" si="6"/>
        <v>24.96</v>
      </c>
      <c r="U25" s="253">
        <f t="shared" si="7"/>
        <v>2.4960000000000004</v>
      </c>
      <c r="V25" s="2339"/>
    </row>
    <row r="26" spans="1:22">
      <c r="A26" s="2336"/>
      <c r="B26" s="2321"/>
      <c r="C26" s="5">
        <v>19</v>
      </c>
      <c r="D26" s="2313"/>
      <c r="E26" s="2321"/>
      <c r="F26" s="5">
        <v>2.96</v>
      </c>
      <c r="G26" s="5">
        <f t="shared" si="0"/>
        <v>7.8144</v>
      </c>
      <c r="H26" s="5"/>
      <c r="I26" s="5">
        <f t="shared" si="1"/>
        <v>7.8144</v>
      </c>
      <c r="J26" s="2339"/>
      <c r="L26" s="145">
        <f t="shared" si="2"/>
        <v>3</v>
      </c>
      <c r="M26" s="2325"/>
      <c r="N26" s="5">
        <f t="shared" si="3"/>
        <v>12.660000000000002</v>
      </c>
      <c r="O26" s="5">
        <f t="shared" si="4"/>
        <v>12.660000000000002</v>
      </c>
      <c r="P26" s="2339"/>
      <c r="R26" s="2346"/>
      <c r="S26" s="405">
        <f t="shared" si="5"/>
        <v>2.96</v>
      </c>
      <c r="T26" s="253">
        <f t="shared" si="6"/>
        <v>23.68</v>
      </c>
      <c r="U26" s="253">
        <f t="shared" si="7"/>
        <v>2.3679999999999999</v>
      </c>
      <c r="V26" s="2339"/>
    </row>
    <row r="27" spans="1:22">
      <c r="A27" s="2336"/>
      <c r="B27" s="2321"/>
      <c r="C27" s="5">
        <v>20</v>
      </c>
      <c r="D27" s="2313"/>
      <c r="E27" s="2321"/>
      <c r="F27" s="5">
        <v>0.71</v>
      </c>
      <c r="G27" s="5">
        <f t="shared" si="0"/>
        <v>1.8744000000000001</v>
      </c>
      <c r="H27" s="5"/>
      <c r="I27" s="5">
        <f t="shared" si="1"/>
        <v>1.8744000000000001</v>
      </c>
      <c r="J27" s="2339"/>
      <c r="L27" s="145">
        <f t="shared" si="2"/>
        <v>1</v>
      </c>
      <c r="M27" s="2325"/>
      <c r="N27" s="5">
        <f t="shared" si="3"/>
        <v>4.2200000000000006</v>
      </c>
      <c r="O27" s="5">
        <f t="shared" si="4"/>
        <v>4.2200000000000006</v>
      </c>
      <c r="P27" s="2339"/>
      <c r="R27" s="2346"/>
      <c r="S27" s="405">
        <f t="shared" si="5"/>
        <v>0.71</v>
      </c>
      <c r="T27" s="253">
        <f t="shared" si="6"/>
        <v>5.68</v>
      </c>
      <c r="U27" s="253">
        <f t="shared" si="7"/>
        <v>0.56799999999999995</v>
      </c>
      <c r="V27" s="2339"/>
    </row>
    <row r="28" spans="1:22">
      <c r="A28" s="2336"/>
      <c r="B28" s="2321"/>
      <c r="C28" s="5">
        <v>21</v>
      </c>
      <c r="D28" s="2313"/>
      <c r="E28" s="2322"/>
      <c r="F28" s="5">
        <v>0.71</v>
      </c>
      <c r="G28" s="5">
        <f t="shared" si="0"/>
        <v>1.8744000000000001</v>
      </c>
      <c r="H28" s="5"/>
      <c r="I28" s="5">
        <f t="shared" si="1"/>
        <v>1.8744000000000001</v>
      </c>
      <c r="J28" s="2339"/>
      <c r="L28" s="145">
        <f t="shared" si="2"/>
        <v>1</v>
      </c>
      <c r="M28" s="2325"/>
      <c r="N28" s="5">
        <f t="shared" si="3"/>
        <v>4.2200000000000006</v>
      </c>
      <c r="O28" s="5">
        <f t="shared" si="4"/>
        <v>4.2200000000000006</v>
      </c>
      <c r="P28" s="2339"/>
      <c r="R28" s="2346"/>
      <c r="S28" s="405">
        <f t="shared" si="5"/>
        <v>0.71</v>
      </c>
      <c r="T28" s="253">
        <f t="shared" si="6"/>
        <v>5.68</v>
      </c>
      <c r="U28" s="253">
        <f t="shared" si="7"/>
        <v>0.56799999999999995</v>
      </c>
      <c r="V28" s="2339"/>
    </row>
    <row r="29" spans="1:22" ht="12.75" customHeight="1">
      <c r="A29" s="2336"/>
      <c r="B29" s="2321"/>
      <c r="C29" s="5">
        <v>22</v>
      </c>
      <c r="D29" s="2313"/>
      <c r="E29" s="2323">
        <f>3.24-0.12</f>
        <v>3.12</v>
      </c>
      <c r="F29" s="5">
        <v>2.31</v>
      </c>
      <c r="G29" s="5">
        <f>F29*$E$29</f>
        <v>7.2072000000000003</v>
      </c>
      <c r="H29" s="5"/>
      <c r="I29" s="5">
        <f t="shared" si="1"/>
        <v>7.2072000000000003</v>
      </c>
      <c r="J29" s="2339"/>
      <c r="L29" s="145">
        <f>TRUNC((F29/1.8))+1</f>
        <v>2</v>
      </c>
      <c r="M29" s="2325">
        <f>($E$29)+(0.66+0.88)</f>
        <v>4.66</v>
      </c>
      <c r="N29" s="5">
        <f>L29*$M$29</f>
        <v>9.32</v>
      </c>
      <c r="O29" s="5">
        <f t="shared" si="4"/>
        <v>9.32</v>
      </c>
      <c r="P29" s="2339"/>
      <c r="R29" s="2346"/>
      <c r="S29" s="390">
        <f>F29</f>
        <v>2.31</v>
      </c>
      <c r="T29" s="253">
        <f t="shared" si="6"/>
        <v>18.48</v>
      </c>
      <c r="U29" s="253">
        <f t="shared" si="7"/>
        <v>1.8480000000000001</v>
      </c>
      <c r="V29" s="2339"/>
    </row>
    <row r="30" spans="1:22">
      <c r="A30" s="2336"/>
      <c r="B30" s="2321"/>
      <c r="C30" s="5">
        <v>23</v>
      </c>
      <c r="D30" s="2313"/>
      <c r="E30" s="2321"/>
      <c r="F30" s="5">
        <v>0.8</v>
      </c>
      <c r="G30" s="5">
        <f t="shared" ref="G30:G47" si="8">F30*$E$29</f>
        <v>2.4960000000000004</v>
      </c>
      <c r="H30" s="5"/>
      <c r="I30" s="5">
        <f t="shared" si="1"/>
        <v>2.4960000000000004</v>
      </c>
      <c r="J30" s="2339"/>
      <c r="L30" s="145">
        <f t="shared" ref="L30:L47" si="9">TRUNC((F30/1.8))+1</f>
        <v>1</v>
      </c>
      <c r="M30" s="2325"/>
      <c r="N30" s="5">
        <f t="shared" ref="N30:N47" si="10">L30*$M$29</f>
        <v>4.66</v>
      </c>
      <c r="O30" s="5">
        <f t="shared" si="4"/>
        <v>4.66</v>
      </c>
      <c r="P30" s="2339"/>
      <c r="R30" s="2346"/>
      <c r="S30" s="390">
        <f t="shared" ref="S30:S46" si="11">F30</f>
        <v>0.8</v>
      </c>
      <c r="T30" s="253">
        <f t="shared" si="6"/>
        <v>6.4</v>
      </c>
      <c r="U30" s="253">
        <f t="shared" si="7"/>
        <v>0.64000000000000012</v>
      </c>
      <c r="V30" s="2339"/>
    </row>
    <row r="31" spans="1:22">
      <c r="A31" s="2336"/>
      <c r="B31" s="2321"/>
      <c r="C31" s="5">
        <v>24</v>
      </c>
      <c r="D31" s="2313"/>
      <c r="E31" s="2321"/>
      <c r="F31" s="5">
        <v>0.8</v>
      </c>
      <c r="G31" s="5">
        <f t="shared" si="8"/>
        <v>2.4960000000000004</v>
      </c>
      <c r="H31" s="5"/>
      <c r="I31" s="5">
        <f t="shared" si="1"/>
        <v>2.4960000000000004</v>
      </c>
      <c r="J31" s="2339"/>
      <c r="L31" s="145">
        <f t="shared" si="9"/>
        <v>1</v>
      </c>
      <c r="M31" s="2325"/>
      <c r="N31" s="5">
        <f t="shared" si="10"/>
        <v>4.66</v>
      </c>
      <c r="O31" s="5">
        <f t="shared" si="4"/>
        <v>4.66</v>
      </c>
      <c r="P31" s="2339"/>
      <c r="R31" s="2346"/>
      <c r="S31" s="390">
        <f t="shared" si="11"/>
        <v>0.8</v>
      </c>
      <c r="T31" s="253">
        <f t="shared" si="6"/>
        <v>6.4</v>
      </c>
      <c r="U31" s="253">
        <f t="shared" si="7"/>
        <v>0.64000000000000012</v>
      </c>
      <c r="V31" s="2339"/>
    </row>
    <row r="32" spans="1:22">
      <c r="A32" s="2336"/>
      <c r="B32" s="2321"/>
      <c r="C32" s="5">
        <v>25</v>
      </c>
      <c r="D32" s="2313"/>
      <c r="E32" s="2321"/>
      <c r="F32" s="5">
        <v>2.7</v>
      </c>
      <c r="G32" s="5">
        <f t="shared" si="8"/>
        <v>8.4240000000000013</v>
      </c>
      <c r="H32" s="5"/>
      <c r="I32" s="5">
        <f t="shared" si="1"/>
        <v>8.4240000000000013</v>
      </c>
      <c r="J32" s="2339"/>
      <c r="L32" s="145">
        <f t="shared" si="9"/>
        <v>2</v>
      </c>
      <c r="M32" s="2325"/>
      <c r="N32" s="5">
        <f t="shared" si="10"/>
        <v>9.32</v>
      </c>
      <c r="O32" s="5">
        <f t="shared" si="4"/>
        <v>9.32</v>
      </c>
      <c r="P32" s="2339"/>
      <c r="R32" s="2346"/>
      <c r="S32" s="390">
        <f t="shared" si="11"/>
        <v>2.7</v>
      </c>
      <c r="T32" s="253">
        <f t="shared" si="6"/>
        <v>21.6</v>
      </c>
      <c r="U32" s="253">
        <f t="shared" si="7"/>
        <v>2.16</v>
      </c>
      <c r="V32" s="2339"/>
    </row>
    <row r="33" spans="1:22">
      <c r="A33" s="2336"/>
      <c r="B33" s="2321"/>
      <c r="C33" s="5">
        <v>26</v>
      </c>
      <c r="D33" s="2313"/>
      <c r="E33" s="2321"/>
      <c r="F33" s="5">
        <v>0.28000000000000003</v>
      </c>
      <c r="G33" s="5">
        <f t="shared" si="8"/>
        <v>0.87360000000000015</v>
      </c>
      <c r="H33" s="5"/>
      <c r="I33" s="5">
        <f t="shared" si="1"/>
        <v>0.87360000000000015</v>
      </c>
      <c r="J33" s="2339"/>
      <c r="L33" s="145">
        <f t="shared" si="9"/>
        <v>1</v>
      </c>
      <c r="M33" s="2325"/>
      <c r="N33" s="5">
        <f t="shared" si="10"/>
        <v>4.66</v>
      </c>
      <c r="O33" s="5">
        <f t="shared" si="4"/>
        <v>4.66</v>
      </c>
      <c r="P33" s="2339"/>
      <c r="R33" s="2346"/>
      <c r="S33" s="390">
        <f t="shared" si="11"/>
        <v>0.28000000000000003</v>
      </c>
      <c r="T33" s="253">
        <f t="shared" si="6"/>
        <v>2.2400000000000002</v>
      </c>
      <c r="U33" s="253">
        <f t="shared" si="7"/>
        <v>0.22400000000000003</v>
      </c>
      <c r="V33" s="2339"/>
    </row>
    <row r="34" spans="1:22">
      <c r="A34" s="2336"/>
      <c r="B34" s="2321"/>
      <c r="C34" s="5">
        <v>27</v>
      </c>
      <c r="D34" s="2313"/>
      <c r="E34" s="2321"/>
      <c r="F34" s="5">
        <v>0.96</v>
      </c>
      <c r="G34" s="5">
        <f t="shared" si="8"/>
        <v>2.9952000000000001</v>
      </c>
      <c r="H34" s="5"/>
      <c r="I34" s="5">
        <f t="shared" si="1"/>
        <v>2.9952000000000001</v>
      </c>
      <c r="J34" s="2339"/>
      <c r="L34" s="145">
        <f t="shared" si="9"/>
        <v>1</v>
      </c>
      <c r="M34" s="2325"/>
      <c r="N34" s="5">
        <f t="shared" si="10"/>
        <v>4.66</v>
      </c>
      <c r="O34" s="5">
        <f t="shared" si="4"/>
        <v>4.66</v>
      </c>
      <c r="P34" s="2339"/>
      <c r="R34" s="2346"/>
      <c r="S34" s="390">
        <f t="shared" si="11"/>
        <v>0.96</v>
      </c>
      <c r="T34" s="253">
        <f t="shared" si="6"/>
        <v>7.68</v>
      </c>
      <c r="U34" s="253">
        <f t="shared" si="7"/>
        <v>0.76800000000000002</v>
      </c>
      <c r="V34" s="2339"/>
    </row>
    <row r="35" spans="1:22">
      <c r="A35" s="2336"/>
      <c r="B35" s="2321"/>
      <c r="C35" s="5">
        <v>28</v>
      </c>
      <c r="D35" s="2313"/>
      <c r="E35" s="2321"/>
      <c r="F35" s="5">
        <v>1.94</v>
      </c>
      <c r="G35" s="5">
        <f t="shared" si="8"/>
        <v>6.0528000000000004</v>
      </c>
      <c r="H35" s="5"/>
      <c r="I35" s="5">
        <f t="shared" si="1"/>
        <v>6.0528000000000004</v>
      </c>
      <c r="J35" s="2339"/>
      <c r="L35" s="145">
        <f t="shared" si="9"/>
        <v>2</v>
      </c>
      <c r="M35" s="2325"/>
      <c r="N35" s="5">
        <f t="shared" si="10"/>
        <v>9.32</v>
      </c>
      <c r="O35" s="5">
        <f t="shared" si="4"/>
        <v>9.32</v>
      </c>
      <c r="P35" s="2339"/>
      <c r="R35" s="2346"/>
      <c r="S35" s="390">
        <f t="shared" si="11"/>
        <v>1.94</v>
      </c>
      <c r="T35" s="253">
        <f t="shared" si="6"/>
        <v>15.52</v>
      </c>
      <c r="U35" s="253">
        <f t="shared" si="7"/>
        <v>1.552</v>
      </c>
      <c r="V35" s="2339"/>
    </row>
    <row r="36" spans="1:22">
      <c r="A36" s="2336"/>
      <c r="B36" s="2321"/>
      <c r="C36" s="5">
        <v>29</v>
      </c>
      <c r="D36" s="2313"/>
      <c r="E36" s="2321"/>
      <c r="F36" s="5">
        <v>2.17</v>
      </c>
      <c r="G36" s="5">
        <f t="shared" si="8"/>
        <v>6.7704000000000004</v>
      </c>
      <c r="H36" s="5"/>
      <c r="I36" s="5">
        <f t="shared" si="1"/>
        <v>6.7704000000000004</v>
      </c>
      <c r="J36" s="2339"/>
      <c r="L36" s="145">
        <f t="shared" si="9"/>
        <v>2</v>
      </c>
      <c r="M36" s="2325"/>
      <c r="N36" s="5">
        <f t="shared" si="10"/>
        <v>9.32</v>
      </c>
      <c r="O36" s="5">
        <f t="shared" si="4"/>
        <v>9.32</v>
      </c>
      <c r="P36" s="2339"/>
      <c r="R36" s="2346"/>
      <c r="S36" s="390">
        <f t="shared" si="11"/>
        <v>2.17</v>
      </c>
      <c r="T36" s="253">
        <f t="shared" si="6"/>
        <v>17.36</v>
      </c>
      <c r="U36" s="253">
        <f t="shared" si="7"/>
        <v>1.736</v>
      </c>
      <c r="V36" s="2339"/>
    </row>
    <row r="37" spans="1:22">
      <c r="A37" s="2336"/>
      <c r="B37" s="2321"/>
      <c r="C37" s="5">
        <v>30</v>
      </c>
      <c r="D37" s="2313"/>
      <c r="E37" s="2321"/>
      <c r="F37" s="5">
        <v>2.4</v>
      </c>
      <c r="G37" s="5">
        <f t="shared" si="8"/>
        <v>7.4879999999999995</v>
      </c>
      <c r="H37" s="5"/>
      <c r="I37" s="5">
        <f t="shared" si="1"/>
        <v>7.4879999999999995</v>
      </c>
      <c r="J37" s="2339"/>
      <c r="L37" s="145">
        <f t="shared" si="9"/>
        <v>2</v>
      </c>
      <c r="M37" s="2325"/>
      <c r="N37" s="5">
        <f t="shared" si="10"/>
        <v>9.32</v>
      </c>
      <c r="O37" s="5">
        <f t="shared" si="4"/>
        <v>9.32</v>
      </c>
      <c r="P37" s="2339"/>
      <c r="R37" s="2346"/>
      <c r="S37" s="390">
        <f t="shared" si="11"/>
        <v>2.4</v>
      </c>
      <c r="T37" s="253">
        <f t="shared" si="6"/>
        <v>19.2</v>
      </c>
      <c r="U37" s="253">
        <f t="shared" si="7"/>
        <v>1.92</v>
      </c>
      <c r="V37" s="2339"/>
    </row>
    <row r="38" spans="1:22">
      <c r="A38" s="2336"/>
      <c r="B38" s="2321"/>
      <c r="C38" s="5">
        <v>31</v>
      </c>
      <c r="D38" s="2313"/>
      <c r="E38" s="2321"/>
      <c r="F38" s="5">
        <v>1.06</v>
      </c>
      <c r="G38" s="5">
        <f t="shared" si="8"/>
        <v>3.3072000000000004</v>
      </c>
      <c r="H38" s="5"/>
      <c r="I38" s="5">
        <f t="shared" si="1"/>
        <v>3.3072000000000004</v>
      </c>
      <c r="J38" s="2339"/>
      <c r="L38" s="145">
        <f t="shared" si="9"/>
        <v>1</v>
      </c>
      <c r="M38" s="2325"/>
      <c r="N38" s="5">
        <f t="shared" si="10"/>
        <v>4.66</v>
      </c>
      <c r="O38" s="5">
        <f t="shared" si="4"/>
        <v>4.66</v>
      </c>
      <c r="P38" s="2339"/>
      <c r="R38" s="2346"/>
      <c r="S38" s="390">
        <f t="shared" si="11"/>
        <v>1.06</v>
      </c>
      <c r="T38" s="253">
        <f t="shared" si="6"/>
        <v>8.48</v>
      </c>
      <c r="U38" s="253">
        <f t="shared" si="7"/>
        <v>0.84800000000000009</v>
      </c>
      <c r="V38" s="2339"/>
    </row>
    <row r="39" spans="1:22" ht="12.75" customHeight="1">
      <c r="A39" s="2336"/>
      <c r="B39" s="2321"/>
      <c r="C39" s="5">
        <v>32</v>
      </c>
      <c r="D39" s="2313"/>
      <c r="E39" s="2321"/>
      <c r="F39" s="5">
        <v>0.44</v>
      </c>
      <c r="G39" s="5">
        <f t="shared" si="8"/>
        <v>1.3728</v>
      </c>
      <c r="H39" s="5"/>
      <c r="I39" s="5">
        <f t="shared" si="1"/>
        <v>1.3728</v>
      </c>
      <c r="J39" s="2339"/>
      <c r="L39" s="145">
        <f t="shared" si="9"/>
        <v>1</v>
      </c>
      <c r="M39" s="2325"/>
      <c r="N39" s="5">
        <f t="shared" si="10"/>
        <v>4.66</v>
      </c>
      <c r="O39" s="5">
        <f t="shared" si="4"/>
        <v>4.66</v>
      </c>
      <c r="P39" s="2339"/>
      <c r="R39" s="2346"/>
      <c r="S39" s="390">
        <f t="shared" si="11"/>
        <v>0.44</v>
      </c>
      <c r="T39" s="253">
        <f t="shared" si="6"/>
        <v>3.52</v>
      </c>
      <c r="U39" s="253">
        <f t="shared" si="7"/>
        <v>0.35200000000000004</v>
      </c>
      <c r="V39" s="2339"/>
    </row>
    <row r="40" spans="1:22" ht="12.75" customHeight="1">
      <c r="A40" s="2336"/>
      <c r="B40" s="2321"/>
      <c r="C40" s="5">
        <v>33</v>
      </c>
      <c r="D40" s="2313"/>
      <c r="E40" s="2321"/>
      <c r="F40" s="5">
        <v>3</v>
      </c>
      <c r="G40" s="5">
        <f t="shared" si="8"/>
        <v>9.36</v>
      </c>
      <c r="H40" s="5"/>
      <c r="I40" s="5">
        <f t="shared" si="1"/>
        <v>9.36</v>
      </c>
      <c r="J40" s="2339"/>
      <c r="L40" s="145">
        <f t="shared" si="9"/>
        <v>2</v>
      </c>
      <c r="M40" s="2325"/>
      <c r="N40" s="5">
        <f t="shared" si="10"/>
        <v>9.32</v>
      </c>
      <c r="O40" s="5">
        <f t="shared" si="4"/>
        <v>9.32</v>
      </c>
      <c r="P40" s="2339"/>
      <c r="R40" s="2346"/>
      <c r="S40" s="390">
        <f t="shared" si="11"/>
        <v>3</v>
      </c>
      <c r="T40" s="253">
        <f t="shared" si="6"/>
        <v>24</v>
      </c>
      <c r="U40" s="253">
        <f t="shared" si="7"/>
        <v>2.4000000000000004</v>
      </c>
      <c r="V40" s="2339"/>
    </row>
    <row r="41" spans="1:22" ht="12.75" customHeight="1">
      <c r="A41" s="2336"/>
      <c r="B41" s="2321"/>
      <c r="C41" s="5">
        <v>34</v>
      </c>
      <c r="D41" s="2313"/>
      <c r="E41" s="2321"/>
      <c r="F41" s="5">
        <v>1.7</v>
      </c>
      <c r="G41" s="5">
        <f t="shared" si="8"/>
        <v>5.3040000000000003</v>
      </c>
      <c r="H41" s="5"/>
      <c r="I41" s="5">
        <f t="shared" si="1"/>
        <v>5.3040000000000003</v>
      </c>
      <c r="J41" s="2339"/>
      <c r="L41" s="145">
        <f t="shared" si="9"/>
        <v>1</v>
      </c>
      <c r="M41" s="2325"/>
      <c r="N41" s="5">
        <f t="shared" si="10"/>
        <v>4.66</v>
      </c>
      <c r="O41" s="5">
        <f t="shared" si="4"/>
        <v>4.66</v>
      </c>
      <c r="P41" s="2339"/>
      <c r="R41" s="2346"/>
      <c r="S41" s="390">
        <f t="shared" si="11"/>
        <v>1.7</v>
      </c>
      <c r="T41" s="253">
        <f t="shared" si="6"/>
        <v>13.6</v>
      </c>
      <c r="U41" s="253">
        <f t="shared" si="7"/>
        <v>1.36</v>
      </c>
      <c r="V41" s="2339"/>
    </row>
    <row r="42" spans="1:22" ht="12.75" customHeight="1">
      <c r="A42" s="2336"/>
      <c r="B42" s="2321"/>
      <c r="C42" s="5">
        <v>35</v>
      </c>
      <c r="D42" s="2313"/>
      <c r="E42" s="2321"/>
      <c r="F42" s="5">
        <v>1.7</v>
      </c>
      <c r="G42" s="5">
        <f t="shared" si="8"/>
        <v>5.3040000000000003</v>
      </c>
      <c r="H42" s="5"/>
      <c r="I42" s="5">
        <f t="shared" si="1"/>
        <v>5.3040000000000003</v>
      </c>
      <c r="J42" s="2339"/>
      <c r="L42" s="145">
        <f t="shared" si="9"/>
        <v>1</v>
      </c>
      <c r="M42" s="2325"/>
      <c r="N42" s="5">
        <f t="shared" si="10"/>
        <v>4.66</v>
      </c>
      <c r="O42" s="5">
        <f t="shared" si="4"/>
        <v>4.66</v>
      </c>
      <c r="P42" s="2339"/>
      <c r="R42" s="2346"/>
      <c r="S42" s="390">
        <f t="shared" si="11"/>
        <v>1.7</v>
      </c>
      <c r="T42" s="253">
        <f t="shared" si="6"/>
        <v>13.6</v>
      </c>
      <c r="U42" s="253">
        <f t="shared" si="7"/>
        <v>1.36</v>
      </c>
      <c r="V42" s="2339"/>
    </row>
    <row r="43" spans="1:22" ht="12.75" customHeight="1">
      <c r="A43" s="2336"/>
      <c r="B43" s="2321"/>
      <c r="C43" s="5">
        <v>36</v>
      </c>
      <c r="D43" s="2313"/>
      <c r="E43" s="2321"/>
      <c r="F43" s="5">
        <v>1.24</v>
      </c>
      <c r="G43" s="5">
        <f t="shared" si="8"/>
        <v>3.8688000000000002</v>
      </c>
      <c r="H43" s="5"/>
      <c r="I43" s="5">
        <f t="shared" si="1"/>
        <v>3.8688000000000002</v>
      </c>
      <c r="J43" s="2339"/>
      <c r="L43" s="145">
        <f t="shared" si="9"/>
        <v>1</v>
      </c>
      <c r="M43" s="2325"/>
      <c r="N43" s="5">
        <f t="shared" si="10"/>
        <v>4.66</v>
      </c>
      <c r="O43" s="5">
        <f t="shared" si="4"/>
        <v>4.66</v>
      </c>
      <c r="P43" s="2339"/>
      <c r="R43" s="2346"/>
      <c r="S43" s="390">
        <f t="shared" si="11"/>
        <v>1.24</v>
      </c>
      <c r="T43" s="253">
        <f t="shared" si="6"/>
        <v>9.92</v>
      </c>
      <c r="U43" s="253">
        <f t="shared" si="7"/>
        <v>0.99199999999999999</v>
      </c>
      <c r="V43" s="2339"/>
    </row>
    <row r="44" spans="1:22" ht="12.75" customHeight="1">
      <c r="A44" s="2336"/>
      <c r="B44" s="2321"/>
      <c r="C44" s="5">
        <v>37</v>
      </c>
      <c r="D44" s="2313"/>
      <c r="E44" s="2321"/>
      <c r="F44" s="5">
        <v>4.41</v>
      </c>
      <c r="G44" s="5">
        <f t="shared" si="8"/>
        <v>13.759200000000002</v>
      </c>
      <c r="H44" s="5"/>
      <c r="I44" s="5">
        <f t="shared" si="1"/>
        <v>13.759200000000002</v>
      </c>
      <c r="J44" s="2339"/>
      <c r="L44" s="145">
        <f t="shared" si="9"/>
        <v>3</v>
      </c>
      <c r="M44" s="2325"/>
      <c r="N44" s="5">
        <f t="shared" si="10"/>
        <v>13.98</v>
      </c>
      <c r="O44" s="5">
        <f t="shared" si="4"/>
        <v>13.98</v>
      </c>
      <c r="P44" s="2339"/>
      <c r="R44" s="2346"/>
      <c r="S44" s="390">
        <f t="shared" si="11"/>
        <v>4.41</v>
      </c>
      <c r="T44" s="253">
        <f t="shared" si="6"/>
        <v>35.28</v>
      </c>
      <c r="U44" s="253">
        <f t="shared" si="7"/>
        <v>3.5280000000000005</v>
      </c>
      <c r="V44" s="2339"/>
    </row>
    <row r="45" spans="1:22" ht="12.75" customHeight="1">
      <c r="A45" s="2336"/>
      <c r="B45" s="2321"/>
      <c r="C45" s="5">
        <v>38</v>
      </c>
      <c r="D45" s="2313"/>
      <c r="E45" s="2321"/>
      <c r="F45" s="5">
        <v>5.36</v>
      </c>
      <c r="G45" s="5">
        <f t="shared" si="8"/>
        <v>16.723200000000002</v>
      </c>
      <c r="H45" s="5"/>
      <c r="I45" s="5">
        <f t="shared" si="1"/>
        <v>16.723200000000002</v>
      </c>
      <c r="J45" s="2339"/>
      <c r="L45" s="145">
        <f t="shared" si="9"/>
        <v>3</v>
      </c>
      <c r="M45" s="2325"/>
      <c r="N45" s="5">
        <f t="shared" si="10"/>
        <v>13.98</v>
      </c>
      <c r="O45" s="5">
        <f t="shared" si="4"/>
        <v>13.98</v>
      </c>
      <c r="P45" s="2339"/>
      <c r="R45" s="2346"/>
      <c r="S45" s="390">
        <f t="shared" si="11"/>
        <v>5.36</v>
      </c>
      <c r="T45" s="253">
        <f t="shared" si="6"/>
        <v>42.88</v>
      </c>
      <c r="U45" s="253">
        <f t="shared" si="7"/>
        <v>4.2880000000000003</v>
      </c>
      <c r="V45" s="2339"/>
    </row>
    <row r="46" spans="1:22" ht="12.75" customHeight="1">
      <c r="A46" s="2336"/>
      <c r="B46" s="2322"/>
      <c r="C46" s="5">
        <v>39</v>
      </c>
      <c r="D46" s="2314"/>
      <c r="E46" s="2321"/>
      <c r="F46" s="5">
        <v>2</v>
      </c>
      <c r="G46" s="5">
        <f t="shared" si="8"/>
        <v>6.24</v>
      </c>
      <c r="H46" s="5"/>
      <c r="I46" s="5">
        <f t="shared" si="1"/>
        <v>6.24</v>
      </c>
      <c r="J46" s="2339"/>
      <c r="L46" s="145">
        <f t="shared" si="9"/>
        <v>2</v>
      </c>
      <c r="M46" s="2325"/>
      <c r="N46" s="5">
        <f t="shared" si="10"/>
        <v>9.32</v>
      </c>
      <c r="O46" s="5">
        <f t="shared" si="4"/>
        <v>9.32</v>
      </c>
      <c r="P46" s="2339"/>
      <c r="R46" s="2346"/>
      <c r="S46" s="390">
        <f t="shared" si="11"/>
        <v>2</v>
      </c>
      <c r="T46" s="253">
        <f t="shared" si="6"/>
        <v>16</v>
      </c>
      <c r="U46" s="253">
        <f t="shared" si="7"/>
        <v>1.6</v>
      </c>
      <c r="V46" s="2339"/>
    </row>
    <row r="47" spans="1:22" ht="26.25" customHeight="1" thickBot="1">
      <c r="A47" s="2337"/>
      <c r="B47" s="388" t="s">
        <v>550</v>
      </c>
      <c r="C47" s="389">
        <v>40</v>
      </c>
      <c r="D47" s="386">
        <v>0.12</v>
      </c>
      <c r="E47" s="2324"/>
      <c r="F47" s="167">
        <v>3.13</v>
      </c>
      <c r="G47" s="5">
        <f t="shared" si="8"/>
        <v>9.7655999999999992</v>
      </c>
      <c r="H47" s="167"/>
      <c r="I47" s="167">
        <f t="shared" si="1"/>
        <v>9.7655999999999992</v>
      </c>
      <c r="J47" s="2340"/>
      <c r="L47" s="402">
        <f t="shared" si="9"/>
        <v>2</v>
      </c>
      <c r="M47" s="2323"/>
      <c r="N47" s="230">
        <f t="shared" si="10"/>
        <v>9.32</v>
      </c>
      <c r="O47" s="230">
        <f t="shared" si="4"/>
        <v>9.32</v>
      </c>
      <c r="P47" s="2375"/>
      <c r="R47" s="2347"/>
      <c r="S47" s="390">
        <f>F47</f>
        <v>3.13</v>
      </c>
      <c r="T47" s="253">
        <f t="shared" si="6"/>
        <v>25.04</v>
      </c>
      <c r="U47" s="253">
        <f t="shared" si="7"/>
        <v>2.504</v>
      </c>
      <c r="V47" s="2375"/>
    </row>
    <row r="48" spans="1:22" ht="13.5" customHeight="1" thickBot="1">
      <c r="A48" s="2307" t="s">
        <v>551</v>
      </c>
      <c r="B48" s="2308"/>
      <c r="C48" s="2308"/>
      <c r="D48" s="2308"/>
      <c r="E48" s="2308"/>
      <c r="F48" s="2308"/>
      <c r="G48" s="2308"/>
      <c r="H48" s="2309"/>
      <c r="I48" s="395">
        <f>SUM(I8:I46)</f>
        <v>276.32338500000009</v>
      </c>
      <c r="J48" s="2305" t="s">
        <v>55</v>
      </c>
      <c r="L48" s="2366" t="s">
        <v>565</v>
      </c>
      <c r="M48" s="2367"/>
      <c r="N48" s="2367"/>
      <c r="O48" s="2370">
        <f>SUM(O8:O47)</f>
        <v>435.64000000000033</v>
      </c>
      <c r="P48" s="2376" t="s">
        <v>39</v>
      </c>
      <c r="R48" s="2366" t="s">
        <v>565</v>
      </c>
      <c r="S48" s="2367"/>
      <c r="T48" s="2367"/>
      <c r="U48" s="2370">
        <f>SUM(U8:U47)</f>
        <v>88.240000000000023</v>
      </c>
      <c r="V48" s="2376" t="s">
        <v>39</v>
      </c>
    </row>
    <row r="49" spans="1:22" ht="13.5" customHeight="1" thickBot="1">
      <c r="A49" s="2307" t="s">
        <v>552</v>
      </c>
      <c r="B49" s="2308"/>
      <c r="C49" s="2308"/>
      <c r="D49" s="2308"/>
      <c r="E49" s="2308"/>
      <c r="F49" s="2308"/>
      <c r="G49" s="2308"/>
      <c r="H49" s="2309"/>
      <c r="I49" s="392">
        <f>SUM(I47)</f>
        <v>9.7655999999999992</v>
      </c>
      <c r="J49" s="2306"/>
      <c r="L49" s="2368"/>
      <c r="M49" s="2369"/>
      <c r="N49" s="2369"/>
      <c r="O49" s="2371"/>
      <c r="P49" s="2377"/>
      <c r="R49" s="2368"/>
      <c r="S49" s="2369"/>
      <c r="T49" s="2369"/>
      <c r="U49" s="2371"/>
      <c r="V49" s="2377"/>
    </row>
    <row r="50" spans="1:22" ht="12.75" customHeight="1">
      <c r="A50" s="2335">
        <v>2</v>
      </c>
      <c r="B50" s="2320" t="s">
        <v>549</v>
      </c>
      <c r="C50" s="165">
        <v>1</v>
      </c>
      <c r="D50" s="2312">
        <v>0.15</v>
      </c>
      <c r="E50" s="2320">
        <f>3.24-0.6</f>
        <v>2.64</v>
      </c>
      <c r="F50" s="165">
        <v>1.8</v>
      </c>
      <c r="G50" s="165">
        <f>F50*$E$50</f>
        <v>4.7520000000000007</v>
      </c>
      <c r="H50" s="165"/>
      <c r="I50" s="165">
        <f>G50-H50</f>
        <v>4.7520000000000007</v>
      </c>
      <c r="J50" s="2338" t="s">
        <v>55</v>
      </c>
      <c r="L50" s="154">
        <f>TRUNC((F50/1.2))+1</f>
        <v>2</v>
      </c>
      <c r="M50" s="2322">
        <f>($E$50)+(0.12+0.56+0.9)</f>
        <v>4.2200000000000006</v>
      </c>
      <c r="N50" s="253">
        <f>L50*$M$50</f>
        <v>8.4400000000000013</v>
      </c>
      <c r="O50" s="253">
        <f t="shared" si="4"/>
        <v>8.4400000000000013</v>
      </c>
      <c r="P50" s="2374" t="s">
        <v>39</v>
      </c>
      <c r="R50" s="2345">
        <v>8</v>
      </c>
      <c r="S50" s="405">
        <f>F50</f>
        <v>1.8</v>
      </c>
      <c r="T50" s="253">
        <f>$R$50*S50</f>
        <v>14.4</v>
      </c>
      <c r="U50" s="253">
        <f>T50*0.1</f>
        <v>1.4400000000000002</v>
      </c>
      <c r="V50" s="2374" t="s">
        <v>39</v>
      </c>
    </row>
    <row r="51" spans="1:22" ht="12.75" customHeight="1">
      <c r="A51" s="2336"/>
      <c r="B51" s="2321"/>
      <c r="C51" s="5">
        <v>2</v>
      </c>
      <c r="D51" s="2313"/>
      <c r="E51" s="2321"/>
      <c r="F51" s="5">
        <v>4.08</v>
      </c>
      <c r="G51" s="253">
        <f t="shared" ref="G51:G81" si="12">F51*$E$50</f>
        <v>10.7712</v>
      </c>
      <c r="H51" s="5">
        <f>0.75*0.63+(1.5*1.395)</f>
        <v>2.5650000000000004</v>
      </c>
      <c r="I51" s="5">
        <f t="shared" ref="I51:I89" si="13">G51-H51</f>
        <v>8.2061999999999991</v>
      </c>
      <c r="J51" s="2339"/>
      <c r="L51" s="145">
        <f t="shared" ref="L51:L81" si="14">TRUNC((F51/1.2))+1</f>
        <v>4</v>
      </c>
      <c r="M51" s="2325"/>
      <c r="N51" s="5">
        <f t="shared" ref="N51:N81" si="15">L51*$M$50</f>
        <v>16.880000000000003</v>
      </c>
      <c r="O51" s="5">
        <f t="shared" si="4"/>
        <v>16.880000000000003</v>
      </c>
      <c r="P51" s="2339"/>
      <c r="R51" s="2346"/>
      <c r="S51" s="405">
        <f t="shared" ref="S51:S104" si="16">F51</f>
        <v>4.08</v>
      </c>
      <c r="T51" s="253">
        <f t="shared" ref="T51:T104" si="17">$R$50*S51</f>
        <v>32.64</v>
      </c>
      <c r="U51" s="253">
        <f t="shared" ref="U51:U104" si="18">T51*0.1</f>
        <v>3.2640000000000002</v>
      </c>
      <c r="V51" s="2339"/>
    </row>
    <row r="52" spans="1:22" ht="12.75" customHeight="1">
      <c r="A52" s="2336"/>
      <c r="B52" s="2321"/>
      <c r="C52" s="253">
        <v>3</v>
      </c>
      <c r="D52" s="2313"/>
      <c r="E52" s="2321"/>
      <c r="F52" s="5">
        <v>5.82</v>
      </c>
      <c r="G52" s="253">
        <f t="shared" si="12"/>
        <v>15.364800000000001</v>
      </c>
      <c r="H52" s="5">
        <f>2*0.75*0.63</f>
        <v>0.94500000000000006</v>
      </c>
      <c r="I52" s="5">
        <f t="shared" si="13"/>
        <v>14.4198</v>
      </c>
      <c r="J52" s="2339"/>
      <c r="L52" s="145">
        <f t="shared" si="14"/>
        <v>5</v>
      </c>
      <c r="M52" s="2325"/>
      <c r="N52" s="5">
        <f t="shared" si="15"/>
        <v>21.1</v>
      </c>
      <c r="O52" s="5">
        <f t="shared" si="4"/>
        <v>21.1</v>
      </c>
      <c r="P52" s="2339"/>
      <c r="R52" s="2346"/>
      <c r="S52" s="405">
        <f t="shared" si="16"/>
        <v>5.82</v>
      </c>
      <c r="T52" s="253">
        <f t="shared" si="17"/>
        <v>46.56</v>
      </c>
      <c r="U52" s="253">
        <f t="shared" si="18"/>
        <v>4.6560000000000006</v>
      </c>
      <c r="V52" s="2339"/>
    </row>
    <row r="53" spans="1:22" ht="12.75" customHeight="1">
      <c r="A53" s="2336"/>
      <c r="B53" s="2321"/>
      <c r="C53" s="5">
        <v>4</v>
      </c>
      <c r="D53" s="2313"/>
      <c r="E53" s="2321"/>
      <c r="F53" s="5">
        <v>2.5299999999999998</v>
      </c>
      <c r="G53" s="253">
        <f t="shared" si="12"/>
        <v>6.6791999999999998</v>
      </c>
      <c r="H53" s="5"/>
      <c r="I53" s="5">
        <f t="shared" si="13"/>
        <v>6.6791999999999998</v>
      </c>
      <c r="J53" s="2339"/>
      <c r="L53" s="145">
        <f t="shared" si="14"/>
        <v>3</v>
      </c>
      <c r="M53" s="2325"/>
      <c r="N53" s="5">
        <f t="shared" si="15"/>
        <v>12.660000000000002</v>
      </c>
      <c r="O53" s="5">
        <f t="shared" si="4"/>
        <v>12.660000000000002</v>
      </c>
      <c r="P53" s="2339"/>
      <c r="R53" s="2346"/>
      <c r="S53" s="405">
        <f t="shared" si="16"/>
        <v>2.5299999999999998</v>
      </c>
      <c r="T53" s="253">
        <f t="shared" si="17"/>
        <v>20.239999999999998</v>
      </c>
      <c r="U53" s="253">
        <f t="shared" si="18"/>
        <v>2.024</v>
      </c>
      <c r="V53" s="2339"/>
    </row>
    <row r="54" spans="1:22" ht="12.75" customHeight="1">
      <c r="A54" s="2336"/>
      <c r="B54" s="2321"/>
      <c r="C54" s="253">
        <v>5</v>
      </c>
      <c r="D54" s="2313"/>
      <c r="E54" s="2321"/>
      <c r="F54" s="5">
        <f>1.5+1.8</f>
        <v>3.3</v>
      </c>
      <c r="G54" s="253">
        <f t="shared" si="12"/>
        <v>8.7119999999999997</v>
      </c>
      <c r="H54" s="5">
        <f>1.5*1.395</f>
        <v>2.0925000000000002</v>
      </c>
      <c r="I54" s="5">
        <f t="shared" si="13"/>
        <v>6.6194999999999995</v>
      </c>
      <c r="J54" s="2339"/>
      <c r="L54" s="145">
        <f t="shared" si="14"/>
        <v>3</v>
      </c>
      <c r="M54" s="2325"/>
      <c r="N54" s="5">
        <f t="shared" si="15"/>
        <v>12.660000000000002</v>
      </c>
      <c r="O54" s="5">
        <f t="shared" si="4"/>
        <v>12.660000000000002</v>
      </c>
      <c r="P54" s="2339"/>
      <c r="R54" s="2346"/>
      <c r="S54" s="405">
        <f t="shared" si="16"/>
        <v>3.3</v>
      </c>
      <c r="T54" s="253">
        <f t="shared" si="17"/>
        <v>26.4</v>
      </c>
      <c r="U54" s="253">
        <f t="shared" si="18"/>
        <v>2.64</v>
      </c>
      <c r="V54" s="2339"/>
    </row>
    <row r="55" spans="1:22" ht="12.75" customHeight="1">
      <c r="A55" s="2336"/>
      <c r="B55" s="2321"/>
      <c r="C55" s="5">
        <v>6</v>
      </c>
      <c r="D55" s="2313"/>
      <c r="E55" s="2321"/>
      <c r="F55" s="5">
        <v>4.84</v>
      </c>
      <c r="G55" s="253">
        <f t="shared" si="12"/>
        <v>12.7776</v>
      </c>
      <c r="H55" s="5">
        <f>1.25*1.395</f>
        <v>1.7437499999999999</v>
      </c>
      <c r="I55" s="5">
        <f t="shared" si="13"/>
        <v>11.033849999999999</v>
      </c>
      <c r="J55" s="2339"/>
      <c r="L55" s="145">
        <f t="shared" si="14"/>
        <v>5</v>
      </c>
      <c r="M55" s="2325"/>
      <c r="N55" s="5">
        <f t="shared" si="15"/>
        <v>21.1</v>
      </c>
      <c r="O55" s="5">
        <f t="shared" si="4"/>
        <v>21.1</v>
      </c>
      <c r="P55" s="2339"/>
      <c r="R55" s="2346"/>
      <c r="S55" s="405">
        <f t="shared" si="16"/>
        <v>4.84</v>
      </c>
      <c r="T55" s="253">
        <f t="shared" si="17"/>
        <v>38.72</v>
      </c>
      <c r="U55" s="253">
        <f t="shared" si="18"/>
        <v>3.8719999999999999</v>
      </c>
      <c r="V55" s="2339"/>
    </row>
    <row r="56" spans="1:22" ht="12.75" customHeight="1">
      <c r="A56" s="2336"/>
      <c r="B56" s="2321"/>
      <c r="C56" s="253">
        <v>7</v>
      </c>
      <c r="D56" s="2313"/>
      <c r="E56" s="2321"/>
      <c r="F56" s="5">
        <v>1.04</v>
      </c>
      <c r="G56" s="253">
        <f t="shared" si="12"/>
        <v>2.7456</v>
      </c>
      <c r="H56" s="5">
        <f>1.395*1.138</f>
        <v>1.58751</v>
      </c>
      <c r="I56" s="5">
        <f t="shared" si="13"/>
        <v>1.1580900000000001</v>
      </c>
      <c r="J56" s="2339"/>
      <c r="L56" s="145">
        <f t="shared" si="14"/>
        <v>1</v>
      </c>
      <c r="M56" s="2325"/>
      <c r="N56" s="5">
        <f t="shared" si="15"/>
        <v>4.2200000000000006</v>
      </c>
      <c r="O56" s="5">
        <f t="shared" si="4"/>
        <v>4.2200000000000006</v>
      </c>
      <c r="P56" s="2339"/>
      <c r="R56" s="2346"/>
      <c r="S56" s="405">
        <f t="shared" si="16"/>
        <v>1.04</v>
      </c>
      <c r="T56" s="253">
        <f t="shared" si="17"/>
        <v>8.32</v>
      </c>
      <c r="U56" s="253">
        <f t="shared" si="18"/>
        <v>0.83200000000000007</v>
      </c>
      <c r="V56" s="2339"/>
    </row>
    <row r="57" spans="1:22" ht="12.75" customHeight="1">
      <c r="A57" s="2336"/>
      <c r="B57" s="2321"/>
      <c r="C57" s="5">
        <v>8</v>
      </c>
      <c r="D57" s="2313"/>
      <c r="E57" s="2321"/>
      <c r="F57" s="5">
        <f>1.5+1.86+1.5+0.51</f>
        <v>5.37</v>
      </c>
      <c r="G57" s="253">
        <f t="shared" si="12"/>
        <v>14.1768</v>
      </c>
      <c r="H57" s="5">
        <f>2*1.5*1.395</f>
        <v>4.1850000000000005</v>
      </c>
      <c r="I57" s="5">
        <f t="shared" si="13"/>
        <v>9.9917999999999996</v>
      </c>
      <c r="J57" s="2339"/>
      <c r="L57" s="145">
        <f t="shared" si="14"/>
        <v>5</v>
      </c>
      <c r="M57" s="2325"/>
      <c r="N57" s="5">
        <f t="shared" si="15"/>
        <v>21.1</v>
      </c>
      <c r="O57" s="5">
        <f t="shared" si="4"/>
        <v>21.1</v>
      </c>
      <c r="P57" s="2339"/>
      <c r="R57" s="2346"/>
      <c r="S57" s="405">
        <f t="shared" si="16"/>
        <v>5.37</v>
      </c>
      <c r="T57" s="253">
        <f t="shared" si="17"/>
        <v>42.96</v>
      </c>
      <c r="U57" s="253">
        <f t="shared" si="18"/>
        <v>4.2960000000000003</v>
      </c>
      <c r="V57" s="2339"/>
    </row>
    <row r="58" spans="1:22" ht="13.5" customHeight="1">
      <c r="A58" s="2336"/>
      <c r="B58" s="2321"/>
      <c r="C58" s="253">
        <v>9</v>
      </c>
      <c r="D58" s="2313"/>
      <c r="E58" s="2321"/>
      <c r="F58" s="5">
        <v>1.07</v>
      </c>
      <c r="G58" s="253">
        <f t="shared" si="12"/>
        <v>2.8248000000000002</v>
      </c>
      <c r="H58" s="5">
        <f>0.867*1.395</f>
        <v>1.209465</v>
      </c>
      <c r="I58" s="5">
        <f t="shared" si="13"/>
        <v>1.6153350000000002</v>
      </c>
      <c r="J58" s="2339"/>
      <c r="L58" s="145">
        <f t="shared" si="14"/>
        <v>1</v>
      </c>
      <c r="M58" s="2325"/>
      <c r="N58" s="5">
        <f t="shared" si="15"/>
        <v>4.2200000000000006</v>
      </c>
      <c r="O58" s="5">
        <f t="shared" si="4"/>
        <v>4.2200000000000006</v>
      </c>
      <c r="P58" s="2339"/>
      <c r="R58" s="2346"/>
      <c r="S58" s="405">
        <f t="shared" si="16"/>
        <v>1.07</v>
      </c>
      <c r="T58" s="253">
        <f t="shared" si="17"/>
        <v>8.56</v>
      </c>
      <c r="U58" s="253">
        <f t="shared" si="18"/>
        <v>0.85600000000000009</v>
      </c>
      <c r="V58" s="2339"/>
    </row>
    <row r="59" spans="1:22">
      <c r="A59" s="2336"/>
      <c r="B59" s="2321"/>
      <c r="C59" s="5">
        <v>10</v>
      </c>
      <c r="D59" s="2313"/>
      <c r="E59" s="2321"/>
      <c r="F59" s="5">
        <f>1.07+3.33</f>
        <v>4.4000000000000004</v>
      </c>
      <c r="G59" s="253">
        <f t="shared" si="12"/>
        <v>11.616000000000001</v>
      </c>
      <c r="H59" s="5">
        <f>0.866*1.395</f>
        <v>1.20807</v>
      </c>
      <c r="I59" s="5">
        <f t="shared" si="13"/>
        <v>10.407930000000002</v>
      </c>
      <c r="J59" s="2339"/>
      <c r="L59" s="145">
        <f t="shared" si="14"/>
        <v>4</v>
      </c>
      <c r="M59" s="2325"/>
      <c r="N59" s="5">
        <f t="shared" si="15"/>
        <v>16.880000000000003</v>
      </c>
      <c r="O59" s="5">
        <f t="shared" si="4"/>
        <v>16.880000000000003</v>
      </c>
      <c r="P59" s="2339"/>
      <c r="R59" s="2346"/>
      <c r="S59" s="405">
        <f t="shared" si="16"/>
        <v>4.4000000000000004</v>
      </c>
      <c r="T59" s="253">
        <f t="shared" si="17"/>
        <v>35.200000000000003</v>
      </c>
      <c r="U59" s="253">
        <f t="shared" si="18"/>
        <v>3.5200000000000005</v>
      </c>
      <c r="V59" s="2339"/>
    </row>
    <row r="60" spans="1:22">
      <c r="A60" s="2336"/>
      <c r="B60" s="2321"/>
      <c r="C60" s="253">
        <v>11</v>
      </c>
      <c r="D60" s="2313"/>
      <c r="E60" s="2321"/>
      <c r="F60" s="5">
        <v>1.75</v>
      </c>
      <c r="G60" s="253">
        <f t="shared" si="12"/>
        <v>4.62</v>
      </c>
      <c r="H60" s="5"/>
      <c r="I60" s="5">
        <f t="shared" si="13"/>
        <v>4.62</v>
      </c>
      <c r="J60" s="2339"/>
      <c r="L60" s="145">
        <f t="shared" si="14"/>
        <v>2</v>
      </c>
      <c r="M60" s="2325"/>
      <c r="N60" s="5">
        <f t="shared" si="15"/>
        <v>8.4400000000000013</v>
      </c>
      <c r="O60" s="5">
        <f t="shared" si="4"/>
        <v>8.4400000000000013</v>
      </c>
      <c r="P60" s="2339"/>
      <c r="R60" s="2346"/>
      <c r="S60" s="405">
        <f t="shared" si="16"/>
        <v>1.75</v>
      </c>
      <c r="T60" s="253">
        <f t="shared" si="17"/>
        <v>14</v>
      </c>
      <c r="U60" s="253">
        <f t="shared" si="18"/>
        <v>1.4000000000000001</v>
      </c>
      <c r="V60" s="2339"/>
    </row>
    <row r="61" spans="1:22">
      <c r="A61" s="2336"/>
      <c r="B61" s="2321"/>
      <c r="C61" s="5">
        <v>12</v>
      </c>
      <c r="D61" s="2313"/>
      <c r="E61" s="2321"/>
      <c r="F61" s="5">
        <v>2.63</v>
      </c>
      <c r="G61" s="253">
        <f t="shared" si="12"/>
        <v>6.9432</v>
      </c>
      <c r="H61" s="5"/>
      <c r="I61" s="5">
        <f t="shared" si="13"/>
        <v>6.9432</v>
      </c>
      <c r="J61" s="2339"/>
      <c r="L61" s="145">
        <f t="shared" si="14"/>
        <v>3</v>
      </c>
      <c r="M61" s="2325"/>
      <c r="N61" s="5">
        <f t="shared" si="15"/>
        <v>12.660000000000002</v>
      </c>
      <c r="O61" s="5">
        <f t="shared" si="4"/>
        <v>12.660000000000002</v>
      </c>
      <c r="P61" s="2339"/>
      <c r="R61" s="2346"/>
      <c r="S61" s="405">
        <f t="shared" si="16"/>
        <v>2.63</v>
      </c>
      <c r="T61" s="253">
        <f t="shared" si="17"/>
        <v>21.04</v>
      </c>
      <c r="U61" s="253">
        <f t="shared" si="18"/>
        <v>2.1040000000000001</v>
      </c>
      <c r="V61" s="2339"/>
    </row>
    <row r="62" spans="1:22">
      <c r="A62" s="2336"/>
      <c r="B62" s="2321"/>
      <c r="C62" s="253">
        <v>13</v>
      </c>
      <c r="D62" s="2313"/>
      <c r="E62" s="2321"/>
      <c r="F62" s="5">
        <v>2.4500000000000002</v>
      </c>
      <c r="G62" s="253">
        <f t="shared" si="12"/>
        <v>6.4680000000000009</v>
      </c>
      <c r="H62" s="5"/>
      <c r="I62" s="5">
        <f t="shared" si="13"/>
        <v>6.4680000000000009</v>
      </c>
      <c r="J62" s="2339"/>
      <c r="L62" s="145">
        <f t="shared" si="14"/>
        <v>3</v>
      </c>
      <c r="M62" s="2325"/>
      <c r="N62" s="5">
        <f t="shared" si="15"/>
        <v>12.660000000000002</v>
      </c>
      <c r="O62" s="5">
        <f t="shared" si="4"/>
        <v>12.660000000000002</v>
      </c>
      <c r="P62" s="2339"/>
      <c r="R62" s="2346"/>
      <c r="S62" s="405">
        <f t="shared" si="16"/>
        <v>2.4500000000000002</v>
      </c>
      <c r="T62" s="253">
        <f t="shared" si="17"/>
        <v>19.600000000000001</v>
      </c>
      <c r="U62" s="253">
        <f t="shared" si="18"/>
        <v>1.9600000000000002</v>
      </c>
      <c r="V62" s="2339"/>
    </row>
    <row r="63" spans="1:22">
      <c r="A63" s="2336"/>
      <c r="B63" s="2321"/>
      <c r="C63" s="5">
        <v>14</v>
      </c>
      <c r="D63" s="2313"/>
      <c r="E63" s="2321"/>
      <c r="F63" s="5">
        <v>1.4</v>
      </c>
      <c r="G63" s="253">
        <f t="shared" si="12"/>
        <v>3.6959999999999997</v>
      </c>
      <c r="H63" s="5"/>
      <c r="I63" s="5">
        <f t="shared" si="13"/>
        <v>3.6959999999999997</v>
      </c>
      <c r="J63" s="2339"/>
      <c r="L63" s="145">
        <f t="shared" si="14"/>
        <v>2</v>
      </c>
      <c r="M63" s="2325"/>
      <c r="N63" s="5">
        <f t="shared" si="15"/>
        <v>8.4400000000000013</v>
      </c>
      <c r="O63" s="5">
        <f t="shared" si="4"/>
        <v>8.4400000000000013</v>
      </c>
      <c r="P63" s="2339"/>
      <c r="R63" s="2346"/>
      <c r="S63" s="405">
        <f t="shared" si="16"/>
        <v>1.4</v>
      </c>
      <c r="T63" s="253">
        <f t="shared" si="17"/>
        <v>11.2</v>
      </c>
      <c r="U63" s="253">
        <f t="shared" si="18"/>
        <v>1.1199999999999999</v>
      </c>
      <c r="V63" s="2339"/>
    </row>
    <row r="64" spans="1:22">
      <c r="A64" s="2336"/>
      <c r="B64" s="2321"/>
      <c r="C64" s="253">
        <v>15</v>
      </c>
      <c r="D64" s="2313"/>
      <c r="E64" s="2321"/>
      <c r="F64" s="5">
        <v>1.01</v>
      </c>
      <c r="G64" s="253">
        <f t="shared" si="12"/>
        <v>2.6664000000000003</v>
      </c>
      <c r="H64" s="5">
        <f>1.179*1.395</f>
        <v>1.6447050000000001</v>
      </c>
      <c r="I64" s="5">
        <f t="shared" si="13"/>
        <v>1.0216950000000002</v>
      </c>
      <c r="J64" s="2339"/>
      <c r="L64" s="145">
        <f t="shared" si="14"/>
        <v>1</v>
      </c>
      <c r="M64" s="2325"/>
      <c r="N64" s="5">
        <f t="shared" si="15"/>
        <v>4.2200000000000006</v>
      </c>
      <c r="O64" s="5">
        <f t="shared" si="4"/>
        <v>4.2200000000000006</v>
      </c>
      <c r="P64" s="2339"/>
      <c r="R64" s="2346"/>
      <c r="S64" s="405">
        <f t="shared" si="16"/>
        <v>1.01</v>
      </c>
      <c r="T64" s="253">
        <f t="shared" si="17"/>
        <v>8.08</v>
      </c>
      <c r="U64" s="253">
        <f t="shared" si="18"/>
        <v>0.80800000000000005</v>
      </c>
      <c r="V64" s="2339"/>
    </row>
    <row r="65" spans="1:22">
      <c r="A65" s="2336"/>
      <c r="B65" s="2321"/>
      <c r="C65" s="5">
        <v>16</v>
      </c>
      <c r="D65" s="2313"/>
      <c r="E65" s="2321"/>
      <c r="F65" s="5">
        <v>6.49</v>
      </c>
      <c r="G65" s="253">
        <f t="shared" si="12"/>
        <v>17.133600000000001</v>
      </c>
      <c r="H65" s="5"/>
      <c r="I65" s="5">
        <f t="shared" si="13"/>
        <v>17.133600000000001</v>
      </c>
      <c r="J65" s="2339"/>
      <c r="L65" s="145">
        <f t="shared" si="14"/>
        <v>6</v>
      </c>
      <c r="M65" s="2325"/>
      <c r="N65" s="5">
        <f t="shared" si="15"/>
        <v>25.320000000000004</v>
      </c>
      <c r="O65" s="5">
        <f t="shared" si="4"/>
        <v>25.320000000000004</v>
      </c>
      <c r="P65" s="2339"/>
      <c r="R65" s="2346"/>
      <c r="S65" s="405">
        <f t="shared" si="16"/>
        <v>6.49</v>
      </c>
      <c r="T65" s="253">
        <f t="shared" si="17"/>
        <v>51.92</v>
      </c>
      <c r="U65" s="253">
        <f t="shared" si="18"/>
        <v>5.1920000000000002</v>
      </c>
      <c r="V65" s="2339"/>
    </row>
    <row r="66" spans="1:22">
      <c r="A66" s="2336"/>
      <c r="B66" s="2321"/>
      <c r="C66" s="253">
        <v>17</v>
      </c>
      <c r="D66" s="2313"/>
      <c r="E66" s="2321"/>
      <c r="F66" s="5">
        <v>1.34</v>
      </c>
      <c r="G66" s="253">
        <f t="shared" si="12"/>
        <v>3.5376000000000003</v>
      </c>
      <c r="H66" s="5"/>
      <c r="I66" s="5">
        <f t="shared" si="13"/>
        <v>3.5376000000000003</v>
      </c>
      <c r="J66" s="2339"/>
      <c r="L66" s="145">
        <f t="shared" si="14"/>
        <v>2</v>
      </c>
      <c r="M66" s="2325"/>
      <c r="N66" s="5">
        <f t="shared" si="15"/>
        <v>8.4400000000000013</v>
      </c>
      <c r="O66" s="5">
        <f t="shared" si="4"/>
        <v>8.4400000000000013</v>
      </c>
      <c r="P66" s="2339"/>
      <c r="R66" s="2346"/>
      <c r="S66" s="405">
        <f t="shared" si="16"/>
        <v>1.34</v>
      </c>
      <c r="T66" s="253">
        <f t="shared" si="17"/>
        <v>10.72</v>
      </c>
      <c r="U66" s="253">
        <f t="shared" si="18"/>
        <v>1.0720000000000001</v>
      </c>
      <c r="V66" s="2339"/>
    </row>
    <row r="67" spans="1:22">
      <c r="A67" s="2336"/>
      <c r="B67" s="2321"/>
      <c r="C67" s="5">
        <v>18</v>
      </c>
      <c r="D67" s="2313"/>
      <c r="E67" s="2321"/>
      <c r="F67" s="5">
        <v>3</v>
      </c>
      <c r="G67" s="253">
        <f t="shared" si="12"/>
        <v>7.92</v>
      </c>
      <c r="H67" s="5"/>
      <c r="I67" s="5">
        <f t="shared" si="13"/>
        <v>7.92</v>
      </c>
      <c r="J67" s="2339"/>
      <c r="L67" s="145">
        <f t="shared" si="14"/>
        <v>3</v>
      </c>
      <c r="M67" s="2325"/>
      <c r="N67" s="5">
        <f t="shared" si="15"/>
        <v>12.660000000000002</v>
      </c>
      <c r="O67" s="5">
        <f t="shared" si="4"/>
        <v>12.660000000000002</v>
      </c>
      <c r="P67" s="2339"/>
      <c r="R67" s="2346"/>
      <c r="S67" s="405">
        <f t="shared" si="16"/>
        <v>3</v>
      </c>
      <c r="T67" s="253">
        <f t="shared" si="17"/>
        <v>24</v>
      </c>
      <c r="U67" s="253">
        <f t="shared" si="18"/>
        <v>2.4000000000000004</v>
      </c>
      <c r="V67" s="2339"/>
    </row>
    <row r="68" spans="1:22">
      <c r="A68" s="2336"/>
      <c r="B68" s="2321"/>
      <c r="C68" s="253">
        <v>19</v>
      </c>
      <c r="D68" s="2313"/>
      <c r="E68" s="2321"/>
      <c r="F68" s="5">
        <f>0.48+1.5+1.5+1.5+1.55+1.55</f>
        <v>8.08</v>
      </c>
      <c r="G68" s="253">
        <f t="shared" si="12"/>
        <v>21.331200000000003</v>
      </c>
      <c r="H68" s="5"/>
      <c r="I68" s="5">
        <f t="shared" si="13"/>
        <v>21.331200000000003</v>
      </c>
      <c r="J68" s="2339"/>
      <c r="L68" s="145">
        <f t="shared" si="14"/>
        <v>7</v>
      </c>
      <c r="M68" s="2325"/>
      <c r="N68" s="5">
        <f t="shared" si="15"/>
        <v>29.540000000000006</v>
      </c>
      <c r="O68" s="5">
        <f t="shared" si="4"/>
        <v>29.540000000000006</v>
      </c>
      <c r="P68" s="2339"/>
      <c r="R68" s="2346"/>
      <c r="S68" s="405">
        <f t="shared" si="16"/>
        <v>8.08</v>
      </c>
      <c r="T68" s="253">
        <f t="shared" si="17"/>
        <v>64.64</v>
      </c>
      <c r="U68" s="253">
        <f t="shared" si="18"/>
        <v>6.4640000000000004</v>
      </c>
      <c r="V68" s="2339"/>
    </row>
    <row r="69" spans="1:22">
      <c r="A69" s="2336"/>
      <c r="B69" s="2321"/>
      <c r="C69" s="5">
        <v>20</v>
      </c>
      <c r="D69" s="2313"/>
      <c r="E69" s="2321"/>
      <c r="F69" s="5">
        <f>1.55+2.16</f>
        <v>3.71</v>
      </c>
      <c r="G69" s="253">
        <f t="shared" si="12"/>
        <v>9.7943999999999996</v>
      </c>
      <c r="H69" s="5">
        <f>2*(1.395*1.5)+(1.3*1.395)</f>
        <v>5.9985000000000008</v>
      </c>
      <c r="I69" s="5">
        <f t="shared" si="13"/>
        <v>3.7958999999999987</v>
      </c>
      <c r="J69" s="2339"/>
      <c r="L69" s="145">
        <f t="shared" si="14"/>
        <v>4</v>
      </c>
      <c r="M69" s="2325"/>
      <c r="N69" s="5">
        <f t="shared" si="15"/>
        <v>16.880000000000003</v>
      </c>
      <c r="O69" s="5">
        <f t="shared" si="4"/>
        <v>16.880000000000003</v>
      </c>
      <c r="P69" s="2339"/>
      <c r="R69" s="2346"/>
      <c r="S69" s="405">
        <f t="shared" si="16"/>
        <v>3.71</v>
      </c>
      <c r="T69" s="253">
        <f t="shared" si="17"/>
        <v>29.68</v>
      </c>
      <c r="U69" s="253">
        <f t="shared" si="18"/>
        <v>2.968</v>
      </c>
      <c r="V69" s="2339"/>
    </row>
    <row r="70" spans="1:22">
      <c r="A70" s="2336"/>
      <c r="B70" s="2321"/>
      <c r="C70" s="253">
        <v>21</v>
      </c>
      <c r="D70" s="2313"/>
      <c r="E70" s="2321"/>
      <c r="F70" s="5">
        <v>2.99</v>
      </c>
      <c r="G70" s="253">
        <f t="shared" si="12"/>
        <v>7.8936000000000011</v>
      </c>
      <c r="H70" s="5">
        <f>1.302*1.395</f>
        <v>1.8162900000000002</v>
      </c>
      <c r="I70" s="5">
        <f t="shared" si="13"/>
        <v>6.0773100000000007</v>
      </c>
      <c r="J70" s="2339"/>
      <c r="L70" s="145">
        <f t="shared" si="14"/>
        <v>3</v>
      </c>
      <c r="M70" s="2325"/>
      <c r="N70" s="5">
        <f t="shared" si="15"/>
        <v>12.660000000000002</v>
      </c>
      <c r="O70" s="5">
        <f t="shared" si="4"/>
        <v>12.660000000000002</v>
      </c>
      <c r="P70" s="2339"/>
      <c r="R70" s="2346"/>
      <c r="S70" s="405">
        <f t="shared" si="16"/>
        <v>2.99</v>
      </c>
      <c r="T70" s="253">
        <f t="shared" si="17"/>
        <v>23.92</v>
      </c>
      <c r="U70" s="253">
        <f t="shared" si="18"/>
        <v>2.3920000000000003</v>
      </c>
      <c r="V70" s="2339"/>
    </row>
    <row r="71" spans="1:22">
      <c r="A71" s="2336"/>
      <c r="B71" s="2321"/>
      <c r="C71" s="5">
        <v>22</v>
      </c>
      <c r="D71" s="2313"/>
      <c r="E71" s="2321"/>
      <c r="F71" s="5">
        <v>2.38</v>
      </c>
      <c r="G71" s="253">
        <f t="shared" si="12"/>
        <v>6.2831999999999999</v>
      </c>
      <c r="H71" s="5">
        <f>1.395*1.5</f>
        <v>2.0925000000000002</v>
      </c>
      <c r="I71" s="5">
        <f t="shared" si="13"/>
        <v>4.1906999999999996</v>
      </c>
      <c r="J71" s="2339"/>
      <c r="L71" s="145">
        <f t="shared" si="14"/>
        <v>2</v>
      </c>
      <c r="M71" s="2325"/>
      <c r="N71" s="5">
        <f t="shared" si="15"/>
        <v>8.4400000000000013</v>
      </c>
      <c r="O71" s="5">
        <f t="shared" si="4"/>
        <v>8.4400000000000013</v>
      </c>
      <c r="P71" s="2339"/>
      <c r="R71" s="2346"/>
      <c r="S71" s="405">
        <f t="shared" si="16"/>
        <v>2.38</v>
      </c>
      <c r="T71" s="253">
        <f t="shared" si="17"/>
        <v>19.04</v>
      </c>
      <c r="U71" s="253">
        <f t="shared" si="18"/>
        <v>1.9039999999999999</v>
      </c>
      <c r="V71" s="2339"/>
    </row>
    <row r="72" spans="1:22" ht="12.75" customHeight="1">
      <c r="A72" s="2336"/>
      <c r="B72" s="2321"/>
      <c r="C72" s="253">
        <v>23</v>
      </c>
      <c r="D72" s="2313"/>
      <c r="E72" s="2321"/>
      <c r="F72" s="5">
        <v>3.55</v>
      </c>
      <c r="G72" s="253">
        <f t="shared" si="12"/>
        <v>9.3719999999999999</v>
      </c>
      <c r="H72" s="5">
        <f>1.395*1.5</f>
        <v>2.0925000000000002</v>
      </c>
      <c r="I72" s="5">
        <f t="shared" si="13"/>
        <v>7.2794999999999996</v>
      </c>
      <c r="J72" s="2339"/>
      <c r="L72" s="145">
        <f t="shared" si="14"/>
        <v>3</v>
      </c>
      <c r="M72" s="2325"/>
      <c r="N72" s="5">
        <f t="shared" si="15"/>
        <v>12.660000000000002</v>
      </c>
      <c r="O72" s="5">
        <f t="shared" si="4"/>
        <v>12.660000000000002</v>
      </c>
      <c r="P72" s="2339"/>
      <c r="R72" s="2346"/>
      <c r="S72" s="405">
        <f t="shared" si="16"/>
        <v>3.55</v>
      </c>
      <c r="T72" s="253">
        <f t="shared" si="17"/>
        <v>28.4</v>
      </c>
      <c r="U72" s="253">
        <f t="shared" si="18"/>
        <v>2.84</v>
      </c>
      <c r="V72" s="2339"/>
    </row>
    <row r="73" spans="1:22">
      <c r="A73" s="2336"/>
      <c r="B73" s="2321"/>
      <c r="C73" s="5">
        <v>24</v>
      </c>
      <c r="D73" s="2313"/>
      <c r="E73" s="2321"/>
      <c r="F73" s="5">
        <v>4.9400000000000004</v>
      </c>
      <c r="G73" s="253">
        <f t="shared" si="12"/>
        <v>13.041600000000003</v>
      </c>
      <c r="H73" s="5">
        <f>1.3*1.395</f>
        <v>1.8135000000000001</v>
      </c>
      <c r="I73" s="5">
        <f t="shared" si="13"/>
        <v>11.228100000000003</v>
      </c>
      <c r="J73" s="2339"/>
      <c r="L73" s="145">
        <f t="shared" si="14"/>
        <v>5</v>
      </c>
      <c r="M73" s="2325"/>
      <c r="N73" s="5">
        <f t="shared" si="15"/>
        <v>21.1</v>
      </c>
      <c r="O73" s="5">
        <f t="shared" ref="O73:O136" si="19">N73*1</f>
        <v>21.1</v>
      </c>
      <c r="P73" s="2339"/>
      <c r="R73" s="2346"/>
      <c r="S73" s="405">
        <f t="shared" si="16"/>
        <v>4.9400000000000004</v>
      </c>
      <c r="T73" s="253">
        <f t="shared" si="17"/>
        <v>39.520000000000003</v>
      </c>
      <c r="U73" s="253">
        <f t="shared" si="18"/>
        <v>3.9520000000000004</v>
      </c>
      <c r="V73" s="2339"/>
    </row>
    <row r="74" spans="1:22">
      <c r="A74" s="2336"/>
      <c r="B74" s="2321"/>
      <c r="C74" s="253">
        <v>25</v>
      </c>
      <c r="D74" s="2313"/>
      <c r="E74" s="2321"/>
      <c r="F74" s="5">
        <v>2.58</v>
      </c>
      <c r="G74" s="253">
        <f t="shared" si="12"/>
        <v>6.8112000000000004</v>
      </c>
      <c r="H74" s="5">
        <f>1.302*1.395</f>
        <v>1.8162900000000002</v>
      </c>
      <c r="I74" s="5">
        <f t="shared" si="13"/>
        <v>4.99491</v>
      </c>
      <c r="J74" s="2339"/>
      <c r="L74" s="145">
        <f t="shared" si="14"/>
        <v>3</v>
      </c>
      <c r="M74" s="2325"/>
      <c r="N74" s="5">
        <f t="shared" si="15"/>
        <v>12.660000000000002</v>
      </c>
      <c r="O74" s="5">
        <f t="shared" si="19"/>
        <v>12.660000000000002</v>
      </c>
      <c r="P74" s="2339"/>
      <c r="R74" s="2346"/>
      <c r="S74" s="405">
        <f t="shared" si="16"/>
        <v>2.58</v>
      </c>
      <c r="T74" s="253">
        <f t="shared" si="17"/>
        <v>20.64</v>
      </c>
      <c r="U74" s="253">
        <f t="shared" si="18"/>
        <v>2.0640000000000001</v>
      </c>
      <c r="V74" s="2339"/>
    </row>
    <row r="75" spans="1:22">
      <c r="A75" s="2336"/>
      <c r="B75" s="2321"/>
      <c r="C75" s="5">
        <v>26</v>
      </c>
      <c r="D75" s="2313"/>
      <c r="E75" s="2321"/>
      <c r="F75" s="5">
        <v>1.59</v>
      </c>
      <c r="G75" s="253">
        <f t="shared" si="12"/>
        <v>4.1976000000000004</v>
      </c>
      <c r="H75" s="5">
        <f>1.395*1.5</f>
        <v>2.0925000000000002</v>
      </c>
      <c r="I75" s="5">
        <f t="shared" si="13"/>
        <v>2.1051000000000002</v>
      </c>
      <c r="J75" s="2339"/>
      <c r="L75" s="145">
        <f t="shared" si="14"/>
        <v>2</v>
      </c>
      <c r="M75" s="2325"/>
      <c r="N75" s="5">
        <f t="shared" si="15"/>
        <v>8.4400000000000013</v>
      </c>
      <c r="O75" s="5">
        <f t="shared" si="19"/>
        <v>8.4400000000000013</v>
      </c>
      <c r="P75" s="2339"/>
      <c r="R75" s="2346"/>
      <c r="S75" s="405">
        <f t="shared" si="16"/>
        <v>1.59</v>
      </c>
      <c r="T75" s="253">
        <f t="shared" si="17"/>
        <v>12.72</v>
      </c>
      <c r="U75" s="253">
        <f t="shared" si="18"/>
        <v>1.2720000000000002</v>
      </c>
      <c r="V75" s="2339"/>
    </row>
    <row r="76" spans="1:22">
      <c r="A76" s="2336"/>
      <c r="B76" s="2321"/>
      <c r="C76" s="253">
        <v>27</v>
      </c>
      <c r="D76" s="2313"/>
      <c r="E76" s="2321"/>
      <c r="F76" s="5">
        <v>3.73</v>
      </c>
      <c r="G76" s="253">
        <f t="shared" si="12"/>
        <v>9.8472000000000008</v>
      </c>
      <c r="H76" s="5"/>
      <c r="I76" s="5">
        <f t="shared" si="13"/>
        <v>9.8472000000000008</v>
      </c>
      <c r="J76" s="2339"/>
      <c r="L76" s="145">
        <f t="shared" si="14"/>
        <v>4</v>
      </c>
      <c r="M76" s="2325"/>
      <c r="N76" s="5">
        <f t="shared" si="15"/>
        <v>16.880000000000003</v>
      </c>
      <c r="O76" s="5">
        <f t="shared" si="19"/>
        <v>16.880000000000003</v>
      </c>
      <c r="P76" s="2339"/>
      <c r="R76" s="2346"/>
      <c r="S76" s="405">
        <f t="shared" si="16"/>
        <v>3.73</v>
      </c>
      <c r="T76" s="253">
        <f t="shared" si="17"/>
        <v>29.84</v>
      </c>
      <c r="U76" s="253">
        <f t="shared" si="18"/>
        <v>2.984</v>
      </c>
      <c r="V76" s="2339"/>
    </row>
    <row r="77" spans="1:22">
      <c r="A77" s="2336"/>
      <c r="B77" s="2321"/>
      <c r="C77" s="5">
        <v>28</v>
      </c>
      <c r="D77" s="2313"/>
      <c r="E77" s="2321"/>
      <c r="F77" s="5">
        <v>1.1100000000000001</v>
      </c>
      <c r="G77" s="253">
        <f t="shared" si="12"/>
        <v>2.9304000000000006</v>
      </c>
      <c r="H77" s="5"/>
      <c r="I77" s="5">
        <f t="shared" si="13"/>
        <v>2.9304000000000006</v>
      </c>
      <c r="J77" s="2339"/>
      <c r="L77" s="145">
        <f t="shared" si="14"/>
        <v>1</v>
      </c>
      <c r="M77" s="2325"/>
      <c r="N77" s="5">
        <f t="shared" si="15"/>
        <v>4.2200000000000006</v>
      </c>
      <c r="O77" s="5">
        <f t="shared" si="19"/>
        <v>4.2200000000000006</v>
      </c>
      <c r="P77" s="2339"/>
      <c r="R77" s="2346"/>
      <c r="S77" s="405">
        <f t="shared" si="16"/>
        <v>1.1100000000000001</v>
      </c>
      <c r="T77" s="253">
        <f t="shared" si="17"/>
        <v>8.8800000000000008</v>
      </c>
      <c r="U77" s="253">
        <f t="shared" si="18"/>
        <v>0.88800000000000012</v>
      </c>
      <c r="V77" s="2339"/>
    </row>
    <row r="78" spans="1:22">
      <c r="A78" s="2336"/>
      <c r="B78" s="2321"/>
      <c r="C78" s="253">
        <v>29</v>
      </c>
      <c r="D78" s="2313"/>
      <c r="E78" s="2321"/>
      <c r="F78" s="5">
        <f>4.81-1.11-0.6</f>
        <v>3.0999999999999992</v>
      </c>
      <c r="G78" s="253">
        <f t="shared" si="12"/>
        <v>8.1839999999999975</v>
      </c>
      <c r="H78" s="5"/>
      <c r="I78" s="5">
        <f t="shared" si="13"/>
        <v>8.1839999999999975</v>
      </c>
      <c r="J78" s="2339"/>
      <c r="L78" s="145">
        <f t="shared" si="14"/>
        <v>3</v>
      </c>
      <c r="M78" s="2325"/>
      <c r="N78" s="5">
        <f t="shared" si="15"/>
        <v>12.660000000000002</v>
      </c>
      <c r="O78" s="5">
        <f t="shared" si="19"/>
        <v>12.660000000000002</v>
      </c>
      <c r="P78" s="2339"/>
      <c r="R78" s="2346"/>
      <c r="S78" s="405">
        <f t="shared" si="16"/>
        <v>3.0999999999999992</v>
      </c>
      <c r="T78" s="253">
        <f t="shared" si="17"/>
        <v>24.799999999999994</v>
      </c>
      <c r="U78" s="253">
        <f t="shared" si="18"/>
        <v>2.4799999999999995</v>
      </c>
      <c r="V78" s="2339"/>
    </row>
    <row r="79" spans="1:22">
      <c r="A79" s="2336"/>
      <c r="B79" s="2321"/>
      <c r="C79" s="5">
        <v>30</v>
      </c>
      <c r="D79" s="2313"/>
      <c r="E79" s="2321"/>
      <c r="F79" s="5">
        <v>3.27</v>
      </c>
      <c r="G79" s="253">
        <f t="shared" si="12"/>
        <v>8.6327999999999996</v>
      </c>
      <c r="H79" s="5"/>
      <c r="I79" s="5">
        <f t="shared" si="13"/>
        <v>8.6327999999999996</v>
      </c>
      <c r="J79" s="2339"/>
      <c r="L79" s="145">
        <f t="shared" si="14"/>
        <v>3</v>
      </c>
      <c r="M79" s="2325"/>
      <c r="N79" s="5">
        <f t="shared" si="15"/>
        <v>12.660000000000002</v>
      </c>
      <c r="O79" s="5">
        <f t="shared" si="19"/>
        <v>12.660000000000002</v>
      </c>
      <c r="P79" s="2339"/>
      <c r="R79" s="2346"/>
      <c r="S79" s="405">
        <f t="shared" si="16"/>
        <v>3.27</v>
      </c>
      <c r="T79" s="253">
        <f t="shared" si="17"/>
        <v>26.16</v>
      </c>
      <c r="U79" s="253">
        <f t="shared" si="18"/>
        <v>2.6160000000000001</v>
      </c>
      <c r="V79" s="2339"/>
    </row>
    <row r="80" spans="1:22">
      <c r="A80" s="2336"/>
      <c r="B80" s="2321"/>
      <c r="C80" s="253">
        <v>31</v>
      </c>
      <c r="D80" s="2313"/>
      <c r="E80" s="2321"/>
      <c r="F80" s="5">
        <v>2.93</v>
      </c>
      <c r="G80" s="253">
        <f t="shared" si="12"/>
        <v>7.7352000000000007</v>
      </c>
      <c r="H80" s="5">
        <f>1.395*1.5</f>
        <v>2.0925000000000002</v>
      </c>
      <c r="I80" s="5">
        <f t="shared" si="13"/>
        <v>5.6427000000000005</v>
      </c>
      <c r="J80" s="2339"/>
      <c r="L80" s="145">
        <f t="shared" si="14"/>
        <v>3</v>
      </c>
      <c r="M80" s="2325"/>
      <c r="N80" s="5">
        <f t="shared" si="15"/>
        <v>12.660000000000002</v>
      </c>
      <c r="O80" s="5">
        <f t="shared" si="19"/>
        <v>12.660000000000002</v>
      </c>
      <c r="P80" s="2339"/>
      <c r="R80" s="2346"/>
      <c r="S80" s="405">
        <f t="shared" si="16"/>
        <v>2.93</v>
      </c>
      <c r="T80" s="253">
        <f t="shared" si="17"/>
        <v>23.44</v>
      </c>
      <c r="U80" s="253">
        <f t="shared" si="18"/>
        <v>2.3440000000000003</v>
      </c>
      <c r="V80" s="2339"/>
    </row>
    <row r="81" spans="1:22" ht="12.75" customHeight="1">
      <c r="A81" s="2336"/>
      <c r="B81" s="2321"/>
      <c r="C81" s="5">
        <v>32</v>
      </c>
      <c r="D81" s="2313"/>
      <c r="E81" s="2322"/>
      <c r="F81" s="5">
        <v>5.25</v>
      </c>
      <c r="G81" s="253">
        <f t="shared" si="12"/>
        <v>13.860000000000001</v>
      </c>
      <c r="H81" s="5"/>
      <c r="I81" s="5">
        <f t="shared" si="13"/>
        <v>13.860000000000001</v>
      </c>
      <c r="J81" s="2339"/>
      <c r="L81" s="145">
        <f t="shared" si="14"/>
        <v>5</v>
      </c>
      <c r="M81" s="2325"/>
      <c r="N81" s="5">
        <f t="shared" si="15"/>
        <v>21.1</v>
      </c>
      <c r="O81" s="5">
        <f t="shared" si="19"/>
        <v>21.1</v>
      </c>
      <c r="P81" s="2339"/>
      <c r="R81" s="2346"/>
      <c r="S81" s="405">
        <f t="shared" si="16"/>
        <v>5.25</v>
      </c>
      <c r="T81" s="253">
        <f t="shared" si="17"/>
        <v>42</v>
      </c>
      <c r="U81" s="253">
        <f t="shared" si="18"/>
        <v>4.2</v>
      </c>
      <c r="V81" s="2339"/>
    </row>
    <row r="82" spans="1:22" ht="13.5" customHeight="1">
      <c r="A82" s="2336"/>
      <c r="B82" s="2321"/>
      <c r="C82" s="253">
        <v>33</v>
      </c>
      <c r="D82" s="2313"/>
      <c r="E82" s="2321">
        <v>3.12</v>
      </c>
      <c r="F82" s="5">
        <v>2</v>
      </c>
      <c r="G82" s="253">
        <f>F82*$E$82</f>
        <v>6.24</v>
      </c>
      <c r="H82" s="5"/>
      <c r="I82" s="5">
        <f t="shared" si="13"/>
        <v>6.24</v>
      </c>
      <c r="J82" s="2339"/>
      <c r="L82" s="145">
        <f>TRUNC((F82/1.8))+1</f>
        <v>2</v>
      </c>
      <c r="M82" s="2325">
        <f>($E$82)+(0.66+0.88)</f>
        <v>4.66</v>
      </c>
      <c r="N82" s="5">
        <f>L82*$M$82</f>
        <v>9.32</v>
      </c>
      <c r="O82" s="5">
        <f t="shared" si="19"/>
        <v>9.32</v>
      </c>
      <c r="P82" s="2339"/>
      <c r="R82" s="2346"/>
      <c r="S82" s="405">
        <f t="shared" si="16"/>
        <v>2</v>
      </c>
      <c r="T82" s="253">
        <f t="shared" si="17"/>
        <v>16</v>
      </c>
      <c r="U82" s="253">
        <f t="shared" si="18"/>
        <v>1.6</v>
      </c>
      <c r="V82" s="2339"/>
    </row>
    <row r="83" spans="1:22">
      <c r="A83" s="2336"/>
      <c r="B83" s="2321"/>
      <c r="C83" s="5">
        <v>34</v>
      </c>
      <c r="D83" s="2313"/>
      <c r="E83" s="2321"/>
      <c r="F83" s="5">
        <v>1.08</v>
      </c>
      <c r="G83" s="253">
        <f t="shared" ref="G83:G104" si="20">F83*$E$82</f>
        <v>3.3696000000000002</v>
      </c>
      <c r="H83" s="5"/>
      <c r="I83" s="5">
        <f t="shared" si="13"/>
        <v>3.3696000000000002</v>
      </c>
      <c r="J83" s="2339"/>
      <c r="L83" s="145">
        <f t="shared" ref="L83:L104" si="21">TRUNC((F83/1.8))+1</f>
        <v>1</v>
      </c>
      <c r="M83" s="2325"/>
      <c r="N83" s="5">
        <f t="shared" ref="N83:N104" si="22">L83*$M$82</f>
        <v>4.66</v>
      </c>
      <c r="O83" s="5">
        <f t="shared" si="19"/>
        <v>4.66</v>
      </c>
      <c r="P83" s="2339"/>
      <c r="R83" s="2346"/>
      <c r="S83" s="405">
        <f t="shared" si="16"/>
        <v>1.08</v>
      </c>
      <c r="T83" s="253">
        <f t="shared" si="17"/>
        <v>8.64</v>
      </c>
      <c r="U83" s="253">
        <f t="shared" si="18"/>
        <v>0.8640000000000001</v>
      </c>
      <c r="V83" s="2339"/>
    </row>
    <row r="84" spans="1:22">
      <c r="A84" s="2336"/>
      <c r="B84" s="2321"/>
      <c r="C84" s="253">
        <v>35</v>
      </c>
      <c r="D84" s="2313"/>
      <c r="E84" s="2321"/>
      <c r="F84" s="5">
        <v>1.28</v>
      </c>
      <c r="G84" s="253">
        <f t="shared" si="20"/>
        <v>3.9936000000000003</v>
      </c>
      <c r="H84" s="5"/>
      <c r="I84" s="5">
        <f t="shared" si="13"/>
        <v>3.9936000000000003</v>
      </c>
      <c r="J84" s="2339"/>
      <c r="L84" s="145">
        <f t="shared" si="21"/>
        <v>1</v>
      </c>
      <c r="M84" s="2325"/>
      <c r="N84" s="5">
        <f t="shared" si="22"/>
        <v>4.66</v>
      </c>
      <c r="O84" s="5">
        <f t="shared" si="19"/>
        <v>4.66</v>
      </c>
      <c r="P84" s="2339"/>
      <c r="R84" s="2346"/>
      <c r="S84" s="405">
        <f t="shared" si="16"/>
        <v>1.28</v>
      </c>
      <c r="T84" s="253">
        <f t="shared" si="17"/>
        <v>10.24</v>
      </c>
      <c r="U84" s="253">
        <f t="shared" si="18"/>
        <v>1.024</v>
      </c>
      <c r="V84" s="2339"/>
    </row>
    <row r="85" spans="1:22">
      <c r="A85" s="2336"/>
      <c r="B85" s="2321"/>
      <c r="C85" s="5">
        <v>36</v>
      </c>
      <c r="D85" s="2313"/>
      <c r="E85" s="2321"/>
      <c r="F85" s="5">
        <v>2.1800000000000002</v>
      </c>
      <c r="G85" s="253">
        <f t="shared" si="20"/>
        <v>6.8016000000000005</v>
      </c>
      <c r="H85" s="5"/>
      <c r="I85" s="5">
        <f t="shared" si="13"/>
        <v>6.8016000000000005</v>
      </c>
      <c r="J85" s="2339"/>
      <c r="L85" s="145">
        <f t="shared" si="21"/>
        <v>2</v>
      </c>
      <c r="M85" s="2325"/>
      <c r="N85" s="5">
        <f t="shared" si="22"/>
        <v>9.32</v>
      </c>
      <c r="O85" s="5">
        <f t="shared" si="19"/>
        <v>9.32</v>
      </c>
      <c r="P85" s="2339"/>
      <c r="R85" s="2346"/>
      <c r="S85" s="405">
        <f t="shared" si="16"/>
        <v>2.1800000000000002</v>
      </c>
      <c r="T85" s="253">
        <f t="shared" si="17"/>
        <v>17.440000000000001</v>
      </c>
      <c r="U85" s="253">
        <f t="shared" si="18"/>
        <v>1.7440000000000002</v>
      </c>
      <c r="V85" s="2339"/>
    </row>
    <row r="86" spans="1:22">
      <c r="A86" s="2336"/>
      <c r="B86" s="2321"/>
      <c r="C86" s="253">
        <v>37</v>
      </c>
      <c r="D86" s="2313"/>
      <c r="E86" s="2321"/>
      <c r="F86" s="5">
        <v>1.2</v>
      </c>
      <c r="G86" s="253">
        <f t="shared" si="20"/>
        <v>3.7439999999999998</v>
      </c>
      <c r="H86" s="5"/>
      <c r="I86" s="5">
        <f t="shared" si="13"/>
        <v>3.7439999999999998</v>
      </c>
      <c r="J86" s="2339"/>
      <c r="L86" s="145">
        <f t="shared" si="21"/>
        <v>1</v>
      </c>
      <c r="M86" s="2325"/>
      <c r="N86" s="5">
        <f t="shared" si="22"/>
        <v>4.66</v>
      </c>
      <c r="O86" s="5">
        <f t="shared" si="19"/>
        <v>4.66</v>
      </c>
      <c r="P86" s="2339"/>
      <c r="R86" s="2346"/>
      <c r="S86" s="405">
        <f t="shared" si="16"/>
        <v>1.2</v>
      </c>
      <c r="T86" s="253">
        <f t="shared" si="17"/>
        <v>9.6</v>
      </c>
      <c r="U86" s="253">
        <f t="shared" si="18"/>
        <v>0.96</v>
      </c>
      <c r="V86" s="2339"/>
    </row>
    <row r="87" spans="1:22">
      <c r="A87" s="2336"/>
      <c r="B87" s="2321"/>
      <c r="C87" s="5">
        <v>38</v>
      </c>
      <c r="D87" s="2313"/>
      <c r="E87" s="2321"/>
      <c r="F87" s="5">
        <v>2.46</v>
      </c>
      <c r="G87" s="253">
        <f t="shared" si="20"/>
        <v>7.6752000000000002</v>
      </c>
      <c r="H87" s="5"/>
      <c r="I87" s="5">
        <f t="shared" si="13"/>
        <v>7.6752000000000002</v>
      </c>
      <c r="J87" s="2339"/>
      <c r="L87" s="145">
        <f t="shared" si="21"/>
        <v>2</v>
      </c>
      <c r="M87" s="2325"/>
      <c r="N87" s="5">
        <f t="shared" si="22"/>
        <v>9.32</v>
      </c>
      <c r="O87" s="5">
        <f t="shared" si="19"/>
        <v>9.32</v>
      </c>
      <c r="P87" s="2339"/>
      <c r="R87" s="2346"/>
      <c r="S87" s="405">
        <f t="shared" si="16"/>
        <v>2.46</v>
      </c>
      <c r="T87" s="253">
        <f t="shared" si="17"/>
        <v>19.68</v>
      </c>
      <c r="U87" s="253">
        <f t="shared" si="18"/>
        <v>1.968</v>
      </c>
      <c r="V87" s="2339"/>
    </row>
    <row r="88" spans="1:22">
      <c r="A88" s="2336"/>
      <c r="B88" s="2321"/>
      <c r="C88" s="253">
        <v>39</v>
      </c>
      <c r="D88" s="2313"/>
      <c r="E88" s="2321"/>
      <c r="F88" s="5">
        <v>3.29</v>
      </c>
      <c r="G88" s="253">
        <f t="shared" si="20"/>
        <v>10.264800000000001</v>
      </c>
      <c r="H88" s="5"/>
      <c r="I88" s="5">
        <f t="shared" si="13"/>
        <v>10.264800000000001</v>
      </c>
      <c r="J88" s="2339"/>
      <c r="L88" s="145">
        <f t="shared" si="21"/>
        <v>2</v>
      </c>
      <c r="M88" s="2325"/>
      <c r="N88" s="5">
        <f t="shared" si="22"/>
        <v>9.32</v>
      </c>
      <c r="O88" s="5">
        <f t="shared" si="19"/>
        <v>9.32</v>
      </c>
      <c r="P88" s="2339"/>
      <c r="R88" s="2346"/>
      <c r="S88" s="405">
        <f t="shared" si="16"/>
        <v>3.29</v>
      </c>
      <c r="T88" s="253">
        <f t="shared" si="17"/>
        <v>26.32</v>
      </c>
      <c r="U88" s="253">
        <f t="shared" si="18"/>
        <v>2.6320000000000001</v>
      </c>
      <c r="V88" s="2339"/>
    </row>
    <row r="89" spans="1:22">
      <c r="A89" s="2336"/>
      <c r="B89" s="2321"/>
      <c r="C89" s="5">
        <v>40</v>
      </c>
      <c r="D89" s="2313"/>
      <c r="E89" s="2321"/>
      <c r="F89" s="5">
        <v>3.18</v>
      </c>
      <c r="G89" s="253">
        <f t="shared" si="20"/>
        <v>9.9216000000000015</v>
      </c>
      <c r="H89" s="5"/>
      <c r="I89" s="5">
        <f t="shared" si="13"/>
        <v>9.9216000000000015</v>
      </c>
      <c r="J89" s="2339"/>
      <c r="L89" s="145">
        <f t="shared" si="21"/>
        <v>2</v>
      </c>
      <c r="M89" s="2325"/>
      <c r="N89" s="5">
        <f t="shared" si="22"/>
        <v>9.32</v>
      </c>
      <c r="O89" s="5">
        <f t="shared" si="19"/>
        <v>9.32</v>
      </c>
      <c r="P89" s="2339"/>
      <c r="R89" s="2346"/>
      <c r="S89" s="405">
        <f t="shared" si="16"/>
        <v>3.18</v>
      </c>
      <c r="T89" s="253">
        <f t="shared" si="17"/>
        <v>25.44</v>
      </c>
      <c r="U89" s="253">
        <f t="shared" si="18"/>
        <v>2.5440000000000005</v>
      </c>
      <c r="V89" s="2339"/>
    </row>
    <row r="90" spans="1:22">
      <c r="A90" s="2336"/>
      <c r="B90" s="2321"/>
      <c r="C90" s="253">
        <v>41</v>
      </c>
      <c r="D90" s="2313"/>
      <c r="E90" s="2321"/>
      <c r="F90" s="5">
        <v>2.19</v>
      </c>
      <c r="G90" s="253">
        <f t="shared" si="20"/>
        <v>6.8327999999999998</v>
      </c>
      <c r="H90" s="5"/>
      <c r="I90" s="5">
        <f t="shared" ref="I90:I104" si="23">G90-H90</f>
        <v>6.8327999999999998</v>
      </c>
      <c r="J90" s="2339"/>
      <c r="L90" s="145">
        <f t="shared" si="21"/>
        <v>2</v>
      </c>
      <c r="M90" s="2325"/>
      <c r="N90" s="5">
        <f t="shared" si="22"/>
        <v>9.32</v>
      </c>
      <c r="O90" s="5">
        <f t="shared" si="19"/>
        <v>9.32</v>
      </c>
      <c r="P90" s="2339"/>
      <c r="R90" s="2346"/>
      <c r="S90" s="405">
        <f t="shared" si="16"/>
        <v>2.19</v>
      </c>
      <c r="T90" s="253">
        <f t="shared" si="17"/>
        <v>17.52</v>
      </c>
      <c r="U90" s="253">
        <f t="shared" si="18"/>
        <v>1.752</v>
      </c>
      <c r="V90" s="2339"/>
    </row>
    <row r="91" spans="1:22">
      <c r="A91" s="2336"/>
      <c r="B91" s="2321"/>
      <c r="C91" s="5">
        <v>42</v>
      </c>
      <c r="D91" s="2313"/>
      <c r="E91" s="2321"/>
      <c r="F91" s="5">
        <v>3.99</v>
      </c>
      <c r="G91" s="253">
        <f t="shared" si="20"/>
        <v>12.4488</v>
      </c>
      <c r="H91" s="5"/>
      <c r="I91" s="5">
        <f t="shared" si="23"/>
        <v>12.4488</v>
      </c>
      <c r="J91" s="2339"/>
      <c r="L91" s="145">
        <f t="shared" si="21"/>
        <v>3</v>
      </c>
      <c r="M91" s="2325"/>
      <c r="N91" s="5">
        <f t="shared" si="22"/>
        <v>13.98</v>
      </c>
      <c r="O91" s="5">
        <f t="shared" si="19"/>
        <v>13.98</v>
      </c>
      <c r="P91" s="2339"/>
      <c r="R91" s="2346"/>
      <c r="S91" s="405">
        <f t="shared" si="16"/>
        <v>3.99</v>
      </c>
      <c r="T91" s="253">
        <f t="shared" si="17"/>
        <v>31.92</v>
      </c>
      <c r="U91" s="253">
        <f t="shared" si="18"/>
        <v>3.1920000000000002</v>
      </c>
      <c r="V91" s="2339"/>
    </row>
    <row r="92" spans="1:22">
      <c r="A92" s="2336"/>
      <c r="B92" s="2321"/>
      <c r="C92" s="253">
        <v>43</v>
      </c>
      <c r="D92" s="2313"/>
      <c r="E92" s="2321"/>
      <c r="F92" s="5">
        <v>0.75</v>
      </c>
      <c r="G92" s="253">
        <f t="shared" si="20"/>
        <v>2.34</v>
      </c>
      <c r="H92" s="5"/>
      <c r="I92" s="5">
        <f t="shared" si="23"/>
        <v>2.34</v>
      </c>
      <c r="J92" s="2339"/>
      <c r="L92" s="145">
        <f t="shared" si="21"/>
        <v>1</v>
      </c>
      <c r="M92" s="2325"/>
      <c r="N92" s="5">
        <f t="shared" si="22"/>
        <v>4.66</v>
      </c>
      <c r="O92" s="5">
        <f t="shared" si="19"/>
        <v>4.66</v>
      </c>
      <c r="P92" s="2339"/>
      <c r="R92" s="2346"/>
      <c r="S92" s="405">
        <f t="shared" si="16"/>
        <v>0.75</v>
      </c>
      <c r="T92" s="253">
        <f t="shared" si="17"/>
        <v>6</v>
      </c>
      <c r="U92" s="253">
        <f t="shared" si="18"/>
        <v>0.60000000000000009</v>
      </c>
      <c r="V92" s="2339"/>
    </row>
    <row r="93" spans="1:22">
      <c r="A93" s="2336"/>
      <c r="B93" s="2321"/>
      <c r="C93" s="5">
        <v>44</v>
      </c>
      <c r="D93" s="2313"/>
      <c r="E93" s="2321"/>
      <c r="F93" s="5">
        <v>2.54</v>
      </c>
      <c r="G93" s="253">
        <f t="shared" si="20"/>
        <v>7.9248000000000003</v>
      </c>
      <c r="H93" s="5"/>
      <c r="I93" s="5">
        <f t="shared" si="23"/>
        <v>7.9248000000000003</v>
      </c>
      <c r="J93" s="2339"/>
      <c r="L93" s="145">
        <f t="shared" si="21"/>
        <v>2</v>
      </c>
      <c r="M93" s="2325"/>
      <c r="N93" s="5">
        <f t="shared" si="22"/>
        <v>9.32</v>
      </c>
      <c r="O93" s="5">
        <f t="shared" si="19"/>
        <v>9.32</v>
      </c>
      <c r="P93" s="2339"/>
      <c r="R93" s="2346"/>
      <c r="S93" s="405">
        <f t="shared" si="16"/>
        <v>2.54</v>
      </c>
      <c r="T93" s="253">
        <f t="shared" si="17"/>
        <v>20.32</v>
      </c>
      <c r="U93" s="253">
        <f t="shared" si="18"/>
        <v>2.032</v>
      </c>
      <c r="V93" s="2339"/>
    </row>
    <row r="94" spans="1:22">
      <c r="A94" s="2336"/>
      <c r="B94" s="2321"/>
      <c r="C94" s="253">
        <v>45</v>
      </c>
      <c r="D94" s="2313"/>
      <c r="E94" s="2321"/>
      <c r="F94" s="5">
        <v>0.3</v>
      </c>
      <c r="G94" s="253">
        <f t="shared" si="20"/>
        <v>0.93599999999999994</v>
      </c>
      <c r="H94" s="5"/>
      <c r="I94" s="5">
        <f t="shared" si="23"/>
        <v>0.93599999999999994</v>
      </c>
      <c r="J94" s="2339"/>
      <c r="L94" s="145">
        <f t="shared" si="21"/>
        <v>1</v>
      </c>
      <c r="M94" s="2325"/>
      <c r="N94" s="5">
        <f t="shared" si="22"/>
        <v>4.66</v>
      </c>
      <c r="O94" s="5">
        <f t="shared" si="19"/>
        <v>4.66</v>
      </c>
      <c r="P94" s="2339"/>
      <c r="R94" s="2346"/>
      <c r="S94" s="405">
        <f t="shared" si="16"/>
        <v>0.3</v>
      </c>
      <c r="T94" s="253">
        <f t="shared" si="17"/>
        <v>2.4</v>
      </c>
      <c r="U94" s="253">
        <f t="shared" si="18"/>
        <v>0.24</v>
      </c>
      <c r="V94" s="2339"/>
    </row>
    <row r="95" spans="1:22">
      <c r="A95" s="2336"/>
      <c r="B95" s="2321"/>
      <c r="C95" s="5">
        <v>46</v>
      </c>
      <c r="D95" s="2313"/>
      <c r="E95" s="2321"/>
      <c r="F95" s="5">
        <v>1.52</v>
      </c>
      <c r="G95" s="253">
        <f t="shared" si="20"/>
        <v>4.7423999999999999</v>
      </c>
      <c r="H95" s="5"/>
      <c r="I95" s="5">
        <f t="shared" si="23"/>
        <v>4.7423999999999999</v>
      </c>
      <c r="J95" s="2339"/>
      <c r="L95" s="145">
        <f t="shared" si="21"/>
        <v>1</v>
      </c>
      <c r="M95" s="2325"/>
      <c r="N95" s="5">
        <f t="shared" si="22"/>
        <v>4.66</v>
      </c>
      <c r="O95" s="5">
        <f t="shared" si="19"/>
        <v>4.66</v>
      </c>
      <c r="P95" s="2339"/>
      <c r="R95" s="2346"/>
      <c r="S95" s="405">
        <f t="shared" si="16"/>
        <v>1.52</v>
      </c>
      <c r="T95" s="253">
        <f t="shared" si="17"/>
        <v>12.16</v>
      </c>
      <c r="U95" s="253">
        <f t="shared" si="18"/>
        <v>1.2160000000000002</v>
      </c>
      <c r="V95" s="2339"/>
    </row>
    <row r="96" spans="1:22">
      <c r="A96" s="2336"/>
      <c r="B96" s="2321"/>
      <c r="C96" s="253">
        <v>47</v>
      </c>
      <c r="D96" s="2313"/>
      <c r="E96" s="2321"/>
      <c r="F96" s="5">
        <v>1.18</v>
      </c>
      <c r="G96" s="253">
        <f t="shared" si="20"/>
        <v>3.6816</v>
      </c>
      <c r="H96" s="5"/>
      <c r="I96" s="5">
        <f t="shared" si="23"/>
        <v>3.6816</v>
      </c>
      <c r="J96" s="2339"/>
      <c r="L96" s="145">
        <f t="shared" si="21"/>
        <v>1</v>
      </c>
      <c r="M96" s="2325"/>
      <c r="N96" s="5">
        <f t="shared" si="22"/>
        <v>4.66</v>
      </c>
      <c r="O96" s="5">
        <f t="shared" si="19"/>
        <v>4.66</v>
      </c>
      <c r="P96" s="2339"/>
      <c r="R96" s="2346"/>
      <c r="S96" s="405">
        <f t="shared" si="16"/>
        <v>1.18</v>
      </c>
      <c r="T96" s="253">
        <f t="shared" si="17"/>
        <v>9.44</v>
      </c>
      <c r="U96" s="253">
        <f t="shared" si="18"/>
        <v>0.94399999999999995</v>
      </c>
      <c r="V96" s="2339"/>
    </row>
    <row r="97" spans="1:22">
      <c r="A97" s="2336"/>
      <c r="B97" s="2321"/>
      <c r="C97" s="5">
        <v>48</v>
      </c>
      <c r="D97" s="2313"/>
      <c r="E97" s="2321"/>
      <c r="F97" s="5">
        <v>1.45</v>
      </c>
      <c r="G97" s="253">
        <f t="shared" si="20"/>
        <v>4.524</v>
      </c>
      <c r="H97" s="5"/>
      <c r="I97" s="5">
        <f t="shared" si="23"/>
        <v>4.524</v>
      </c>
      <c r="J97" s="2339"/>
      <c r="L97" s="145">
        <f t="shared" si="21"/>
        <v>1</v>
      </c>
      <c r="M97" s="2325"/>
      <c r="N97" s="5">
        <f t="shared" si="22"/>
        <v>4.66</v>
      </c>
      <c r="O97" s="5">
        <f t="shared" si="19"/>
        <v>4.66</v>
      </c>
      <c r="P97" s="2339"/>
      <c r="R97" s="2346"/>
      <c r="S97" s="405">
        <f t="shared" si="16"/>
        <v>1.45</v>
      </c>
      <c r="T97" s="253">
        <f t="shared" si="17"/>
        <v>11.6</v>
      </c>
      <c r="U97" s="253">
        <f t="shared" si="18"/>
        <v>1.1599999999999999</v>
      </c>
      <c r="V97" s="2339"/>
    </row>
    <row r="98" spans="1:22">
      <c r="A98" s="2336"/>
      <c r="B98" s="2321"/>
      <c r="C98" s="253">
        <v>49</v>
      </c>
      <c r="D98" s="2313"/>
      <c r="E98" s="2321"/>
      <c r="F98" s="5">
        <v>0.66</v>
      </c>
      <c r="G98" s="253">
        <f t="shared" si="20"/>
        <v>2.0592000000000001</v>
      </c>
      <c r="H98" s="5"/>
      <c r="I98" s="5">
        <f t="shared" si="23"/>
        <v>2.0592000000000001</v>
      </c>
      <c r="J98" s="2339"/>
      <c r="L98" s="145">
        <f t="shared" si="21"/>
        <v>1</v>
      </c>
      <c r="M98" s="2325"/>
      <c r="N98" s="5">
        <f t="shared" si="22"/>
        <v>4.66</v>
      </c>
      <c r="O98" s="5">
        <f t="shared" si="19"/>
        <v>4.66</v>
      </c>
      <c r="P98" s="2339"/>
      <c r="R98" s="2346"/>
      <c r="S98" s="405">
        <f t="shared" si="16"/>
        <v>0.66</v>
      </c>
      <c r="T98" s="253">
        <f t="shared" si="17"/>
        <v>5.28</v>
      </c>
      <c r="U98" s="253">
        <f t="shared" si="18"/>
        <v>0.52800000000000002</v>
      </c>
      <c r="V98" s="2339"/>
    </row>
    <row r="99" spans="1:22">
      <c r="A99" s="2336"/>
      <c r="B99" s="2321"/>
      <c r="C99" s="5">
        <v>50</v>
      </c>
      <c r="D99" s="2313"/>
      <c r="E99" s="2321"/>
      <c r="F99" s="5">
        <v>2.16</v>
      </c>
      <c r="G99" s="253">
        <f t="shared" si="20"/>
        <v>6.7392000000000003</v>
      </c>
      <c r="H99" s="5"/>
      <c r="I99" s="5">
        <f t="shared" si="23"/>
        <v>6.7392000000000003</v>
      </c>
      <c r="J99" s="2339"/>
      <c r="L99" s="145">
        <f t="shared" si="21"/>
        <v>2</v>
      </c>
      <c r="M99" s="2325"/>
      <c r="N99" s="5">
        <f t="shared" si="22"/>
        <v>9.32</v>
      </c>
      <c r="O99" s="5">
        <f t="shared" si="19"/>
        <v>9.32</v>
      </c>
      <c r="P99" s="2339"/>
      <c r="R99" s="2346"/>
      <c r="S99" s="405">
        <f t="shared" si="16"/>
        <v>2.16</v>
      </c>
      <c r="T99" s="253">
        <f t="shared" si="17"/>
        <v>17.28</v>
      </c>
      <c r="U99" s="253">
        <f t="shared" si="18"/>
        <v>1.7280000000000002</v>
      </c>
      <c r="V99" s="2339"/>
    </row>
    <row r="100" spans="1:22">
      <c r="A100" s="2336"/>
      <c r="B100" s="2321"/>
      <c r="C100" s="253">
        <v>51</v>
      </c>
      <c r="D100" s="2313"/>
      <c r="E100" s="2321"/>
      <c r="F100" s="5">
        <v>4.1500000000000004</v>
      </c>
      <c r="G100" s="253">
        <f t="shared" si="20"/>
        <v>12.948000000000002</v>
      </c>
      <c r="H100" s="5"/>
      <c r="I100" s="5">
        <f t="shared" si="23"/>
        <v>12.948000000000002</v>
      </c>
      <c r="J100" s="2339"/>
      <c r="L100" s="145">
        <f t="shared" si="21"/>
        <v>3</v>
      </c>
      <c r="M100" s="2325"/>
      <c r="N100" s="5">
        <f t="shared" si="22"/>
        <v>13.98</v>
      </c>
      <c r="O100" s="5">
        <f t="shared" si="19"/>
        <v>13.98</v>
      </c>
      <c r="P100" s="2339"/>
      <c r="R100" s="2346"/>
      <c r="S100" s="405">
        <f t="shared" si="16"/>
        <v>4.1500000000000004</v>
      </c>
      <c r="T100" s="253">
        <f t="shared" si="17"/>
        <v>33.200000000000003</v>
      </c>
      <c r="U100" s="253">
        <f t="shared" si="18"/>
        <v>3.3200000000000003</v>
      </c>
      <c r="V100" s="2339"/>
    </row>
    <row r="101" spans="1:22">
      <c r="A101" s="2336"/>
      <c r="B101" s="2322"/>
      <c r="C101" s="5">
        <v>52</v>
      </c>
      <c r="D101" s="2313"/>
      <c r="E101" s="2321"/>
      <c r="F101" s="5">
        <v>2.2999999999999998</v>
      </c>
      <c r="G101" s="253">
        <f t="shared" si="20"/>
        <v>7.1759999999999993</v>
      </c>
      <c r="H101" s="5"/>
      <c r="I101" s="5">
        <f t="shared" si="23"/>
        <v>7.1759999999999993</v>
      </c>
      <c r="J101" s="2339"/>
      <c r="L101" s="145">
        <f t="shared" si="21"/>
        <v>2</v>
      </c>
      <c r="M101" s="2325"/>
      <c r="N101" s="5">
        <f t="shared" si="22"/>
        <v>9.32</v>
      </c>
      <c r="O101" s="5">
        <f t="shared" si="19"/>
        <v>9.32</v>
      </c>
      <c r="P101" s="2339"/>
      <c r="R101" s="2346"/>
      <c r="S101" s="405">
        <f t="shared" si="16"/>
        <v>2.2999999999999998</v>
      </c>
      <c r="T101" s="253">
        <f t="shared" si="17"/>
        <v>18.399999999999999</v>
      </c>
      <c r="U101" s="253">
        <f t="shared" si="18"/>
        <v>1.8399999999999999</v>
      </c>
      <c r="V101" s="2339"/>
    </row>
    <row r="102" spans="1:22">
      <c r="A102" s="2336"/>
      <c r="B102" s="2323" t="s">
        <v>550</v>
      </c>
      <c r="C102" s="253">
        <v>53</v>
      </c>
      <c r="D102" s="2314"/>
      <c r="E102" s="2321"/>
      <c r="F102" s="5">
        <v>1.19</v>
      </c>
      <c r="G102" s="253">
        <f t="shared" si="20"/>
        <v>3.7128000000000001</v>
      </c>
      <c r="H102" s="5"/>
      <c r="I102" s="5">
        <f t="shared" si="23"/>
        <v>3.7128000000000001</v>
      </c>
      <c r="J102" s="2339"/>
      <c r="L102" s="145">
        <f t="shared" si="21"/>
        <v>1</v>
      </c>
      <c r="M102" s="2325"/>
      <c r="N102" s="5">
        <f t="shared" si="22"/>
        <v>4.66</v>
      </c>
      <c r="O102" s="5">
        <f t="shared" si="19"/>
        <v>4.66</v>
      </c>
      <c r="P102" s="2339"/>
      <c r="R102" s="2346"/>
      <c r="S102" s="405">
        <f t="shared" si="16"/>
        <v>1.19</v>
      </c>
      <c r="T102" s="253">
        <f t="shared" si="17"/>
        <v>9.52</v>
      </c>
      <c r="U102" s="253">
        <f t="shared" si="18"/>
        <v>0.95199999999999996</v>
      </c>
      <c r="V102" s="2339"/>
    </row>
    <row r="103" spans="1:22" ht="12.75" customHeight="1">
      <c r="A103" s="2336"/>
      <c r="B103" s="2321"/>
      <c r="C103" s="5">
        <v>54</v>
      </c>
      <c r="D103" s="2004">
        <v>0.12</v>
      </c>
      <c r="E103" s="2321"/>
      <c r="F103" s="5">
        <v>3.19</v>
      </c>
      <c r="G103" s="253">
        <f t="shared" si="20"/>
        <v>9.9527999999999999</v>
      </c>
      <c r="H103" s="5"/>
      <c r="I103" s="5">
        <f t="shared" si="23"/>
        <v>9.9527999999999999</v>
      </c>
      <c r="J103" s="2339"/>
      <c r="L103" s="145">
        <f t="shared" si="21"/>
        <v>2</v>
      </c>
      <c r="M103" s="2325"/>
      <c r="N103" s="5">
        <f t="shared" si="22"/>
        <v>9.32</v>
      </c>
      <c r="O103" s="5">
        <f t="shared" si="19"/>
        <v>9.32</v>
      </c>
      <c r="P103" s="2339"/>
      <c r="R103" s="2346"/>
      <c r="S103" s="405">
        <f t="shared" si="16"/>
        <v>3.19</v>
      </c>
      <c r="T103" s="253">
        <f t="shared" si="17"/>
        <v>25.52</v>
      </c>
      <c r="U103" s="253">
        <f t="shared" si="18"/>
        <v>2.552</v>
      </c>
      <c r="V103" s="2339"/>
    </row>
    <row r="104" spans="1:22" ht="13.5" thickBot="1">
      <c r="A104" s="2337"/>
      <c r="B104" s="2324"/>
      <c r="C104" s="397">
        <v>55</v>
      </c>
      <c r="D104" s="2350"/>
      <c r="E104" s="2324"/>
      <c r="F104" s="167">
        <v>2.82</v>
      </c>
      <c r="G104" s="397">
        <f t="shared" si="20"/>
        <v>8.7983999999999991</v>
      </c>
      <c r="H104" s="167"/>
      <c r="I104" s="167">
        <f t="shared" si="23"/>
        <v>8.7983999999999991</v>
      </c>
      <c r="J104" s="2340"/>
      <c r="L104" s="402">
        <f t="shared" si="21"/>
        <v>2</v>
      </c>
      <c r="M104" s="2323"/>
      <c r="N104" s="230">
        <f t="shared" si="22"/>
        <v>9.32</v>
      </c>
      <c r="O104" s="230">
        <f t="shared" si="19"/>
        <v>9.32</v>
      </c>
      <c r="P104" s="2375"/>
      <c r="R104" s="2347"/>
      <c r="S104" s="405">
        <f t="shared" si="16"/>
        <v>2.82</v>
      </c>
      <c r="T104" s="253">
        <f t="shared" si="17"/>
        <v>22.56</v>
      </c>
      <c r="U104" s="253">
        <f t="shared" si="18"/>
        <v>2.2559999999999998</v>
      </c>
      <c r="V104" s="2375"/>
    </row>
    <row r="105" spans="1:22" ht="13.5" customHeight="1" thickBot="1">
      <c r="A105" s="2307" t="s">
        <v>551</v>
      </c>
      <c r="B105" s="2308"/>
      <c r="C105" s="2308"/>
      <c r="D105" s="2308"/>
      <c r="E105" s="2308"/>
      <c r="F105" s="2308"/>
      <c r="G105" s="2308"/>
      <c r="H105" s="2309"/>
      <c r="I105" s="392">
        <f>SUM(I50:I101)</f>
        <v>360.68681999999995</v>
      </c>
      <c r="J105" s="2305" t="s">
        <v>55</v>
      </c>
      <c r="L105" s="2366" t="s">
        <v>564</v>
      </c>
      <c r="M105" s="2367"/>
      <c r="N105" s="2367"/>
      <c r="O105" s="2370">
        <f>SUM(O50:O104)</f>
        <v>611.74000000000024</v>
      </c>
      <c r="P105" s="2376" t="s">
        <v>39</v>
      </c>
      <c r="R105" s="2366" t="s">
        <v>564</v>
      </c>
      <c r="S105" s="2367"/>
      <c r="T105" s="2367"/>
      <c r="U105" s="2370">
        <f>SUM(U50:U104)</f>
        <v>120.47199999999997</v>
      </c>
      <c r="V105" s="2376" t="s">
        <v>39</v>
      </c>
    </row>
    <row r="106" spans="1:22" ht="13.5" customHeight="1" thickBot="1">
      <c r="A106" s="2307" t="s">
        <v>552</v>
      </c>
      <c r="B106" s="2308"/>
      <c r="C106" s="2308"/>
      <c r="D106" s="2308"/>
      <c r="E106" s="2308"/>
      <c r="F106" s="2308"/>
      <c r="G106" s="2308"/>
      <c r="H106" s="2309"/>
      <c r="I106" s="392">
        <f>SUM(I89)</f>
        <v>9.9216000000000015</v>
      </c>
      <c r="J106" s="2306"/>
      <c r="L106" s="2368"/>
      <c r="M106" s="2369"/>
      <c r="N106" s="2369"/>
      <c r="O106" s="2371"/>
      <c r="P106" s="2377"/>
      <c r="R106" s="2368"/>
      <c r="S106" s="2369"/>
      <c r="T106" s="2369"/>
      <c r="U106" s="2371"/>
      <c r="V106" s="2377"/>
    </row>
    <row r="107" spans="1:22" ht="12.75" customHeight="1">
      <c r="A107" s="2335">
        <v>3</v>
      </c>
      <c r="B107" s="2348" t="s">
        <v>549</v>
      </c>
      <c r="C107" s="165">
        <v>1</v>
      </c>
      <c r="D107" s="2351">
        <v>0.15</v>
      </c>
      <c r="E107" s="2320">
        <v>2.64</v>
      </c>
      <c r="F107" s="165">
        <v>1.64</v>
      </c>
      <c r="G107" s="165">
        <f>F107*$E$107</f>
        <v>4.3296000000000001</v>
      </c>
      <c r="H107" s="165"/>
      <c r="I107" s="165">
        <f>G107-H107</f>
        <v>4.3296000000000001</v>
      </c>
      <c r="J107" s="2363" t="s">
        <v>55</v>
      </c>
      <c r="L107" s="154">
        <f>TRUNC((F107/1.2))+1</f>
        <v>2</v>
      </c>
      <c r="M107" s="2322">
        <f>($E$107)+(0.12+0.56+0.9)</f>
        <v>4.2200000000000006</v>
      </c>
      <c r="N107" s="253">
        <f>$M$107*L107</f>
        <v>8.4400000000000013</v>
      </c>
      <c r="O107" s="253">
        <f t="shared" si="19"/>
        <v>8.4400000000000013</v>
      </c>
      <c r="P107" s="2374" t="s">
        <v>39</v>
      </c>
      <c r="R107" s="2345">
        <v>8</v>
      </c>
      <c r="S107" s="405">
        <f>F107</f>
        <v>1.64</v>
      </c>
      <c r="T107" s="253">
        <f>$R$107*S107</f>
        <v>13.12</v>
      </c>
      <c r="U107" s="253">
        <f>T107*0.1</f>
        <v>1.3120000000000001</v>
      </c>
      <c r="V107" s="2374" t="s">
        <v>39</v>
      </c>
    </row>
    <row r="108" spans="1:22">
      <c r="A108" s="2336"/>
      <c r="B108" s="2321"/>
      <c r="C108" s="5">
        <v>2</v>
      </c>
      <c r="D108" s="1918"/>
      <c r="E108" s="2321"/>
      <c r="F108" s="5">
        <v>2.0699999999999998</v>
      </c>
      <c r="G108" s="5">
        <f t="shared" ref="G108:G129" si="24">F108*$E$107</f>
        <v>5.4647999999999994</v>
      </c>
      <c r="H108" s="5">
        <f>1.395*1.5</f>
        <v>2.0925000000000002</v>
      </c>
      <c r="I108" s="5">
        <f t="shared" ref="I108:I171" si="25">G108-H108</f>
        <v>3.3722999999999992</v>
      </c>
      <c r="J108" s="2364"/>
      <c r="L108" s="145">
        <f t="shared" ref="L108:L129" si="26">TRUNC((F108/1.2))+1</f>
        <v>2</v>
      </c>
      <c r="M108" s="2325"/>
      <c r="N108" s="5">
        <f t="shared" ref="N108:N129" si="27">$M$107*L108</f>
        <v>8.4400000000000013</v>
      </c>
      <c r="O108" s="5">
        <f t="shared" si="19"/>
        <v>8.4400000000000013</v>
      </c>
      <c r="P108" s="2339"/>
      <c r="R108" s="2346"/>
      <c r="S108" s="405">
        <f t="shared" ref="S108:S171" si="28">F108</f>
        <v>2.0699999999999998</v>
      </c>
      <c r="T108" s="253">
        <f t="shared" ref="T108:T171" si="29">$R$107*S108</f>
        <v>16.559999999999999</v>
      </c>
      <c r="U108" s="253">
        <f t="shared" ref="U108:U171" si="30">T108*0.1</f>
        <v>1.6559999999999999</v>
      </c>
      <c r="V108" s="2339"/>
    </row>
    <row r="109" spans="1:22">
      <c r="A109" s="2336"/>
      <c r="B109" s="2321"/>
      <c r="C109" s="5">
        <v>3</v>
      </c>
      <c r="D109" s="1918"/>
      <c r="E109" s="2321"/>
      <c r="F109" s="5">
        <v>2.08</v>
      </c>
      <c r="G109" s="5">
        <f t="shared" si="24"/>
        <v>5.4912000000000001</v>
      </c>
      <c r="H109" s="5">
        <f>1.302*1.395</f>
        <v>1.8162900000000002</v>
      </c>
      <c r="I109" s="5">
        <f t="shared" si="25"/>
        <v>3.6749099999999997</v>
      </c>
      <c r="J109" s="2364"/>
      <c r="L109" s="145">
        <f t="shared" si="26"/>
        <v>2</v>
      </c>
      <c r="M109" s="2325"/>
      <c r="N109" s="5">
        <f t="shared" si="27"/>
        <v>8.4400000000000013</v>
      </c>
      <c r="O109" s="5">
        <f t="shared" si="19"/>
        <v>8.4400000000000013</v>
      </c>
      <c r="P109" s="2339"/>
      <c r="R109" s="2346"/>
      <c r="S109" s="405">
        <f t="shared" si="28"/>
        <v>2.08</v>
      </c>
      <c r="T109" s="253">
        <f t="shared" si="29"/>
        <v>16.64</v>
      </c>
      <c r="U109" s="253">
        <f t="shared" si="30"/>
        <v>1.6640000000000001</v>
      </c>
      <c r="V109" s="2339"/>
    </row>
    <row r="110" spans="1:22">
      <c r="A110" s="2336"/>
      <c r="B110" s="2321"/>
      <c r="C110" s="5">
        <v>4</v>
      </c>
      <c r="D110" s="1918"/>
      <c r="E110" s="2321"/>
      <c r="F110" s="5">
        <v>2.2999999999999998</v>
      </c>
      <c r="G110" s="5">
        <f t="shared" si="24"/>
        <v>6.0720000000000001</v>
      </c>
      <c r="H110" s="5"/>
      <c r="I110" s="5">
        <f t="shared" si="25"/>
        <v>6.0720000000000001</v>
      </c>
      <c r="J110" s="2364"/>
      <c r="L110" s="145">
        <f t="shared" si="26"/>
        <v>2</v>
      </c>
      <c r="M110" s="2325"/>
      <c r="N110" s="5">
        <f t="shared" si="27"/>
        <v>8.4400000000000013</v>
      </c>
      <c r="O110" s="5">
        <f t="shared" si="19"/>
        <v>8.4400000000000013</v>
      </c>
      <c r="P110" s="2339"/>
      <c r="R110" s="2346"/>
      <c r="S110" s="405">
        <f t="shared" si="28"/>
        <v>2.2999999999999998</v>
      </c>
      <c r="T110" s="253">
        <f t="shared" si="29"/>
        <v>18.399999999999999</v>
      </c>
      <c r="U110" s="253">
        <f t="shared" si="30"/>
        <v>1.8399999999999999</v>
      </c>
      <c r="V110" s="2339"/>
    </row>
    <row r="111" spans="1:22">
      <c r="A111" s="2336"/>
      <c r="B111" s="2321"/>
      <c r="C111" s="5">
        <v>5</v>
      </c>
      <c r="D111" s="1918"/>
      <c r="E111" s="2321"/>
      <c r="F111" s="5">
        <f>2.03+1.58</f>
        <v>3.61</v>
      </c>
      <c r="G111" s="5">
        <f t="shared" si="24"/>
        <v>9.5304000000000002</v>
      </c>
      <c r="H111" s="5">
        <f>1.372*1.395</f>
        <v>1.9139400000000002</v>
      </c>
      <c r="I111" s="5">
        <f t="shared" si="25"/>
        <v>7.61646</v>
      </c>
      <c r="J111" s="2364"/>
      <c r="L111" s="145">
        <f t="shared" si="26"/>
        <v>4</v>
      </c>
      <c r="M111" s="2325"/>
      <c r="N111" s="5">
        <f t="shared" si="27"/>
        <v>16.880000000000003</v>
      </c>
      <c r="O111" s="5">
        <f t="shared" si="19"/>
        <v>16.880000000000003</v>
      </c>
      <c r="P111" s="2339"/>
      <c r="R111" s="2346"/>
      <c r="S111" s="405">
        <f t="shared" si="28"/>
        <v>3.61</v>
      </c>
      <c r="T111" s="253">
        <f t="shared" si="29"/>
        <v>28.88</v>
      </c>
      <c r="U111" s="253">
        <f t="shared" si="30"/>
        <v>2.8879999999999999</v>
      </c>
      <c r="V111" s="2339"/>
    </row>
    <row r="112" spans="1:22">
      <c r="A112" s="2336"/>
      <c r="B112" s="2321"/>
      <c r="C112" s="5">
        <v>6</v>
      </c>
      <c r="D112" s="1918"/>
      <c r="E112" s="2321"/>
      <c r="F112" s="5">
        <v>1.8</v>
      </c>
      <c r="G112" s="5">
        <f t="shared" si="24"/>
        <v>4.7520000000000007</v>
      </c>
      <c r="H112" s="5">
        <f>1.596*1.395</f>
        <v>2.2264200000000001</v>
      </c>
      <c r="I112" s="5">
        <f t="shared" si="25"/>
        <v>2.5255800000000006</v>
      </c>
      <c r="J112" s="2364"/>
      <c r="L112" s="145">
        <f t="shared" si="26"/>
        <v>2</v>
      </c>
      <c r="M112" s="2325"/>
      <c r="N112" s="5">
        <f t="shared" si="27"/>
        <v>8.4400000000000013</v>
      </c>
      <c r="O112" s="5">
        <f t="shared" si="19"/>
        <v>8.4400000000000013</v>
      </c>
      <c r="P112" s="2339"/>
      <c r="R112" s="2346"/>
      <c r="S112" s="405">
        <f t="shared" si="28"/>
        <v>1.8</v>
      </c>
      <c r="T112" s="253">
        <f t="shared" si="29"/>
        <v>14.4</v>
      </c>
      <c r="U112" s="253">
        <f t="shared" si="30"/>
        <v>1.4400000000000002</v>
      </c>
      <c r="V112" s="2339"/>
    </row>
    <row r="113" spans="1:22">
      <c r="A113" s="2336"/>
      <c r="B113" s="2321"/>
      <c r="C113" s="5">
        <v>7</v>
      </c>
      <c r="D113" s="1918"/>
      <c r="E113" s="2321"/>
      <c r="F113" s="5">
        <v>5.47</v>
      </c>
      <c r="G113" s="5">
        <f t="shared" si="24"/>
        <v>14.440799999999999</v>
      </c>
      <c r="H113" s="5">
        <f>2*1.5*1.395</f>
        <v>4.1850000000000005</v>
      </c>
      <c r="I113" s="5">
        <f t="shared" si="25"/>
        <v>10.255799999999999</v>
      </c>
      <c r="J113" s="2364"/>
      <c r="L113" s="145">
        <f t="shared" si="26"/>
        <v>5</v>
      </c>
      <c r="M113" s="2325"/>
      <c r="N113" s="5">
        <f t="shared" si="27"/>
        <v>21.1</v>
      </c>
      <c r="O113" s="5">
        <f t="shared" si="19"/>
        <v>21.1</v>
      </c>
      <c r="P113" s="2339"/>
      <c r="R113" s="2346"/>
      <c r="S113" s="405">
        <f t="shared" si="28"/>
        <v>5.47</v>
      </c>
      <c r="T113" s="253">
        <f t="shared" si="29"/>
        <v>43.76</v>
      </c>
      <c r="U113" s="253">
        <f t="shared" si="30"/>
        <v>4.3760000000000003</v>
      </c>
      <c r="V113" s="2339"/>
    </row>
    <row r="114" spans="1:22">
      <c r="A114" s="2336"/>
      <c r="B114" s="2321"/>
      <c r="C114" s="5">
        <v>8</v>
      </c>
      <c r="D114" s="1918"/>
      <c r="E114" s="2321"/>
      <c r="F114" s="5">
        <v>5.52</v>
      </c>
      <c r="G114" s="5">
        <f t="shared" si="24"/>
        <v>14.572799999999999</v>
      </c>
      <c r="H114" s="5">
        <f>2*1.5*1.395</f>
        <v>4.1850000000000005</v>
      </c>
      <c r="I114" s="5">
        <f t="shared" si="25"/>
        <v>10.387799999999999</v>
      </c>
      <c r="J114" s="2364"/>
      <c r="L114" s="145">
        <f t="shared" si="26"/>
        <v>5</v>
      </c>
      <c r="M114" s="2325"/>
      <c r="N114" s="5">
        <f t="shared" si="27"/>
        <v>21.1</v>
      </c>
      <c r="O114" s="5">
        <f t="shared" si="19"/>
        <v>21.1</v>
      </c>
      <c r="P114" s="2339"/>
      <c r="R114" s="2346"/>
      <c r="S114" s="405">
        <f t="shared" si="28"/>
        <v>5.52</v>
      </c>
      <c r="T114" s="253">
        <f t="shared" si="29"/>
        <v>44.16</v>
      </c>
      <c r="U114" s="253">
        <f t="shared" si="30"/>
        <v>4.4159999999999995</v>
      </c>
      <c r="V114" s="2339"/>
    </row>
    <row r="115" spans="1:22">
      <c r="A115" s="2336"/>
      <c r="B115" s="2321"/>
      <c r="C115" s="5">
        <v>9</v>
      </c>
      <c r="D115" s="1918"/>
      <c r="E115" s="2321"/>
      <c r="F115" s="5">
        <v>16.05</v>
      </c>
      <c r="G115" s="5">
        <f t="shared" si="24"/>
        <v>42.372000000000007</v>
      </c>
      <c r="H115" s="5">
        <f>(1.5*1.5)+2*(0.75*0.63)</f>
        <v>3.1950000000000003</v>
      </c>
      <c r="I115" s="5">
        <f t="shared" si="25"/>
        <v>39.177000000000007</v>
      </c>
      <c r="J115" s="2364"/>
      <c r="L115" s="145">
        <f t="shared" si="26"/>
        <v>14</v>
      </c>
      <c r="M115" s="2325"/>
      <c r="N115" s="5">
        <f t="shared" si="27"/>
        <v>59.080000000000013</v>
      </c>
      <c r="O115" s="5">
        <f t="shared" si="19"/>
        <v>59.080000000000013</v>
      </c>
      <c r="P115" s="2339"/>
      <c r="R115" s="2346"/>
      <c r="S115" s="405">
        <f t="shared" si="28"/>
        <v>16.05</v>
      </c>
      <c r="T115" s="253">
        <f t="shared" si="29"/>
        <v>128.4</v>
      </c>
      <c r="U115" s="253">
        <f t="shared" si="30"/>
        <v>12.840000000000002</v>
      </c>
      <c r="V115" s="2339"/>
    </row>
    <row r="116" spans="1:22">
      <c r="A116" s="2336"/>
      <c r="B116" s="2321"/>
      <c r="C116" s="5">
        <v>10</v>
      </c>
      <c r="D116" s="1918"/>
      <c r="E116" s="2321"/>
      <c r="F116" s="5">
        <v>5.4</v>
      </c>
      <c r="G116" s="5">
        <f t="shared" si="24"/>
        <v>14.256000000000002</v>
      </c>
      <c r="H116" s="5">
        <f>0.742*1.395</f>
        <v>1.0350900000000001</v>
      </c>
      <c r="I116" s="5">
        <f t="shared" si="25"/>
        <v>13.220910000000002</v>
      </c>
      <c r="J116" s="2364"/>
      <c r="L116" s="145">
        <f t="shared" si="26"/>
        <v>5</v>
      </c>
      <c r="M116" s="2325"/>
      <c r="N116" s="5">
        <f t="shared" si="27"/>
        <v>21.1</v>
      </c>
      <c r="O116" s="5">
        <f t="shared" si="19"/>
        <v>21.1</v>
      </c>
      <c r="P116" s="2339"/>
      <c r="R116" s="2346"/>
      <c r="S116" s="405">
        <f t="shared" si="28"/>
        <v>5.4</v>
      </c>
      <c r="T116" s="253">
        <f t="shared" si="29"/>
        <v>43.2</v>
      </c>
      <c r="U116" s="253">
        <f t="shared" si="30"/>
        <v>4.32</v>
      </c>
      <c r="V116" s="2339"/>
    </row>
    <row r="117" spans="1:22">
      <c r="A117" s="2336"/>
      <c r="B117" s="2321"/>
      <c r="C117" s="5">
        <v>11</v>
      </c>
      <c r="D117" s="1918"/>
      <c r="E117" s="2321"/>
      <c r="F117" s="5">
        <v>1</v>
      </c>
      <c r="G117" s="5">
        <f t="shared" si="24"/>
        <v>2.64</v>
      </c>
      <c r="H117" s="5"/>
      <c r="I117" s="5">
        <f t="shared" si="25"/>
        <v>2.64</v>
      </c>
      <c r="J117" s="2364"/>
      <c r="L117" s="145">
        <f t="shared" si="26"/>
        <v>1</v>
      </c>
      <c r="M117" s="2325"/>
      <c r="N117" s="5">
        <f t="shared" si="27"/>
        <v>4.2200000000000006</v>
      </c>
      <c r="O117" s="5">
        <f t="shared" si="19"/>
        <v>4.2200000000000006</v>
      </c>
      <c r="P117" s="2339"/>
      <c r="R117" s="2346"/>
      <c r="S117" s="405">
        <f t="shared" si="28"/>
        <v>1</v>
      </c>
      <c r="T117" s="253">
        <f t="shared" si="29"/>
        <v>8</v>
      </c>
      <c r="U117" s="253">
        <f t="shared" si="30"/>
        <v>0.8</v>
      </c>
      <c r="V117" s="2339"/>
    </row>
    <row r="118" spans="1:22">
      <c r="A118" s="2336"/>
      <c r="B118" s="2321"/>
      <c r="C118" s="5">
        <v>12</v>
      </c>
      <c r="D118" s="1918"/>
      <c r="E118" s="2321"/>
      <c r="F118" s="5">
        <v>4.8</v>
      </c>
      <c r="G118" s="5">
        <f t="shared" si="24"/>
        <v>12.672000000000001</v>
      </c>
      <c r="H118" s="5">
        <f>2.22*1.378+(2.12*1.378/2)+(2.73*1.378)</f>
        <v>8.2817799999999995</v>
      </c>
      <c r="I118" s="5">
        <f t="shared" si="25"/>
        <v>4.3902200000000011</v>
      </c>
      <c r="J118" s="2364"/>
      <c r="L118" s="145">
        <f t="shared" si="26"/>
        <v>5</v>
      </c>
      <c r="M118" s="2325"/>
      <c r="N118" s="5">
        <f t="shared" si="27"/>
        <v>21.1</v>
      </c>
      <c r="O118" s="5">
        <f t="shared" si="19"/>
        <v>21.1</v>
      </c>
      <c r="P118" s="2339"/>
      <c r="R118" s="2346"/>
      <c r="S118" s="405">
        <f t="shared" si="28"/>
        <v>4.8</v>
      </c>
      <c r="T118" s="253">
        <f t="shared" si="29"/>
        <v>38.4</v>
      </c>
      <c r="U118" s="253">
        <f t="shared" si="30"/>
        <v>3.84</v>
      </c>
      <c r="V118" s="2339"/>
    </row>
    <row r="119" spans="1:22">
      <c r="A119" s="2336"/>
      <c r="B119" s="2321"/>
      <c r="C119" s="5">
        <v>13</v>
      </c>
      <c r="D119" s="1918"/>
      <c r="E119" s="2321"/>
      <c r="F119" s="5">
        <v>2.56</v>
      </c>
      <c r="G119" s="5">
        <f t="shared" si="24"/>
        <v>6.7584000000000009</v>
      </c>
      <c r="H119" s="5">
        <f>1.302*1.395</f>
        <v>1.8162900000000002</v>
      </c>
      <c r="I119" s="5">
        <f t="shared" si="25"/>
        <v>4.9421100000000004</v>
      </c>
      <c r="J119" s="2364"/>
      <c r="L119" s="145">
        <f t="shared" si="26"/>
        <v>3</v>
      </c>
      <c r="M119" s="2325"/>
      <c r="N119" s="5">
        <f t="shared" si="27"/>
        <v>12.660000000000002</v>
      </c>
      <c r="O119" s="5">
        <f t="shared" si="19"/>
        <v>12.660000000000002</v>
      </c>
      <c r="P119" s="2339"/>
      <c r="R119" s="2346"/>
      <c r="S119" s="405">
        <f t="shared" si="28"/>
        <v>2.56</v>
      </c>
      <c r="T119" s="253">
        <f t="shared" si="29"/>
        <v>20.48</v>
      </c>
      <c r="U119" s="253">
        <f t="shared" si="30"/>
        <v>2.048</v>
      </c>
      <c r="V119" s="2339"/>
    </row>
    <row r="120" spans="1:22">
      <c r="A120" s="2336"/>
      <c r="B120" s="2321"/>
      <c r="C120" s="5">
        <v>14</v>
      </c>
      <c r="D120" s="1918"/>
      <c r="E120" s="2321"/>
      <c r="F120" s="5">
        <v>10.32</v>
      </c>
      <c r="G120" s="5">
        <f t="shared" si="24"/>
        <v>27.244800000000001</v>
      </c>
      <c r="H120" s="5">
        <f>1.3*1.395+(2*1.395*1.5)</f>
        <v>5.9985000000000008</v>
      </c>
      <c r="I120" s="5">
        <f t="shared" si="25"/>
        <v>21.246300000000002</v>
      </c>
      <c r="J120" s="2364"/>
      <c r="L120" s="145">
        <f t="shared" si="26"/>
        <v>9</v>
      </c>
      <c r="M120" s="2325"/>
      <c r="N120" s="5">
        <f t="shared" si="27"/>
        <v>37.980000000000004</v>
      </c>
      <c r="O120" s="5">
        <f t="shared" si="19"/>
        <v>37.980000000000004</v>
      </c>
      <c r="P120" s="2339"/>
      <c r="R120" s="2346"/>
      <c r="S120" s="405">
        <f t="shared" si="28"/>
        <v>10.32</v>
      </c>
      <c r="T120" s="253">
        <f t="shared" si="29"/>
        <v>82.56</v>
      </c>
      <c r="U120" s="253">
        <f t="shared" si="30"/>
        <v>8.2560000000000002</v>
      </c>
      <c r="V120" s="2339"/>
    </row>
    <row r="121" spans="1:22">
      <c r="A121" s="2336"/>
      <c r="B121" s="2321"/>
      <c r="C121" s="5">
        <v>15</v>
      </c>
      <c r="D121" s="1918"/>
      <c r="E121" s="2321"/>
      <c r="F121" s="5">
        <v>2.95</v>
      </c>
      <c r="G121" s="5">
        <f t="shared" si="24"/>
        <v>7.7880000000000011</v>
      </c>
      <c r="H121" s="5"/>
      <c r="I121" s="5">
        <f t="shared" si="25"/>
        <v>7.7880000000000011</v>
      </c>
      <c r="J121" s="2364"/>
      <c r="L121" s="145">
        <f t="shared" si="26"/>
        <v>3</v>
      </c>
      <c r="M121" s="2325"/>
      <c r="N121" s="5">
        <f t="shared" si="27"/>
        <v>12.660000000000002</v>
      </c>
      <c r="O121" s="5">
        <f t="shared" si="19"/>
        <v>12.660000000000002</v>
      </c>
      <c r="P121" s="2339"/>
      <c r="R121" s="2346"/>
      <c r="S121" s="405">
        <f t="shared" si="28"/>
        <v>2.95</v>
      </c>
      <c r="T121" s="253">
        <f t="shared" si="29"/>
        <v>23.6</v>
      </c>
      <c r="U121" s="253">
        <f t="shared" si="30"/>
        <v>2.3600000000000003</v>
      </c>
      <c r="V121" s="2339"/>
    </row>
    <row r="122" spans="1:22">
      <c r="A122" s="2336"/>
      <c r="B122" s="2321"/>
      <c r="C122" s="5">
        <v>16</v>
      </c>
      <c r="D122" s="1918"/>
      <c r="E122" s="2321"/>
      <c r="F122" s="5">
        <f>2.45+1.55</f>
        <v>4</v>
      </c>
      <c r="G122" s="5">
        <f t="shared" si="24"/>
        <v>10.56</v>
      </c>
      <c r="H122" s="5">
        <f>1.302*1.395</f>
        <v>1.8162900000000002</v>
      </c>
      <c r="I122" s="5">
        <f t="shared" si="25"/>
        <v>8.7437100000000001</v>
      </c>
      <c r="J122" s="2364"/>
      <c r="L122" s="145">
        <f t="shared" si="26"/>
        <v>4</v>
      </c>
      <c r="M122" s="2325"/>
      <c r="N122" s="5">
        <f t="shared" si="27"/>
        <v>16.880000000000003</v>
      </c>
      <c r="O122" s="5">
        <f t="shared" si="19"/>
        <v>16.880000000000003</v>
      </c>
      <c r="P122" s="2339"/>
      <c r="R122" s="2346"/>
      <c r="S122" s="405">
        <f t="shared" si="28"/>
        <v>4</v>
      </c>
      <c r="T122" s="253">
        <f t="shared" si="29"/>
        <v>32</v>
      </c>
      <c r="U122" s="253">
        <f t="shared" si="30"/>
        <v>3.2</v>
      </c>
      <c r="V122" s="2339"/>
    </row>
    <row r="123" spans="1:22">
      <c r="A123" s="2336"/>
      <c r="B123" s="2321"/>
      <c r="C123" s="5">
        <v>17</v>
      </c>
      <c r="D123" s="1918"/>
      <c r="E123" s="2321"/>
      <c r="F123" s="5">
        <v>2.1</v>
      </c>
      <c r="G123" s="5">
        <f t="shared" si="24"/>
        <v>5.5440000000000005</v>
      </c>
      <c r="H123" s="5">
        <f>1.3*1.395</f>
        <v>1.8135000000000001</v>
      </c>
      <c r="I123" s="5">
        <f t="shared" si="25"/>
        <v>3.7305000000000001</v>
      </c>
      <c r="J123" s="2364"/>
      <c r="L123" s="145">
        <f t="shared" si="26"/>
        <v>2</v>
      </c>
      <c r="M123" s="2325"/>
      <c r="N123" s="5">
        <f t="shared" si="27"/>
        <v>8.4400000000000013</v>
      </c>
      <c r="O123" s="5">
        <f t="shared" si="19"/>
        <v>8.4400000000000013</v>
      </c>
      <c r="P123" s="2339"/>
      <c r="R123" s="2346"/>
      <c r="S123" s="405">
        <f t="shared" si="28"/>
        <v>2.1</v>
      </c>
      <c r="T123" s="253">
        <f t="shared" si="29"/>
        <v>16.8</v>
      </c>
      <c r="U123" s="253">
        <f t="shared" si="30"/>
        <v>1.6800000000000002</v>
      </c>
      <c r="V123" s="2339"/>
    </row>
    <row r="124" spans="1:22">
      <c r="A124" s="2336"/>
      <c r="B124" s="2321"/>
      <c r="C124" s="5">
        <v>18</v>
      </c>
      <c r="D124" s="1918"/>
      <c r="E124" s="2321"/>
      <c r="F124" s="5">
        <v>8.73</v>
      </c>
      <c r="G124" s="5">
        <f t="shared" si="24"/>
        <v>23.047200000000004</v>
      </c>
      <c r="H124" s="5">
        <f>2*1.395*1.5</f>
        <v>4.1850000000000005</v>
      </c>
      <c r="I124" s="5">
        <f t="shared" si="25"/>
        <v>18.862200000000001</v>
      </c>
      <c r="J124" s="2364"/>
      <c r="L124" s="145">
        <f t="shared" si="26"/>
        <v>8</v>
      </c>
      <c r="M124" s="2325"/>
      <c r="N124" s="5">
        <f t="shared" si="27"/>
        <v>33.760000000000005</v>
      </c>
      <c r="O124" s="5">
        <f t="shared" si="19"/>
        <v>33.760000000000005</v>
      </c>
      <c r="P124" s="2339"/>
      <c r="R124" s="2346"/>
      <c r="S124" s="405">
        <f t="shared" si="28"/>
        <v>8.73</v>
      </c>
      <c r="T124" s="253">
        <f t="shared" si="29"/>
        <v>69.84</v>
      </c>
      <c r="U124" s="253">
        <f t="shared" si="30"/>
        <v>6.9840000000000009</v>
      </c>
      <c r="V124" s="2339"/>
    </row>
    <row r="125" spans="1:22">
      <c r="A125" s="2336"/>
      <c r="B125" s="2321"/>
      <c r="C125" s="5">
        <v>19</v>
      </c>
      <c r="D125" s="1918"/>
      <c r="E125" s="2321"/>
      <c r="F125" s="5">
        <v>5.81</v>
      </c>
      <c r="G125" s="5">
        <f t="shared" si="24"/>
        <v>15.3384</v>
      </c>
      <c r="H125" s="5">
        <f>1.395*1.5</f>
        <v>2.0925000000000002</v>
      </c>
      <c r="I125" s="5">
        <f t="shared" si="25"/>
        <v>13.245899999999999</v>
      </c>
      <c r="J125" s="2364"/>
      <c r="L125" s="145">
        <f t="shared" si="26"/>
        <v>5</v>
      </c>
      <c r="M125" s="2325"/>
      <c r="N125" s="5">
        <f t="shared" si="27"/>
        <v>21.1</v>
      </c>
      <c r="O125" s="5">
        <f t="shared" si="19"/>
        <v>21.1</v>
      </c>
      <c r="P125" s="2339"/>
      <c r="R125" s="2346"/>
      <c r="S125" s="405">
        <f t="shared" si="28"/>
        <v>5.81</v>
      </c>
      <c r="T125" s="253">
        <f t="shared" si="29"/>
        <v>46.48</v>
      </c>
      <c r="U125" s="253">
        <f t="shared" si="30"/>
        <v>4.6479999999999997</v>
      </c>
      <c r="V125" s="2339"/>
    </row>
    <row r="126" spans="1:22">
      <c r="A126" s="2336"/>
      <c r="B126" s="2321"/>
      <c r="C126" s="5">
        <v>20</v>
      </c>
      <c r="D126" s="1918"/>
      <c r="E126" s="2321"/>
      <c r="F126" s="5">
        <v>2.8</v>
      </c>
      <c r="G126" s="5">
        <f t="shared" si="24"/>
        <v>7.3919999999999995</v>
      </c>
      <c r="H126" s="5">
        <f>0.63*0.75</f>
        <v>0.47250000000000003</v>
      </c>
      <c r="I126" s="5">
        <f t="shared" si="25"/>
        <v>6.9194999999999993</v>
      </c>
      <c r="J126" s="2364"/>
      <c r="L126" s="145">
        <f t="shared" si="26"/>
        <v>3</v>
      </c>
      <c r="M126" s="2325"/>
      <c r="N126" s="5">
        <f t="shared" si="27"/>
        <v>12.660000000000002</v>
      </c>
      <c r="O126" s="5">
        <f t="shared" si="19"/>
        <v>12.660000000000002</v>
      </c>
      <c r="P126" s="2339"/>
      <c r="R126" s="2346"/>
      <c r="S126" s="405">
        <f t="shared" si="28"/>
        <v>2.8</v>
      </c>
      <c r="T126" s="253">
        <f t="shared" si="29"/>
        <v>22.4</v>
      </c>
      <c r="U126" s="253">
        <f t="shared" si="30"/>
        <v>2.2399999999999998</v>
      </c>
      <c r="V126" s="2339"/>
    </row>
    <row r="127" spans="1:22">
      <c r="A127" s="2336"/>
      <c r="B127" s="2321"/>
      <c r="C127" s="5">
        <v>21</v>
      </c>
      <c r="D127" s="1918"/>
      <c r="E127" s="2321"/>
      <c r="F127" s="5">
        <v>1.63</v>
      </c>
      <c r="G127" s="5">
        <f t="shared" si="24"/>
        <v>4.3032000000000004</v>
      </c>
      <c r="H127" s="5"/>
      <c r="I127" s="5">
        <f t="shared" si="25"/>
        <v>4.3032000000000004</v>
      </c>
      <c r="J127" s="2364"/>
      <c r="L127" s="145">
        <f t="shared" si="26"/>
        <v>2</v>
      </c>
      <c r="M127" s="2325"/>
      <c r="N127" s="5">
        <f t="shared" si="27"/>
        <v>8.4400000000000013</v>
      </c>
      <c r="O127" s="5">
        <f t="shared" si="19"/>
        <v>8.4400000000000013</v>
      </c>
      <c r="P127" s="2339"/>
      <c r="R127" s="2346"/>
      <c r="S127" s="405">
        <f t="shared" si="28"/>
        <v>1.63</v>
      </c>
      <c r="T127" s="253">
        <f t="shared" si="29"/>
        <v>13.04</v>
      </c>
      <c r="U127" s="253">
        <f t="shared" si="30"/>
        <v>1.304</v>
      </c>
      <c r="V127" s="2339"/>
    </row>
    <row r="128" spans="1:22">
      <c r="A128" s="2336"/>
      <c r="B128" s="2321"/>
      <c r="C128" s="5">
        <v>22</v>
      </c>
      <c r="D128" s="1918"/>
      <c r="E128" s="2321"/>
      <c r="F128" s="5">
        <v>3.12</v>
      </c>
      <c r="G128" s="5">
        <f t="shared" si="24"/>
        <v>8.2368000000000006</v>
      </c>
      <c r="H128" s="5"/>
      <c r="I128" s="5">
        <f t="shared" si="25"/>
        <v>8.2368000000000006</v>
      </c>
      <c r="J128" s="2364"/>
      <c r="L128" s="145">
        <f t="shared" si="26"/>
        <v>3</v>
      </c>
      <c r="M128" s="2325"/>
      <c r="N128" s="5">
        <f t="shared" si="27"/>
        <v>12.660000000000002</v>
      </c>
      <c r="O128" s="5">
        <f t="shared" si="19"/>
        <v>12.660000000000002</v>
      </c>
      <c r="P128" s="2339"/>
      <c r="R128" s="2346"/>
      <c r="S128" s="405">
        <f t="shared" si="28"/>
        <v>3.12</v>
      </c>
      <c r="T128" s="253">
        <f t="shared" si="29"/>
        <v>24.96</v>
      </c>
      <c r="U128" s="253">
        <f t="shared" si="30"/>
        <v>2.4960000000000004</v>
      </c>
      <c r="V128" s="2339"/>
    </row>
    <row r="129" spans="1:22" ht="12.75" customHeight="1">
      <c r="A129" s="2336"/>
      <c r="B129" s="2321"/>
      <c r="C129" s="5">
        <v>23</v>
      </c>
      <c r="D129" s="1918"/>
      <c r="E129" s="2322"/>
      <c r="F129" s="5">
        <v>10.47</v>
      </c>
      <c r="G129" s="5">
        <f t="shared" si="24"/>
        <v>27.640800000000002</v>
      </c>
      <c r="H129" s="5">
        <f>1.5*1.5</f>
        <v>2.25</v>
      </c>
      <c r="I129" s="5">
        <f t="shared" si="25"/>
        <v>25.390800000000002</v>
      </c>
      <c r="J129" s="2364"/>
      <c r="L129" s="145">
        <f t="shared" si="26"/>
        <v>9</v>
      </c>
      <c r="M129" s="2325"/>
      <c r="N129" s="5">
        <f t="shared" si="27"/>
        <v>37.980000000000004</v>
      </c>
      <c r="O129" s="5">
        <f t="shared" si="19"/>
        <v>37.980000000000004</v>
      </c>
      <c r="P129" s="2339"/>
      <c r="R129" s="2346"/>
      <c r="S129" s="405">
        <f t="shared" si="28"/>
        <v>10.47</v>
      </c>
      <c r="T129" s="253">
        <f t="shared" si="29"/>
        <v>83.76</v>
      </c>
      <c r="U129" s="253">
        <f t="shared" si="30"/>
        <v>8.3760000000000012</v>
      </c>
      <c r="V129" s="2339"/>
    </row>
    <row r="130" spans="1:22">
      <c r="A130" s="2336"/>
      <c r="B130" s="2321"/>
      <c r="C130" s="5">
        <v>24</v>
      </c>
      <c r="D130" s="1918"/>
      <c r="E130" s="2323">
        <v>3.12</v>
      </c>
      <c r="F130" s="5">
        <v>5.86</v>
      </c>
      <c r="G130" s="5">
        <f>F130*$E$130</f>
        <v>18.283200000000001</v>
      </c>
      <c r="H130" s="5"/>
      <c r="I130" s="5">
        <f t="shared" si="25"/>
        <v>18.283200000000001</v>
      </c>
      <c r="J130" s="2364"/>
      <c r="L130" s="145">
        <f>TRUNC((F130/1.8))+1</f>
        <v>4</v>
      </c>
      <c r="M130" s="2325">
        <f>($E$130)+(0.66+0.88)</f>
        <v>4.66</v>
      </c>
      <c r="N130" s="5">
        <f>$M$130*L130</f>
        <v>18.64</v>
      </c>
      <c r="O130" s="5">
        <f t="shared" si="19"/>
        <v>18.64</v>
      </c>
      <c r="P130" s="2339"/>
      <c r="R130" s="2346"/>
      <c r="S130" s="405">
        <f t="shared" si="28"/>
        <v>5.86</v>
      </c>
      <c r="T130" s="253">
        <f t="shared" si="29"/>
        <v>46.88</v>
      </c>
      <c r="U130" s="253">
        <f t="shared" si="30"/>
        <v>4.6880000000000006</v>
      </c>
      <c r="V130" s="2339"/>
    </row>
    <row r="131" spans="1:22">
      <c r="A131" s="2336"/>
      <c r="B131" s="2321"/>
      <c r="C131" s="5">
        <v>25</v>
      </c>
      <c r="D131" s="1918"/>
      <c r="E131" s="2321"/>
      <c r="F131" s="5">
        <v>2.5</v>
      </c>
      <c r="G131" s="5">
        <f t="shared" ref="G131:G179" si="31">F131*$E$130</f>
        <v>7.8000000000000007</v>
      </c>
      <c r="H131" s="5"/>
      <c r="I131" s="5">
        <f t="shared" si="25"/>
        <v>7.8000000000000007</v>
      </c>
      <c r="J131" s="2364"/>
      <c r="L131" s="145">
        <f t="shared" ref="L131:L179" si="32">TRUNC((F131/1.8))+1</f>
        <v>2</v>
      </c>
      <c r="M131" s="2325"/>
      <c r="N131" s="5">
        <f t="shared" ref="N131:N179" si="33">$M$130*L131</f>
        <v>9.32</v>
      </c>
      <c r="O131" s="5">
        <f t="shared" si="19"/>
        <v>9.32</v>
      </c>
      <c r="P131" s="2339"/>
      <c r="R131" s="2346"/>
      <c r="S131" s="405">
        <f t="shared" si="28"/>
        <v>2.5</v>
      </c>
      <c r="T131" s="253">
        <f t="shared" si="29"/>
        <v>20</v>
      </c>
      <c r="U131" s="253">
        <f t="shared" si="30"/>
        <v>2</v>
      </c>
      <c r="V131" s="2339"/>
    </row>
    <row r="132" spans="1:22">
      <c r="A132" s="2336"/>
      <c r="B132" s="2321"/>
      <c r="C132" s="5">
        <v>26</v>
      </c>
      <c r="D132" s="1918"/>
      <c r="E132" s="2321"/>
      <c r="F132" s="5">
        <v>5.74</v>
      </c>
      <c r="G132" s="5">
        <f t="shared" si="31"/>
        <v>17.908800000000003</v>
      </c>
      <c r="H132" s="5"/>
      <c r="I132" s="5">
        <f t="shared" si="25"/>
        <v>17.908800000000003</v>
      </c>
      <c r="J132" s="2364"/>
      <c r="L132" s="145">
        <f t="shared" si="32"/>
        <v>4</v>
      </c>
      <c r="M132" s="2325"/>
      <c r="N132" s="5">
        <f t="shared" si="33"/>
        <v>18.64</v>
      </c>
      <c r="O132" s="5">
        <f t="shared" si="19"/>
        <v>18.64</v>
      </c>
      <c r="P132" s="2339"/>
      <c r="R132" s="2346"/>
      <c r="S132" s="405">
        <f t="shared" si="28"/>
        <v>5.74</v>
      </c>
      <c r="T132" s="253">
        <f t="shared" si="29"/>
        <v>45.92</v>
      </c>
      <c r="U132" s="253">
        <f t="shared" si="30"/>
        <v>4.5920000000000005</v>
      </c>
      <c r="V132" s="2339"/>
    </row>
    <row r="133" spans="1:22">
      <c r="A133" s="2336"/>
      <c r="B133" s="2321"/>
      <c r="C133" s="5">
        <v>27</v>
      </c>
      <c r="D133" s="1918"/>
      <c r="E133" s="2321"/>
      <c r="F133" s="5">
        <v>4.99</v>
      </c>
      <c r="G133" s="5">
        <f t="shared" si="31"/>
        <v>15.568800000000001</v>
      </c>
      <c r="H133" s="5"/>
      <c r="I133" s="5">
        <f t="shared" si="25"/>
        <v>15.568800000000001</v>
      </c>
      <c r="J133" s="2364"/>
      <c r="L133" s="145">
        <f t="shared" si="32"/>
        <v>3</v>
      </c>
      <c r="M133" s="2325"/>
      <c r="N133" s="5">
        <f t="shared" si="33"/>
        <v>13.98</v>
      </c>
      <c r="O133" s="5">
        <f t="shared" si="19"/>
        <v>13.98</v>
      </c>
      <c r="P133" s="2339"/>
      <c r="R133" s="2346"/>
      <c r="S133" s="405">
        <f t="shared" si="28"/>
        <v>4.99</v>
      </c>
      <c r="T133" s="253">
        <f t="shared" si="29"/>
        <v>39.92</v>
      </c>
      <c r="U133" s="253">
        <f t="shared" si="30"/>
        <v>3.9920000000000004</v>
      </c>
      <c r="V133" s="2339"/>
    </row>
    <row r="134" spans="1:22">
      <c r="A134" s="2336"/>
      <c r="B134" s="2321"/>
      <c r="C134" s="5">
        <v>28</v>
      </c>
      <c r="D134" s="1918"/>
      <c r="E134" s="2321"/>
      <c r="F134" s="5">
        <v>4.83</v>
      </c>
      <c r="G134" s="5">
        <f t="shared" si="31"/>
        <v>15.069600000000001</v>
      </c>
      <c r="H134" s="5">
        <f>2*(1.5*0.5)</f>
        <v>1.5</v>
      </c>
      <c r="I134" s="5">
        <f t="shared" si="25"/>
        <v>13.569600000000001</v>
      </c>
      <c r="J134" s="2364"/>
      <c r="L134" s="145">
        <f t="shared" si="32"/>
        <v>3</v>
      </c>
      <c r="M134" s="2325"/>
      <c r="N134" s="5">
        <f t="shared" si="33"/>
        <v>13.98</v>
      </c>
      <c r="O134" s="5">
        <f t="shared" si="19"/>
        <v>13.98</v>
      </c>
      <c r="P134" s="2339"/>
      <c r="R134" s="2346"/>
      <c r="S134" s="405">
        <f t="shared" si="28"/>
        <v>4.83</v>
      </c>
      <c r="T134" s="253">
        <f t="shared" si="29"/>
        <v>38.64</v>
      </c>
      <c r="U134" s="253">
        <f t="shared" si="30"/>
        <v>3.8640000000000003</v>
      </c>
      <c r="V134" s="2339"/>
    </row>
    <row r="135" spans="1:22">
      <c r="A135" s="2336"/>
      <c r="B135" s="2321"/>
      <c r="C135" s="5">
        <v>29</v>
      </c>
      <c r="D135" s="1918"/>
      <c r="E135" s="2321"/>
      <c r="F135" s="5">
        <v>3.18</v>
      </c>
      <c r="G135" s="5">
        <f t="shared" si="31"/>
        <v>9.9216000000000015</v>
      </c>
      <c r="H135" s="5"/>
      <c r="I135" s="5">
        <f t="shared" si="25"/>
        <v>9.9216000000000015</v>
      </c>
      <c r="J135" s="2364"/>
      <c r="L135" s="145">
        <f t="shared" si="32"/>
        <v>2</v>
      </c>
      <c r="M135" s="2325"/>
      <c r="N135" s="5">
        <f t="shared" si="33"/>
        <v>9.32</v>
      </c>
      <c r="O135" s="5">
        <f t="shared" si="19"/>
        <v>9.32</v>
      </c>
      <c r="P135" s="2339"/>
      <c r="R135" s="2346"/>
      <c r="S135" s="405">
        <f t="shared" si="28"/>
        <v>3.18</v>
      </c>
      <c r="T135" s="253">
        <f t="shared" si="29"/>
        <v>25.44</v>
      </c>
      <c r="U135" s="253">
        <f t="shared" si="30"/>
        <v>2.5440000000000005</v>
      </c>
      <c r="V135" s="2339"/>
    </row>
    <row r="136" spans="1:22">
      <c r="A136" s="2336"/>
      <c r="B136" s="2321"/>
      <c r="C136" s="5">
        <v>30</v>
      </c>
      <c r="D136" s="1918"/>
      <c r="E136" s="2321"/>
      <c r="F136" s="5">
        <v>1.88</v>
      </c>
      <c r="G136" s="5">
        <f t="shared" si="31"/>
        <v>5.8655999999999997</v>
      </c>
      <c r="H136" s="5"/>
      <c r="I136" s="5">
        <f t="shared" si="25"/>
        <v>5.8655999999999997</v>
      </c>
      <c r="J136" s="2364"/>
      <c r="L136" s="145">
        <f t="shared" si="32"/>
        <v>2</v>
      </c>
      <c r="M136" s="2325"/>
      <c r="N136" s="5">
        <f t="shared" si="33"/>
        <v>9.32</v>
      </c>
      <c r="O136" s="5">
        <f t="shared" si="19"/>
        <v>9.32</v>
      </c>
      <c r="P136" s="2339"/>
      <c r="R136" s="2346"/>
      <c r="S136" s="405">
        <f t="shared" si="28"/>
        <v>1.88</v>
      </c>
      <c r="T136" s="253">
        <f t="shared" si="29"/>
        <v>15.04</v>
      </c>
      <c r="U136" s="253">
        <f t="shared" si="30"/>
        <v>1.504</v>
      </c>
      <c r="V136" s="2339"/>
    </row>
    <row r="137" spans="1:22">
      <c r="A137" s="2336"/>
      <c r="B137" s="2321"/>
      <c r="C137" s="5">
        <v>31</v>
      </c>
      <c r="D137" s="1918"/>
      <c r="E137" s="2321"/>
      <c r="F137" s="5">
        <v>1.1599999999999999</v>
      </c>
      <c r="G137" s="5">
        <f t="shared" si="31"/>
        <v>3.6191999999999998</v>
      </c>
      <c r="H137" s="5"/>
      <c r="I137" s="5">
        <f t="shared" si="25"/>
        <v>3.6191999999999998</v>
      </c>
      <c r="J137" s="2364"/>
      <c r="L137" s="145">
        <f t="shared" si="32"/>
        <v>1</v>
      </c>
      <c r="M137" s="2325"/>
      <c r="N137" s="5">
        <f t="shared" si="33"/>
        <v>4.66</v>
      </c>
      <c r="O137" s="5">
        <f t="shared" ref="O137:O200" si="34">N137*1</f>
        <v>4.66</v>
      </c>
      <c r="P137" s="2339"/>
      <c r="R137" s="2346"/>
      <c r="S137" s="405">
        <f t="shared" si="28"/>
        <v>1.1599999999999999</v>
      </c>
      <c r="T137" s="253">
        <f t="shared" si="29"/>
        <v>9.2799999999999994</v>
      </c>
      <c r="U137" s="253">
        <f t="shared" si="30"/>
        <v>0.92799999999999994</v>
      </c>
      <c r="V137" s="2339"/>
    </row>
    <row r="138" spans="1:22">
      <c r="A138" s="2336"/>
      <c r="B138" s="2321"/>
      <c r="C138" s="5">
        <v>32</v>
      </c>
      <c r="D138" s="1918"/>
      <c r="E138" s="2321"/>
      <c r="F138" s="5">
        <v>1.88</v>
      </c>
      <c r="G138" s="5">
        <f t="shared" si="31"/>
        <v>5.8655999999999997</v>
      </c>
      <c r="H138" s="5"/>
      <c r="I138" s="5">
        <f t="shared" si="25"/>
        <v>5.8655999999999997</v>
      </c>
      <c r="J138" s="2364"/>
      <c r="L138" s="145">
        <f t="shared" si="32"/>
        <v>2</v>
      </c>
      <c r="M138" s="2325"/>
      <c r="N138" s="5">
        <f t="shared" si="33"/>
        <v>9.32</v>
      </c>
      <c r="O138" s="5">
        <f t="shared" si="34"/>
        <v>9.32</v>
      </c>
      <c r="P138" s="2339"/>
      <c r="R138" s="2346"/>
      <c r="S138" s="405">
        <f t="shared" si="28"/>
        <v>1.88</v>
      </c>
      <c r="T138" s="253">
        <f t="shared" si="29"/>
        <v>15.04</v>
      </c>
      <c r="U138" s="253">
        <f t="shared" si="30"/>
        <v>1.504</v>
      </c>
      <c r="V138" s="2339"/>
    </row>
    <row r="139" spans="1:22">
      <c r="A139" s="2336"/>
      <c r="B139" s="2321"/>
      <c r="C139" s="5">
        <v>33</v>
      </c>
      <c r="D139" s="1918"/>
      <c r="E139" s="2321"/>
      <c r="F139" s="5">
        <v>2.0699999999999998</v>
      </c>
      <c r="G139" s="5">
        <f t="shared" si="31"/>
        <v>6.4584000000000001</v>
      </c>
      <c r="H139" s="5">
        <f>1.395*1.5</f>
        <v>2.0925000000000002</v>
      </c>
      <c r="I139" s="5">
        <f t="shared" si="25"/>
        <v>4.3658999999999999</v>
      </c>
      <c r="J139" s="2364"/>
      <c r="L139" s="145">
        <f t="shared" si="32"/>
        <v>2</v>
      </c>
      <c r="M139" s="2325"/>
      <c r="N139" s="5">
        <f t="shared" si="33"/>
        <v>9.32</v>
      </c>
      <c r="O139" s="5">
        <f t="shared" si="34"/>
        <v>9.32</v>
      </c>
      <c r="P139" s="2339"/>
      <c r="R139" s="2346"/>
      <c r="S139" s="405">
        <f t="shared" si="28"/>
        <v>2.0699999999999998</v>
      </c>
      <c r="T139" s="253">
        <f t="shared" si="29"/>
        <v>16.559999999999999</v>
      </c>
      <c r="U139" s="253">
        <f t="shared" si="30"/>
        <v>1.6559999999999999</v>
      </c>
      <c r="V139" s="2339"/>
    </row>
    <row r="140" spans="1:22">
      <c r="A140" s="2336"/>
      <c r="B140" s="2321"/>
      <c r="C140" s="5">
        <v>34</v>
      </c>
      <c r="D140" s="1918"/>
      <c r="E140" s="2321"/>
      <c r="F140" s="5">
        <v>1.32</v>
      </c>
      <c r="G140" s="5">
        <f t="shared" si="31"/>
        <v>4.1184000000000003</v>
      </c>
      <c r="H140" s="5"/>
      <c r="I140" s="5">
        <f t="shared" si="25"/>
        <v>4.1184000000000003</v>
      </c>
      <c r="J140" s="2364"/>
      <c r="L140" s="145">
        <f t="shared" si="32"/>
        <v>1</v>
      </c>
      <c r="M140" s="2325"/>
      <c r="N140" s="5">
        <f t="shared" si="33"/>
        <v>4.66</v>
      </c>
      <c r="O140" s="5">
        <f t="shared" si="34"/>
        <v>4.66</v>
      </c>
      <c r="P140" s="2339"/>
      <c r="R140" s="2346"/>
      <c r="S140" s="405">
        <f t="shared" si="28"/>
        <v>1.32</v>
      </c>
      <c r="T140" s="253">
        <f t="shared" si="29"/>
        <v>10.56</v>
      </c>
      <c r="U140" s="253">
        <f t="shared" si="30"/>
        <v>1.056</v>
      </c>
      <c r="V140" s="2339"/>
    </row>
    <row r="141" spans="1:22">
      <c r="A141" s="2336"/>
      <c r="B141" s="2321"/>
      <c r="C141" s="5">
        <v>35</v>
      </c>
      <c r="D141" s="1918"/>
      <c r="E141" s="2321"/>
      <c r="F141" s="5">
        <v>2.2999999999999998</v>
      </c>
      <c r="G141" s="5">
        <f t="shared" si="31"/>
        <v>7.1759999999999993</v>
      </c>
      <c r="H141" s="5"/>
      <c r="I141" s="5">
        <f t="shared" si="25"/>
        <v>7.1759999999999993</v>
      </c>
      <c r="J141" s="2364"/>
      <c r="L141" s="145">
        <f t="shared" si="32"/>
        <v>2</v>
      </c>
      <c r="M141" s="2325"/>
      <c r="N141" s="5">
        <f t="shared" si="33"/>
        <v>9.32</v>
      </c>
      <c r="O141" s="5">
        <f t="shared" si="34"/>
        <v>9.32</v>
      </c>
      <c r="P141" s="2339"/>
      <c r="R141" s="2346"/>
      <c r="S141" s="405">
        <f t="shared" si="28"/>
        <v>2.2999999999999998</v>
      </c>
      <c r="T141" s="253">
        <f t="shared" si="29"/>
        <v>18.399999999999999</v>
      </c>
      <c r="U141" s="253">
        <f t="shared" si="30"/>
        <v>1.8399999999999999</v>
      </c>
      <c r="V141" s="2339"/>
    </row>
    <row r="142" spans="1:22">
      <c r="A142" s="2336"/>
      <c r="B142" s="2321"/>
      <c r="C142" s="5">
        <v>36</v>
      </c>
      <c r="D142" s="1918"/>
      <c r="E142" s="2321"/>
      <c r="F142" s="5">
        <v>2.15</v>
      </c>
      <c r="G142" s="5">
        <f t="shared" si="31"/>
        <v>6.7080000000000002</v>
      </c>
      <c r="H142" s="5"/>
      <c r="I142" s="5">
        <f t="shared" si="25"/>
        <v>6.7080000000000002</v>
      </c>
      <c r="J142" s="2364"/>
      <c r="L142" s="145">
        <f t="shared" si="32"/>
        <v>2</v>
      </c>
      <c r="M142" s="2325"/>
      <c r="N142" s="5">
        <f t="shared" si="33"/>
        <v>9.32</v>
      </c>
      <c r="O142" s="5">
        <f t="shared" si="34"/>
        <v>9.32</v>
      </c>
      <c r="P142" s="2339"/>
      <c r="R142" s="2346"/>
      <c r="S142" s="405">
        <f t="shared" si="28"/>
        <v>2.15</v>
      </c>
      <c r="T142" s="253">
        <f t="shared" si="29"/>
        <v>17.2</v>
      </c>
      <c r="U142" s="253">
        <f t="shared" si="30"/>
        <v>1.72</v>
      </c>
      <c r="V142" s="2339"/>
    </row>
    <row r="143" spans="1:22">
      <c r="A143" s="2336"/>
      <c r="B143" s="2321"/>
      <c r="C143" s="5">
        <v>37</v>
      </c>
      <c r="D143" s="1918"/>
      <c r="E143" s="2321"/>
      <c r="F143" s="5">
        <v>2.0699999999999998</v>
      </c>
      <c r="G143" s="5">
        <f t="shared" si="31"/>
        <v>6.4584000000000001</v>
      </c>
      <c r="H143" s="5"/>
      <c r="I143" s="5">
        <f t="shared" si="25"/>
        <v>6.4584000000000001</v>
      </c>
      <c r="J143" s="2364"/>
      <c r="L143" s="145">
        <f t="shared" si="32"/>
        <v>2</v>
      </c>
      <c r="M143" s="2325"/>
      <c r="N143" s="5">
        <f t="shared" si="33"/>
        <v>9.32</v>
      </c>
      <c r="O143" s="5">
        <f t="shared" si="34"/>
        <v>9.32</v>
      </c>
      <c r="P143" s="2339"/>
      <c r="R143" s="2346"/>
      <c r="S143" s="405">
        <f t="shared" si="28"/>
        <v>2.0699999999999998</v>
      </c>
      <c r="T143" s="253">
        <f t="shared" si="29"/>
        <v>16.559999999999999</v>
      </c>
      <c r="U143" s="253">
        <f t="shared" si="30"/>
        <v>1.6559999999999999</v>
      </c>
      <c r="V143" s="2339"/>
    </row>
    <row r="144" spans="1:22">
      <c r="A144" s="2336"/>
      <c r="B144" s="2321"/>
      <c r="C144" s="5">
        <v>38</v>
      </c>
      <c r="D144" s="1918"/>
      <c r="E144" s="2321"/>
      <c r="F144" s="5">
        <v>1.25</v>
      </c>
      <c r="G144" s="5">
        <f t="shared" si="31"/>
        <v>3.9000000000000004</v>
      </c>
      <c r="H144" s="5"/>
      <c r="I144" s="5">
        <f t="shared" si="25"/>
        <v>3.9000000000000004</v>
      </c>
      <c r="J144" s="2364"/>
      <c r="L144" s="145">
        <f t="shared" si="32"/>
        <v>1</v>
      </c>
      <c r="M144" s="2325"/>
      <c r="N144" s="5">
        <f t="shared" si="33"/>
        <v>4.66</v>
      </c>
      <c r="O144" s="5">
        <f t="shared" si="34"/>
        <v>4.66</v>
      </c>
      <c r="P144" s="2339"/>
      <c r="R144" s="2346"/>
      <c r="S144" s="405">
        <f t="shared" si="28"/>
        <v>1.25</v>
      </c>
      <c r="T144" s="253">
        <f t="shared" si="29"/>
        <v>10</v>
      </c>
      <c r="U144" s="253">
        <f t="shared" si="30"/>
        <v>1</v>
      </c>
      <c r="V144" s="2339"/>
    </row>
    <row r="145" spans="1:22">
      <c r="A145" s="2336"/>
      <c r="B145" s="2321"/>
      <c r="C145" s="5">
        <v>39</v>
      </c>
      <c r="D145" s="1918"/>
      <c r="E145" s="2321"/>
      <c r="F145" s="5">
        <v>2.4</v>
      </c>
      <c r="G145" s="5">
        <f t="shared" si="31"/>
        <v>7.4879999999999995</v>
      </c>
      <c r="H145" s="5"/>
      <c r="I145" s="5">
        <f t="shared" si="25"/>
        <v>7.4879999999999995</v>
      </c>
      <c r="J145" s="2364"/>
      <c r="L145" s="145">
        <f t="shared" si="32"/>
        <v>2</v>
      </c>
      <c r="M145" s="2325"/>
      <c r="N145" s="5">
        <f t="shared" si="33"/>
        <v>9.32</v>
      </c>
      <c r="O145" s="5">
        <f t="shared" si="34"/>
        <v>9.32</v>
      </c>
      <c r="P145" s="2339"/>
      <c r="R145" s="2346"/>
      <c r="S145" s="405">
        <f t="shared" si="28"/>
        <v>2.4</v>
      </c>
      <c r="T145" s="253">
        <f t="shared" si="29"/>
        <v>19.2</v>
      </c>
      <c r="U145" s="253">
        <f t="shared" si="30"/>
        <v>1.92</v>
      </c>
      <c r="V145" s="2339"/>
    </row>
    <row r="146" spans="1:22">
      <c r="A146" s="2336"/>
      <c r="B146" s="2321"/>
      <c r="C146" s="5">
        <v>40</v>
      </c>
      <c r="D146" s="1918"/>
      <c r="E146" s="2321"/>
      <c r="F146" s="5">
        <v>4.8499999999999996</v>
      </c>
      <c r="G146" s="5">
        <f t="shared" si="31"/>
        <v>15.132</v>
      </c>
      <c r="H146" s="5">
        <f>1.5*0.5</f>
        <v>0.75</v>
      </c>
      <c r="I146" s="5">
        <f t="shared" si="25"/>
        <v>14.382</v>
      </c>
      <c r="J146" s="2364"/>
      <c r="L146" s="145">
        <f t="shared" si="32"/>
        <v>3</v>
      </c>
      <c r="M146" s="2325"/>
      <c r="N146" s="5">
        <f t="shared" si="33"/>
        <v>13.98</v>
      </c>
      <c r="O146" s="5">
        <f t="shared" si="34"/>
        <v>13.98</v>
      </c>
      <c r="P146" s="2339"/>
      <c r="R146" s="2346"/>
      <c r="S146" s="405">
        <f t="shared" si="28"/>
        <v>4.8499999999999996</v>
      </c>
      <c r="T146" s="253">
        <f t="shared" si="29"/>
        <v>38.799999999999997</v>
      </c>
      <c r="U146" s="253">
        <f t="shared" si="30"/>
        <v>3.88</v>
      </c>
      <c r="V146" s="2339"/>
    </row>
    <row r="147" spans="1:22">
      <c r="A147" s="2336"/>
      <c r="B147" s="2321"/>
      <c r="C147" s="5">
        <v>41</v>
      </c>
      <c r="D147" s="1918"/>
      <c r="E147" s="2321"/>
      <c r="F147" s="5">
        <v>4.8499999999999996</v>
      </c>
      <c r="G147" s="5">
        <f t="shared" si="31"/>
        <v>15.132</v>
      </c>
      <c r="H147" s="5"/>
      <c r="I147" s="5">
        <f t="shared" si="25"/>
        <v>15.132</v>
      </c>
      <c r="J147" s="2364"/>
      <c r="L147" s="145">
        <f t="shared" si="32"/>
        <v>3</v>
      </c>
      <c r="M147" s="2325"/>
      <c r="N147" s="5">
        <f t="shared" si="33"/>
        <v>13.98</v>
      </c>
      <c r="O147" s="5">
        <f t="shared" si="34"/>
        <v>13.98</v>
      </c>
      <c r="P147" s="2339"/>
      <c r="R147" s="2346"/>
      <c r="S147" s="405">
        <f t="shared" si="28"/>
        <v>4.8499999999999996</v>
      </c>
      <c r="T147" s="253">
        <f t="shared" si="29"/>
        <v>38.799999999999997</v>
      </c>
      <c r="U147" s="253">
        <f t="shared" si="30"/>
        <v>3.88</v>
      </c>
      <c r="V147" s="2339"/>
    </row>
    <row r="148" spans="1:22">
      <c r="A148" s="2336"/>
      <c r="B148" s="2321"/>
      <c r="C148" s="5">
        <v>42</v>
      </c>
      <c r="D148" s="1918"/>
      <c r="E148" s="2321"/>
      <c r="F148" s="5">
        <v>1.35</v>
      </c>
      <c r="G148" s="5">
        <f t="shared" si="31"/>
        <v>4.2120000000000006</v>
      </c>
      <c r="H148" s="5"/>
      <c r="I148" s="5">
        <f t="shared" si="25"/>
        <v>4.2120000000000006</v>
      </c>
      <c r="J148" s="2364"/>
      <c r="L148" s="145">
        <f t="shared" si="32"/>
        <v>1</v>
      </c>
      <c r="M148" s="2325"/>
      <c r="N148" s="5">
        <f t="shared" si="33"/>
        <v>4.66</v>
      </c>
      <c r="O148" s="5">
        <f t="shared" si="34"/>
        <v>4.66</v>
      </c>
      <c r="P148" s="2339"/>
      <c r="R148" s="2346"/>
      <c r="S148" s="405">
        <f t="shared" si="28"/>
        <v>1.35</v>
      </c>
      <c r="T148" s="253">
        <f t="shared" si="29"/>
        <v>10.8</v>
      </c>
      <c r="U148" s="253">
        <f t="shared" si="30"/>
        <v>1.08</v>
      </c>
      <c r="V148" s="2339"/>
    </row>
    <row r="149" spans="1:22">
      <c r="A149" s="2336"/>
      <c r="B149" s="2321"/>
      <c r="C149" s="5">
        <v>43</v>
      </c>
      <c r="D149" s="1918"/>
      <c r="E149" s="2321"/>
      <c r="F149" s="5">
        <v>8.59</v>
      </c>
      <c r="G149" s="5">
        <f t="shared" si="31"/>
        <v>26.800799999999999</v>
      </c>
      <c r="H149" s="5"/>
      <c r="I149" s="5">
        <f t="shared" si="25"/>
        <v>26.800799999999999</v>
      </c>
      <c r="J149" s="2364"/>
      <c r="L149" s="145">
        <f t="shared" si="32"/>
        <v>5</v>
      </c>
      <c r="M149" s="2325"/>
      <c r="N149" s="5">
        <f t="shared" si="33"/>
        <v>23.3</v>
      </c>
      <c r="O149" s="5">
        <f t="shared" si="34"/>
        <v>23.3</v>
      </c>
      <c r="P149" s="2339"/>
      <c r="R149" s="2346"/>
      <c r="S149" s="405">
        <f t="shared" si="28"/>
        <v>8.59</v>
      </c>
      <c r="T149" s="253">
        <f t="shared" si="29"/>
        <v>68.72</v>
      </c>
      <c r="U149" s="253">
        <f t="shared" si="30"/>
        <v>6.8719999999999999</v>
      </c>
      <c r="V149" s="2339"/>
    </row>
    <row r="150" spans="1:22">
      <c r="A150" s="2336"/>
      <c r="B150" s="2321"/>
      <c r="C150" s="5">
        <v>44</v>
      </c>
      <c r="D150" s="1918"/>
      <c r="E150" s="2321"/>
      <c r="F150" s="5">
        <v>4.16</v>
      </c>
      <c r="G150" s="5">
        <f t="shared" si="31"/>
        <v>12.979200000000001</v>
      </c>
      <c r="H150" s="5"/>
      <c r="I150" s="5">
        <f t="shared" si="25"/>
        <v>12.979200000000001</v>
      </c>
      <c r="J150" s="2364"/>
      <c r="L150" s="145">
        <f t="shared" si="32"/>
        <v>3</v>
      </c>
      <c r="M150" s="2325"/>
      <c r="N150" s="5">
        <f t="shared" si="33"/>
        <v>13.98</v>
      </c>
      <c r="O150" s="5">
        <f t="shared" si="34"/>
        <v>13.98</v>
      </c>
      <c r="P150" s="2339"/>
      <c r="R150" s="2346"/>
      <c r="S150" s="405">
        <f t="shared" si="28"/>
        <v>4.16</v>
      </c>
      <c r="T150" s="253">
        <f t="shared" si="29"/>
        <v>33.28</v>
      </c>
      <c r="U150" s="253">
        <f t="shared" si="30"/>
        <v>3.3280000000000003</v>
      </c>
      <c r="V150" s="2339"/>
    </row>
    <row r="151" spans="1:22">
      <c r="A151" s="2336"/>
      <c r="B151" s="2321"/>
      <c r="C151" s="5">
        <v>45</v>
      </c>
      <c r="D151" s="1918"/>
      <c r="E151" s="2321"/>
      <c r="F151" s="5">
        <v>0.6</v>
      </c>
      <c r="G151" s="5">
        <f t="shared" si="31"/>
        <v>1.8719999999999999</v>
      </c>
      <c r="H151" s="5"/>
      <c r="I151" s="5">
        <f t="shared" si="25"/>
        <v>1.8719999999999999</v>
      </c>
      <c r="J151" s="2364"/>
      <c r="L151" s="145">
        <f t="shared" si="32"/>
        <v>1</v>
      </c>
      <c r="M151" s="2325"/>
      <c r="N151" s="5">
        <f t="shared" si="33"/>
        <v>4.66</v>
      </c>
      <c r="O151" s="5">
        <f t="shared" si="34"/>
        <v>4.66</v>
      </c>
      <c r="P151" s="2339"/>
      <c r="R151" s="2346"/>
      <c r="S151" s="405">
        <f t="shared" si="28"/>
        <v>0.6</v>
      </c>
      <c r="T151" s="253">
        <f t="shared" si="29"/>
        <v>4.8</v>
      </c>
      <c r="U151" s="253">
        <f t="shared" si="30"/>
        <v>0.48</v>
      </c>
      <c r="V151" s="2339"/>
    </row>
    <row r="152" spans="1:22">
      <c r="A152" s="2336"/>
      <c r="B152" s="2321"/>
      <c r="C152" s="5">
        <v>46</v>
      </c>
      <c r="D152" s="1918"/>
      <c r="E152" s="2321"/>
      <c r="F152" s="5">
        <v>0.85</v>
      </c>
      <c r="G152" s="5">
        <f t="shared" si="31"/>
        <v>2.6520000000000001</v>
      </c>
      <c r="H152" s="5"/>
      <c r="I152" s="5">
        <f t="shared" si="25"/>
        <v>2.6520000000000001</v>
      </c>
      <c r="J152" s="2364"/>
      <c r="L152" s="145">
        <f t="shared" si="32"/>
        <v>1</v>
      </c>
      <c r="M152" s="2325"/>
      <c r="N152" s="5">
        <f t="shared" si="33"/>
        <v>4.66</v>
      </c>
      <c r="O152" s="5">
        <f t="shared" si="34"/>
        <v>4.66</v>
      </c>
      <c r="P152" s="2339"/>
      <c r="R152" s="2346"/>
      <c r="S152" s="405">
        <f t="shared" si="28"/>
        <v>0.85</v>
      </c>
      <c r="T152" s="253">
        <f t="shared" si="29"/>
        <v>6.8</v>
      </c>
      <c r="U152" s="253">
        <f t="shared" si="30"/>
        <v>0.68</v>
      </c>
      <c r="V152" s="2339"/>
    </row>
    <row r="153" spans="1:22">
      <c r="A153" s="2336"/>
      <c r="B153" s="2321"/>
      <c r="C153" s="5">
        <v>47</v>
      </c>
      <c r="D153" s="1918"/>
      <c r="E153" s="2321"/>
      <c r="F153" s="5">
        <v>2.4</v>
      </c>
      <c r="G153" s="5">
        <f t="shared" si="31"/>
        <v>7.4879999999999995</v>
      </c>
      <c r="H153" s="5"/>
      <c r="I153" s="5">
        <f t="shared" si="25"/>
        <v>7.4879999999999995</v>
      </c>
      <c r="J153" s="2364"/>
      <c r="L153" s="145">
        <f t="shared" si="32"/>
        <v>2</v>
      </c>
      <c r="M153" s="2325"/>
      <c r="N153" s="5">
        <f t="shared" si="33"/>
        <v>9.32</v>
      </c>
      <c r="O153" s="5">
        <f t="shared" si="34"/>
        <v>9.32</v>
      </c>
      <c r="P153" s="2339"/>
      <c r="R153" s="2346"/>
      <c r="S153" s="405">
        <f t="shared" si="28"/>
        <v>2.4</v>
      </c>
      <c r="T153" s="253">
        <f t="shared" si="29"/>
        <v>19.2</v>
      </c>
      <c r="U153" s="253">
        <f t="shared" si="30"/>
        <v>1.92</v>
      </c>
      <c r="V153" s="2339"/>
    </row>
    <row r="154" spans="1:22">
      <c r="A154" s="2336"/>
      <c r="B154" s="2321"/>
      <c r="C154" s="5">
        <v>48</v>
      </c>
      <c r="D154" s="1918"/>
      <c r="E154" s="2321"/>
      <c r="F154" s="5">
        <v>7.5</v>
      </c>
      <c r="G154" s="5">
        <f t="shared" si="31"/>
        <v>23.400000000000002</v>
      </c>
      <c r="H154" s="5"/>
      <c r="I154" s="5">
        <f t="shared" si="25"/>
        <v>23.400000000000002</v>
      </c>
      <c r="J154" s="2364"/>
      <c r="L154" s="145">
        <f t="shared" si="32"/>
        <v>5</v>
      </c>
      <c r="M154" s="2325"/>
      <c r="N154" s="5">
        <f t="shared" si="33"/>
        <v>23.3</v>
      </c>
      <c r="O154" s="5">
        <f t="shared" si="34"/>
        <v>23.3</v>
      </c>
      <c r="P154" s="2339"/>
      <c r="R154" s="2346"/>
      <c r="S154" s="405">
        <f t="shared" si="28"/>
        <v>7.5</v>
      </c>
      <c r="T154" s="253">
        <f t="shared" si="29"/>
        <v>60</v>
      </c>
      <c r="U154" s="253">
        <f t="shared" si="30"/>
        <v>6</v>
      </c>
      <c r="V154" s="2339"/>
    </row>
    <row r="155" spans="1:22">
      <c r="A155" s="2336"/>
      <c r="B155" s="2321"/>
      <c r="C155" s="5">
        <v>49</v>
      </c>
      <c r="D155" s="1918"/>
      <c r="E155" s="2321"/>
      <c r="F155" s="5">
        <v>2.81</v>
      </c>
      <c r="G155" s="5">
        <f t="shared" si="31"/>
        <v>8.7672000000000008</v>
      </c>
      <c r="H155" s="5"/>
      <c r="I155" s="5">
        <f t="shared" si="25"/>
        <v>8.7672000000000008</v>
      </c>
      <c r="J155" s="2364"/>
      <c r="L155" s="145">
        <f t="shared" si="32"/>
        <v>2</v>
      </c>
      <c r="M155" s="2325"/>
      <c r="N155" s="5">
        <f t="shared" si="33"/>
        <v>9.32</v>
      </c>
      <c r="O155" s="5">
        <f t="shared" si="34"/>
        <v>9.32</v>
      </c>
      <c r="P155" s="2339"/>
      <c r="R155" s="2346"/>
      <c r="S155" s="405">
        <f t="shared" si="28"/>
        <v>2.81</v>
      </c>
      <c r="T155" s="253">
        <f t="shared" si="29"/>
        <v>22.48</v>
      </c>
      <c r="U155" s="253">
        <f t="shared" si="30"/>
        <v>2.2480000000000002</v>
      </c>
      <c r="V155" s="2339"/>
    </row>
    <row r="156" spans="1:22">
      <c r="A156" s="2336"/>
      <c r="B156" s="2321"/>
      <c r="C156" s="5">
        <v>50</v>
      </c>
      <c r="D156" s="1918"/>
      <c r="E156" s="2321"/>
      <c r="F156" s="5">
        <v>3</v>
      </c>
      <c r="G156" s="5">
        <f t="shared" si="31"/>
        <v>9.36</v>
      </c>
      <c r="H156" s="5"/>
      <c r="I156" s="5">
        <f t="shared" si="25"/>
        <v>9.36</v>
      </c>
      <c r="J156" s="2364"/>
      <c r="L156" s="145">
        <f t="shared" si="32"/>
        <v>2</v>
      </c>
      <c r="M156" s="2325"/>
      <c r="N156" s="5">
        <f t="shared" si="33"/>
        <v>9.32</v>
      </c>
      <c r="O156" s="5">
        <f t="shared" si="34"/>
        <v>9.32</v>
      </c>
      <c r="P156" s="2339"/>
      <c r="R156" s="2346"/>
      <c r="S156" s="405">
        <f t="shared" si="28"/>
        <v>3</v>
      </c>
      <c r="T156" s="253">
        <f t="shared" si="29"/>
        <v>24</v>
      </c>
      <c r="U156" s="253">
        <f t="shared" si="30"/>
        <v>2.4000000000000004</v>
      </c>
      <c r="V156" s="2339"/>
    </row>
    <row r="157" spans="1:22">
      <c r="A157" s="2336"/>
      <c r="B157" s="2321"/>
      <c r="C157" s="5">
        <v>51</v>
      </c>
      <c r="D157" s="1918"/>
      <c r="E157" s="2321"/>
      <c r="F157" s="5">
        <v>0.85</v>
      </c>
      <c r="G157" s="5">
        <f t="shared" si="31"/>
        <v>2.6520000000000001</v>
      </c>
      <c r="H157" s="5"/>
      <c r="I157" s="5">
        <f t="shared" si="25"/>
        <v>2.6520000000000001</v>
      </c>
      <c r="J157" s="2364"/>
      <c r="L157" s="145">
        <f t="shared" si="32"/>
        <v>1</v>
      </c>
      <c r="M157" s="2325"/>
      <c r="N157" s="5">
        <f t="shared" si="33"/>
        <v>4.66</v>
      </c>
      <c r="O157" s="5">
        <f t="shared" si="34"/>
        <v>4.66</v>
      </c>
      <c r="P157" s="2339"/>
      <c r="R157" s="2346"/>
      <c r="S157" s="405">
        <f t="shared" si="28"/>
        <v>0.85</v>
      </c>
      <c r="T157" s="253">
        <f t="shared" si="29"/>
        <v>6.8</v>
      </c>
      <c r="U157" s="253">
        <f t="shared" si="30"/>
        <v>0.68</v>
      </c>
      <c r="V157" s="2339"/>
    </row>
    <row r="158" spans="1:22">
      <c r="A158" s="2336"/>
      <c r="B158" s="2321"/>
      <c r="C158" s="5">
        <v>52</v>
      </c>
      <c r="D158" s="1918"/>
      <c r="E158" s="2321"/>
      <c r="F158" s="5">
        <v>0.6</v>
      </c>
      <c r="G158" s="5">
        <f t="shared" si="31"/>
        <v>1.8719999999999999</v>
      </c>
      <c r="H158" s="5"/>
      <c r="I158" s="5">
        <f t="shared" si="25"/>
        <v>1.8719999999999999</v>
      </c>
      <c r="J158" s="2364"/>
      <c r="L158" s="145">
        <f t="shared" si="32"/>
        <v>1</v>
      </c>
      <c r="M158" s="2325"/>
      <c r="N158" s="5">
        <f t="shared" si="33"/>
        <v>4.66</v>
      </c>
      <c r="O158" s="5">
        <f t="shared" si="34"/>
        <v>4.66</v>
      </c>
      <c r="P158" s="2339"/>
      <c r="R158" s="2346"/>
      <c r="S158" s="405">
        <f t="shared" si="28"/>
        <v>0.6</v>
      </c>
      <c r="T158" s="253">
        <f t="shared" si="29"/>
        <v>4.8</v>
      </c>
      <c r="U158" s="253">
        <f t="shared" si="30"/>
        <v>0.48</v>
      </c>
      <c r="V158" s="2339"/>
    </row>
    <row r="159" spans="1:22">
      <c r="A159" s="2336"/>
      <c r="B159" s="2321"/>
      <c r="C159" s="5">
        <v>53</v>
      </c>
      <c r="D159" s="1918"/>
      <c r="E159" s="2321"/>
      <c r="F159" s="5">
        <v>2.4</v>
      </c>
      <c r="G159" s="5">
        <f t="shared" si="31"/>
        <v>7.4879999999999995</v>
      </c>
      <c r="H159" s="5"/>
      <c r="I159" s="5">
        <f t="shared" si="25"/>
        <v>7.4879999999999995</v>
      </c>
      <c r="J159" s="2364"/>
      <c r="L159" s="145">
        <f t="shared" si="32"/>
        <v>2</v>
      </c>
      <c r="M159" s="2325"/>
      <c r="N159" s="5">
        <f t="shared" si="33"/>
        <v>9.32</v>
      </c>
      <c r="O159" s="5">
        <f t="shared" si="34"/>
        <v>9.32</v>
      </c>
      <c r="P159" s="2339"/>
      <c r="R159" s="2346"/>
      <c r="S159" s="405">
        <f t="shared" si="28"/>
        <v>2.4</v>
      </c>
      <c r="T159" s="253">
        <f t="shared" si="29"/>
        <v>19.2</v>
      </c>
      <c r="U159" s="253">
        <f t="shared" si="30"/>
        <v>1.92</v>
      </c>
      <c r="V159" s="2339"/>
    </row>
    <row r="160" spans="1:22">
      <c r="A160" s="2336"/>
      <c r="B160" s="2321"/>
      <c r="C160" s="5">
        <v>54</v>
      </c>
      <c r="D160" s="1918"/>
      <c r="E160" s="2321"/>
      <c r="F160" s="5">
        <v>4.1500000000000004</v>
      </c>
      <c r="G160" s="5">
        <f t="shared" si="31"/>
        <v>12.948000000000002</v>
      </c>
      <c r="H160" s="5"/>
      <c r="I160" s="5">
        <f t="shared" si="25"/>
        <v>12.948000000000002</v>
      </c>
      <c r="J160" s="2364"/>
      <c r="L160" s="145">
        <f t="shared" si="32"/>
        <v>3</v>
      </c>
      <c r="M160" s="2325"/>
      <c r="N160" s="5">
        <f t="shared" si="33"/>
        <v>13.98</v>
      </c>
      <c r="O160" s="5">
        <f t="shared" si="34"/>
        <v>13.98</v>
      </c>
      <c r="P160" s="2339"/>
      <c r="R160" s="2346"/>
      <c r="S160" s="405">
        <f t="shared" si="28"/>
        <v>4.1500000000000004</v>
      </c>
      <c r="T160" s="253">
        <f t="shared" si="29"/>
        <v>33.200000000000003</v>
      </c>
      <c r="U160" s="253">
        <f t="shared" si="30"/>
        <v>3.3200000000000003</v>
      </c>
      <c r="V160" s="2339"/>
    </row>
    <row r="161" spans="1:22">
      <c r="A161" s="2336"/>
      <c r="B161" s="2321"/>
      <c r="C161" s="5">
        <v>55</v>
      </c>
      <c r="D161" s="1918"/>
      <c r="E161" s="2321"/>
      <c r="F161" s="5">
        <v>1.85</v>
      </c>
      <c r="G161" s="5">
        <f t="shared" si="31"/>
        <v>5.7720000000000002</v>
      </c>
      <c r="H161" s="5"/>
      <c r="I161" s="5">
        <f t="shared" si="25"/>
        <v>5.7720000000000002</v>
      </c>
      <c r="J161" s="2364"/>
      <c r="L161" s="145">
        <f t="shared" si="32"/>
        <v>2</v>
      </c>
      <c r="M161" s="2325"/>
      <c r="N161" s="5">
        <f t="shared" si="33"/>
        <v>9.32</v>
      </c>
      <c r="O161" s="5">
        <f t="shared" si="34"/>
        <v>9.32</v>
      </c>
      <c r="P161" s="2339"/>
      <c r="R161" s="2346"/>
      <c r="S161" s="405">
        <f t="shared" si="28"/>
        <v>1.85</v>
      </c>
      <c r="T161" s="253">
        <f t="shared" si="29"/>
        <v>14.8</v>
      </c>
      <c r="U161" s="253">
        <f t="shared" si="30"/>
        <v>1.4800000000000002</v>
      </c>
      <c r="V161" s="2339"/>
    </row>
    <row r="162" spans="1:22">
      <c r="A162" s="2336"/>
      <c r="B162" s="2321"/>
      <c r="C162" s="5">
        <v>56</v>
      </c>
      <c r="D162" s="1918"/>
      <c r="E162" s="2321"/>
      <c r="F162" s="5">
        <v>1.85</v>
      </c>
      <c r="G162" s="5">
        <f t="shared" si="31"/>
        <v>5.7720000000000002</v>
      </c>
      <c r="H162" s="5"/>
      <c r="I162" s="5">
        <f t="shared" si="25"/>
        <v>5.7720000000000002</v>
      </c>
      <c r="J162" s="2364"/>
      <c r="L162" s="145">
        <f t="shared" si="32"/>
        <v>2</v>
      </c>
      <c r="M162" s="2325"/>
      <c r="N162" s="5">
        <f t="shared" si="33"/>
        <v>9.32</v>
      </c>
      <c r="O162" s="5">
        <f t="shared" si="34"/>
        <v>9.32</v>
      </c>
      <c r="P162" s="2339"/>
      <c r="R162" s="2346"/>
      <c r="S162" s="405">
        <f t="shared" si="28"/>
        <v>1.85</v>
      </c>
      <c r="T162" s="253">
        <f t="shared" si="29"/>
        <v>14.8</v>
      </c>
      <c r="U162" s="253">
        <f t="shared" si="30"/>
        <v>1.4800000000000002</v>
      </c>
      <c r="V162" s="2339"/>
    </row>
    <row r="163" spans="1:22">
      <c r="A163" s="2336"/>
      <c r="B163" s="2321"/>
      <c r="C163" s="5">
        <v>57</v>
      </c>
      <c r="D163" s="1918"/>
      <c r="E163" s="2321"/>
      <c r="F163" s="5">
        <v>2.9</v>
      </c>
      <c r="G163" s="5">
        <f t="shared" si="31"/>
        <v>9.048</v>
      </c>
      <c r="H163" s="5"/>
      <c r="I163" s="5">
        <f t="shared" si="25"/>
        <v>9.048</v>
      </c>
      <c r="J163" s="2364"/>
      <c r="L163" s="145">
        <f t="shared" si="32"/>
        <v>2</v>
      </c>
      <c r="M163" s="2325"/>
      <c r="N163" s="5">
        <f t="shared" si="33"/>
        <v>9.32</v>
      </c>
      <c r="O163" s="5">
        <f t="shared" si="34"/>
        <v>9.32</v>
      </c>
      <c r="P163" s="2339"/>
      <c r="R163" s="2346"/>
      <c r="S163" s="405">
        <f t="shared" si="28"/>
        <v>2.9</v>
      </c>
      <c r="T163" s="253">
        <f t="shared" si="29"/>
        <v>23.2</v>
      </c>
      <c r="U163" s="253">
        <f t="shared" si="30"/>
        <v>2.3199999999999998</v>
      </c>
      <c r="V163" s="2339"/>
    </row>
    <row r="164" spans="1:22">
      <c r="A164" s="2336"/>
      <c r="B164" s="2321"/>
      <c r="C164" s="5">
        <v>58</v>
      </c>
      <c r="D164" s="1918"/>
      <c r="E164" s="2321"/>
      <c r="F164" s="5">
        <v>2.14</v>
      </c>
      <c r="G164" s="5">
        <f t="shared" si="31"/>
        <v>6.676800000000001</v>
      </c>
      <c r="H164" s="5"/>
      <c r="I164" s="5">
        <f t="shared" si="25"/>
        <v>6.676800000000001</v>
      </c>
      <c r="J164" s="2364"/>
      <c r="L164" s="145">
        <f t="shared" si="32"/>
        <v>2</v>
      </c>
      <c r="M164" s="2325"/>
      <c r="N164" s="5">
        <f t="shared" si="33"/>
        <v>9.32</v>
      </c>
      <c r="O164" s="5">
        <f t="shared" si="34"/>
        <v>9.32</v>
      </c>
      <c r="P164" s="2339"/>
      <c r="R164" s="2346"/>
      <c r="S164" s="405">
        <f t="shared" si="28"/>
        <v>2.14</v>
      </c>
      <c r="T164" s="253">
        <f t="shared" si="29"/>
        <v>17.12</v>
      </c>
      <c r="U164" s="253">
        <f t="shared" si="30"/>
        <v>1.7120000000000002</v>
      </c>
      <c r="V164" s="2339"/>
    </row>
    <row r="165" spans="1:22">
      <c r="A165" s="2336"/>
      <c r="B165" s="2322"/>
      <c r="C165" s="5">
        <v>59</v>
      </c>
      <c r="D165" s="1918"/>
      <c r="E165" s="2321"/>
      <c r="F165" s="5">
        <v>4.38</v>
      </c>
      <c r="G165" s="5">
        <f t="shared" si="31"/>
        <v>13.6656</v>
      </c>
      <c r="H165" s="5"/>
      <c r="I165" s="5">
        <f t="shared" si="25"/>
        <v>13.6656</v>
      </c>
      <c r="J165" s="2364"/>
      <c r="L165" s="145">
        <f t="shared" si="32"/>
        <v>3</v>
      </c>
      <c r="M165" s="2325"/>
      <c r="N165" s="5">
        <f t="shared" si="33"/>
        <v>13.98</v>
      </c>
      <c r="O165" s="5">
        <f t="shared" si="34"/>
        <v>13.98</v>
      </c>
      <c r="P165" s="2339"/>
      <c r="R165" s="2346"/>
      <c r="S165" s="405">
        <f t="shared" si="28"/>
        <v>4.38</v>
      </c>
      <c r="T165" s="253">
        <f t="shared" si="29"/>
        <v>35.04</v>
      </c>
      <c r="U165" s="253">
        <f t="shared" si="30"/>
        <v>3.504</v>
      </c>
      <c r="V165" s="2339"/>
    </row>
    <row r="166" spans="1:22" ht="12.75" customHeight="1">
      <c r="A166" s="2336"/>
      <c r="B166" s="2325" t="s">
        <v>550</v>
      </c>
      <c r="C166" s="5">
        <v>60</v>
      </c>
      <c r="D166" s="2325">
        <v>0.12</v>
      </c>
      <c r="E166" s="2321"/>
      <c r="F166" s="5">
        <v>3.23</v>
      </c>
      <c r="G166" s="5">
        <f t="shared" si="31"/>
        <v>10.0776</v>
      </c>
      <c r="H166" s="5"/>
      <c r="I166" s="5">
        <f t="shared" si="25"/>
        <v>10.0776</v>
      </c>
      <c r="J166" s="2364"/>
      <c r="L166" s="145">
        <f t="shared" si="32"/>
        <v>2</v>
      </c>
      <c r="M166" s="2325"/>
      <c r="N166" s="5">
        <f t="shared" si="33"/>
        <v>9.32</v>
      </c>
      <c r="O166" s="5">
        <f t="shared" si="34"/>
        <v>9.32</v>
      </c>
      <c r="P166" s="2339"/>
      <c r="R166" s="2346"/>
      <c r="S166" s="405">
        <f t="shared" si="28"/>
        <v>3.23</v>
      </c>
      <c r="T166" s="253">
        <f t="shared" si="29"/>
        <v>25.84</v>
      </c>
      <c r="U166" s="253">
        <f t="shared" si="30"/>
        <v>2.5840000000000001</v>
      </c>
      <c r="V166" s="2339"/>
    </row>
    <row r="167" spans="1:22">
      <c r="A167" s="2336"/>
      <c r="B167" s="2325"/>
      <c r="C167" s="5">
        <v>61</v>
      </c>
      <c r="D167" s="2325"/>
      <c r="E167" s="2321"/>
      <c r="F167" s="5">
        <v>3.42</v>
      </c>
      <c r="G167" s="5">
        <f t="shared" si="31"/>
        <v>10.670400000000001</v>
      </c>
      <c r="H167" s="5"/>
      <c r="I167" s="5">
        <f t="shared" si="25"/>
        <v>10.670400000000001</v>
      </c>
      <c r="J167" s="2364"/>
      <c r="L167" s="145">
        <f t="shared" si="32"/>
        <v>2</v>
      </c>
      <c r="M167" s="2325"/>
      <c r="N167" s="5">
        <f t="shared" si="33"/>
        <v>9.32</v>
      </c>
      <c r="O167" s="5">
        <f t="shared" si="34"/>
        <v>9.32</v>
      </c>
      <c r="P167" s="2339"/>
      <c r="R167" s="2346"/>
      <c r="S167" s="405">
        <f t="shared" si="28"/>
        <v>3.42</v>
      </c>
      <c r="T167" s="253">
        <f t="shared" si="29"/>
        <v>27.36</v>
      </c>
      <c r="U167" s="253">
        <f t="shared" si="30"/>
        <v>2.7360000000000002</v>
      </c>
      <c r="V167" s="2339"/>
    </row>
    <row r="168" spans="1:22">
      <c r="A168" s="2336"/>
      <c r="B168" s="2325"/>
      <c r="C168" s="5">
        <v>62</v>
      </c>
      <c r="D168" s="2325"/>
      <c r="E168" s="2321"/>
      <c r="F168" s="5">
        <v>3</v>
      </c>
      <c r="G168" s="5">
        <f t="shared" si="31"/>
        <v>9.36</v>
      </c>
      <c r="H168" s="5"/>
      <c r="I168" s="5">
        <f t="shared" si="25"/>
        <v>9.36</v>
      </c>
      <c r="J168" s="2364"/>
      <c r="L168" s="145">
        <f t="shared" si="32"/>
        <v>2</v>
      </c>
      <c r="M168" s="2325"/>
      <c r="N168" s="5">
        <f t="shared" si="33"/>
        <v>9.32</v>
      </c>
      <c r="O168" s="5">
        <f t="shared" si="34"/>
        <v>9.32</v>
      </c>
      <c r="P168" s="2339"/>
      <c r="R168" s="2346"/>
      <c r="S168" s="405">
        <f t="shared" si="28"/>
        <v>3</v>
      </c>
      <c r="T168" s="253">
        <f t="shared" si="29"/>
        <v>24</v>
      </c>
      <c r="U168" s="253">
        <f t="shared" si="30"/>
        <v>2.4000000000000004</v>
      </c>
      <c r="V168" s="2339"/>
    </row>
    <row r="169" spans="1:22">
      <c r="A169" s="2336"/>
      <c r="B169" s="2325"/>
      <c r="C169" s="5">
        <v>63</v>
      </c>
      <c r="D169" s="2325"/>
      <c r="E169" s="2321"/>
      <c r="F169" s="5">
        <v>0.38</v>
      </c>
      <c r="G169" s="5">
        <f t="shared" si="31"/>
        <v>1.1856</v>
      </c>
      <c r="H169" s="5"/>
      <c r="I169" s="5">
        <f t="shared" si="25"/>
        <v>1.1856</v>
      </c>
      <c r="J169" s="2364"/>
      <c r="L169" s="145">
        <f t="shared" si="32"/>
        <v>1</v>
      </c>
      <c r="M169" s="2325"/>
      <c r="N169" s="5">
        <f t="shared" si="33"/>
        <v>4.66</v>
      </c>
      <c r="O169" s="5">
        <f t="shared" si="34"/>
        <v>4.66</v>
      </c>
      <c r="P169" s="2339"/>
      <c r="R169" s="2346"/>
      <c r="S169" s="405">
        <f t="shared" si="28"/>
        <v>0.38</v>
      </c>
      <c r="T169" s="253">
        <f t="shared" si="29"/>
        <v>3.04</v>
      </c>
      <c r="U169" s="253">
        <f t="shared" si="30"/>
        <v>0.30400000000000005</v>
      </c>
      <c r="V169" s="2339"/>
    </row>
    <row r="170" spans="1:22">
      <c r="A170" s="2336"/>
      <c r="B170" s="2325"/>
      <c r="C170" s="5">
        <v>64</v>
      </c>
      <c r="D170" s="2325"/>
      <c r="E170" s="2321"/>
      <c r="F170" s="5">
        <v>1.63</v>
      </c>
      <c r="G170" s="5">
        <f t="shared" si="31"/>
        <v>5.0855999999999995</v>
      </c>
      <c r="H170" s="5"/>
      <c r="I170" s="5">
        <f t="shared" si="25"/>
        <v>5.0855999999999995</v>
      </c>
      <c r="J170" s="2364"/>
      <c r="L170" s="145">
        <f t="shared" si="32"/>
        <v>1</v>
      </c>
      <c r="M170" s="2325"/>
      <c r="N170" s="5">
        <f t="shared" si="33"/>
        <v>4.66</v>
      </c>
      <c r="O170" s="5">
        <f t="shared" si="34"/>
        <v>4.66</v>
      </c>
      <c r="P170" s="2339"/>
      <c r="R170" s="2346"/>
      <c r="S170" s="405">
        <f t="shared" si="28"/>
        <v>1.63</v>
      </c>
      <c r="T170" s="253">
        <f t="shared" si="29"/>
        <v>13.04</v>
      </c>
      <c r="U170" s="253">
        <f t="shared" si="30"/>
        <v>1.304</v>
      </c>
      <c r="V170" s="2339"/>
    </row>
    <row r="171" spans="1:22">
      <c r="A171" s="2336"/>
      <c r="B171" s="2325"/>
      <c r="C171" s="5">
        <v>65</v>
      </c>
      <c r="D171" s="2325"/>
      <c r="E171" s="2321"/>
      <c r="F171" s="5">
        <v>1.31</v>
      </c>
      <c r="G171" s="5">
        <f t="shared" si="31"/>
        <v>4.0872000000000002</v>
      </c>
      <c r="H171" s="5"/>
      <c r="I171" s="5">
        <f t="shared" si="25"/>
        <v>4.0872000000000002</v>
      </c>
      <c r="J171" s="2364"/>
      <c r="L171" s="145">
        <f t="shared" si="32"/>
        <v>1</v>
      </c>
      <c r="M171" s="2325"/>
      <c r="N171" s="5">
        <f t="shared" si="33"/>
        <v>4.66</v>
      </c>
      <c r="O171" s="5">
        <f t="shared" si="34"/>
        <v>4.66</v>
      </c>
      <c r="P171" s="2339"/>
      <c r="R171" s="2346"/>
      <c r="S171" s="405">
        <f t="shared" si="28"/>
        <v>1.31</v>
      </c>
      <c r="T171" s="253">
        <f t="shared" si="29"/>
        <v>10.48</v>
      </c>
      <c r="U171" s="253">
        <f t="shared" si="30"/>
        <v>1.048</v>
      </c>
      <c r="V171" s="2339"/>
    </row>
    <row r="172" spans="1:22">
      <c r="A172" s="2336"/>
      <c r="B172" s="2325"/>
      <c r="C172" s="5">
        <v>66</v>
      </c>
      <c r="D172" s="2325"/>
      <c r="E172" s="2321"/>
      <c r="F172" s="5">
        <v>3.25</v>
      </c>
      <c r="G172" s="5">
        <f t="shared" si="31"/>
        <v>10.14</v>
      </c>
      <c r="H172" s="5"/>
      <c r="I172" s="5">
        <f t="shared" ref="I172:I179" si="35">G172-H172</f>
        <v>10.14</v>
      </c>
      <c r="J172" s="2364"/>
      <c r="L172" s="145">
        <f t="shared" si="32"/>
        <v>2</v>
      </c>
      <c r="M172" s="2325"/>
      <c r="N172" s="5">
        <f t="shared" si="33"/>
        <v>9.32</v>
      </c>
      <c r="O172" s="5">
        <f t="shared" si="34"/>
        <v>9.32</v>
      </c>
      <c r="P172" s="2339"/>
      <c r="R172" s="2346"/>
      <c r="S172" s="405">
        <f t="shared" ref="S172:S179" si="36">F172</f>
        <v>3.25</v>
      </c>
      <c r="T172" s="253">
        <f t="shared" ref="T172:T179" si="37">$R$107*S172</f>
        <v>26</v>
      </c>
      <c r="U172" s="253">
        <f t="shared" ref="U172:U179" si="38">T172*0.1</f>
        <v>2.6</v>
      </c>
      <c r="V172" s="2339"/>
    </row>
    <row r="173" spans="1:22">
      <c r="A173" s="2336"/>
      <c r="B173" s="2325"/>
      <c r="C173" s="5">
        <v>67</v>
      </c>
      <c r="D173" s="2325"/>
      <c r="E173" s="2321"/>
      <c r="F173" s="5">
        <v>3.25</v>
      </c>
      <c r="G173" s="5">
        <f t="shared" si="31"/>
        <v>10.14</v>
      </c>
      <c r="H173" s="5"/>
      <c r="I173" s="5">
        <f t="shared" si="35"/>
        <v>10.14</v>
      </c>
      <c r="J173" s="2364"/>
      <c r="L173" s="145">
        <f t="shared" si="32"/>
        <v>2</v>
      </c>
      <c r="M173" s="2325"/>
      <c r="N173" s="5">
        <f t="shared" si="33"/>
        <v>9.32</v>
      </c>
      <c r="O173" s="5">
        <f t="shared" si="34"/>
        <v>9.32</v>
      </c>
      <c r="P173" s="2339"/>
      <c r="R173" s="2346"/>
      <c r="S173" s="405">
        <f t="shared" si="36"/>
        <v>3.25</v>
      </c>
      <c r="T173" s="253">
        <f t="shared" si="37"/>
        <v>26</v>
      </c>
      <c r="U173" s="253">
        <f t="shared" si="38"/>
        <v>2.6</v>
      </c>
      <c r="V173" s="2339"/>
    </row>
    <row r="174" spans="1:22">
      <c r="A174" s="2336"/>
      <c r="B174" s="2325"/>
      <c r="C174" s="5">
        <v>68</v>
      </c>
      <c r="D174" s="2325"/>
      <c r="E174" s="2321"/>
      <c r="F174" s="5">
        <v>3.25</v>
      </c>
      <c r="G174" s="5">
        <f t="shared" si="31"/>
        <v>10.14</v>
      </c>
      <c r="H174" s="5"/>
      <c r="I174" s="5">
        <f t="shared" si="35"/>
        <v>10.14</v>
      </c>
      <c r="J174" s="2364"/>
      <c r="L174" s="145">
        <f t="shared" si="32"/>
        <v>2</v>
      </c>
      <c r="M174" s="2325"/>
      <c r="N174" s="5">
        <f t="shared" si="33"/>
        <v>9.32</v>
      </c>
      <c r="O174" s="5">
        <f t="shared" si="34"/>
        <v>9.32</v>
      </c>
      <c r="P174" s="2339"/>
      <c r="R174" s="2346"/>
      <c r="S174" s="405">
        <f t="shared" si="36"/>
        <v>3.25</v>
      </c>
      <c r="T174" s="253">
        <f t="shared" si="37"/>
        <v>26</v>
      </c>
      <c r="U174" s="253">
        <f t="shared" si="38"/>
        <v>2.6</v>
      </c>
      <c r="V174" s="2339"/>
    </row>
    <row r="175" spans="1:22">
      <c r="A175" s="2336"/>
      <c r="B175" s="2325"/>
      <c r="C175" s="5">
        <v>69</v>
      </c>
      <c r="D175" s="2325"/>
      <c r="E175" s="2321"/>
      <c r="F175" s="5">
        <v>2.63</v>
      </c>
      <c r="G175" s="5">
        <f t="shared" si="31"/>
        <v>8.2056000000000004</v>
      </c>
      <c r="H175" s="5"/>
      <c r="I175" s="5">
        <f t="shared" si="35"/>
        <v>8.2056000000000004</v>
      </c>
      <c r="J175" s="2364"/>
      <c r="L175" s="145">
        <f t="shared" si="32"/>
        <v>2</v>
      </c>
      <c r="M175" s="2325"/>
      <c r="N175" s="5">
        <f t="shared" si="33"/>
        <v>9.32</v>
      </c>
      <c r="O175" s="5">
        <f t="shared" si="34"/>
        <v>9.32</v>
      </c>
      <c r="P175" s="2339"/>
      <c r="R175" s="2346"/>
      <c r="S175" s="405">
        <f t="shared" si="36"/>
        <v>2.63</v>
      </c>
      <c r="T175" s="253">
        <f t="shared" si="37"/>
        <v>21.04</v>
      </c>
      <c r="U175" s="253">
        <f t="shared" si="38"/>
        <v>2.1040000000000001</v>
      </c>
      <c r="V175" s="2339"/>
    </row>
    <row r="176" spans="1:22">
      <c r="A176" s="2336"/>
      <c r="B176" s="2325"/>
      <c r="C176" s="5">
        <v>70</v>
      </c>
      <c r="D176" s="2325"/>
      <c r="E176" s="2321"/>
      <c r="F176" s="5">
        <v>2.79</v>
      </c>
      <c r="G176" s="5">
        <f t="shared" si="31"/>
        <v>8.7048000000000005</v>
      </c>
      <c r="H176" s="5"/>
      <c r="I176" s="5">
        <f t="shared" si="35"/>
        <v>8.7048000000000005</v>
      </c>
      <c r="J176" s="2364"/>
      <c r="L176" s="145">
        <f t="shared" si="32"/>
        <v>2</v>
      </c>
      <c r="M176" s="2325"/>
      <c r="N176" s="5">
        <f t="shared" si="33"/>
        <v>9.32</v>
      </c>
      <c r="O176" s="5">
        <f t="shared" si="34"/>
        <v>9.32</v>
      </c>
      <c r="P176" s="2339"/>
      <c r="R176" s="2346"/>
      <c r="S176" s="405">
        <f t="shared" si="36"/>
        <v>2.79</v>
      </c>
      <c r="T176" s="253">
        <f t="shared" si="37"/>
        <v>22.32</v>
      </c>
      <c r="U176" s="253">
        <f t="shared" si="38"/>
        <v>2.2320000000000002</v>
      </c>
      <c r="V176" s="2339"/>
    </row>
    <row r="177" spans="1:22">
      <c r="A177" s="2336"/>
      <c r="B177" s="2325"/>
      <c r="C177" s="5">
        <v>71</v>
      </c>
      <c r="D177" s="2325"/>
      <c r="E177" s="2321"/>
      <c r="F177" s="5">
        <v>2.79</v>
      </c>
      <c r="G177" s="5">
        <f t="shared" si="31"/>
        <v>8.7048000000000005</v>
      </c>
      <c r="H177" s="5"/>
      <c r="I177" s="5">
        <f t="shared" si="35"/>
        <v>8.7048000000000005</v>
      </c>
      <c r="J177" s="2364"/>
      <c r="L177" s="145">
        <f t="shared" si="32"/>
        <v>2</v>
      </c>
      <c r="M177" s="2325"/>
      <c r="N177" s="5">
        <f t="shared" si="33"/>
        <v>9.32</v>
      </c>
      <c r="O177" s="5">
        <f t="shared" si="34"/>
        <v>9.32</v>
      </c>
      <c r="P177" s="2339"/>
      <c r="R177" s="2346"/>
      <c r="S177" s="405">
        <f t="shared" si="36"/>
        <v>2.79</v>
      </c>
      <c r="T177" s="253">
        <f t="shared" si="37"/>
        <v>22.32</v>
      </c>
      <c r="U177" s="253">
        <f t="shared" si="38"/>
        <v>2.2320000000000002</v>
      </c>
      <c r="V177" s="2339"/>
    </row>
    <row r="178" spans="1:22">
      <c r="A178" s="2336"/>
      <c r="B178" s="2325"/>
      <c r="C178" s="5">
        <v>72</v>
      </c>
      <c r="D178" s="2325"/>
      <c r="E178" s="2321"/>
      <c r="F178" s="5">
        <v>3.35</v>
      </c>
      <c r="G178" s="5">
        <f t="shared" si="31"/>
        <v>10.452</v>
      </c>
      <c r="H178" s="5"/>
      <c r="I178" s="5">
        <f t="shared" si="35"/>
        <v>10.452</v>
      </c>
      <c r="J178" s="2364"/>
      <c r="L178" s="145">
        <f t="shared" si="32"/>
        <v>2</v>
      </c>
      <c r="M178" s="2325"/>
      <c r="N178" s="5">
        <f t="shared" si="33"/>
        <v>9.32</v>
      </c>
      <c r="O178" s="5">
        <f t="shared" si="34"/>
        <v>9.32</v>
      </c>
      <c r="P178" s="2339"/>
      <c r="R178" s="2346"/>
      <c r="S178" s="405">
        <f t="shared" si="36"/>
        <v>3.35</v>
      </c>
      <c r="T178" s="253">
        <f t="shared" si="37"/>
        <v>26.8</v>
      </c>
      <c r="U178" s="253">
        <f t="shared" si="38"/>
        <v>2.68</v>
      </c>
      <c r="V178" s="2339"/>
    </row>
    <row r="179" spans="1:22" ht="13.5" thickBot="1">
      <c r="A179" s="2337"/>
      <c r="B179" s="2326"/>
      <c r="C179" s="167">
        <v>73</v>
      </c>
      <c r="D179" s="2326"/>
      <c r="E179" s="2324"/>
      <c r="F179" s="167">
        <v>3.35</v>
      </c>
      <c r="G179" s="167">
        <f t="shared" si="31"/>
        <v>10.452</v>
      </c>
      <c r="H179" s="167"/>
      <c r="I179" s="167">
        <f t="shared" si="35"/>
        <v>10.452</v>
      </c>
      <c r="J179" s="2365"/>
      <c r="L179" s="402">
        <f t="shared" si="32"/>
        <v>2</v>
      </c>
      <c r="M179" s="2323"/>
      <c r="N179" s="230">
        <f t="shared" si="33"/>
        <v>9.32</v>
      </c>
      <c r="O179" s="230">
        <f t="shared" si="34"/>
        <v>9.32</v>
      </c>
      <c r="P179" s="2375"/>
      <c r="R179" s="2347"/>
      <c r="S179" s="405">
        <f t="shared" si="36"/>
        <v>3.35</v>
      </c>
      <c r="T179" s="253">
        <f t="shared" si="37"/>
        <v>26.8</v>
      </c>
      <c r="U179" s="253">
        <f t="shared" si="38"/>
        <v>2.68</v>
      </c>
      <c r="V179" s="2375"/>
    </row>
    <row r="180" spans="1:22" ht="13.5" thickBot="1">
      <c r="A180" s="2307" t="s">
        <v>551</v>
      </c>
      <c r="B180" s="2308"/>
      <c r="C180" s="2308"/>
      <c r="D180" s="2308"/>
      <c r="E180" s="2308"/>
      <c r="F180" s="2308"/>
      <c r="G180" s="2308"/>
      <c r="H180" s="2309"/>
      <c r="I180" s="392">
        <f>SUM(I107:I165)</f>
        <v>562.62829999999997</v>
      </c>
      <c r="J180" s="2305" t="s">
        <v>55</v>
      </c>
      <c r="L180" s="2366" t="s">
        <v>563</v>
      </c>
      <c r="M180" s="2367"/>
      <c r="N180" s="2367"/>
      <c r="O180" s="2370">
        <f>SUM(O107:O179)</f>
        <v>915.96000000000106</v>
      </c>
      <c r="P180" s="2376" t="s">
        <v>39</v>
      </c>
      <c r="R180" s="2366" t="s">
        <v>563</v>
      </c>
      <c r="S180" s="2367"/>
      <c r="T180" s="2367"/>
      <c r="U180" s="2370">
        <f>SUM(U107:U179)</f>
        <v>201.21599999999995</v>
      </c>
      <c r="V180" s="2376" t="s">
        <v>39</v>
      </c>
    </row>
    <row r="181" spans="1:22" ht="13.5" thickBot="1">
      <c r="A181" s="2307" t="s">
        <v>552</v>
      </c>
      <c r="B181" s="2308"/>
      <c r="C181" s="2308"/>
      <c r="D181" s="2308"/>
      <c r="E181" s="2308"/>
      <c r="F181" s="2308"/>
      <c r="G181" s="2308"/>
      <c r="H181" s="2309"/>
      <c r="I181" s="392">
        <f>SUM(I166:I179)</f>
        <v>117.40560000000002</v>
      </c>
      <c r="J181" s="2306"/>
      <c r="L181" s="2368"/>
      <c r="M181" s="2369"/>
      <c r="N181" s="2369"/>
      <c r="O181" s="2371"/>
      <c r="P181" s="2377"/>
      <c r="R181" s="2368"/>
      <c r="S181" s="2369"/>
      <c r="T181" s="2369"/>
      <c r="U181" s="2371"/>
      <c r="V181" s="2377"/>
    </row>
    <row r="182" spans="1:22" ht="12.75" customHeight="1">
      <c r="A182" s="2335">
        <v>4</v>
      </c>
      <c r="B182" s="2349" t="s">
        <v>549</v>
      </c>
      <c r="C182" s="398">
        <v>1</v>
      </c>
      <c r="D182" s="2094">
        <v>0.15</v>
      </c>
      <c r="E182" s="2320">
        <v>2.64</v>
      </c>
      <c r="F182" s="398">
        <v>2.12</v>
      </c>
      <c r="G182" s="165">
        <f>$E$182*F182</f>
        <v>5.5968000000000009</v>
      </c>
      <c r="H182" s="165">
        <f>1.302*1.395</f>
        <v>1.8162900000000002</v>
      </c>
      <c r="I182" s="165">
        <f>G182-H182</f>
        <v>3.7805100000000005</v>
      </c>
      <c r="J182" s="2342" t="s">
        <v>55</v>
      </c>
      <c r="L182" s="154">
        <f>TRUNC((F182/1.2))+1</f>
        <v>2</v>
      </c>
      <c r="M182" s="2322">
        <f>($E$182)+(0.12+0.56+0.9)</f>
        <v>4.2200000000000006</v>
      </c>
      <c r="N182" s="253">
        <f>$M$182*L182</f>
        <v>8.4400000000000013</v>
      </c>
      <c r="O182" s="253">
        <f t="shared" si="34"/>
        <v>8.4400000000000013</v>
      </c>
      <c r="P182" s="2374" t="s">
        <v>39</v>
      </c>
      <c r="R182" s="2345">
        <v>8</v>
      </c>
      <c r="S182" s="405">
        <f>F182</f>
        <v>2.12</v>
      </c>
      <c r="T182" s="253">
        <f>$R$182*S182</f>
        <v>16.96</v>
      </c>
      <c r="U182" s="253">
        <f>T182*0.1</f>
        <v>1.6960000000000002</v>
      </c>
      <c r="V182" s="2374" t="s">
        <v>39</v>
      </c>
    </row>
    <row r="183" spans="1:22">
      <c r="A183" s="2336"/>
      <c r="B183" s="2325"/>
      <c r="C183" s="189">
        <v>2</v>
      </c>
      <c r="D183" s="1828"/>
      <c r="E183" s="2321"/>
      <c r="F183" s="189">
        <v>5.4</v>
      </c>
      <c r="G183" s="5">
        <f t="shared" ref="G183:G189" si="39">$E$182*F183</f>
        <v>14.256000000000002</v>
      </c>
      <c r="H183" s="5">
        <f>1.3*1.395</f>
        <v>1.8135000000000001</v>
      </c>
      <c r="I183" s="5">
        <f t="shared" ref="I183:I246" si="40">G183-H183</f>
        <v>12.442500000000003</v>
      </c>
      <c r="J183" s="2339"/>
      <c r="L183" s="145">
        <f t="shared" ref="L183:L189" si="41">TRUNC((F183/1.2))+1</f>
        <v>5</v>
      </c>
      <c r="M183" s="2325"/>
      <c r="N183" s="5">
        <f t="shared" ref="N183:N189" si="42">$M$182*L183</f>
        <v>21.1</v>
      </c>
      <c r="O183" s="5">
        <f t="shared" si="34"/>
        <v>21.1</v>
      </c>
      <c r="P183" s="2339"/>
      <c r="R183" s="2346"/>
      <c r="S183" s="405">
        <f t="shared" ref="S183:S246" si="43">F183</f>
        <v>5.4</v>
      </c>
      <c r="T183" s="253">
        <f t="shared" ref="T183:T246" si="44">$R$182*S183</f>
        <v>43.2</v>
      </c>
      <c r="U183" s="253">
        <f t="shared" ref="U183:U246" si="45">T183*0.1</f>
        <v>4.32</v>
      </c>
      <c r="V183" s="2339"/>
    </row>
    <row r="184" spans="1:22">
      <c r="A184" s="2336"/>
      <c r="B184" s="2325"/>
      <c r="C184" s="189">
        <v>3</v>
      </c>
      <c r="D184" s="1828"/>
      <c r="E184" s="2321"/>
      <c r="F184" s="189">
        <v>2.2200000000000002</v>
      </c>
      <c r="G184" s="5">
        <f t="shared" si="39"/>
        <v>5.8608000000000011</v>
      </c>
      <c r="H184" s="5"/>
      <c r="I184" s="5">
        <f t="shared" si="40"/>
        <v>5.8608000000000011</v>
      </c>
      <c r="J184" s="2339"/>
      <c r="L184" s="145">
        <f t="shared" si="41"/>
        <v>2</v>
      </c>
      <c r="M184" s="2325"/>
      <c r="N184" s="5">
        <f t="shared" si="42"/>
        <v>8.4400000000000013</v>
      </c>
      <c r="O184" s="5">
        <f t="shared" si="34"/>
        <v>8.4400000000000013</v>
      </c>
      <c r="P184" s="2339"/>
      <c r="R184" s="2346"/>
      <c r="S184" s="405">
        <f t="shared" si="43"/>
        <v>2.2200000000000002</v>
      </c>
      <c r="T184" s="253">
        <f t="shared" si="44"/>
        <v>17.760000000000002</v>
      </c>
      <c r="U184" s="253">
        <f t="shared" si="45"/>
        <v>1.7760000000000002</v>
      </c>
      <c r="V184" s="2339"/>
    </row>
    <row r="185" spans="1:22">
      <c r="A185" s="2336"/>
      <c r="B185" s="2325"/>
      <c r="C185" s="189">
        <v>4</v>
      </c>
      <c r="D185" s="1828"/>
      <c r="E185" s="2321"/>
      <c r="F185" s="189">
        <v>1.81</v>
      </c>
      <c r="G185" s="5">
        <f t="shared" si="39"/>
        <v>4.7784000000000004</v>
      </c>
      <c r="H185" s="5"/>
      <c r="I185" s="5">
        <f t="shared" si="40"/>
        <v>4.7784000000000004</v>
      </c>
      <c r="J185" s="2339"/>
      <c r="L185" s="145">
        <f t="shared" si="41"/>
        <v>2</v>
      </c>
      <c r="M185" s="2325"/>
      <c r="N185" s="5">
        <f t="shared" si="42"/>
        <v>8.4400000000000013</v>
      </c>
      <c r="O185" s="5">
        <f t="shared" si="34"/>
        <v>8.4400000000000013</v>
      </c>
      <c r="P185" s="2339"/>
      <c r="R185" s="2346"/>
      <c r="S185" s="405">
        <f t="shared" si="43"/>
        <v>1.81</v>
      </c>
      <c r="T185" s="253">
        <f t="shared" si="44"/>
        <v>14.48</v>
      </c>
      <c r="U185" s="253">
        <f t="shared" si="45"/>
        <v>1.4480000000000002</v>
      </c>
      <c r="V185" s="2339"/>
    </row>
    <row r="186" spans="1:22">
      <c r="A186" s="2336"/>
      <c r="B186" s="2325"/>
      <c r="C186" s="189">
        <v>5</v>
      </c>
      <c r="D186" s="1828"/>
      <c r="E186" s="2321"/>
      <c r="F186" s="189">
        <v>3.74</v>
      </c>
      <c r="G186" s="5">
        <f t="shared" si="39"/>
        <v>9.8736000000000015</v>
      </c>
      <c r="H186" s="5"/>
      <c r="I186" s="5">
        <f t="shared" si="40"/>
        <v>9.8736000000000015</v>
      </c>
      <c r="J186" s="2339"/>
      <c r="L186" s="145">
        <f t="shared" si="41"/>
        <v>4</v>
      </c>
      <c r="M186" s="2325"/>
      <c r="N186" s="5">
        <f t="shared" si="42"/>
        <v>16.880000000000003</v>
      </c>
      <c r="O186" s="5">
        <f t="shared" si="34"/>
        <v>16.880000000000003</v>
      </c>
      <c r="P186" s="2339"/>
      <c r="R186" s="2346"/>
      <c r="S186" s="405">
        <f t="shared" si="43"/>
        <v>3.74</v>
      </c>
      <c r="T186" s="253">
        <f t="shared" si="44"/>
        <v>29.92</v>
      </c>
      <c r="U186" s="253">
        <f t="shared" si="45"/>
        <v>2.9920000000000004</v>
      </c>
      <c r="V186" s="2339"/>
    </row>
    <row r="187" spans="1:22">
      <c r="A187" s="2336"/>
      <c r="B187" s="2325"/>
      <c r="C187" s="189">
        <v>6</v>
      </c>
      <c r="D187" s="1828"/>
      <c r="E187" s="2321"/>
      <c r="F187" s="189">
        <v>1.1100000000000001</v>
      </c>
      <c r="G187" s="5">
        <f t="shared" si="39"/>
        <v>2.9304000000000006</v>
      </c>
      <c r="H187" s="5"/>
      <c r="I187" s="5">
        <f t="shared" si="40"/>
        <v>2.9304000000000006</v>
      </c>
      <c r="J187" s="2339"/>
      <c r="L187" s="145">
        <f t="shared" si="41"/>
        <v>1</v>
      </c>
      <c r="M187" s="2325"/>
      <c r="N187" s="5">
        <f t="shared" si="42"/>
        <v>4.2200000000000006</v>
      </c>
      <c r="O187" s="5">
        <f t="shared" si="34"/>
        <v>4.2200000000000006</v>
      </c>
      <c r="P187" s="2339"/>
      <c r="R187" s="2346"/>
      <c r="S187" s="405">
        <f t="shared" si="43"/>
        <v>1.1100000000000001</v>
      </c>
      <c r="T187" s="253">
        <f t="shared" si="44"/>
        <v>8.8800000000000008</v>
      </c>
      <c r="U187" s="253">
        <f t="shared" si="45"/>
        <v>0.88800000000000012</v>
      </c>
      <c r="V187" s="2339"/>
    </row>
    <row r="188" spans="1:22">
      <c r="A188" s="2336"/>
      <c r="B188" s="2325"/>
      <c r="C188" s="189">
        <v>7</v>
      </c>
      <c r="D188" s="1828"/>
      <c r="E188" s="2321"/>
      <c r="F188" s="189">
        <v>1.1399999999999999</v>
      </c>
      <c r="G188" s="5">
        <f t="shared" si="39"/>
        <v>3.0095999999999998</v>
      </c>
      <c r="H188" s="5"/>
      <c r="I188" s="5">
        <f t="shared" si="40"/>
        <v>3.0095999999999998</v>
      </c>
      <c r="J188" s="2339"/>
      <c r="L188" s="145">
        <f t="shared" si="41"/>
        <v>1</v>
      </c>
      <c r="M188" s="2325"/>
      <c r="N188" s="5">
        <f t="shared" si="42"/>
        <v>4.2200000000000006</v>
      </c>
      <c r="O188" s="5">
        <f t="shared" si="34"/>
        <v>4.2200000000000006</v>
      </c>
      <c r="P188" s="2339"/>
      <c r="R188" s="2346"/>
      <c r="S188" s="405">
        <f t="shared" si="43"/>
        <v>1.1399999999999999</v>
      </c>
      <c r="T188" s="253">
        <f t="shared" si="44"/>
        <v>9.1199999999999992</v>
      </c>
      <c r="U188" s="253">
        <f t="shared" si="45"/>
        <v>0.91199999999999992</v>
      </c>
      <c r="V188" s="2339"/>
    </row>
    <row r="189" spans="1:22">
      <c r="A189" s="2336"/>
      <c r="B189" s="2325"/>
      <c r="C189" s="189">
        <v>8</v>
      </c>
      <c r="D189" s="1828"/>
      <c r="E189" s="2322"/>
      <c r="F189" s="189">
        <v>2.2200000000000002</v>
      </c>
      <c r="G189" s="5">
        <f t="shared" si="39"/>
        <v>5.8608000000000011</v>
      </c>
      <c r="H189" s="5"/>
      <c r="I189" s="5">
        <f t="shared" si="40"/>
        <v>5.8608000000000011</v>
      </c>
      <c r="J189" s="2339"/>
      <c r="L189" s="145">
        <f t="shared" si="41"/>
        <v>2</v>
      </c>
      <c r="M189" s="2325"/>
      <c r="N189" s="5">
        <f t="shared" si="42"/>
        <v>8.4400000000000013</v>
      </c>
      <c r="O189" s="5">
        <f t="shared" si="34"/>
        <v>8.4400000000000013</v>
      </c>
      <c r="P189" s="2339"/>
      <c r="R189" s="2346"/>
      <c r="S189" s="405">
        <f t="shared" si="43"/>
        <v>2.2200000000000002</v>
      </c>
      <c r="T189" s="253">
        <f t="shared" si="44"/>
        <v>17.760000000000002</v>
      </c>
      <c r="U189" s="253">
        <f t="shared" si="45"/>
        <v>1.7760000000000002</v>
      </c>
      <c r="V189" s="2339"/>
    </row>
    <row r="190" spans="1:22">
      <c r="A190" s="2336"/>
      <c r="B190" s="2325"/>
      <c r="C190" s="189">
        <v>9</v>
      </c>
      <c r="D190" s="1828"/>
      <c r="E190" s="387">
        <v>3.12</v>
      </c>
      <c r="F190" s="189">
        <v>12.74</v>
      </c>
      <c r="G190" s="5">
        <f>$E$190*F190</f>
        <v>39.748800000000003</v>
      </c>
      <c r="H190" s="5"/>
      <c r="I190" s="5">
        <f t="shared" si="40"/>
        <v>39.748800000000003</v>
      </c>
      <c r="J190" s="2339"/>
      <c r="L190" s="145">
        <f>TRUNC((F190/1.8))+1</f>
        <v>8</v>
      </c>
      <c r="M190" s="384">
        <f>($E$190)+(0.66+0.88)</f>
        <v>4.66</v>
      </c>
      <c r="N190" s="5">
        <f>M190*L190</f>
        <v>37.28</v>
      </c>
      <c r="O190" s="5">
        <f t="shared" si="34"/>
        <v>37.28</v>
      </c>
      <c r="P190" s="2339"/>
      <c r="R190" s="2346"/>
      <c r="S190" s="405">
        <f t="shared" si="43"/>
        <v>12.74</v>
      </c>
      <c r="T190" s="253">
        <f t="shared" si="44"/>
        <v>101.92</v>
      </c>
      <c r="U190" s="253">
        <f t="shared" si="45"/>
        <v>10.192</v>
      </c>
      <c r="V190" s="2339"/>
    </row>
    <row r="191" spans="1:22">
      <c r="A191" s="2336"/>
      <c r="B191" s="2325"/>
      <c r="C191" s="189">
        <v>10</v>
      </c>
      <c r="D191" s="1828"/>
      <c r="E191" s="2323">
        <v>2.64</v>
      </c>
      <c r="F191" s="189">
        <v>2.2599999999999998</v>
      </c>
      <c r="G191" s="5">
        <f t="shared" ref="G191:G196" si="46">$E$191*F191</f>
        <v>5.9664000000000001</v>
      </c>
      <c r="H191" s="5"/>
      <c r="I191" s="5">
        <f t="shared" si="40"/>
        <v>5.9664000000000001</v>
      </c>
      <c r="J191" s="2339"/>
      <c r="L191" s="145">
        <f t="shared" ref="L191:L196" si="47">TRUNC((F191/1.2))+1</f>
        <v>2</v>
      </c>
      <c r="M191" s="2325">
        <f>($E$191)+(0.12+0.56+0.9)</f>
        <v>4.2200000000000006</v>
      </c>
      <c r="N191" s="5">
        <f t="shared" ref="N191:N196" si="48">$M$191*L191</f>
        <v>8.4400000000000013</v>
      </c>
      <c r="O191" s="5">
        <f t="shared" si="34"/>
        <v>8.4400000000000013</v>
      </c>
      <c r="P191" s="2339"/>
      <c r="R191" s="2346"/>
      <c r="S191" s="405">
        <f t="shared" si="43"/>
        <v>2.2599999999999998</v>
      </c>
      <c r="T191" s="253">
        <f t="shared" si="44"/>
        <v>18.079999999999998</v>
      </c>
      <c r="U191" s="253">
        <f t="shared" si="45"/>
        <v>1.8079999999999998</v>
      </c>
      <c r="V191" s="2339"/>
    </row>
    <row r="192" spans="1:22">
      <c r="A192" s="2336"/>
      <c r="B192" s="2325"/>
      <c r="C192" s="189">
        <v>11</v>
      </c>
      <c r="D192" s="1828"/>
      <c r="E192" s="2321"/>
      <c r="F192" s="189">
        <v>7.04</v>
      </c>
      <c r="G192" s="5">
        <f t="shared" si="46"/>
        <v>18.585599999999999</v>
      </c>
      <c r="H192" s="5"/>
      <c r="I192" s="5">
        <f t="shared" si="40"/>
        <v>18.585599999999999</v>
      </c>
      <c r="J192" s="2339"/>
      <c r="L192" s="145">
        <f t="shared" si="47"/>
        <v>6</v>
      </c>
      <c r="M192" s="2325"/>
      <c r="N192" s="5">
        <f t="shared" si="48"/>
        <v>25.320000000000004</v>
      </c>
      <c r="O192" s="5">
        <f t="shared" si="34"/>
        <v>25.320000000000004</v>
      </c>
      <c r="P192" s="2339"/>
      <c r="R192" s="2346"/>
      <c r="S192" s="405">
        <f t="shared" si="43"/>
        <v>7.04</v>
      </c>
      <c r="T192" s="253">
        <f t="shared" si="44"/>
        <v>56.32</v>
      </c>
      <c r="U192" s="253">
        <f t="shared" si="45"/>
        <v>5.6320000000000006</v>
      </c>
      <c r="V192" s="2339"/>
    </row>
    <row r="193" spans="1:22">
      <c r="A193" s="2336"/>
      <c r="B193" s="2325"/>
      <c r="C193" s="189">
        <v>12</v>
      </c>
      <c r="D193" s="1828"/>
      <c r="E193" s="2321"/>
      <c r="F193" s="189">
        <v>9.4</v>
      </c>
      <c r="G193" s="5">
        <f t="shared" si="46"/>
        <v>24.816000000000003</v>
      </c>
      <c r="H193" s="5">
        <f>3*1.395*1.5</f>
        <v>6.2775000000000007</v>
      </c>
      <c r="I193" s="5">
        <f t="shared" si="40"/>
        <v>18.538500000000003</v>
      </c>
      <c r="J193" s="2339"/>
      <c r="L193" s="145">
        <f t="shared" si="47"/>
        <v>8</v>
      </c>
      <c r="M193" s="2325"/>
      <c r="N193" s="5">
        <f t="shared" si="48"/>
        <v>33.760000000000005</v>
      </c>
      <c r="O193" s="5">
        <f t="shared" si="34"/>
        <v>33.760000000000005</v>
      </c>
      <c r="P193" s="2339"/>
      <c r="R193" s="2346"/>
      <c r="S193" s="405">
        <f t="shared" si="43"/>
        <v>9.4</v>
      </c>
      <c r="T193" s="253">
        <f t="shared" si="44"/>
        <v>75.2</v>
      </c>
      <c r="U193" s="253">
        <f t="shared" si="45"/>
        <v>7.5200000000000005</v>
      </c>
      <c r="V193" s="2339"/>
    </row>
    <row r="194" spans="1:22">
      <c r="A194" s="2336"/>
      <c r="B194" s="2325"/>
      <c r="C194" s="189">
        <v>13</v>
      </c>
      <c r="D194" s="1828"/>
      <c r="E194" s="2321"/>
      <c r="F194" s="189">
        <v>5.46</v>
      </c>
      <c r="G194" s="5">
        <f t="shared" si="46"/>
        <v>14.414400000000001</v>
      </c>
      <c r="H194" s="5">
        <f>2*1.395*1.5</f>
        <v>4.1850000000000005</v>
      </c>
      <c r="I194" s="5">
        <f t="shared" si="40"/>
        <v>10.2294</v>
      </c>
      <c r="J194" s="2339"/>
      <c r="L194" s="145">
        <f t="shared" si="47"/>
        <v>5</v>
      </c>
      <c r="M194" s="2325"/>
      <c r="N194" s="5">
        <f t="shared" si="48"/>
        <v>21.1</v>
      </c>
      <c r="O194" s="5">
        <f t="shared" si="34"/>
        <v>21.1</v>
      </c>
      <c r="P194" s="2339"/>
      <c r="R194" s="2346"/>
      <c r="S194" s="405">
        <f t="shared" si="43"/>
        <v>5.46</v>
      </c>
      <c r="T194" s="253">
        <f t="shared" si="44"/>
        <v>43.68</v>
      </c>
      <c r="U194" s="253">
        <f t="shared" si="45"/>
        <v>4.3680000000000003</v>
      </c>
      <c r="V194" s="2339"/>
    </row>
    <row r="195" spans="1:22">
      <c r="A195" s="2336"/>
      <c r="B195" s="2325"/>
      <c r="C195" s="189">
        <v>14</v>
      </c>
      <c r="D195" s="1828"/>
      <c r="E195" s="2321"/>
      <c r="F195" s="189">
        <v>3.34</v>
      </c>
      <c r="G195" s="5">
        <f t="shared" si="46"/>
        <v>8.8176000000000005</v>
      </c>
      <c r="H195" s="5">
        <f>1.302*1.395</f>
        <v>1.8162900000000002</v>
      </c>
      <c r="I195" s="5">
        <f t="shared" si="40"/>
        <v>7.0013100000000001</v>
      </c>
      <c r="J195" s="2339"/>
      <c r="L195" s="145">
        <f t="shared" si="47"/>
        <v>3</v>
      </c>
      <c r="M195" s="2325"/>
      <c r="N195" s="5">
        <f t="shared" si="48"/>
        <v>12.660000000000002</v>
      </c>
      <c r="O195" s="5">
        <f t="shared" si="34"/>
        <v>12.660000000000002</v>
      </c>
      <c r="P195" s="2339"/>
      <c r="R195" s="2346"/>
      <c r="S195" s="405">
        <f t="shared" si="43"/>
        <v>3.34</v>
      </c>
      <c r="T195" s="253">
        <f t="shared" si="44"/>
        <v>26.72</v>
      </c>
      <c r="U195" s="253">
        <f t="shared" si="45"/>
        <v>2.6720000000000002</v>
      </c>
      <c r="V195" s="2339"/>
    </row>
    <row r="196" spans="1:22">
      <c r="A196" s="2336"/>
      <c r="B196" s="2325"/>
      <c r="C196" s="189">
        <v>15</v>
      </c>
      <c r="D196" s="1828"/>
      <c r="E196" s="2322"/>
      <c r="F196" s="189">
        <v>4.4400000000000004</v>
      </c>
      <c r="G196" s="5">
        <f t="shared" si="46"/>
        <v>11.721600000000002</v>
      </c>
      <c r="H196" s="5">
        <f>1.3*1.395+1.395*1.5</f>
        <v>3.9060000000000006</v>
      </c>
      <c r="I196" s="5">
        <f t="shared" si="40"/>
        <v>7.8156000000000017</v>
      </c>
      <c r="J196" s="2339"/>
      <c r="L196" s="145">
        <f t="shared" si="47"/>
        <v>4</v>
      </c>
      <c r="M196" s="2325"/>
      <c r="N196" s="5">
        <f t="shared" si="48"/>
        <v>16.880000000000003</v>
      </c>
      <c r="O196" s="5">
        <f t="shared" si="34"/>
        <v>16.880000000000003</v>
      </c>
      <c r="P196" s="2339"/>
      <c r="R196" s="2346"/>
      <c r="S196" s="405">
        <f t="shared" si="43"/>
        <v>4.4400000000000004</v>
      </c>
      <c r="T196" s="253">
        <f t="shared" si="44"/>
        <v>35.520000000000003</v>
      </c>
      <c r="U196" s="253">
        <f t="shared" si="45"/>
        <v>3.5520000000000005</v>
      </c>
      <c r="V196" s="2339"/>
    </row>
    <row r="197" spans="1:22">
      <c r="A197" s="2336"/>
      <c r="B197" s="2325"/>
      <c r="C197" s="189">
        <v>16</v>
      </c>
      <c r="D197" s="1828"/>
      <c r="E197" s="2323">
        <v>3.12</v>
      </c>
      <c r="F197" s="189">
        <v>5</v>
      </c>
      <c r="G197" s="5">
        <f>$E$197*F197</f>
        <v>15.600000000000001</v>
      </c>
      <c r="H197" s="5"/>
      <c r="I197" s="5">
        <f t="shared" si="40"/>
        <v>15.600000000000001</v>
      </c>
      <c r="J197" s="2339"/>
      <c r="L197" s="145">
        <f>TRUNC((F197/1.8))+1</f>
        <v>3</v>
      </c>
      <c r="M197" s="2325">
        <f>($E$197)+(0.66+0.88)</f>
        <v>4.66</v>
      </c>
      <c r="N197" s="5">
        <f>$M$197*L197</f>
        <v>13.98</v>
      </c>
      <c r="O197" s="5">
        <f t="shared" si="34"/>
        <v>13.98</v>
      </c>
      <c r="P197" s="2339"/>
      <c r="R197" s="2346"/>
      <c r="S197" s="405">
        <f t="shared" si="43"/>
        <v>5</v>
      </c>
      <c r="T197" s="253">
        <f t="shared" si="44"/>
        <v>40</v>
      </c>
      <c r="U197" s="253">
        <f t="shared" si="45"/>
        <v>4</v>
      </c>
      <c r="V197" s="2339"/>
    </row>
    <row r="198" spans="1:22">
      <c r="A198" s="2336"/>
      <c r="B198" s="2325"/>
      <c r="C198" s="189">
        <v>17</v>
      </c>
      <c r="D198" s="1828"/>
      <c r="E198" s="2321"/>
      <c r="F198" s="189">
        <v>1.38</v>
      </c>
      <c r="G198" s="5">
        <f t="shared" ref="G198:G215" si="49">$E$197*F198</f>
        <v>4.3056000000000001</v>
      </c>
      <c r="H198" s="5"/>
      <c r="I198" s="5">
        <f t="shared" si="40"/>
        <v>4.3056000000000001</v>
      </c>
      <c r="J198" s="2339"/>
      <c r="L198" s="145">
        <f t="shared" ref="L198:L215" si="50">TRUNC((F198/1.8))+1</f>
        <v>1</v>
      </c>
      <c r="M198" s="2325"/>
      <c r="N198" s="5">
        <f t="shared" ref="N198:N215" si="51">$M$197*L198</f>
        <v>4.66</v>
      </c>
      <c r="O198" s="5">
        <f t="shared" si="34"/>
        <v>4.66</v>
      </c>
      <c r="P198" s="2339"/>
      <c r="R198" s="2346"/>
      <c r="S198" s="405">
        <f t="shared" si="43"/>
        <v>1.38</v>
      </c>
      <c r="T198" s="253">
        <f t="shared" si="44"/>
        <v>11.04</v>
      </c>
      <c r="U198" s="253">
        <f t="shared" si="45"/>
        <v>1.1039999999999999</v>
      </c>
      <c r="V198" s="2339"/>
    </row>
    <row r="199" spans="1:22">
      <c r="A199" s="2336"/>
      <c r="B199" s="2325"/>
      <c r="C199" s="189">
        <v>18</v>
      </c>
      <c r="D199" s="1828"/>
      <c r="E199" s="2321"/>
      <c r="F199" s="189">
        <v>1.21</v>
      </c>
      <c r="G199" s="5">
        <f t="shared" si="49"/>
        <v>3.7751999999999999</v>
      </c>
      <c r="H199" s="5"/>
      <c r="I199" s="5">
        <f t="shared" si="40"/>
        <v>3.7751999999999999</v>
      </c>
      <c r="J199" s="2339"/>
      <c r="L199" s="145">
        <f t="shared" si="50"/>
        <v>1</v>
      </c>
      <c r="M199" s="2325"/>
      <c r="N199" s="5">
        <f t="shared" si="51"/>
        <v>4.66</v>
      </c>
      <c r="O199" s="5">
        <f t="shared" si="34"/>
        <v>4.66</v>
      </c>
      <c r="P199" s="2339"/>
      <c r="R199" s="2346"/>
      <c r="S199" s="405">
        <f t="shared" si="43"/>
        <v>1.21</v>
      </c>
      <c r="T199" s="253">
        <f t="shared" si="44"/>
        <v>9.68</v>
      </c>
      <c r="U199" s="253">
        <f t="shared" si="45"/>
        <v>0.96799999999999997</v>
      </c>
      <c r="V199" s="2339"/>
    </row>
    <row r="200" spans="1:22">
      <c r="A200" s="2336"/>
      <c r="B200" s="2325"/>
      <c r="C200" s="189">
        <v>19</v>
      </c>
      <c r="D200" s="1828"/>
      <c r="E200" s="2321"/>
      <c r="F200" s="189">
        <v>5</v>
      </c>
      <c r="G200" s="5">
        <f t="shared" si="49"/>
        <v>15.600000000000001</v>
      </c>
      <c r="H200" s="5"/>
      <c r="I200" s="5">
        <f t="shared" si="40"/>
        <v>15.600000000000001</v>
      </c>
      <c r="J200" s="2339"/>
      <c r="L200" s="145">
        <f t="shared" si="50"/>
        <v>3</v>
      </c>
      <c r="M200" s="2325"/>
      <c r="N200" s="5">
        <f t="shared" si="51"/>
        <v>13.98</v>
      </c>
      <c r="O200" s="5">
        <f t="shared" si="34"/>
        <v>13.98</v>
      </c>
      <c r="P200" s="2339"/>
      <c r="R200" s="2346"/>
      <c r="S200" s="405">
        <f t="shared" si="43"/>
        <v>5</v>
      </c>
      <c r="T200" s="253">
        <f t="shared" si="44"/>
        <v>40</v>
      </c>
      <c r="U200" s="253">
        <f t="shared" si="45"/>
        <v>4</v>
      </c>
      <c r="V200" s="2339"/>
    </row>
    <row r="201" spans="1:22">
      <c r="A201" s="2336"/>
      <c r="B201" s="2325"/>
      <c r="C201" s="189">
        <v>20</v>
      </c>
      <c r="D201" s="1828"/>
      <c r="E201" s="2321"/>
      <c r="F201" s="189">
        <v>4.33</v>
      </c>
      <c r="G201" s="5">
        <f t="shared" si="49"/>
        <v>13.509600000000001</v>
      </c>
      <c r="H201" s="5"/>
      <c r="I201" s="5">
        <f t="shared" si="40"/>
        <v>13.509600000000001</v>
      </c>
      <c r="J201" s="2339"/>
      <c r="L201" s="145">
        <f t="shared" si="50"/>
        <v>3</v>
      </c>
      <c r="M201" s="2325"/>
      <c r="N201" s="5">
        <f t="shared" si="51"/>
        <v>13.98</v>
      </c>
      <c r="O201" s="5">
        <f t="shared" ref="O201:O264" si="52">N201*1</f>
        <v>13.98</v>
      </c>
      <c r="P201" s="2339"/>
      <c r="R201" s="2346"/>
      <c r="S201" s="405">
        <f t="shared" si="43"/>
        <v>4.33</v>
      </c>
      <c r="T201" s="253">
        <f t="shared" si="44"/>
        <v>34.64</v>
      </c>
      <c r="U201" s="253">
        <f t="shared" si="45"/>
        <v>3.4640000000000004</v>
      </c>
      <c r="V201" s="2339"/>
    </row>
    <row r="202" spans="1:22">
      <c r="A202" s="2336"/>
      <c r="B202" s="2325"/>
      <c r="C202" s="189">
        <v>21</v>
      </c>
      <c r="D202" s="1828"/>
      <c r="E202" s="2321"/>
      <c r="F202" s="189">
        <v>1.1599999999999999</v>
      </c>
      <c r="G202" s="5">
        <f t="shared" si="49"/>
        <v>3.6191999999999998</v>
      </c>
      <c r="H202" s="5"/>
      <c r="I202" s="5">
        <f t="shared" si="40"/>
        <v>3.6191999999999998</v>
      </c>
      <c r="J202" s="2339"/>
      <c r="L202" s="145">
        <f t="shared" si="50"/>
        <v>1</v>
      </c>
      <c r="M202" s="2325"/>
      <c r="N202" s="5">
        <f t="shared" si="51"/>
        <v>4.66</v>
      </c>
      <c r="O202" s="5">
        <f t="shared" si="52"/>
        <v>4.66</v>
      </c>
      <c r="P202" s="2339"/>
      <c r="R202" s="2346"/>
      <c r="S202" s="405">
        <f t="shared" si="43"/>
        <v>1.1599999999999999</v>
      </c>
      <c r="T202" s="253">
        <f t="shared" si="44"/>
        <v>9.2799999999999994</v>
      </c>
      <c r="U202" s="253">
        <f t="shared" si="45"/>
        <v>0.92799999999999994</v>
      </c>
      <c r="V202" s="2339"/>
    </row>
    <row r="203" spans="1:22">
      <c r="A203" s="2336"/>
      <c r="B203" s="2325"/>
      <c r="C203" s="189">
        <v>22</v>
      </c>
      <c r="D203" s="1828"/>
      <c r="E203" s="2321"/>
      <c r="F203" s="189">
        <v>2.4</v>
      </c>
      <c r="G203" s="5">
        <f t="shared" si="49"/>
        <v>7.4879999999999995</v>
      </c>
      <c r="H203" s="5"/>
      <c r="I203" s="5">
        <f t="shared" si="40"/>
        <v>7.4879999999999995</v>
      </c>
      <c r="J203" s="2339"/>
      <c r="L203" s="145">
        <f t="shared" si="50"/>
        <v>2</v>
      </c>
      <c r="M203" s="2325"/>
      <c r="N203" s="5">
        <f t="shared" si="51"/>
        <v>9.32</v>
      </c>
      <c r="O203" s="5">
        <f t="shared" si="52"/>
        <v>9.32</v>
      </c>
      <c r="P203" s="2339"/>
      <c r="R203" s="2346"/>
      <c r="S203" s="405">
        <f t="shared" si="43"/>
        <v>2.4</v>
      </c>
      <c r="T203" s="253">
        <f t="shared" si="44"/>
        <v>19.2</v>
      </c>
      <c r="U203" s="253">
        <f t="shared" si="45"/>
        <v>1.92</v>
      </c>
      <c r="V203" s="2339"/>
    </row>
    <row r="204" spans="1:22">
      <c r="A204" s="2336"/>
      <c r="B204" s="2325"/>
      <c r="C204" s="189">
        <v>23</v>
      </c>
      <c r="D204" s="1828"/>
      <c r="E204" s="2321"/>
      <c r="F204" s="189">
        <v>0.85</v>
      </c>
      <c r="G204" s="5">
        <f t="shared" si="49"/>
        <v>2.6520000000000001</v>
      </c>
      <c r="H204" s="5"/>
      <c r="I204" s="5">
        <f t="shared" si="40"/>
        <v>2.6520000000000001</v>
      </c>
      <c r="J204" s="2339"/>
      <c r="L204" s="145">
        <f t="shared" si="50"/>
        <v>1</v>
      </c>
      <c r="M204" s="2325"/>
      <c r="N204" s="5">
        <f t="shared" si="51"/>
        <v>4.66</v>
      </c>
      <c r="O204" s="5">
        <f t="shared" si="52"/>
        <v>4.66</v>
      </c>
      <c r="P204" s="2339"/>
      <c r="R204" s="2346"/>
      <c r="S204" s="405">
        <f t="shared" si="43"/>
        <v>0.85</v>
      </c>
      <c r="T204" s="253">
        <f t="shared" si="44"/>
        <v>6.8</v>
      </c>
      <c r="U204" s="253">
        <f t="shared" si="45"/>
        <v>0.68</v>
      </c>
      <c r="V204" s="2339"/>
    </row>
    <row r="205" spans="1:22">
      <c r="A205" s="2336"/>
      <c r="B205" s="2325"/>
      <c r="C205" s="189">
        <v>24</v>
      </c>
      <c r="D205" s="1828"/>
      <c r="E205" s="2321"/>
      <c r="F205" s="189">
        <v>0.6</v>
      </c>
      <c r="G205" s="5">
        <f t="shared" si="49"/>
        <v>1.8719999999999999</v>
      </c>
      <c r="H205" s="5"/>
      <c r="I205" s="5">
        <f t="shared" si="40"/>
        <v>1.8719999999999999</v>
      </c>
      <c r="J205" s="2339"/>
      <c r="L205" s="145">
        <f t="shared" si="50"/>
        <v>1</v>
      </c>
      <c r="M205" s="2325"/>
      <c r="N205" s="5">
        <f t="shared" si="51"/>
        <v>4.66</v>
      </c>
      <c r="O205" s="5">
        <f t="shared" si="52"/>
        <v>4.66</v>
      </c>
      <c r="P205" s="2339"/>
      <c r="R205" s="2346"/>
      <c r="S205" s="405">
        <f t="shared" si="43"/>
        <v>0.6</v>
      </c>
      <c r="T205" s="253">
        <f t="shared" si="44"/>
        <v>4.8</v>
      </c>
      <c r="U205" s="253">
        <f t="shared" si="45"/>
        <v>0.48</v>
      </c>
      <c r="V205" s="2339"/>
    </row>
    <row r="206" spans="1:22">
      <c r="A206" s="2336"/>
      <c r="B206" s="2325"/>
      <c r="C206" s="189">
        <v>25</v>
      </c>
      <c r="D206" s="1828"/>
      <c r="E206" s="2321"/>
      <c r="F206" s="189">
        <v>4.18</v>
      </c>
      <c r="G206" s="5">
        <f t="shared" si="49"/>
        <v>13.041599999999999</v>
      </c>
      <c r="H206" s="5"/>
      <c r="I206" s="5">
        <f t="shared" si="40"/>
        <v>13.041599999999999</v>
      </c>
      <c r="J206" s="2339"/>
      <c r="L206" s="145">
        <f t="shared" si="50"/>
        <v>3</v>
      </c>
      <c r="M206" s="2325"/>
      <c r="N206" s="5">
        <f t="shared" si="51"/>
        <v>13.98</v>
      </c>
      <c r="O206" s="5">
        <f t="shared" si="52"/>
        <v>13.98</v>
      </c>
      <c r="P206" s="2339"/>
      <c r="R206" s="2346"/>
      <c r="S206" s="405">
        <f t="shared" si="43"/>
        <v>4.18</v>
      </c>
      <c r="T206" s="253">
        <f t="shared" si="44"/>
        <v>33.44</v>
      </c>
      <c r="U206" s="253">
        <f t="shared" si="45"/>
        <v>3.3439999999999999</v>
      </c>
      <c r="V206" s="2339"/>
    </row>
    <row r="207" spans="1:22">
      <c r="A207" s="2336"/>
      <c r="B207" s="2325"/>
      <c r="C207" s="189">
        <v>26</v>
      </c>
      <c r="D207" s="1828"/>
      <c r="E207" s="2321"/>
      <c r="F207" s="189">
        <v>7.5</v>
      </c>
      <c r="G207" s="5">
        <f t="shared" si="49"/>
        <v>23.400000000000002</v>
      </c>
      <c r="H207" s="5"/>
      <c r="I207" s="5">
        <f t="shared" si="40"/>
        <v>23.400000000000002</v>
      </c>
      <c r="J207" s="2339"/>
      <c r="L207" s="145">
        <f t="shared" si="50"/>
        <v>5</v>
      </c>
      <c r="M207" s="2325"/>
      <c r="N207" s="5">
        <f t="shared" si="51"/>
        <v>23.3</v>
      </c>
      <c r="O207" s="5">
        <f t="shared" si="52"/>
        <v>23.3</v>
      </c>
      <c r="P207" s="2339"/>
      <c r="R207" s="2346"/>
      <c r="S207" s="405">
        <f t="shared" si="43"/>
        <v>7.5</v>
      </c>
      <c r="T207" s="253">
        <f t="shared" si="44"/>
        <v>60</v>
      </c>
      <c r="U207" s="253">
        <f t="shared" si="45"/>
        <v>6</v>
      </c>
      <c r="V207" s="2339"/>
    </row>
    <row r="208" spans="1:22">
      <c r="A208" s="2336"/>
      <c r="B208" s="2325"/>
      <c r="C208" s="189">
        <v>27</v>
      </c>
      <c r="D208" s="1828"/>
      <c r="E208" s="2321"/>
      <c r="F208" s="189">
        <v>2.81</v>
      </c>
      <c r="G208" s="5">
        <f t="shared" si="49"/>
        <v>8.7672000000000008</v>
      </c>
      <c r="H208" s="5"/>
      <c r="I208" s="5">
        <f t="shared" si="40"/>
        <v>8.7672000000000008</v>
      </c>
      <c r="J208" s="2339"/>
      <c r="L208" s="145">
        <f t="shared" si="50"/>
        <v>2</v>
      </c>
      <c r="M208" s="2325"/>
      <c r="N208" s="5">
        <f t="shared" si="51"/>
        <v>9.32</v>
      </c>
      <c r="O208" s="5">
        <f t="shared" si="52"/>
        <v>9.32</v>
      </c>
      <c r="P208" s="2339"/>
      <c r="R208" s="2346"/>
      <c r="S208" s="405">
        <f t="shared" si="43"/>
        <v>2.81</v>
      </c>
      <c r="T208" s="253">
        <f t="shared" si="44"/>
        <v>22.48</v>
      </c>
      <c r="U208" s="253">
        <f t="shared" si="45"/>
        <v>2.2480000000000002</v>
      </c>
      <c r="V208" s="2339"/>
    </row>
    <row r="209" spans="1:22">
      <c r="A209" s="2336"/>
      <c r="B209" s="2325"/>
      <c r="C209" s="189">
        <v>28</v>
      </c>
      <c r="D209" s="1828"/>
      <c r="E209" s="2321"/>
      <c r="F209" s="189">
        <v>1.43</v>
      </c>
      <c r="G209" s="5">
        <f t="shared" si="49"/>
        <v>4.4615999999999998</v>
      </c>
      <c r="H209" s="5"/>
      <c r="I209" s="5">
        <f t="shared" si="40"/>
        <v>4.4615999999999998</v>
      </c>
      <c r="J209" s="2339"/>
      <c r="L209" s="145">
        <f t="shared" si="50"/>
        <v>1</v>
      </c>
      <c r="M209" s="2325"/>
      <c r="N209" s="5">
        <f t="shared" si="51"/>
        <v>4.66</v>
      </c>
      <c r="O209" s="5">
        <f t="shared" si="52"/>
        <v>4.66</v>
      </c>
      <c r="P209" s="2339"/>
      <c r="R209" s="2346"/>
      <c r="S209" s="405">
        <f t="shared" si="43"/>
        <v>1.43</v>
      </c>
      <c r="T209" s="253">
        <f t="shared" si="44"/>
        <v>11.44</v>
      </c>
      <c r="U209" s="253">
        <f t="shared" si="45"/>
        <v>1.1439999999999999</v>
      </c>
      <c r="V209" s="2339"/>
    </row>
    <row r="210" spans="1:22">
      <c r="A210" s="2336"/>
      <c r="B210" s="2325"/>
      <c r="C210" s="189">
        <v>29</v>
      </c>
      <c r="D210" s="1828"/>
      <c r="E210" s="2321"/>
      <c r="F210" s="189">
        <v>1.58</v>
      </c>
      <c r="G210" s="5">
        <f t="shared" si="49"/>
        <v>4.9296000000000006</v>
      </c>
      <c r="H210" s="5"/>
      <c r="I210" s="5">
        <f t="shared" si="40"/>
        <v>4.9296000000000006</v>
      </c>
      <c r="J210" s="2339"/>
      <c r="L210" s="145">
        <f t="shared" si="50"/>
        <v>1</v>
      </c>
      <c r="M210" s="2325"/>
      <c r="N210" s="5">
        <f t="shared" si="51"/>
        <v>4.66</v>
      </c>
      <c r="O210" s="5">
        <f t="shared" si="52"/>
        <v>4.66</v>
      </c>
      <c r="P210" s="2339"/>
      <c r="R210" s="2346"/>
      <c r="S210" s="405">
        <f t="shared" si="43"/>
        <v>1.58</v>
      </c>
      <c r="T210" s="253">
        <f t="shared" si="44"/>
        <v>12.64</v>
      </c>
      <c r="U210" s="253">
        <f t="shared" si="45"/>
        <v>1.2640000000000002</v>
      </c>
      <c r="V210" s="2339"/>
    </row>
    <row r="211" spans="1:22">
      <c r="A211" s="2336"/>
      <c r="B211" s="2325"/>
      <c r="C211" s="189">
        <v>30</v>
      </c>
      <c r="D211" s="1828"/>
      <c r="E211" s="2321"/>
      <c r="F211" s="189">
        <v>2.4</v>
      </c>
      <c r="G211" s="5">
        <f t="shared" si="49"/>
        <v>7.4879999999999995</v>
      </c>
      <c r="H211" s="5"/>
      <c r="I211" s="5">
        <f t="shared" si="40"/>
        <v>7.4879999999999995</v>
      </c>
      <c r="J211" s="2339"/>
      <c r="L211" s="145">
        <f t="shared" si="50"/>
        <v>2</v>
      </c>
      <c r="M211" s="2325"/>
      <c r="N211" s="5">
        <f t="shared" si="51"/>
        <v>9.32</v>
      </c>
      <c r="O211" s="5">
        <f t="shared" si="52"/>
        <v>9.32</v>
      </c>
      <c r="P211" s="2339"/>
      <c r="R211" s="2346"/>
      <c r="S211" s="405">
        <f t="shared" si="43"/>
        <v>2.4</v>
      </c>
      <c r="T211" s="253">
        <f t="shared" si="44"/>
        <v>19.2</v>
      </c>
      <c r="U211" s="253">
        <f t="shared" si="45"/>
        <v>1.92</v>
      </c>
      <c r="V211" s="2339"/>
    </row>
    <row r="212" spans="1:22">
      <c r="A212" s="2336"/>
      <c r="B212" s="2325"/>
      <c r="C212" s="189">
        <v>31</v>
      </c>
      <c r="D212" s="1828"/>
      <c r="E212" s="2321"/>
      <c r="F212" s="189">
        <v>0.85</v>
      </c>
      <c r="G212" s="5">
        <f t="shared" si="49"/>
        <v>2.6520000000000001</v>
      </c>
      <c r="H212" s="5"/>
      <c r="I212" s="5">
        <f t="shared" si="40"/>
        <v>2.6520000000000001</v>
      </c>
      <c r="J212" s="2339"/>
      <c r="L212" s="145">
        <f t="shared" si="50"/>
        <v>1</v>
      </c>
      <c r="M212" s="2325"/>
      <c r="N212" s="5">
        <f t="shared" si="51"/>
        <v>4.66</v>
      </c>
      <c r="O212" s="5">
        <f t="shared" si="52"/>
        <v>4.66</v>
      </c>
      <c r="P212" s="2339"/>
      <c r="R212" s="2346"/>
      <c r="S212" s="405">
        <f t="shared" si="43"/>
        <v>0.85</v>
      </c>
      <c r="T212" s="253">
        <f t="shared" si="44"/>
        <v>6.8</v>
      </c>
      <c r="U212" s="253">
        <f t="shared" si="45"/>
        <v>0.68</v>
      </c>
      <c r="V212" s="2339"/>
    </row>
    <row r="213" spans="1:22">
      <c r="A213" s="2336"/>
      <c r="B213" s="2325"/>
      <c r="C213" s="189">
        <v>32</v>
      </c>
      <c r="D213" s="1828"/>
      <c r="E213" s="2321"/>
      <c r="F213" s="189">
        <v>0.59</v>
      </c>
      <c r="G213" s="5">
        <f t="shared" si="49"/>
        <v>1.8408</v>
      </c>
      <c r="H213" s="5"/>
      <c r="I213" s="5">
        <f t="shared" si="40"/>
        <v>1.8408</v>
      </c>
      <c r="J213" s="2339"/>
      <c r="L213" s="145">
        <f t="shared" si="50"/>
        <v>1</v>
      </c>
      <c r="M213" s="2325"/>
      <c r="N213" s="5">
        <f t="shared" si="51"/>
        <v>4.66</v>
      </c>
      <c r="O213" s="5">
        <f t="shared" si="52"/>
        <v>4.66</v>
      </c>
      <c r="P213" s="2339"/>
      <c r="R213" s="2346"/>
      <c r="S213" s="405">
        <f t="shared" si="43"/>
        <v>0.59</v>
      </c>
      <c r="T213" s="253">
        <f t="shared" si="44"/>
        <v>4.72</v>
      </c>
      <c r="U213" s="253">
        <f t="shared" si="45"/>
        <v>0.47199999999999998</v>
      </c>
      <c r="V213" s="2339"/>
    </row>
    <row r="214" spans="1:22">
      <c r="A214" s="2336"/>
      <c r="B214" s="2325"/>
      <c r="C214" s="189">
        <v>33</v>
      </c>
      <c r="D214" s="1828"/>
      <c r="E214" s="2321"/>
      <c r="F214" s="189">
        <v>4.16</v>
      </c>
      <c r="G214" s="5">
        <f t="shared" si="49"/>
        <v>12.979200000000001</v>
      </c>
      <c r="H214" s="5"/>
      <c r="I214" s="5">
        <f t="shared" si="40"/>
        <v>12.979200000000001</v>
      </c>
      <c r="J214" s="2339"/>
      <c r="L214" s="145">
        <f t="shared" si="50"/>
        <v>3</v>
      </c>
      <c r="M214" s="2325"/>
      <c r="N214" s="5">
        <f t="shared" si="51"/>
        <v>13.98</v>
      </c>
      <c r="O214" s="5">
        <f t="shared" si="52"/>
        <v>13.98</v>
      </c>
      <c r="P214" s="2339"/>
      <c r="R214" s="2346"/>
      <c r="S214" s="405">
        <f t="shared" si="43"/>
        <v>4.16</v>
      </c>
      <c r="T214" s="253">
        <f t="shared" si="44"/>
        <v>33.28</v>
      </c>
      <c r="U214" s="253">
        <f t="shared" si="45"/>
        <v>3.3280000000000003</v>
      </c>
      <c r="V214" s="2339"/>
    </row>
    <row r="215" spans="1:22">
      <c r="A215" s="2336"/>
      <c r="B215" s="2325"/>
      <c r="C215" s="189">
        <v>34</v>
      </c>
      <c r="D215" s="1828"/>
      <c r="E215" s="2322"/>
      <c r="F215" s="189">
        <v>2.85</v>
      </c>
      <c r="G215" s="5">
        <f t="shared" si="49"/>
        <v>8.8920000000000012</v>
      </c>
      <c r="H215" s="5"/>
      <c r="I215" s="5">
        <f t="shared" si="40"/>
        <v>8.8920000000000012</v>
      </c>
      <c r="J215" s="2339"/>
      <c r="L215" s="145">
        <f t="shared" si="50"/>
        <v>2</v>
      </c>
      <c r="M215" s="2325"/>
      <c r="N215" s="5">
        <f t="shared" si="51"/>
        <v>9.32</v>
      </c>
      <c r="O215" s="5">
        <f t="shared" si="52"/>
        <v>9.32</v>
      </c>
      <c r="P215" s="2339"/>
      <c r="R215" s="2346"/>
      <c r="S215" s="405">
        <f t="shared" si="43"/>
        <v>2.85</v>
      </c>
      <c r="T215" s="253">
        <f t="shared" si="44"/>
        <v>22.8</v>
      </c>
      <c r="U215" s="253">
        <f t="shared" si="45"/>
        <v>2.2800000000000002</v>
      </c>
      <c r="V215" s="2339"/>
    </row>
    <row r="216" spans="1:22">
      <c r="A216" s="2336"/>
      <c r="B216" s="2325"/>
      <c r="C216" s="189">
        <v>35</v>
      </c>
      <c r="D216" s="1828"/>
      <c r="E216" s="2323">
        <v>2.64</v>
      </c>
      <c r="F216" s="189">
        <v>6.9</v>
      </c>
      <c r="G216" s="5">
        <f>$E$216*F216</f>
        <v>18.216000000000001</v>
      </c>
      <c r="H216" s="5"/>
      <c r="I216" s="5">
        <f t="shared" si="40"/>
        <v>18.216000000000001</v>
      </c>
      <c r="J216" s="2339"/>
      <c r="L216" s="145">
        <f>TRUNC((F216/1.2))+1</f>
        <v>6</v>
      </c>
      <c r="M216" s="2325">
        <f>($E$216)+(0.12+0.56+0.9)</f>
        <v>4.2200000000000006</v>
      </c>
      <c r="N216" s="5">
        <f>$M$216*L216</f>
        <v>25.320000000000004</v>
      </c>
      <c r="O216" s="5">
        <f t="shared" si="52"/>
        <v>25.320000000000004</v>
      </c>
      <c r="P216" s="2339"/>
      <c r="R216" s="2346"/>
      <c r="S216" s="405">
        <f t="shared" si="43"/>
        <v>6.9</v>
      </c>
      <c r="T216" s="253">
        <f t="shared" si="44"/>
        <v>55.2</v>
      </c>
      <c r="U216" s="253">
        <f t="shared" si="45"/>
        <v>5.5200000000000005</v>
      </c>
      <c r="V216" s="2339"/>
    </row>
    <row r="217" spans="1:22">
      <c r="A217" s="2336"/>
      <c r="B217" s="2325"/>
      <c r="C217" s="189">
        <v>36</v>
      </c>
      <c r="D217" s="1828"/>
      <c r="E217" s="2321"/>
      <c r="F217" s="189">
        <v>2.15</v>
      </c>
      <c r="G217" s="5">
        <f t="shared" ref="G217:G224" si="53">$E$216*F217</f>
        <v>5.6760000000000002</v>
      </c>
      <c r="H217" s="5">
        <f>1.302*1.395</f>
        <v>1.8162900000000002</v>
      </c>
      <c r="I217" s="5">
        <f t="shared" si="40"/>
        <v>3.8597099999999998</v>
      </c>
      <c r="J217" s="2339"/>
      <c r="L217" s="145">
        <f t="shared" ref="L217:L224" si="54">TRUNC((F217/1.2))+1</f>
        <v>2</v>
      </c>
      <c r="M217" s="2325"/>
      <c r="N217" s="5">
        <f t="shared" ref="N217:N224" si="55">$M$216*L217</f>
        <v>8.4400000000000013</v>
      </c>
      <c r="O217" s="5">
        <f t="shared" si="52"/>
        <v>8.4400000000000013</v>
      </c>
      <c r="P217" s="2339"/>
      <c r="R217" s="2346"/>
      <c r="S217" s="405">
        <f t="shared" si="43"/>
        <v>2.15</v>
      </c>
      <c r="T217" s="253">
        <f t="shared" si="44"/>
        <v>17.2</v>
      </c>
      <c r="U217" s="253">
        <f t="shared" si="45"/>
        <v>1.72</v>
      </c>
      <c r="V217" s="2339"/>
    </row>
    <row r="218" spans="1:22">
      <c r="A218" s="2336"/>
      <c r="B218" s="2325"/>
      <c r="C218" s="189">
        <v>37</v>
      </c>
      <c r="D218" s="1828"/>
      <c r="E218" s="2321"/>
      <c r="F218" s="189">
        <v>11</v>
      </c>
      <c r="G218" s="5">
        <f t="shared" si="53"/>
        <v>29.040000000000003</v>
      </c>
      <c r="H218" s="5">
        <f>1.395*(1.3+1.302+1.5)</f>
        <v>5.7222900000000001</v>
      </c>
      <c r="I218" s="5">
        <f t="shared" si="40"/>
        <v>23.317710000000002</v>
      </c>
      <c r="J218" s="2339"/>
      <c r="L218" s="145">
        <f t="shared" si="54"/>
        <v>10</v>
      </c>
      <c r="M218" s="2325"/>
      <c r="N218" s="5">
        <f t="shared" si="55"/>
        <v>42.2</v>
      </c>
      <c r="O218" s="5">
        <f t="shared" si="52"/>
        <v>42.2</v>
      </c>
      <c r="P218" s="2339"/>
      <c r="R218" s="2346"/>
      <c r="S218" s="405">
        <f t="shared" si="43"/>
        <v>11</v>
      </c>
      <c r="T218" s="253">
        <f t="shared" si="44"/>
        <v>88</v>
      </c>
      <c r="U218" s="253">
        <f t="shared" si="45"/>
        <v>8.8000000000000007</v>
      </c>
      <c r="V218" s="2339"/>
    </row>
    <row r="219" spans="1:22">
      <c r="A219" s="2336"/>
      <c r="B219" s="2325"/>
      <c r="C219" s="189">
        <v>38</v>
      </c>
      <c r="D219" s="1828"/>
      <c r="E219" s="2321"/>
      <c r="F219" s="189">
        <v>11.91</v>
      </c>
      <c r="G219" s="5">
        <f t="shared" si="53"/>
        <v>31.442400000000003</v>
      </c>
      <c r="H219" s="5">
        <f>2*(1.395*1.5)+(1.3*1.395)</f>
        <v>5.9985000000000008</v>
      </c>
      <c r="I219" s="5">
        <f t="shared" si="40"/>
        <v>25.443900000000003</v>
      </c>
      <c r="J219" s="2339"/>
      <c r="L219" s="145">
        <f t="shared" si="54"/>
        <v>10</v>
      </c>
      <c r="M219" s="2325"/>
      <c r="N219" s="5">
        <f t="shared" si="55"/>
        <v>42.2</v>
      </c>
      <c r="O219" s="5">
        <f t="shared" si="52"/>
        <v>42.2</v>
      </c>
      <c r="P219" s="2339"/>
      <c r="R219" s="2346"/>
      <c r="S219" s="405">
        <f t="shared" si="43"/>
        <v>11.91</v>
      </c>
      <c r="T219" s="253">
        <f t="shared" si="44"/>
        <v>95.28</v>
      </c>
      <c r="U219" s="253">
        <f t="shared" si="45"/>
        <v>9.5280000000000005</v>
      </c>
      <c r="V219" s="2339"/>
    </row>
    <row r="220" spans="1:22">
      <c r="A220" s="2336"/>
      <c r="B220" s="2325"/>
      <c r="C220" s="189">
        <v>39</v>
      </c>
      <c r="D220" s="1828"/>
      <c r="E220" s="2321"/>
      <c r="F220" s="4">
        <v>0.55000000000000004</v>
      </c>
      <c r="G220" s="5">
        <f t="shared" si="53"/>
        <v>1.4520000000000002</v>
      </c>
      <c r="H220" s="5"/>
      <c r="I220" s="5">
        <f t="shared" si="40"/>
        <v>1.4520000000000002</v>
      </c>
      <c r="J220" s="2339"/>
      <c r="L220" s="145">
        <f t="shared" si="54"/>
        <v>1</v>
      </c>
      <c r="M220" s="2325"/>
      <c r="N220" s="5">
        <f t="shared" si="55"/>
        <v>4.2200000000000006</v>
      </c>
      <c r="O220" s="5">
        <f t="shared" si="52"/>
        <v>4.2200000000000006</v>
      </c>
      <c r="P220" s="2339"/>
      <c r="R220" s="2346"/>
      <c r="S220" s="405">
        <f t="shared" si="43"/>
        <v>0.55000000000000004</v>
      </c>
      <c r="T220" s="253">
        <f t="shared" si="44"/>
        <v>4.4000000000000004</v>
      </c>
      <c r="U220" s="253">
        <f t="shared" si="45"/>
        <v>0.44000000000000006</v>
      </c>
      <c r="V220" s="2339"/>
    </row>
    <row r="221" spans="1:22">
      <c r="A221" s="2336"/>
      <c r="B221" s="2325"/>
      <c r="C221" s="189">
        <v>40</v>
      </c>
      <c r="D221" s="1828"/>
      <c r="E221" s="2321"/>
      <c r="F221" s="4">
        <v>2.4</v>
      </c>
      <c r="G221" s="5">
        <f t="shared" si="53"/>
        <v>6.3360000000000003</v>
      </c>
      <c r="H221" s="5"/>
      <c r="I221" s="5">
        <f t="shared" si="40"/>
        <v>6.3360000000000003</v>
      </c>
      <c r="J221" s="2339"/>
      <c r="L221" s="145">
        <f t="shared" si="54"/>
        <v>3</v>
      </c>
      <c r="M221" s="2325"/>
      <c r="N221" s="5">
        <f t="shared" si="55"/>
        <v>12.660000000000002</v>
      </c>
      <c r="O221" s="5">
        <f t="shared" si="52"/>
        <v>12.660000000000002</v>
      </c>
      <c r="P221" s="2339"/>
      <c r="R221" s="2346"/>
      <c r="S221" s="405">
        <f t="shared" si="43"/>
        <v>2.4</v>
      </c>
      <c r="T221" s="253">
        <f t="shared" si="44"/>
        <v>19.2</v>
      </c>
      <c r="U221" s="253">
        <f t="shared" si="45"/>
        <v>1.92</v>
      </c>
      <c r="V221" s="2339"/>
    </row>
    <row r="222" spans="1:22">
      <c r="A222" s="2336"/>
      <c r="B222" s="2325"/>
      <c r="C222" s="189">
        <v>41</v>
      </c>
      <c r="D222" s="1828"/>
      <c r="E222" s="2321"/>
      <c r="F222" s="4">
        <v>8.74</v>
      </c>
      <c r="G222" s="5">
        <f t="shared" si="53"/>
        <v>23.073600000000003</v>
      </c>
      <c r="H222" s="5">
        <f>2*1.395*1.5</f>
        <v>4.1850000000000005</v>
      </c>
      <c r="I222" s="5">
        <f t="shared" si="40"/>
        <v>18.888600000000004</v>
      </c>
      <c r="J222" s="2339"/>
      <c r="L222" s="145">
        <f t="shared" si="54"/>
        <v>8</v>
      </c>
      <c r="M222" s="2325"/>
      <c r="N222" s="5">
        <f t="shared" si="55"/>
        <v>33.760000000000005</v>
      </c>
      <c r="O222" s="5">
        <f t="shared" si="52"/>
        <v>33.760000000000005</v>
      </c>
      <c r="P222" s="2339"/>
      <c r="R222" s="2346"/>
      <c r="S222" s="405">
        <f t="shared" si="43"/>
        <v>8.74</v>
      </c>
      <c r="T222" s="253">
        <f t="shared" si="44"/>
        <v>69.92</v>
      </c>
      <c r="U222" s="253">
        <f t="shared" si="45"/>
        <v>6.9920000000000009</v>
      </c>
      <c r="V222" s="2339"/>
    </row>
    <row r="223" spans="1:22">
      <c r="A223" s="2336"/>
      <c r="B223" s="2325"/>
      <c r="C223" s="189">
        <v>42</v>
      </c>
      <c r="D223" s="1828"/>
      <c r="E223" s="2321"/>
      <c r="F223" s="4">
        <v>5.81</v>
      </c>
      <c r="G223" s="5">
        <f t="shared" si="53"/>
        <v>15.3384</v>
      </c>
      <c r="H223" s="5">
        <f>1.395*1.5</f>
        <v>2.0925000000000002</v>
      </c>
      <c r="I223" s="5">
        <f t="shared" si="40"/>
        <v>13.245899999999999</v>
      </c>
      <c r="J223" s="2339"/>
      <c r="L223" s="145">
        <f t="shared" si="54"/>
        <v>5</v>
      </c>
      <c r="M223" s="2325"/>
      <c r="N223" s="5">
        <f t="shared" si="55"/>
        <v>21.1</v>
      </c>
      <c r="O223" s="5">
        <f t="shared" si="52"/>
        <v>21.1</v>
      </c>
      <c r="P223" s="2339"/>
      <c r="R223" s="2346"/>
      <c r="S223" s="405">
        <f t="shared" si="43"/>
        <v>5.81</v>
      </c>
      <c r="T223" s="253">
        <f t="shared" si="44"/>
        <v>46.48</v>
      </c>
      <c r="U223" s="253">
        <f t="shared" si="45"/>
        <v>4.6479999999999997</v>
      </c>
      <c r="V223" s="2339"/>
    </row>
    <row r="224" spans="1:22">
      <c r="A224" s="2336"/>
      <c r="B224" s="2325"/>
      <c r="C224" s="189">
        <v>43</v>
      </c>
      <c r="D224" s="1828"/>
      <c r="E224" s="2322"/>
      <c r="F224" s="4">
        <v>2.8</v>
      </c>
      <c r="G224" s="5">
        <f t="shared" si="53"/>
        <v>7.3919999999999995</v>
      </c>
      <c r="H224" s="5">
        <f>0.63*0.75</f>
        <v>0.47250000000000003</v>
      </c>
      <c r="I224" s="5">
        <f t="shared" si="40"/>
        <v>6.9194999999999993</v>
      </c>
      <c r="J224" s="2339"/>
      <c r="L224" s="145">
        <f t="shared" si="54"/>
        <v>3</v>
      </c>
      <c r="M224" s="2325"/>
      <c r="N224" s="5">
        <f t="shared" si="55"/>
        <v>12.660000000000002</v>
      </c>
      <c r="O224" s="5">
        <f t="shared" si="52"/>
        <v>12.660000000000002</v>
      </c>
      <c r="P224" s="2339"/>
      <c r="R224" s="2346"/>
      <c r="S224" s="405">
        <f t="shared" si="43"/>
        <v>2.8</v>
      </c>
      <c r="T224" s="253">
        <f t="shared" si="44"/>
        <v>22.4</v>
      </c>
      <c r="U224" s="253">
        <f t="shared" si="45"/>
        <v>2.2399999999999998</v>
      </c>
      <c r="V224" s="2339"/>
    </row>
    <row r="225" spans="1:22">
      <c r="A225" s="2336"/>
      <c r="B225" s="2325"/>
      <c r="C225" s="189">
        <v>44</v>
      </c>
      <c r="D225" s="1828"/>
      <c r="E225" s="387">
        <v>3.12</v>
      </c>
      <c r="F225" s="4">
        <v>1.87</v>
      </c>
      <c r="G225" s="5">
        <f>$E$225*F225</f>
        <v>5.8344000000000005</v>
      </c>
      <c r="H225" s="5"/>
      <c r="I225" s="5">
        <f t="shared" si="40"/>
        <v>5.8344000000000005</v>
      </c>
      <c r="J225" s="2339"/>
      <c r="L225" s="145">
        <f>TRUNC((F225/1.8))+1</f>
        <v>2</v>
      </c>
      <c r="M225" s="384">
        <f>($E$225)+(0.66+0.88)</f>
        <v>4.66</v>
      </c>
      <c r="N225" s="5">
        <f>M225*L225</f>
        <v>9.32</v>
      </c>
      <c r="O225" s="5">
        <f t="shared" si="52"/>
        <v>9.32</v>
      </c>
      <c r="P225" s="2339"/>
      <c r="R225" s="2346"/>
      <c r="S225" s="405">
        <f t="shared" si="43"/>
        <v>1.87</v>
      </c>
      <c r="T225" s="253">
        <f t="shared" si="44"/>
        <v>14.96</v>
      </c>
      <c r="U225" s="253">
        <f t="shared" si="45"/>
        <v>1.4960000000000002</v>
      </c>
      <c r="V225" s="2339"/>
    </row>
    <row r="226" spans="1:22">
      <c r="A226" s="2336"/>
      <c r="B226" s="2325"/>
      <c r="C226" s="189">
        <v>45</v>
      </c>
      <c r="D226" s="1828"/>
      <c r="E226" s="2323">
        <v>2.64</v>
      </c>
      <c r="F226" s="4">
        <v>1.8</v>
      </c>
      <c r="G226" s="5">
        <f>$E$226*F226</f>
        <v>4.7520000000000007</v>
      </c>
      <c r="H226" s="5"/>
      <c r="I226" s="5">
        <f t="shared" si="40"/>
        <v>4.7520000000000007</v>
      </c>
      <c r="J226" s="2339"/>
      <c r="L226" s="145">
        <f>TRUNC((F226/1.2))+1</f>
        <v>2</v>
      </c>
      <c r="M226" s="2325">
        <f>($E$226)+(0.12+0.56+0.9)</f>
        <v>4.2200000000000006</v>
      </c>
      <c r="N226" s="5">
        <f>M226*L226</f>
        <v>8.4400000000000013</v>
      </c>
      <c r="O226" s="5">
        <f t="shared" si="52"/>
        <v>8.4400000000000013</v>
      </c>
      <c r="P226" s="2339"/>
      <c r="R226" s="2346"/>
      <c r="S226" s="405">
        <f t="shared" si="43"/>
        <v>1.8</v>
      </c>
      <c r="T226" s="253">
        <f t="shared" si="44"/>
        <v>14.4</v>
      </c>
      <c r="U226" s="253">
        <f t="shared" si="45"/>
        <v>1.4400000000000002</v>
      </c>
      <c r="V226" s="2339"/>
    </row>
    <row r="227" spans="1:22">
      <c r="A227" s="2336"/>
      <c r="B227" s="2325"/>
      <c r="C227" s="189">
        <v>46</v>
      </c>
      <c r="D227" s="1828"/>
      <c r="E227" s="2322"/>
      <c r="F227" s="4">
        <v>3.82</v>
      </c>
      <c r="G227" s="5">
        <f>$E$226*F227</f>
        <v>10.0848</v>
      </c>
      <c r="H227" s="5"/>
      <c r="I227" s="5">
        <f t="shared" si="40"/>
        <v>10.0848</v>
      </c>
      <c r="J227" s="2339"/>
      <c r="L227" s="145">
        <f>TRUNC((F227/1.2))+1</f>
        <v>4</v>
      </c>
      <c r="M227" s="2325"/>
      <c r="N227" s="5">
        <f>M226*L227</f>
        <v>16.880000000000003</v>
      </c>
      <c r="O227" s="5">
        <f t="shared" si="52"/>
        <v>16.880000000000003</v>
      </c>
      <c r="P227" s="2339"/>
      <c r="R227" s="2346"/>
      <c r="S227" s="405">
        <f t="shared" si="43"/>
        <v>3.82</v>
      </c>
      <c r="T227" s="253">
        <f t="shared" si="44"/>
        <v>30.56</v>
      </c>
      <c r="U227" s="253">
        <f t="shared" si="45"/>
        <v>3.056</v>
      </c>
      <c r="V227" s="2339"/>
    </row>
    <row r="228" spans="1:22">
      <c r="A228" s="2336"/>
      <c r="B228" s="2325"/>
      <c r="C228" s="189">
        <v>47</v>
      </c>
      <c r="D228" s="1828"/>
      <c r="E228" s="2323">
        <v>3.12</v>
      </c>
      <c r="F228" s="4">
        <v>8.5</v>
      </c>
      <c r="G228" s="5">
        <f>$E$228*F228</f>
        <v>26.52</v>
      </c>
      <c r="H228" s="5"/>
      <c r="I228" s="5">
        <f t="shared" si="40"/>
        <v>26.52</v>
      </c>
      <c r="J228" s="2339"/>
      <c r="L228" s="145">
        <f>TRUNC((F228/1.8))+1</f>
        <v>5</v>
      </c>
      <c r="M228" s="2325">
        <f>($E$228)+(0.66+0.88)</f>
        <v>4.66</v>
      </c>
      <c r="N228" s="5">
        <f>L228*$M$228</f>
        <v>23.3</v>
      </c>
      <c r="O228" s="5">
        <f t="shared" si="52"/>
        <v>23.3</v>
      </c>
      <c r="P228" s="2339"/>
      <c r="R228" s="2346"/>
      <c r="S228" s="405">
        <f t="shared" si="43"/>
        <v>8.5</v>
      </c>
      <c r="T228" s="253">
        <f t="shared" si="44"/>
        <v>68</v>
      </c>
      <c r="U228" s="253">
        <f t="shared" si="45"/>
        <v>6.8000000000000007</v>
      </c>
      <c r="V228" s="2339"/>
    </row>
    <row r="229" spans="1:22">
      <c r="A229" s="2336"/>
      <c r="B229" s="2325"/>
      <c r="C229" s="189">
        <v>48</v>
      </c>
      <c r="D229" s="1828"/>
      <c r="E229" s="2321"/>
      <c r="F229" s="4">
        <v>1.25</v>
      </c>
      <c r="G229" s="5">
        <f>$E$228*F229</f>
        <v>3.9000000000000004</v>
      </c>
      <c r="H229" s="5"/>
      <c r="I229" s="5">
        <f t="shared" si="40"/>
        <v>3.9000000000000004</v>
      </c>
      <c r="J229" s="2339"/>
      <c r="L229" s="145">
        <f>TRUNC((F229/1.8))+1</f>
        <v>1</v>
      </c>
      <c r="M229" s="2325"/>
      <c r="N229" s="5">
        <f>L229*$M$228</f>
        <v>4.66</v>
      </c>
      <c r="O229" s="5">
        <f t="shared" si="52"/>
        <v>4.66</v>
      </c>
      <c r="P229" s="2339"/>
      <c r="R229" s="2346"/>
      <c r="S229" s="405">
        <f t="shared" si="43"/>
        <v>1.25</v>
      </c>
      <c r="T229" s="253">
        <f t="shared" si="44"/>
        <v>10</v>
      </c>
      <c r="U229" s="253">
        <f t="shared" si="45"/>
        <v>1</v>
      </c>
      <c r="V229" s="2339"/>
    </row>
    <row r="230" spans="1:22">
      <c r="A230" s="2336"/>
      <c r="B230" s="2325"/>
      <c r="C230" s="189">
        <v>49</v>
      </c>
      <c r="D230" s="1828"/>
      <c r="E230" s="2322"/>
      <c r="F230" s="4">
        <v>1.85</v>
      </c>
      <c r="G230" s="5">
        <f>$E$228*F230</f>
        <v>5.7720000000000002</v>
      </c>
      <c r="H230" s="5"/>
      <c r="I230" s="5">
        <f t="shared" si="40"/>
        <v>5.7720000000000002</v>
      </c>
      <c r="J230" s="2339"/>
      <c r="L230" s="145">
        <f>TRUNC((F230/1.8))+1</f>
        <v>2</v>
      </c>
      <c r="M230" s="2325"/>
      <c r="N230" s="5">
        <f>L230*$M$228</f>
        <v>9.32</v>
      </c>
      <c r="O230" s="5">
        <f t="shared" si="52"/>
        <v>9.32</v>
      </c>
      <c r="P230" s="2339"/>
      <c r="R230" s="2346"/>
      <c r="S230" s="405">
        <f t="shared" si="43"/>
        <v>1.85</v>
      </c>
      <c r="T230" s="253">
        <f t="shared" si="44"/>
        <v>14.8</v>
      </c>
      <c r="U230" s="253">
        <f t="shared" si="45"/>
        <v>1.4800000000000002</v>
      </c>
      <c r="V230" s="2339"/>
    </row>
    <row r="231" spans="1:22">
      <c r="A231" s="2336"/>
      <c r="B231" s="2325"/>
      <c r="C231" s="189">
        <v>50</v>
      </c>
      <c r="D231" s="1828"/>
      <c r="E231" s="2323">
        <v>2.64</v>
      </c>
      <c r="F231" s="4">
        <v>3.05</v>
      </c>
      <c r="G231" s="5">
        <f>$E$231*F231</f>
        <v>8.0519999999999996</v>
      </c>
      <c r="H231" s="5"/>
      <c r="I231" s="5">
        <f t="shared" si="40"/>
        <v>8.0519999999999996</v>
      </c>
      <c r="J231" s="2339"/>
      <c r="L231" s="145">
        <f>TRUNC((F231/1.2))+1</f>
        <v>3</v>
      </c>
      <c r="M231" s="2325">
        <f>($E$231)+(0.12+0.56+0.9)</f>
        <v>4.2200000000000006</v>
      </c>
      <c r="N231" s="5">
        <f>$M$231*L231</f>
        <v>12.660000000000002</v>
      </c>
      <c r="O231" s="5">
        <f t="shared" si="52"/>
        <v>12.660000000000002</v>
      </c>
      <c r="P231" s="2339"/>
      <c r="R231" s="2346"/>
      <c r="S231" s="405">
        <f t="shared" si="43"/>
        <v>3.05</v>
      </c>
      <c r="T231" s="253">
        <f t="shared" si="44"/>
        <v>24.4</v>
      </c>
      <c r="U231" s="253">
        <f t="shared" si="45"/>
        <v>2.44</v>
      </c>
      <c r="V231" s="2339"/>
    </row>
    <row r="232" spans="1:22">
      <c r="A232" s="2336"/>
      <c r="B232" s="2325"/>
      <c r="C232" s="189">
        <v>51</v>
      </c>
      <c r="D232" s="1828"/>
      <c r="E232" s="2321"/>
      <c r="F232" s="4">
        <v>4.08</v>
      </c>
      <c r="G232" s="5">
        <f>$E$231*F232</f>
        <v>10.7712</v>
      </c>
      <c r="H232" s="5"/>
      <c r="I232" s="5">
        <f t="shared" si="40"/>
        <v>10.7712</v>
      </c>
      <c r="J232" s="2339"/>
      <c r="L232" s="145">
        <f>TRUNC((F232/1.2))+1</f>
        <v>4</v>
      </c>
      <c r="M232" s="2325"/>
      <c r="N232" s="5">
        <f>$M$231*L232</f>
        <v>16.880000000000003</v>
      </c>
      <c r="O232" s="5">
        <f t="shared" si="52"/>
        <v>16.880000000000003</v>
      </c>
      <c r="P232" s="2339"/>
      <c r="R232" s="2346"/>
      <c r="S232" s="405">
        <f t="shared" si="43"/>
        <v>4.08</v>
      </c>
      <c r="T232" s="253">
        <f t="shared" si="44"/>
        <v>32.64</v>
      </c>
      <c r="U232" s="253">
        <f t="shared" si="45"/>
        <v>3.2640000000000002</v>
      </c>
      <c r="V232" s="2339"/>
    </row>
    <row r="233" spans="1:22">
      <c r="A233" s="2336"/>
      <c r="B233" s="2325"/>
      <c r="C233" s="189">
        <v>52</v>
      </c>
      <c r="D233" s="1828"/>
      <c r="E233" s="2322"/>
      <c r="F233" s="4">
        <v>2.2999999999999998</v>
      </c>
      <c r="G233" s="5">
        <f>$E$231*F233</f>
        <v>6.0720000000000001</v>
      </c>
      <c r="H233" s="5"/>
      <c r="I233" s="5">
        <f t="shared" si="40"/>
        <v>6.0720000000000001</v>
      </c>
      <c r="J233" s="2339"/>
      <c r="L233" s="145">
        <f>TRUNC((F233/1.2))+1</f>
        <v>2</v>
      </c>
      <c r="M233" s="2325"/>
      <c r="N233" s="5">
        <f>$M$231*L233</f>
        <v>8.4400000000000013</v>
      </c>
      <c r="O233" s="5">
        <f t="shared" si="52"/>
        <v>8.4400000000000013</v>
      </c>
      <c r="P233" s="2339"/>
      <c r="R233" s="2346"/>
      <c r="S233" s="405">
        <f t="shared" si="43"/>
        <v>2.2999999999999998</v>
      </c>
      <c r="T233" s="253">
        <f t="shared" si="44"/>
        <v>18.399999999999999</v>
      </c>
      <c r="U233" s="253">
        <f t="shared" si="45"/>
        <v>1.8399999999999999</v>
      </c>
      <c r="V233" s="2339"/>
    </row>
    <row r="234" spans="1:22">
      <c r="A234" s="2336"/>
      <c r="B234" s="2325"/>
      <c r="C234" s="189">
        <v>53</v>
      </c>
      <c r="D234" s="1828"/>
      <c r="E234" s="387">
        <v>3.12</v>
      </c>
      <c r="F234" s="4">
        <v>4.46</v>
      </c>
      <c r="G234" s="5">
        <f>$E$234*F234</f>
        <v>13.9152</v>
      </c>
      <c r="H234" s="5">
        <f>1.5*0.5</f>
        <v>0.75</v>
      </c>
      <c r="I234" s="5">
        <f t="shared" si="40"/>
        <v>13.1652</v>
      </c>
      <c r="J234" s="2339"/>
      <c r="L234" s="145">
        <f>TRUNC((F234/1.8))+1</f>
        <v>3</v>
      </c>
      <c r="M234" s="384">
        <f>($E$234)+(0.66+0.88)</f>
        <v>4.66</v>
      </c>
      <c r="N234" s="5">
        <f>M234*L234</f>
        <v>13.98</v>
      </c>
      <c r="O234" s="5">
        <f t="shared" si="52"/>
        <v>13.98</v>
      </c>
      <c r="P234" s="2339"/>
      <c r="R234" s="2346"/>
      <c r="S234" s="405">
        <f t="shared" si="43"/>
        <v>4.46</v>
      </c>
      <c r="T234" s="253">
        <f t="shared" si="44"/>
        <v>35.68</v>
      </c>
      <c r="U234" s="253">
        <f t="shared" si="45"/>
        <v>3.5680000000000001</v>
      </c>
      <c r="V234" s="2339"/>
    </row>
    <row r="235" spans="1:22">
      <c r="A235" s="2336"/>
      <c r="B235" s="2325"/>
      <c r="C235" s="189">
        <v>54</v>
      </c>
      <c r="D235" s="1828"/>
      <c r="E235" s="2323">
        <v>2.64</v>
      </c>
      <c r="F235" s="4">
        <v>5.8</v>
      </c>
      <c r="G235" s="5">
        <f t="shared" ref="G235:G240" si="56">$E$235*F235</f>
        <v>15.311999999999999</v>
      </c>
      <c r="H235" s="5"/>
      <c r="I235" s="5">
        <f t="shared" si="40"/>
        <v>15.311999999999999</v>
      </c>
      <c r="J235" s="2339"/>
      <c r="L235" s="145">
        <f t="shared" ref="L235:L240" si="57">TRUNC((F235/1.2))+1</f>
        <v>5</v>
      </c>
      <c r="M235" s="2325">
        <f>($E$235)+(0.12+0.56+0.9)</f>
        <v>4.2200000000000006</v>
      </c>
      <c r="N235" s="5">
        <f t="shared" ref="N235:N240" si="58">$M$235*L235</f>
        <v>21.1</v>
      </c>
      <c r="O235" s="5">
        <f t="shared" si="52"/>
        <v>21.1</v>
      </c>
      <c r="P235" s="2339"/>
      <c r="R235" s="2346"/>
      <c r="S235" s="405">
        <f t="shared" si="43"/>
        <v>5.8</v>
      </c>
      <c r="T235" s="253">
        <f t="shared" si="44"/>
        <v>46.4</v>
      </c>
      <c r="U235" s="253">
        <f t="shared" si="45"/>
        <v>4.6399999999999997</v>
      </c>
      <c r="V235" s="2339"/>
    </row>
    <row r="236" spans="1:22">
      <c r="A236" s="2336"/>
      <c r="B236" s="2325"/>
      <c r="C236" s="189">
        <v>55</v>
      </c>
      <c r="D236" s="1828"/>
      <c r="E236" s="2321"/>
      <c r="F236" s="4">
        <v>2.95</v>
      </c>
      <c r="G236" s="5">
        <f t="shared" si="56"/>
        <v>7.7880000000000011</v>
      </c>
      <c r="H236" s="5"/>
      <c r="I236" s="5">
        <f t="shared" si="40"/>
        <v>7.7880000000000011</v>
      </c>
      <c r="J236" s="2339"/>
      <c r="L236" s="145">
        <f t="shared" si="57"/>
        <v>3</v>
      </c>
      <c r="M236" s="2325"/>
      <c r="N236" s="5">
        <f t="shared" si="58"/>
        <v>12.660000000000002</v>
      </c>
      <c r="O236" s="5">
        <f t="shared" si="52"/>
        <v>12.660000000000002</v>
      </c>
      <c r="P236" s="2339"/>
      <c r="R236" s="2346"/>
      <c r="S236" s="405">
        <f t="shared" si="43"/>
        <v>2.95</v>
      </c>
      <c r="T236" s="253">
        <f t="shared" si="44"/>
        <v>23.6</v>
      </c>
      <c r="U236" s="253">
        <f t="shared" si="45"/>
        <v>2.3600000000000003</v>
      </c>
      <c r="V236" s="2339"/>
    </row>
    <row r="237" spans="1:22">
      <c r="A237" s="2336"/>
      <c r="B237" s="2325"/>
      <c r="C237" s="189">
        <v>56</v>
      </c>
      <c r="D237" s="1828"/>
      <c r="E237" s="2321"/>
      <c r="F237" s="4">
        <v>2.14</v>
      </c>
      <c r="G237" s="5">
        <f t="shared" si="56"/>
        <v>5.6496000000000004</v>
      </c>
      <c r="H237" s="5"/>
      <c r="I237" s="5">
        <f t="shared" si="40"/>
        <v>5.6496000000000004</v>
      </c>
      <c r="J237" s="2339"/>
      <c r="L237" s="145">
        <f t="shared" si="57"/>
        <v>2</v>
      </c>
      <c r="M237" s="2325"/>
      <c r="N237" s="5">
        <f t="shared" si="58"/>
        <v>8.4400000000000013</v>
      </c>
      <c r="O237" s="5">
        <f t="shared" si="52"/>
        <v>8.4400000000000013</v>
      </c>
      <c r="P237" s="2339"/>
      <c r="R237" s="2346"/>
      <c r="S237" s="405">
        <f t="shared" si="43"/>
        <v>2.14</v>
      </c>
      <c r="T237" s="253">
        <f t="shared" si="44"/>
        <v>17.12</v>
      </c>
      <c r="U237" s="253">
        <f t="shared" si="45"/>
        <v>1.7120000000000002</v>
      </c>
      <c r="V237" s="2339"/>
    </row>
    <row r="238" spans="1:22">
      <c r="A238" s="2336"/>
      <c r="B238" s="2325"/>
      <c r="C238" s="189">
        <v>57</v>
      </c>
      <c r="D238" s="1828"/>
      <c r="E238" s="2321"/>
      <c r="F238" s="4">
        <v>3.34</v>
      </c>
      <c r="G238" s="5">
        <f t="shared" si="56"/>
        <v>8.8176000000000005</v>
      </c>
      <c r="H238" s="5"/>
      <c r="I238" s="5">
        <f t="shared" si="40"/>
        <v>8.8176000000000005</v>
      </c>
      <c r="J238" s="2339"/>
      <c r="L238" s="145">
        <f t="shared" si="57"/>
        <v>3</v>
      </c>
      <c r="M238" s="2325"/>
      <c r="N238" s="5">
        <f t="shared" si="58"/>
        <v>12.660000000000002</v>
      </c>
      <c r="O238" s="5">
        <f t="shared" si="52"/>
        <v>12.660000000000002</v>
      </c>
      <c r="P238" s="2339"/>
      <c r="R238" s="2346"/>
      <c r="S238" s="405">
        <f t="shared" si="43"/>
        <v>3.34</v>
      </c>
      <c r="T238" s="253">
        <f t="shared" si="44"/>
        <v>26.72</v>
      </c>
      <c r="U238" s="253">
        <f t="shared" si="45"/>
        <v>2.6720000000000002</v>
      </c>
      <c r="V238" s="2339"/>
    </row>
    <row r="239" spans="1:22">
      <c r="A239" s="2336"/>
      <c r="B239" s="2325"/>
      <c r="C239" s="189">
        <v>58</v>
      </c>
      <c r="D239" s="1828"/>
      <c r="E239" s="2321"/>
      <c r="F239" s="4">
        <v>8.6199999999999992</v>
      </c>
      <c r="G239" s="5">
        <f t="shared" si="56"/>
        <v>22.756799999999998</v>
      </c>
      <c r="H239" s="5">
        <f>2*1.5*1.5</f>
        <v>4.5</v>
      </c>
      <c r="I239" s="5">
        <f t="shared" si="40"/>
        <v>18.256799999999998</v>
      </c>
      <c r="J239" s="2339"/>
      <c r="L239" s="145">
        <f t="shared" si="57"/>
        <v>8</v>
      </c>
      <c r="M239" s="2325"/>
      <c r="N239" s="5">
        <f t="shared" si="58"/>
        <v>33.760000000000005</v>
      </c>
      <c r="O239" s="5">
        <f t="shared" si="52"/>
        <v>33.760000000000005</v>
      </c>
      <c r="P239" s="2339"/>
      <c r="R239" s="2346"/>
      <c r="S239" s="405">
        <f t="shared" si="43"/>
        <v>8.6199999999999992</v>
      </c>
      <c r="T239" s="253">
        <f t="shared" si="44"/>
        <v>68.959999999999994</v>
      </c>
      <c r="U239" s="253">
        <f t="shared" si="45"/>
        <v>6.8959999999999999</v>
      </c>
      <c r="V239" s="2339"/>
    </row>
    <row r="240" spans="1:22">
      <c r="A240" s="2336"/>
      <c r="B240" s="2325"/>
      <c r="C240" s="189">
        <v>59</v>
      </c>
      <c r="D240" s="1828"/>
      <c r="E240" s="2322"/>
      <c r="F240" s="4">
        <v>3.2</v>
      </c>
      <c r="G240" s="5">
        <f t="shared" si="56"/>
        <v>8.4480000000000004</v>
      </c>
      <c r="H240" s="5"/>
      <c r="I240" s="5">
        <f t="shared" si="40"/>
        <v>8.4480000000000004</v>
      </c>
      <c r="J240" s="2339"/>
      <c r="L240" s="145">
        <f t="shared" si="57"/>
        <v>3</v>
      </c>
      <c r="M240" s="2325"/>
      <c r="N240" s="5">
        <f t="shared" si="58"/>
        <v>12.660000000000002</v>
      </c>
      <c r="O240" s="5">
        <f t="shared" si="52"/>
        <v>12.660000000000002</v>
      </c>
      <c r="P240" s="2339"/>
      <c r="R240" s="2346"/>
      <c r="S240" s="405">
        <f t="shared" si="43"/>
        <v>3.2</v>
      </c>
      <c r="T240" s="253">
        <f t="shared" si="44"/>
        <v>25.6</v>
      </c>
      <c r="U240" s="253">
        <f t="shared" si="45"/>
        <v>2.5600000000000005</v>
      </c>
      <c r="V240" s="2339"/>
    </row>
    <row r="241" spans="1:22">
      <c r="A241" s="2336"/>
      <c r="B241" s="2325"/>
      <c r="C241" s="189">
        <v>60</v>
      </c>
      <c r="D241" s="1828"/>
      <c r="E241" s="2323">
        <v>3.12</v>
      </c>
      <c r="F241" s="4">
        <v>1.42</v>
      </c>
      <c r="G241" s="5">
        <f>$E$241*F241</f>
        <v>4.4303999999999997</v>
      </c>
      <c r="H241" s="5"/>
      <c r="I241" s="5">
        <f t="shared" si="40"/>
        <v>4.4303999999999997</v>
      </c>
      <c r="J241" s="2339"/>
      <c r="L241" s="145">
        <f>TRUNC((F241/1.8))+1</f>
        <v>1</v>
      </c>
      <c r="M241" s="2325">
        <f>($E$241)+(0.66+0.88)</f>
        <v>4.66</v>
      </c>
      <c r="N241" s="5">
        <f>$M$241*L241</f>
        <v>4.66</v>
      </c>
      <c r="O241" s="5">
        <f t="shared" si="52"/>
        <v>4.66</v>
      </c>
      <c r="P241" s="2339"/>
      <c r="R241" s="2346"/>
      <c r="S241" s="405">
        <f t="shared" si="43"/>
        <v>1.42</v>
      </c>
      <c r="T241" s="253">
        <f t="shared" si="44"/>
        <v>11.36</v>
      </c>
      <c r="U241" s="253">
        <f t="shared" si="45"/>
        <v>1.1359999999999999</v>
      </c>
      <c r="V241" s="2339"/>
    </row>
    <row r="242" spans="1:22">
      <c r="A242" s="2336"/>
      <c r="B242" s="2325"/>
      <c r="C242" s="189">
        <v>61</v>
      </c>
      <c r="D242" s="1828"/>
      <c r="E242" s="2321"/>
      <c r="F242" s="4">
        <v>1.82</v>
      </c>
      <c r="G242" s="5">
        <f t="shared" ref="G242:G258" si="59">$E$241*F242</f>
        <v>5.6784000000000008</v>
      </c>
      <c r="H242" s="5"/>
      <c r="I242" s="5">
        <f t="shared" si="40"/>
        <v>5.6784000000000008</v>
      </c>
      <c r="J242" s="2339"/>
      <c r="L242" s="145">
        <f t="shared" ref="L242:L258" si="60">TRUNC((F242/1.8))+1</f>
        <v>2</v>
      </c>
      <c r="M242" s="2325"/>
      <c r="N242" s="5">
        <f t="shared" ref="N242:N258" si="61">$M$241*L242</f>
        <v>9.32</v>
      </c>
      <c r="O242" s="5">
        <f t="shared" si="52"/>
        <v>9.32</v>
      </c>
      <c r="P242" s="2339"/>
      <c r="R242" s="2346"/>
      <c r="S242" s="405">
        <f t="shared" si="43"/>
        <v>1.82</v>
      </c>
      <c r="T242" s="253">
        <f t="shared" si="44"/>
        <v>14.56</v>
      </c>
      <c r="U242" s="253">
        <f t="shared" si="45"/>
        <v>1.4560000000000002</v>
      </c>
      <c r="V242" s="2339"/>
    </row>
    <row r="243" spans="1:22">
      <c r="A243" s="2336"/>
      <c r="B243" s="2325"/>
      <c r="C243" s="189">
        <v>62</v>
      </c>
      <c r="D243" s="1828"/>
      <c r="E243" s="2321"/>
      <c r="F243" s="4">
        <v>4.53</v>
      </c>
      <c r="G243" s="5">
        <f t="shared" si="59"/>
        <v>14.133600000000001</v>
      </c>
      <c r="H243" s="5"/>
      <c r="I243" s="5">
        <f t="shared" si="40"/>
        <v>14.133600000000001</v>
      </c>
      <c r="J243" s="2339"/>
      <c r="L243" s="145">
        <f t="shared" si="60"/>
        <v>3</v>
      </c>
      <c r="M243" s="2325"/>
      <c r="N243" s="5">
        <f t="shared" si="61"/>
        <v>13.98</v>
      </c>
      <c r="O243" s="5">
        <f t="shared" si="52"/>
        <v>13.98</v>
      </c>
      <c r="P243" s="2339"/>
      <c r="R243" s="2346"/>
      <c r="S243" s="405">
        <f t="shared" si="43"/>
        <v>4.53</v>
      </c>
      <c r="T243" s="253">
        <f t="shared" si="44"/>
        <v>36.24</v>
      </c>
      <c r="U243" s="253">
        <f t="shared" si="45"/>
        <v>3.6240000000000006</v>
      </c>
      <c r="V243" s="2339"/>
    </row>
    <row r="244" spans="1:22" ht="12.75" customHeight="1">
      <c r="A244" s="2336"/>
      <c r="B244" s="2325" t="s">
        <v>550</v>
      </c>
      <c r="C244" s="189">
        <v>63</v>
      </c>
      <c r="D244" s="2325">
        <v>0.12</v>
      </c>
      <c r="E244" s="2321"/>
      <c r="F244" s="4">
        <v>8.93</v>
      </c>
      <c r="G244" s="5">
        <f t="shared" si="59"/>
        <v>27.861599999999999</v>
      </c>
      <c r="H244" s="5"/>
      <c r="I244" s="5">
        <f t="shared" si="40"/>
        <v>27.861599999999999</v>
      </c>
      <c r="J244" s="2339"/>
      <c r="L244" s="145">
        <f t="shared" si="60"/>
        <v>5</v>
      </c>
      <c r="M244" s="2325"/>
      <c r="N244" s="5">
        <f t="shared" si="61"/>
        <v>23.3</v>
      </c>
      <c r="O244" s="5">
        <f t="shared" si="52"/>
        <v>23.3</v>
      </c>
      <c r="P244" s="2339"/>
      <c r="R244" s="2346"/>
      <c r="S244" s="405">
        <f t="shared" si="43"/>
        <v>8.93</v>
      </c>
      <c r="T244" s="253">
        <f t="shared" si="44"/>
        <v>71.44</v>
      </c>
      <c r="U244" s="253">
        <f t="shared" si="45"/>
        <v>7.1440000000000001</v>
      </c>
      <c r="V244" s="2339"/>
    </row>
    <row r="245" spans="1:22">
      <c r="A245" s="2336"/>
      <c r="B245" s="2325"/>
      <c r="C245" s="189">
        <v>64</v>
      </c>
      <c r="D245" s="2325"/>
      <c r="E245" s="2321"/>
      <c r="F245" s="4">
        <v>0.67</v>
      </c>
      <c r="G245" s="5">
        <f t="shared" si="59"/>
        <v>2.0904000000000003</v>
      </c>
      <c r="H245" s="5"/>
      <c r="I245" s="5">
        <f t="shared" si="40"/>
        <v>2.0904000000000003</v>
      </c>
      <c r="J245" s="2339"/>
      <c r="L245" s="145">
        <f t="shared" si="60"/>
        <v>1</v>
      </c>
      <c r="M245" s="2325"/>
      <c r="N245" s="5">
        <f t="shared" si="61"/>
        <v>4.66</v>
      </c>
      <c r="O245" s="5">
        <f t="shared" si="52"/>
        <v>4.66</v>
      </c>
      <c r="P245" s="2339"/>
      <c r="R245" s="2346"/>
      <c r="S245" s="405">
        <f t="shared" si="43"/>
        <v>0.67</v>
      </c>
      <c r="T245" s="253">
        <f t="shared" si="44"/>
        <v>5.36</v>
      </c>
      <c r="U245" s="253">
        <f t="shared" si="45"/>
        <v>0.53600000000000003</v>
      </c>
      <c r="V245" s="2339"/>
    </row>
    <row r="246" spans="1:22">
      <c r="A246" s="2336"/>
      <c r="B246" s="2325"/>
      <c r="C246" s="189">
        <v>65</v>
      </c>
      <c r="D246" s="2325"/>
      <c r="E246" s="2321"/>
      <c r="F246" s="4">
        <v>1.33</v>
      </c>
      <c r="G246" s="5">
        <f t="shared" si="59"/>
        <v>4.1496000000000004</v>
      </c>
      <c r="H246" s="5"/>
      <c r="I246" s="5">
        <f t="shared" si="40"/>
        <v>4.1496000000000004</v>
      </c>
      <c r="J246" s="2339"/>
      <c r="L246" s="145">
        <f t="shared" si="60"/>
        <v>1</v>
      </c>
      <c r="M246" s="2325"/>
      <c r="N246" s="5">
        <f t="shared" si="61"/>
        <v>4.66</v>
      </c>
      <c r="O246" s="5">
        <f t="shared" si="52"/>
        <v>4.66</v>
      </c>
      <c r="P246" s="2339"/>
      <c r="R246" s="2346"/>
      <c r="S246" s="405">
        <f t="shared" si="43"/>
        <v>1.33</v>
      </c>
      <c r="T246" s="253">
        <f t="shared" si="44"/>
        <v>10.64</v>
      </c>
      <c r="U246" s="253">
        <f t="shared" si="45"/>
        <v>1.0640000000000001</v>
      </c>
      <c r="V246" s="2339"/>
    </row>
    <row r="247" spans="1:22">
      <c r="A247" s="2336"/>
      <c r="B247" s="2325"/>
      <c r="C247" s="189">
        <v>66</v>
      </c>
      <c r="D247" s="2325"/>
      <c r="E247" s="2321"/>
      <c r="F247" s="4">
        <v>0.96</v>
      </c>
      <c r="G247" s="5">
        <f t="shared" si="59"/>
        <v>2.9952000000000001</v>
      </c>
      <c r="H247" s="5"/>
      <c r="I247" s="5">
        <f t="shared" ref="I247:I258" si="62">G247-H247</f>
        <v>2.9952000000000001</v>
      </c>
      <c r="J247" s="2339"/>
      <c r="L247" s="145">
        <f t="shared" si="60"/>
        <v>1</v>
      </c>
      <c r="M247" s="2325"/>
      <c r="N247" s="5">
        <f t="shared" si="61"/>
        <v>4.66</v>
      </c>
      <c r="O247" s="5">
        <f t="shared" si="52"/>
        <v>4.66</v>
      </c>
      <c r="P247" s="2339"/>
      <c r="R247" s="2346"/>
      <c r="S247" s="405">
        <f t="shared" ref="S247:S258" si="63">F247</f>
        <v>0.96</v>
      </c>
      <c r="T247" s="253">
        <f t="shared" ref="T247:T258" si="64">$R$182*S247</f>
        <v>7.68</v>
      </c>
      <c r="U247" s="253">
        <f t="shared" ref="U247:U258" si="65">T247*0.1</f>
        <v>0.76800000000000002</v>
      </c>
      <c r="V247" s="2339"/>
    </row>
    <row r="248" spans="1:22">
      <c r="A248" s="2336"/>
      <c r="B248" s="2325"/>
      <c r="C248" s="189">
        <v>67</v>
      </c>
      <c r="D248" s="2325"/>
      <c r="E248" s="2321"/>
      <c r="F248" s="4">
        <v>3.61</v>
      </c>
      <c r="G248" s="5">
        <f t="shared" si="59"/>
        <v>11.263199999999999</v>
      </c>
      <c r="H248" s="5"/>
      <c r="I248" s="5">
        <f t="shared" si="62"/>
        <v>11.263199999999999</v>
      </c>
      <c r="J248" s="2339"/>
      <c r="L248" s="145">
        <f t="shared" si="60"/>
        <v>3</v>
      </c>
      <c r="M248" s="2325"/>
      <c r="N248" s="5">
        <f t="shared" si="61"/>
        <v>13.98</v>
      </c>
      <c r="O248" s="5">
        <f t="shared" si="52"/>
        <v>13.98</v>
      </c>
      <c r="P248" s="2339"/>
      <c r="R248" s="2346"/>
      <c r="S248" s="405">
        <f t="shared" si="63"/>
        <v>3.61</v>
      </c>
      <c r="T248" s="253">
        <f t="shared" si="64"/>
        <v>28.88</v>
      </c>
      <c r="U248" s="253">
        <f t="shared" si="65"/>
        <v>2.8879999999999999</v>
      </c>
      <c r="V248" s="2339"/>
    </row>
    <row r="249" spans="1:22">
      <c r="A249" s="2336"/>
      <c r="B249" s="2325"/>
      <c r="C249" s="189">
        <v>68</v>
      </c>
      <c r="D249" s="2325"/>
      <c r="E249" s="2321"/>
      <c r="F249" s="4">
        <v>1.2</v>
      </c>
      <c r="G249" s="5">
        <f t="shared" si="59"/>
        <v>3.7439999999999998</v>
      </c>
      <c r="H249" s="5"/>
      <c r="I249" s="5">
        <f t="shared" si="62"/>
        <v>3.7439999999999998</v>
      </c>
      <c r="J249" s="2339"/>
      <c r="L249" s="145">
        <f t="shared" si="60"/>
        <v>1</v>
      </c>
      <c r="M249" s="2325"/>
      <c r="N249" s="5">
        <f t="shared" si="61"/>
        <v>4.66</v>
      </c>
      <c r="O249" s="5">
        <f t="shared" si="52"/>
        <v>4.66</v>
      </c>
      <c r="P249" s="2339"/>
      <c r="R249" s="2346"/>
      <c r="S249" s="405">
        <f t="shared" si="63"/>
        <v>1.2</v>
      </c>
      <c r="T249" s="253">
        <f t="shared" si="64"/>
        <v>9.6</v>
      </c>
      <c r="U249" s="253">
        <f t="shared" si="65"/>
        <v>0.96</v>
      </c>
      <c r="V249" s="2339"/>
    </row>
    <row r="250" spans="1:22">
      <c r="A250" s="2336"/>
      <c r="B250" s="2325"/>
      <c r="C250" s="189">
        <v>69</v>
      </c>
      <c r="D250" s="2325"/>
      <c r="E250" s="2321"/>
      <c r="F250" s="4">
        <v>3.57</v>
      </c>
      <c r="G250" s="5">
        <f t="shared" si="59"/>
        <v>11.138400000000001</v>
      </c>
      <c r="H250" s="5"/>
      <c r="I250" s="5">
        <f t="shared" si="62"/>
        <v>11.138400000000001</v>
      </c>
      <c r="J250" s="2339"/>
      <c r="L250" s="145">
        <f t="shared" si="60"/>
        <v>2</v>
      </c>
      <c r="M250" s="2325"/>
      <c r="N250" s="5">
        <f t="shared" si="61"/>
        <v>9.32</v>
      </c>
      <c r="O250" s="5">
        <f t="shared" si="52"/>
        <v>9.32</v>
      </c>
      <c r="P250" s="2339"/>
      <c r="R250" s="2346"/>
      <c r="S250" s="405">
        <f t="shared" si="63"/>
        <v>3.57</v>
      </c>
      <c r="T250" s="253">
        <f t="shared" si="64"/>
        <v>28.56</v>
      </c>
      <c r="U250" s="253">
        <f t="shared" si="65"/>
        <v>2.8559999999999999</v>
      </c>
      <c r="V250" s="2339"/>
    </row>
    <row r="251" spans="1:22">
      <c r="A251" s="2336"/>
      <c r="B251" s="2325"/>
      <c r="C251" s="189">
        <v>70</v>
      </c>
      <c r="D251" s="2325"/>
      <c r="E251" s="2321"/>
      <c r="F251" s="4">
        <v>2.58</v>
      </c>
      <c r="G251" s="5">
        <f t="shared" si="59"/>
        <v>8.0495999999999999</v>
      </c>
      <c r="H251" s="5"/>
      <c r="I251" s="5">
        <f t="shared" si="62"/>
        <v>8.0495999999999999</v>
      </c>
      <c r="J251" s="2339"/>
      <c r="L251" s="145">
        <f t="shared" si="60"/>
        <v>2</v>
      </c>
      <c r="M251" s="2325"/>
      <c r="N251" s="5">
        <f t="shared" si="61"/>
        <v>9.32</v>
      </c>
      <c r="O251" s="5">
        <f t="shared" si="52"/>
        <v>9.32</v>
      </c>
      <c r="P251" s="2339"/>
      <c r="R251" s="2346"/>
      <c r="S251" s="405">
        <f t="shared" si="63"/>
        <v>2.58</v>
      </c>
      <c r="T251" s="253">
        <f t="shared" si="64"/>
        <v>20.64</v>
      </c>
      <c r="U251" s="253">
        <f t="shared" si="65"/>
        <v>2.0640000000000001</v>
      </c>
      <c r="V251" s="2339"/>
    </row>
    <row r="252" spans="1:22">
      <c r="A252" s="2336"/>
      <c r="B252" s="2325"/>
      <c r="C252" s="189">
        <v>71</v>
      </c>
      <c r="D252" s="2325"/>
      <c r="E252" s="2321"/>
      <c r="F252" s="4">
        <v>3.34</v>
      </c>
      <c r="G252" s="5">
        <f t="shared" si="59"/>
        <v>10.4208</v>
      </c>
      <c r="H252" s="5"/>
      <c r="I252" s="5">
        <f t="shared" si="62"/>
        <v>10.4208</v>
      </c>
      <c r="J252" s="2339"/>
      <c r="L252" s="145">
        <f t="shared" si="60"/>
        <v>2</v>
      </c>
      <c r="M252" s="2325"/>
      <c r="N252" s="5">
        <f t="shared" si="61"/>
        <v>9.32</v>
      </c>
      <c r="O252" s="5">
        <f t="shared" si="52"/>
        <v>9.32</v>
      </c>
      <c r="P252" s="2339"/>
      <c r="R252" s="2346"/>
      <c r="S252" s="405">
        <f t="shared" si="63"/>
        <v>3.34</v>
      </c>
      <c r="T252" s="253">
        <f t="shared" si="64"/>
        <v>26.72</v>
      </c>
      <c r="U252" s="253">
        <f t="shared" si="65"/>
        <v>2.6720000000000002</v>
      </c>
      <c r="V252" s="2339"/>
    </row>
    <row r="253" spans="1:22">
      <c r="A253" s="2336"/>
      <c r="B253" s="2325"/>
      <c r="C253" s="189">
        <v>72</v>
      </c>
      <c r="D253" s="2325"/>
      <c r="E253" s="2321"/>
      <c r="F253" s="4">
        <v>2.89</v>
      </c>
      <c r="G253" s="5">
        <f t="shared" si="59"/>
        <v>9.0167999999999999</v>
      </c>
      <c r="H253" s="5"/>
      <c r="I253" s="5">
        <f t="shared" si="62"/>
        <v>9.0167999999999999</v>
      </c>
      <c r="J253" s="2339"/>
      <c r="L253" s="145">
        <f t="shared" si="60"/>
        <v>2</v>
      </c>
      <c r="M253" s="2325"/>
      <c r="N253" s="5">
        <f t="shared" si="61"/>
        <v>9.32</v>
      </c>
      <c r="O253" s="5">
        <f t="shared" si="52"/>
        <v>9.32</v>
      </c>
      <c r="P253" s="2339"/>
      <c r="R253" s="2346"/>
      <c r="S253" s="405">
        <f t="shared" si="63"/>
        <v>2.89</v>
      </c>
      <c r="T253" s="253">
        <f t="shared" si="64"/>
        <v>23.12</v>
      </c>
      <c r="U253" s="253">
        <f t="shared" si="65"/>
        <v>2.3120000000000003</v>
      </c>
      <c r="V253" s="2339"/>
    </row>
    <row r="254" spans="1:22">
      <c r="A254" s="2336"/>
      <c r="B254" s="2325"/>
      <c r="C254" s="189">
        <v>73</v>
      </c>
      <c r="D254" s="2325"/>
      <c r="E254" s="2321"/>
      <c r="F254" s="4">
        <v>6.85</v>
      </c>
      <c r="G254" s="5">
        <f t="shared" si="59"/>
        <v>21.372</v>
      </c>
      <c r="H254" s="5"/>
      <c r="I254" s="5">
        <f t="shared" si="62"/>
        <v>21.372</v>
      </c>
      <c r="J254" s="2339"/>
      <c r="L254" s="145">
        <f t="shared" si="60"/>
        <v>4</v>
      </c>
      <c r="M254" s="2325"/>
      <c r="N254" s="5">
        <f t="shared" si="61"/>
        <v>18.64</v>
      </c>
      <c r="O254" s="5">
        <f t="shared" si="52"/>
        <v>18.64</v>
      </c>
      <c r="P254" s="2339"/>
      <c r="R254" s="2346"/>
      <c r="S254" s="405">
        <f t="shared" si="63"/>
        <v>6.85</v>
      </c>
      <c r="T254" s="253">
        <f t="shared" si="64"/>
        <v>54.8</v>
      </c>
      <c r="U254" s="253">
        <f t="shared" si="65"/>
        <v>5.48</v>
      </c>
      <c r="V254" s="2339"/>
    </row>
    <row r="255" spans="1:22">
      <c r="A255" s="2336"/>
      <c r="B255" s="2325"/>
      <c r="C255" s="189">
        <v>74</v>
      </c>
      <c r="D255" s="2325"/>
      <c r="E255" s="2321"/>
      <c r="F255" s="4">
        <v>3.59</v>
      </c>
      <c r="G255" s="5">
        <f t="shared" si="59"/>
        <v>11.200799999999999</v>
      </c>
      <c r="H255" s="5"/>
      <c r="I255" s="5">
        <f t="shared" si="62"/>
        <v>11.200799999999999</v>
      </c>
      <c r="J255" s="2339"/>
      <c r="L255" s="145">
        <f t="shared" si="60"/>
        <v>2</v>
      </c>
      <c r="M255" s="2325"/>
      <c r="N255" s="5">
        <f t="shared" si="61"/>
        <v>9.32</v>
      </c>
      <c r="O255" s="5">
        <f t="shared" si="52"/>
        <v>9.32</v>
      </c>
      <c r="P255" s="2339"/>
      <c r="R255" s="2346"/>
      <c r="S255" s="405">
        <f t="shared" si="63"/>
        <v>3.59</v>
      </c>
      <c r="T255" s="253">
        <f t="shared" si="64"/>
        <v>28.72</v>
      </c>
      <c r="U255" s="253">
        <f t="shared" si="65"/>
        <v>2.8719999999999999</v>
      </c>
      <c r="V255" s="2339"/>
    </row>
    <row r="256" spans="1:22">
      <c r="A256" s="2336"/>
      <c r="B256" s="2325"/>
      <c r="C256" s="189">
        <v>75</v>
      </c>
      <c r="D256" s="2325"/>
      <c r="E256" s="2321"/>
      <c r="F256" s="4">
        <v>0.45</v>
      </c>
      <c r="G256" s="5">
        <f t="shared" si="59"/>
        <v>1.4040000000000001</v>
      </c>
      <c r="H256" s="5"/>
      <c r="I256" s="5">
        <f t="shared" si="62"/>
        <v>1.4040000000000001</v>
      </c>
      <c r="J256" s="2339"/>
      <c r="L256" s="145">
        <f t="shared" si="60"/>
        <v>1</v>
      </c>
      <c r="M256" s="2325"/>
      <c r="N256" s="5">
        <f t="shared" si="61"/>
        <v>4.66</v>
      </c>
      <c r="O256" s="5">
        <f t="shared" si="52"/>
        <v>4.66</v>
      </c>
      <c r="P256" s="2339"/>
      <c r="R256" s="2346"/>
      <c r="S256" s="405">
        <f t="shared" si="63"/>
        <v>0.45</v>
      </c>
      <c r="T256" s="253">
        <f t="shared" si="64"/>
        <v>3.6</v>
      </c>
      <c r="U256" s="253">
        <f t="shared" si="65"/>
        <v>0.36000000000000004</v>
      </c>
      <c r="V256" s="2339"/>
    </row>
    <row r="257" spans="1:22">
      <c r="A257" s="2336"/>
      <c r="B257" s="2325"/>
      <c r="C257" s="189">
        <v>76</v>
      </c>
      <c r="D257" s="2325"/>
      <c r="E257" s="2321"/>
      <c r="F257" s="4">
        <v>2.85</v>
      </c>
      <c r="G257" s="5">
        <f t="shared" si="59"/>
        <v>8.8920000000000012</v>
      </c>
      <c r="H257" s="5"/>
      <c r="I257" s="5">
        <f t="shared" si="62"/>
        <v>8.8920000000000012</v>
      </c>
      <c r="J257" s="2339"/>
      <c r="L257" s="145">
        <f t="shared" si="60"/>
        <v>2</v>
      </c>
      <c r="M257" s="2325"/>
      <c r="N257" s="5">
        <f t="shared" si="61"/>
        <v>9.32</v>
      </c>
      <c r="O257" s="5">
        <f t="shared" si="52"/>
        <v>9.32</v>
      </c>
      <c r="P257" s="2339"/>
      <c r="R257" s="2346"/>
      <c r="S257" s="405">
        <f t="shared" si="63"/>
        <v>2.85</v>
      </c>
      <c r="T257" s="253">
        <f t="shared" si="64"/>
        <v>22.8</v>
      </c>
      <c r="U257" s="253">
        <f t="shared" si="65"/>
        <v>2.2800000000000002</v>
      </c>
      <c r="V257" s="2339"/>
    </row>
    <row r="258" spans="1:22" ht="13.5" thickBot="1">
      <c r="A258" s="2337"/>
      <c r="B258" s="2326"/>
      <c r="C258" s="399">
        <v>77</v>
      </c>
      <c r="D258" s="2326"/>
      <c r="E258" s="2324"/>
      <c r="F258" s="400">
        <v>1.2</v>
      </c>
      <c r="G258" s="167">
        <f t="shared" si="59"/>
        <v>3.7439999999999998</v>
      </c>
      <c r="H258" s="167"/>
      <c r="I258" s="167">
        <f t="shared" si="62"/>
        <v>3.7439999999999998</v>
      </c>
      <c r="J258" s="2340"/>
      <c r="L258" s="402">
        <f t="shared" si="60"/>
        <v>1</v>
      </c>
      <c r="M258" s="2323"/>
      <c r="N258" s="230">
        <f t="shared" si="61"/>
        <v>4.66</v>
      </c>
      <c r="O258" s="230">
        <f t="shared" si="52"/>
        <v>4.66</v>
      </c>
      <c r="P258" s="2375"/>
      <c r="R258" s="2347"/>
      <c r="S258" s="405">
        <f t="shared" si="63"/>
        <v>1.2</v>
      </c>
      <c r="T258" s="253">
        <f t="shared" si="64"/>
        <v>9.6</v>
      </c>
      <c r="U258" s="253">
        <f t="shared" si="65"/>
        <v>0.96</v>
      </c>
      <c r="V258" s="2375"/>
    </row>
    <row r="259" spans="1:22" ht="13.5" thickBot="1">
      <c r="A259" s="2307" t="s">
        <v>551</v>
      </c>
      <c r="B259" s="2308"/>
      <c r="C259" s="2308"/>
      <c r="D259" s="2308"/>
      <c r="E259" s="2308"/>
      <c r="F259" s="2308"/>
      <c r="G259" s="2308"/>
      <c r="H259" s="2309"/>
      <c r="I259" s="392">
        <f>SUM(I182:I243)</f>
        <v>614.41313999999977</v>
      </c>
      <c r="J259" s="2305" t="s">
        <v>55</v>
      </c>
      <c r="L259" s="2366" t="s">
        <v>562</v>
      </c>
      <c r="M259" s="2367"/>
      <c r="N259" s="2367"/>
      <c r="O259" s="2370">
        <f>SUM(O182:O258)</f>
        <v>1003.5200000000004</v>
      </c>
      <c r="P259" s="2376" t="s">
        <v>39</v>
      </c>
      <c r="R259" s="2366" t="s">
        <v>562</v>
      </c>
      <c r="S259" s="2367"/>
      <c r="T259" s="2367"/>
      <c r="U259" s="2370">
        <f>SUM(U182:U258)</f>
        <v>222.24000000000007</v>
      </c>
      <c r="V259" s="2376" t="s">
        <v>39</v>
      </c>
    </row>
    <row r="260" spans="1:22" ht="13.5" thickBot="1">
      <c r="A260" s="2307" t="s">
        <v>552</v>
      </c>
      <c r="B260" s="2308"/>
      <c r="C260" s="2308"/>
      <c r="D260" s="2308"/>
      <c r="E260" s="2308"/>
      <c r="F260" s="2308"/>
      <c r="G260" s="2308"/>
      <c r="H260" s="2309"/>
      <c r="I260" s="392">
        <f>SUM(I244:I258)</f>
        <v>137.3424</v>
      </c>
      <c r="J260" s="2306"/>
      <c r="L260" s="2368"/>
      <c r="M260" s="2369"/>
      <c r="N260" s="2369"/>
      <c r="O260" s="2371"/>
      <c r="P260" s="2377"/>
      <c r="R260" s="2368"/>
      <c r="S260" s="2369"/>
      <c r="T260" s="2369"/>
      <c r="U260" s="2371"/>
      <c r="V260" s="2377"/>
    </row>
    <row r="261" spans="1:22">
      <c r="A261" s="2345">
        <v>5</v>
      </c>
      <c r="B261" s="2348" t="s">
        <v>549</v>
      </c>
      <c r="C261" s="398">
        <v>1</v>
      </c>
      <c r="D261" s="2334">
        <v>0.15</v>
      </c>
      <c r="E261" s="2334">
        <f>3.6-0.12</f>
        <v>3.48</v>
      </c>
      <c r="F261" s="165">
        <v>2.2999999999999998</v>
      </c>
      <c r="G261" s="165">
        <f>$E$261*F261</f>
        <v>8.0039999999999996</v>
      </c>
      <c r="H261" s="165"/>
      <c r="I261" s="165">
        <f>G261-H261</f>
        <v>8.0039999999999996</v>
      </c>
      <c r="J261" s="2342" t="s">
        <v>55</v>
      </c>
      <c r="L261" s="154">
        <f>TRUNC((F261/1.8))+1</f>
        <v>2</v>
      </c>
      <c r="M261" s="2322">
        <f>($E$261)+(0.66+0.88)</f>
        <v>5.0199999999999996</v>
      </c>
      <c r="N261" s="253">
        <f>$M$261*L261</f>
        <v>10.039999999999999</v>
      </c>
      <c r="O261" s="253">
        <f t="shared" si="52"/>
        <v>10.039999999999999</v>
      </c>
      <c r="P261" s="2374" t="s">
        <v>39</v>
      </c>
      <c r="R261" s="2345">
        <v>8</v>
      </c>
      <c r="S261" s="405">
        <f>F261</f>
        <v>2.2999999999999998</v>
      </c>
      <c r="T261" s="253">
        <f>$R$261*S261</f>
        <v>18.399999999999999</v>
      </c>
      <c r="U261" s="253">
        <f>T261*0.1</f>
        <v>1.8399999999999999</v>
      </c>
      <c r="V261" s="2374" t="s">
        <v>39</v>
      </c>
    </row>
    <row r="262" spans="1:22">
      <c r="A262" s="2346"/>
      <c r="B262" s="2321"/>
      <c r="C262" s="189">
        <v>2</v>
      </c>
      <c r="D262" s="2325"/>
      <c r="E262" s="2325"/>
      <c r="F262" s="5">
        <v>2</v>
      </c>
      <c r="G262" s="5">
        <f t="shared" ref="G262:G300" si="66">$E$261*F262</f>
        <v>6.96</v>
      </c>
      <c r="H262" s="5"/>
      <c r="I262" s="5">
        <f t="shared" ref="I262:I300" si="67">G262-H262</f>
        <v>6.96</v>
      </c>
      <c r="J262" s="2343"/>
      <c r="L262" s="145">
        <f t="shared" ref="L262:L300" si="68">TRUNC((F262/1.8))+1</f>
        <v>2</v>
      </c>
      <c r="M262" s="2325"/>
      <c r="N262" s="5">
        <f t="shared" ref="N262:N300" si="69">$M$261*L262</f>
        <v>10.039999999999999</v>
      </c>
      <c r="O262" s="5">
        <f t="shared" si="52"/>
        <v>10.039999999999999</v>
      </c>
      <c r="P262" s="2343"/>
      <c r="R262" s="2346"/>
      <c r="S262" s="405">
        <f t="shared" ref="S262:S300" si="70">F262</f>
        <v>2</v>
      </c>
      <c r="T262" s="253">
        <f t="shared" ref="T262:T300" si="71">$R$261*S262</f>
        <v>16</v>
      </c>
      <c r="U262" s="253">
        <f t="shared" ref="U262:U300" si="72">T262*0.1</f>
        <v>1.6</v>
      </c>
      <c r="V262" s="2343"/>
    </row>
    <row r="263" spans="1:22">
      <c r="A263" s="2346"/>
      <c r="B263" s="2321"/>
      <c r="C263" s="189">
        <v>3</v>
      </c>
      <c r="D263" s="2325"/>
      <c r="E263" s="2325"/>
      <c r="F263" s="5">
        <v>5.9</v>
      </c>
      <c r="G263" s="5">
        <f t="shared" si="66"/>
        <v>20.532</v>
      </c>
      <c r="H263" s="5"/>
      <c r="I263" s="5">
        <f t="shared" si="67"/>
        <v>20.532</v>
      </c>
      <c r="J263" s="2343"/>
      <c r="L263" s="145">
        <f t="shared" si="68"/>
        <v>4</v>
      </c>
      <c r="M263" s="2325"/>
      <c r="N263" s="5">
        <f t="shared" si="69"/>
        <v>20.079999999999998</v>
      </c>
      <c r="O263" s="5">
        <f t="shared" si="52"/>
        <v>20.079999999999998</v>
      </c>
      <c r="P263" s="2343"/>
      <c r="R263" s="2346"/>
      <c r="S263" s="405">
        <f t="shared" si="70"/>
        <v>5.9</v>
      </c>
      <c r="T263" s="253">
        <f t="shared" si="71"/>
        <v>47.2</v>
      </c>
      <c r="U263" s="253">
        <f t="shared" si="72"/>
        <v>4.7200000000000006</v>
      </c>
      <c r="V263" s="2343"/>
    </row>
    <row r="264" spans="1:22">
      <c r="A264" s="2346"/>
      <c r="B264" s="2321"/>
      <c r="C264" s="189">
        <v>4</v>
      </c>
      <c r="D264" s="2325"/>
      <c r="E264" s="2325"/>
      <c r="F264" s="5">
        <v>7.54</v>
      </c>
      <c r="G264" s="5">
        <f t="shared" si="66"/>
        <v>26.2392</v>
      </c>
      <c r="H264" s="5"/>
      <c r="I264" s="5">
        <f t="shared" si="67"/>
        <v>26.2392</v>
      </c>
      <c r="J264" s="2343"/>
      <c r="L264" s="145">
        <f t="shared" si="68"/>
        <v>5</v>
      </c>
      <c r="M264" s="2325"/>
      <c r="N264" s="5">
        <f t="shared" si="69"/>
        <v>25.099999999999998</v>
      </c>
      <c r="O264" s="5">
        <f t="shared" si="52"/>
        <v>25.099999999999998</v>
      </c>
      <c r="P264" s="2343"/>
      <c r="R264" s="2346"/>
      <c r="S264" s="405">
        <f t="shared" si="70"/>
        <v>7.54</v>
      </c>
      <c r="T264" s="253">
        <f t="shared" si="71"/>
        <v>60.32</v>
      </c>
      <c r="U264" s="253">
        <f t="shared" si="72"/>
        <v>6.032</v>
      </c>
      <c r="V264" s="2343"/>
    </row>
    <row r="265" spans="1:22">
      <c r="A265" s="2346"/>
      <c r="B265" s="2321"/>
      <c r="C265" s="189">
        <v>5</v>
      </c>
      <c r="D265" s="2325"/>
      <c r="E265" s="2325"/>
      <c r="F265" s="5">
        <v>2.14</v>
      </c>
      <c r="G265" s="5">
        <f t="shared" si="66"/>
        <v>7.4472000000000005</v>
      </c>
      <c r="H265" s="5"/>
      <c r="I265" s="5">
        <f t="shared" si="67"/>
        <v>7.4472000000000005</v>
      </c>
      <c r="J265" s="2343"/>
      <c r="L265" s="145">
        <f t="shared" si="68"/>
        <v>2</v>
      </c>
      <c r="M265" s="2325"/>
      <c r="N265" s="5">
        <f t="shared" si="69"/>
        <v>10.039999999999999</v>
      </c>
      <c r="O265" s="5">
        <f t="shared" ref="O265:O328" si="73">N265*1</f>
        <v>10.039999999999999</v>
      </c>
      <c r="P265" s="2343"/>
      <c r="R265" s="2346"/>
      <c r="S265" s="405">
        <f t="shared" si="70"/>
        <v>2.14</v>
      </c>
      <c r="T265" s="253">
        <f t="shared" si="71"/>
        <v>17.12</v>
      </c>
      <c r="U265" s="253">
        <f t="shared" si="72"/>
        <v>1.7120000000000002</v>
      </c>
      <c r="V265" s="2343"/>
    </row>
    <row r="266" spans="1:22">
      <c r="A266" s="2346"/>
      <c r="B266" s="2321"/>
      <c r="C266" s="189">
        <v>6</v>
      </c>
      <c r="D266" s="2325"/>
      <c r="E266" s="2325"/>
      <c r="F266" s="5">
        <v>1</v>
      </c>
      <c r="G266" s="5">
        <f t="shared" si="66"/>
        <v>3.48</v>
      </c>
      <c r="H266" s="5"/>
      <c r="I266" s="5">
        <f t="shared" si="67"/>
        <v>3.48</v>
      </c>
      <c r="J266" s="2343"/>
      <c r="L266" s="145">
        <f t="shared" si="68"/>
        <v>1</v>
      </c>
      <c r="M266" s="2325"/>
      <c r="N266" s="5">
        <f t="shared" si="69"/>
        <v>5.0199999999999996</v>
      </c>
      <c r="O266" s="5">
        <f t="shared" si="73"/>
        <v>5.0199999999999996</v>
      </c>
      <c r="P266" s="2343"/>
      <c r="R266" s="2346"/>
      <c r="S266" s="405">
        <f t="shared" si="70"/>
        <v>1</v>
      </c>
      <c r="T266" s="253">
        <f t="shared" si="71"/>
        <v>8</v>
      </c>
      <c r="U266" s="253">
        <f t="shared" si="72"/>
        <v>0.8</v>
      </c>
      <c r="V266" s="2343"/>
    </row>
    <row r="267" spans="1:22">
      <c r="A267" s="2346"/>
      <c r="B267" s="2321"/>
      <c r="C267" s="189">
        <v>7</v>
      </c>
      <c r="D267" s="2325"/>
      <c r="E267" s="2325"/>
      <c r="F267" s="5">
        <v>6.23</v>
      </c>
      <c r="G267" s="5">
        <f t="shared" si="66"/>
        <v>21.680400000000002</v>
      </c>
      <c r="H267" s="5"/>
      <c r="I267" s="5">
        <f t="shared" si="67"/>
        <v>21.680400000000002</v>
      </c>
      <c r="J267" s="2343"/>
      <c r="L267" s="145">
        <f t="shared" si="68"/>
        <v>4</v>
      </c>
      <c r="M267" s="2325"/>
      <c r="N267" s="5">
        <f t="shared" si="69"/>
        <v>20.079999999999998</v>
      </c>
      <c r="O267" s="5">
        <f t="shared" si="73"/>
        <v>20.079999999999998</v>
      </c>
      <c r="P267" s="2343"/>
      <c r="R267" s="2346"/>
      <c r="S267" s="405">
        <f t="shared" si="70"/>
        <v>6.23</v>
      </c>
      <c r="T267" s="253">
        <f t="shared" si="71"/>
        <v>49.84</v>
      </c>
      <c r="U267" s="253">
        <f t="shared" si="72"/>
        <v>4.9840000000000009</v>
      </c>
      <c r="V267" s="2343"/>
    </row>
    <row r="268" spans="1:22">
      <c r="A268" s="2346"/>
      <c r="B268" s="2321"/>
      <c r="C268" s="189">
        <v>8</v>
      </c>
      <c r="D268" s="2325"/>
      <c r="E268" s="2325"/>
      <c r="F268" s="5">
        <v>4.32</v>
      </c>
      <c r="G268" s="5">
        <f t="shared" si="66"/>
        <v>15.033600000000002</v>
      </c>
      <c r="H268" s="5"/>
      <c r="I268" s="5">
        <f t="shared" si="67"/>
        <v>15.033600000000002</v>
      </c>
      <c r="J268" s="2343"/>
      <c r="L268" s="145">
        <f t="shared" si="68"/>
        <v>3</v>
      </c>
      <c r="M268" s="2325"/>
      <c r="N268" s="5">
        <f t="shared" si="69"/>
        <v>15.059999999999999</v>
      </c>
      <c r="O268" s="5">
        <f t="shared" si="73"/>
        <v>15.059999999999999</v>
      </c>
      <c r="P268" s="2343"/>
      <c r="R268" s="2346"/>
      <c r="S268" s="405">
        <f t="shared" si="70"/>
        <v>4.32</v>
      </c>
      <c r="T268" s="253">
        <f t="shared" si="71"/>
        <v>34.56</v>
      </c>
      <c r="U268" s="253">
        <f t="shared" si="72"/>
        <v>3.4560000000000004</v>
      </c>
      <c r="V268" s="2343"/>
    </row>
    <row r="269" spans="1:22">
      <c r="A269" s="2346"/>
      <c r="B269" s="2321"/>
      <c r="C269" s="189">
        <v>9</v>
      </c>
      <c r="D269" s="2325"/>
      <c r="E269" s="2325"/>
      <c r="F269" s="5">
        <v>1.77</v>
      </c>
      <c r="G269" s="5">
        <f t="shared" si="66"/>
        <v>6.1596000000000002</v>
      </c>
      <c r="H269" s="5"/>
      <c r="I269" s="5">
        <f t="shared" si="67"/>
        <v>6.1596000000000002</v>
      </c>
      <c r="J269" s="2343"/>
      <c r="L269" s="145">
        <f t="shared" si="68"/>
        <v>1</v>
      </c>
      <c r="M269" s="2325"/>
      <c r="N269" s="5">
        <f t="shared" si="69"/>
        <v>5.0199999999999996</v>
      </c>
      <c r="O269" s="5">
        <f t="shared" si="73"/>
        <v>5.0199999999999996</v>
      </c>
      <c r="P269" s="2343"/>
      <c r="R269" s="2346"/>
      <c r="S269" s="405">
        <f t="shared" si="70"/>
        <v>1.77</v>
      </c>
      <c r="T269" s="253">
        <f t="shared" si="71"/>
        <v>14.16</v>
      </c>
      <c r="U269" s="253">
        <f t="shared" si="72"/>
        <v>1.4160000000000001</v>
      </c>
      <c r="V269" s="2343"/>
    </row>
    <row r="270" spans="1:22">
      <c r="A270" s="2346"/>
      <c r="B270" s="2321"/>
      <c r="C270" s="189">
        <v>10</v>
      </c>
      <c r="D270" s="2325"/>
      <c r="E270" s="2325"/>
      <c r="F270" s="5">
        <v>2.65</v>
      </c>
      <c r="G270" s="5">
        <f t="shared" si="66"/>
        <v>9.2219999999999995</v>
      </c>
      <c r="H270" s="5"/>
      <c r="I270" s="5">
        <f t="shared" si="67"/>
        <v>9.2219999999999995</v>
      </c>
      <c r="J270" s="2343"/>
      <c r="L270" s="145">
        <f t="shared" si="68"/>
        <v>2</v>
      </c>
      <c r="M270" s="2325"/>
      <c r="N270" s="5">
        <f t="shared" si="69"/>
        <v>10.039999999999999</v>
      </c>
      <c r="O270" s="5">
        <f t="shared" si="73"/>
        <v>10.039999999999999</v>
      </c>
      <c r="P270" s="2343"/>
      <c r="R270" s="2346"/>
      <c r="S270" s="405">
        <f t="shared" si="70"/>
        <v>2.65</v>
      </c>
      <c r="T270" s="253">
        <f t="shared" si="71"/>
        <v>21.2</v>
      </c>
      <c r="U270" s="253">
        <f t="shared" si="72"/>
        <v>2.12</v>
      </c>
      <c r="V270" s="2343"/>
    </row>
    <row r="271" spans="1:22">
      <c r="A271" s="2346"/>
      <c r="B271" s="2321"/>
      <c r="C271" s="189">
        <v>11</v>
      </c>
      <c r="D271" s="2325"/>
      <c r="E271" s="2325"/>
      <c r="F271" s="5">
        <v>1.8</v>
      </c>
      <c r="G271" s="5">
        <f t="shared" si="66"/>
        <v>6.2640000000000002</v>
      </c>
      <c r="H271" s="5"/>
      <c r="I271" s="5">
        <f t="shared" si="67"/>
        <v>6.2640000000000002</v>
      </c>
      <c r="J271" s="2343"/>
      <c r="L271" s="145">
        <f t="shared" si="68"/>
        <v>2</v>
      </c>
      <c r="M271" s="2325"/>
      <c r="N271" s="5">
        <f t="shared" si="69"/>
        <v>10.039999999999999</v>
      </c>
      <c r="O271" s="5">
        <f t="shared" si="73"/>
        <v>10.039999999999999</v>
      </c>
      <c r="P271" s="2343"/>
      <c r="R271" s="2346"/>
      <c r="S271" s="405">
        <f t="shared" si="70"/>
        <v>1.8</v>
      </c>
      <c r="T271" s="253">
        <f t="shared" si="71"/>
        <v>14.4</v>
      </c>
      <c r="U271" s="253">
        <f t="shared" si="72"/>
        <v>1.4400000000000002</v>
      </c>
      <c r="V271" s="2343"/>
    </row>
    <row r="272" spans="1:22">
      <c r="A272" s="2346"/>
      <c r="B272" s="2321"/>
      <c r="C272" s="189">
        <v>12</v>
      </c>
      <c r="D272" s="2325"/>
      <c r="E272" s="2325"/>
      <c r="F272" s="5">
        <v>0.5</v>
      </c>
      <c r="G272" s="5">
        <f t="shared" si="66"/>
        <v>1.74</v>
      </c>
      <c r="H272" s="5"/>
      <c r="I272" s="5">
        <f t="shared" si="67"/>
        <v>1.74</v>
      </c>
      <c r="J272" s="2343"/>
      <c r="L272" s="145">
        <f t="shared" si="68"/>
        <v>1</v>
      </c>
      <c r="M272" s="2325"/>
      <c r="N272" s="5">
        <f t="shared" si="69"/>
        <v>5.0199999999999996</v>
      </c>
      <c r="O272" s="5">
        <f t="shared" si="73"/>
        <v>5.0199999999999996</v>
      </c>
      <c r="P272" s="2343"/>
      <c r="R272" s="2346"/>
      <c r="S272" s="405">
        <f t="shared" si="70"/>
        <v>0.5</v>
      </c>
      <c r="T272" s="253">
        <f t="shared" si="71"/>
        <v>4</v>
      </c>
      <c r="U272" s="253">
        <f t="shared" si="72"/>
        <v>0.4</v>
      </c>
      <c r="V272" s="2343"/>
    </row>
    <row r="273" spans="1:22">
      <c r="A273" s="2346"/>
      <c r="B273" s="2321"/>
      <c r="C273" s="189">
        <v>13</v>
      </c>
      <c r="D273" s="2325"/>
      <c r="E273" s="2325"/>
      <c r="F273" s="5">
        <v>0.65</v>
      </c>
      <c r="G273" s="5">
        <f t="shared" si="66"/>
        <v>2.262</v>
      </c>
      <c r="H273" s="5"/>
      <c r="I273" s="5">
        <f t="shared" si="67"/>
        <v>2.262</v>
      </c>
      <c r="J273" s="2343"/>
      <c r="L273" s="145">
        <f t="shared" si="68"/>
        <v>1</v>
      </c>
      <c r="M273" s="2325"/>
      <c r="N273" s="5">
        <f t="shared" si="69"/>
        <v>5.0199999999999996</v>
      </c>
      <c r="O273" s="5">
        <f t="shared" si="73"/>
        <v>5.0199999999999996</v>
      </c>
      <c r="P273" s="2343"/>
      <c r="R273" s="2346"/>
      <c r="S273" s="405">
        <f t="shared" si="70"/>
        <v>0.65</v>
      </c>
      <c r="T273" s="253">
        <f t="shared" si="71"/>
        <v>5.2</v>
      </c>
      <c r="U273" s="253">
        <f t="shared" si="72"/>
        <v>0.52</v>
      </c>
      <c r="V273" s="2343"/>
    </row>
    <row r="274" spans="1:22">
      <c r="A274" s="2346"/>
      <c r="B274" s="2321"/>
      <c r="C274" s="189">
        <v>14</v>
      </c>
      <c r="D274" s="2325"/>
      <c r="E274" s="2325"/>
      <c r="F274" s="5">
        <v>2</v>
      </c>
      <c r="G274" s="5">
        <f t="shared" si="66"/>
        <v>6.96</v>
      </c>
      <c r="H274" s="5"/>
      <c r="I274" s="5">
        <f t="shared" si="67"/>
        <v>6.96</v>
      </c>
      <c r="J274" s="2343"/>
      <c r="L274" s="145">
        <f t="shared" si="68"/>
        <v>2</v>
      </c>
      <c r="M274" s="2325"/>
      <c r="N274" s="5">
        <f t="shared" si="69"/>
        <v>10.039999999999999</v>
      </c>
      <c r="O274" s="5">
        <f t="shared" si="73"/>
        <v>10.039999999999999</v>
      </c>
      <c r="P274" s="2343"/>
      <c r="R274" s="2346"/>
      <c r="S274" s="405">
        <f t="shared" si="70"/>
        <v>2</v>
      </c>
      <c r="T274" s="253">
        <f t="shared" si="71"/>
        <v>16</v>
      </c>
      <c r="U274" s="253">
        <f t="shared" si="72"/>
        <v>1.6</v>
      </c>
      <c r="V274" s="2343"/>
    </row>
    <row r="275" spans="1:22">
      <c r="A275" s="2346"/>
      <c r="B275" s="2321"/>
      <c r="C275" s="189">
        <v>15</v>
      </c>
      <c r="D275" s="2325"/>
      <c r="E275" s="2325"/>
      <c r="F275" s="5">
        <v>3.45</v>
      </c>
      <c r="G275" s="5">
        <f t="shared" si="66"/>
        <v>12.006</v>
      </c>
      <c r="H275" s="5"/>
      <c r="I275" s="5">
        <f t="shared" si="67"/>
        <v>12.006</v>
      </c>
      <c r="J275" s="2343"/>
      <c r="L275" s="145">
        <f t="shared" si="68"/>
        <v>2</v>
      </c>
      <c r="M275" s="2325"/>
      <c r="N275" s="5">
        <f t="shared" si="69"/>
        <v>10.039999999999999</v>
      </c>
      <c r="O275" s="5">
        <f t="shared" si="73"/>
        <v>10.039999999999999</v>
      </c>
      <c r="P275" s="2343"/>
      <c r="R275" s="2346"/>
      <c r="S275" s="405">
        <f t="shared" si="70"/>
        <v>3.45</v>
      </c>
      <c r="T275" s="253">
        <f t="shared" si="71"/>
        <v>27.6</v>
      </c>
      <c r="U275" s="253">
        <f t="shared" si="72"/>
        <v>2.7600000000000002</v>
      </c>
      <c r="V275" s="2343"/>
    </row>
    <row r="276" spans="1:22">
      <c r="A276" s="2346"/>
      <c r="B276" s="2321"/>
      <c r="C276" s="189">
        <v>16</v>
      </c>
      <c r="D276" s="2325"/>
      <c r="E276" s="2325"/>
      <c r="F276" s="5">
        <v>3.89</v>
      </c>
      <c r="G276" s="5">
        <f t="shared" si="66"/>
        <v>13.5372</v>
      </c>
      <c r="H276" s="5"/>
      <c r="I276" s="5">
        <f t="shared" si="67"/>
        <v>13.5372</v>
      </c>
      <c r="J276" s="2343"/>
      <c r="L276" s="145">
        <f t="shared" si="68"/>
        <v>3</v>
      </c>
      <c r="M276" s="2325"/>
      <c r="N276" s="5">
        <f t="shared" si="69"/>
        <v>15.059999999999999</v>
      </c>
      <c r="O276" s="5">
        <f t="shared" si="73"/>
        <v>15.059999999999999</v>
      </c>
      <c r="P276" s="2343"/>
      <c r="R276" s="2346"/>
      <c r="S276" s="405">
        <f t="shared" si="70"/>
        <v>3.89</v>
      </c>
      <c r="T276" s="253">
        <f t="shared" si="71"/>
        <v>31.12</v>
      </c>
      <c r="U276" s="253">
        <f t="shared" si="72"/>
        <v>3.1120000000000001</v>
      </c>
      <c r="V276" s="2343"/>
    </row>
    <row r="277" spans="1:22">
      <c r="A277" s="2346"/>
      <c r="B277" s="2321"/>
      <c r="C277" s="189">
        <v>17</v>
      </c>
      <c r="D277" s="2325"/>
      <c r="E277" s="2325"/>
      <c r="F277" s="5">
        <v>2.2000000000000002</v>
      </c>
      <c r="G277" s="5">
        <f t="shared" si="66"/>
        <v>7.6560000000000006</v>
      </c>
      <c r="H277" s="5"/>
      <c r="I277" s="5">
        <f t="shared" si="67"/>
        <v>7.6560000000000006</v>
      </c>
      <c r="J277" s="2343"/>
      <c r="L277" s="145">
        <f t="shared" si="68"/>
        <v>2</v>
      </c>
      <c r="M277" s="2325"/>
      <c r="N277" s="5">
        <f t="shared" si="69"/>
        <v>10.039999999999999</v>
      </c>
      <c r="O277" s="5">
        <f t="shared" si="73"/>
        <v>10.039999999999999</v>
      </c>
      <c r="P277" s="2343"/>
      <c r="R277" s="2346"/>
      <c r="S277" s="405">
        <f t="shared" si="70"/>
        <v>2.2000000000000002</v>
      </c>
      <c r="T277" s="253">
        <f t="shared" si="71"/>
        <v>17.600000000000001</v>
      </c>
      <c r="U277" s="253">
        <f t="shared" si="72"/>
        <v>1.7600000000000002</v>
      </c>
      <c r="V277" s="2343"/>
    </row>
    <row r="278" spans="1:22">
      <c r="A278" s="2346"/>
      <c r="B278" s="2321"/>
      <c r="C278" s="189">
        <v>18</v>
      </c>
      <c r="D278" s="2325"/>
      <c r="E278" s="2325"/>
      <c r="F278" s="5">
        <v>2.2999999999999998</v>
      </c>
      <c r="G278" s="5">
        <f t="shared" si="66"/>
        <v>8.0039999999999996</v>
      </c>
      <c r="H278" s="5"/>
      <c r="I278" s="5">
        <f t="shared" si="67"/>
        <v>8.0039999999999996</v>
      </c>
      <c r="J278" s="2343"/>
      <c r="L278" s="145">
        <f t="shared" si="68"/>
        <v>2</v>
      </c>
      <c r="M278" s="2325"/>
      <c r="N278" s="5">
        <f t="shared" si="69"/>
        <v>10.039999999999999</v>
      </c>
      <c r="O278" s="5">
        <f t="shared" si="73"/>
        <v>10.039999999999999</v>
      </c>
      <c r="P278" s="2343"/>
      <c r="R278" s="2346"/>
      <c r="S278" s="405">
        <f t="shared" si="70"/>
        <v>2.2999999999999998</v>
      </c>
      <c r="T278" s="253">
        <f t="shared" si="71"/>
        <v>18.399999999999999</v>
      </c>
      <c r="U278" s="253">
        <f t="shared" si="72"/>
        <v>1.8399999999999999</v>
      </c>
      <c r="V278" s="2343"/>
    </row>
    <row r="279" spans="1:22">
      <c r="A279" s="2346"/>
      <c r="B279" s="2321"/>
      <c r="C279" s="189">
        <v>19</v>
      </c>
      <c r="D279" s="2325"/>
      <c r="E279" s="2325"/>
      <c r="F279" s="5">
        <v>7.62</v>
      </c>
      <c r="G279" s="5">
        <f t="shared" si="66"/>
        <v>26.517600000000002</v>
      </c>
      <c r="H279" s="5"/>
      <c r="I279" s="5">
        <f t="shared" si="67"/>
        <v>26.517600000000002</v>
      </c>
      <c r="J279" s="2343"/>
      <c r="L279" s="145">
        <f t="shared" si="68"/>
        <v>5</v>
      </c>
      <c r="M279" s="2325"/>
      <c r="N279" s="5">
        <f t="shared" si="69"/>
        <v>25.099999999999998</v>
      </c>
      <c r="O279" s="5">
        <f t="shared" si="73"/>
        <v>25.099999999999998</v>
      </c>
      <c r="P279" s="2343"/>
      <c r="R279" s="2346"/>
      <c r="S279" s="405">
        <f t="shared" si="70"/>
        <v>7.62</v>
      </c>
      <c r="T279" s="253">
        <f t="shared" si="71"/>
        <v>60.96</v>
      </c>
      <c r="U279" s="253">
        <f t="shared" si="72"/>
        <v>6.0960000000000001</v>
      </c>
      <c r="V279" s="2343"/>
    </row>
    <row r="280" spans="1:22">
      <c r="A280" s="2346"/>
      <c r="B280" s="2321"/>
      <c r="C280" s="189">
        <v>20</v>
      </c>
      <c r="D280" s="2325"/>
      <c r="E280" s="2325"/>
      <c r="F280" s="5">
        <v>4.0999999999999996</v>
      </c>
      <c r="G280" s="5">
        <f t="shared" si="66"/>
        <v>14.267999999999999</v>
      </c>
      <c r="H280" s="5"/>
      <c r="I280" s="5">
        <f t="shared" si="67"/>
        <v>14.267999999999999</v>
      </c>
      <c r="J280" s="2343"/>
      <c r="L280" s="145">
        <f t="shared" si="68"/>
        <v>3</v>
      </c>
      <c r="M280" s="2325"/>
      <c r="N280" s="5">
        <f t="shared" si="69"/>
        <v>15.059999999999999</v>
      </c>
      <c r="O280" s="5">
        <f t="shared" si="73"/>
        <v>15.059999999999999</v>
      </c>
      <c r="P280" s="2343"/>
      <c r="R280" s="2346"/>
      <c r="S280" s="405">
        <f t="shared" si="70"/>
        <v>4.0999999999999996</v>
      </c>
      <c r="T280" s="253">
        <f t="shared" si="71"/>
        <v>32.799999999999997</v>
      </c>
      <c r="U280" s="253">
        <f t="shared" si="72"/>
        <v>3.28</v>
      </c>
      <c r="V280" s="2343"/>
    </row>
    <row r="281" spans="1:22">
      <c r="A281" s="2346"/>
      <c r="B281" s="2321"/>
      <c r="C281" s="189">
        <v>21</v>
      </c>
      <c r="D281" s="2325"/>
      <c r="E281" s="2325"/>
      <c r="F281" s="5">
        <v>0.6</v>
      </c>
      <c r="G281" s="5">
        <f t="shared" si="66"/>
        <v>2.0880000000000001</v>
      </c>
      <c r="H281" s="5"/>
      <c r="I281" s="5">
        <f t="shared" si="67"/>
        <v>2.0880000000000001</v>
      </c>
      <c r="J281" s="2343"/>
      <c r="L281" s="145">
        <f t="shared" si="68"/>
        <v>1</v>
      </c>
      <c r="M281" s="2325"/>
      <c r="N281" s="5">
        <f t="shared" si="69"/>
        <v>5.0199999999999996</v>
      </c>
      <c r="O281" s="5">
        <f t="shared" si="73"/>
        <v>5.0199999999999996</v>
      </c>
      <c r="P281" s="2343"/>
      <c r="R281" s="2346"/>
      <c r="S281" s="405">
        <f t="shared" si="70"/>
        <v>0.6</v>
      </c>
      <c r="T281" s="253">
        <f t="shared" si="71"/>
        <v>4.8</v>
      </c>
      <c r="U281" s="253">
        <f t="shared" si="72"/>
        <v>0.48</v>
      </c>
      <c r="V281" s="2343"/>
    </row>
    <row r="282" spans="1:22">
      <c r="A282" s="2346"/>
      <c r="B282" s="2321"/>
      <c r="C282" s="189">
        <v>22</v>
      </c>
      <c r="D282" s="2325"/>
      <c r="E282" s="2325"/>
      <c r="F282" s="5">
        <v>2.86</v>
      </c>
      <c r="G282" s="5">
        <f t="shared" si="66"/>
        <v>9.9527999999999999</v>
      </c>
      <c r="H282" s="5"/>
      <c r="I282" s="5">
        <f t="shared" si="67"/>
        <v>9.9527999999999999</v>
      </c>
      <c r="J282" s="2343"/>
      <c r="L282" s="145">
        <f t="shared" si="68"/>
        <v>2</v>
      </c>
      <c r="M282" s="2325"/>
      <c r="N282" s="5">
        <f t="shared" si="69"/>
        <v>10.039999999999999</v>
      </c>
      <c r="O282" s="5">
        <f t="shared" si="73"/>
        <v>10.039999999999999</v>
      </c>
      <c r="P282" s="2343"/>
      <c r="R282" s="2346"/>
      <c r="S282" s="405">
        <f t="shared" si="70"/>
        <v>2.86</v>
      </c>
      <c r="T282" s="253">
        <f t="shared" si="71"/>
        <v>22.88</v>
      </c>
      <c r="U282" s="253">
        <f t="shared" si="72"/>
        <v>2.2879999999999998</v>
      </c>
      <c r="V282" s="2343"/>
    </row>
    <row r="283" spans="1:22">
      <c r="A283" s="2346"/>
      <c r="B283" s="2321"/>
      <c r="C283" s="189">
        <v>23</v>
      </c>
      <c r="D283" s="2325"/>
      <c r="E283" s="2325"/>
      <c r="F283" s="5">
        <v>0.9</v>
      </c>
      <c r="G283" s="5">
        <f t="shared" si="66"/>
        <v>3.1320000000000001</v>
      </c>
      <c r="H283" s="5"/>
      <c r="I283" s="5">
        <f t="shared" si="67"/>
        <v>3.1320000000000001</v>
      </c>
      <c r="J283" s="2343"/>
      <c r="L283" s="145">
        <f t="shared" si="68"/>
        <v>1</v>
      </c>
      <c r="M283" s="2325"/>
      <c r="N283" s="5">
        <f t="shared" si="69"/>
        <v>5.0199999999999996</v>
      </c>
      <c r="O283" s="5">
        <f t="shared" si="73"/>
        <v>5.0199999999999996</v>
      </c>
      <c r="P283" s="2343"/>
      <c r="R283" s="2346"/>
      <c r="S283" s="405">
        <f t="shared" si="70"/>
        <v>0.9</v>
      </c>
      <c r="T283" s="253">
        <f t="shared" si="71"/>
        <v>7.2</v>
      </c>
      <c r="U283" s="253">
        <f t="shared" si="72"/>
        <v>0.72000000000000008</v>
      </c>
      <c r="V283" s="2343"/>
    </row>
    <row r="284" spans="1:22">
      <c r="A284" s="2346"/>
      <c r="B284" s="2321"/>
      <c r="C284" s="189">
        <v>24</v>
      </c>
      <c r="D284" s="2325"/>
      <c r="E284" s="2325"/>
      <c r="F284" s="5">
        <v>2.57</v>
      </c>
      <c r="G284" s="5">
        <f t="shared" si="66"/>
        <v>8.9436</v>
      </c>
      <c r="H284" s="5"/>
      <c r="I284" s="5">
        <f t="shared" si="67"/>
        <v>8.9436</v>
      </c>
      <c r="J284" s="2343"/>
      <c r="L284" s="145">
        <f t="shared" si="68"/>
        <v>2</v>
      </c>
      <c r="M284" s="2325"/>
      <c r="N284" s="5">
        <f t="shared" si="69"/>
        <v>10.039999999999999</v>
      </c>
      <c r="O284" s="5">
        <f t="shared" si="73"/>
        <v>10.039999999999999</v>
      </c>
      <c r="P284" s="2343"/>
      <c r="R284" s="2346"/>
      <c r="S284" s="405">
        <f t="shared" si="70"/>
        <v>2.57</v>
      </c>
      <c r="T284" s="253">
        <f t="shared" si="71"/>
        <v>20.56</v>
      </c>
      <c r="U284" s="253">
        <f t="shared" si="72"/>
        <v>2.056</v>
      </c>
      <c r="V284" s="2343"/>
    </row>
    <row r="285" spans="1:22">
      <c r="A285" s="2346"/>
      <c r="B285" s="2321"/>
      <c r="C285" s="189">
        <v>25</v>
      </c>
      <c r="D285" s="2325"/>
      <c r="E285" s="2325"/>
      <c r="F285" s="5">
        <v>1.59</v>
      </c>
      <c r="G285" s="5">
        <f t="shared" si="66"/>
        <v>5.5331999999999999</v>
      </c>
      <c r="H285" s="5"/>
      <c r="I285" s="5">
        <f t="shared" si="67"/>
        <v>5.5331999999999999</v>
      </c>
      <c r="J285" s="2343"/>
      <c r="L285" s="145">
        <f t="shared" si="68"/>
        <v>1</v>
      </c>
      <c r="M285" s="2325"/>
      <c r="N285" s="5">
        <f t="shared" si="69"/>
        <v>5.0199999999999996</v>
      </c>
      <c r="O285" s="5">
        <f t="shared" si="73"/>
        <v>5.0199999999999996</v>
      </c>
      <c r="P285" s="2343"/>
      <c r="R285" s="2346"/>
      <c r="S285" s="405">
        <f t="shared" si="70"/>
        <v>1.59</v>
      </c>
      <c r="T285" s="253">
        <f t="shared" si="71"/>
        <v>12.72</v>
      </c>
      <c r="U285" s="253">
        <f t="shared" si="72"/>
        <v>1.2720000000000002</v>
      </c>
      <c r="V285" s="2343"/>
    </row>
    <row r="286" spans="1:22">
      <c r="A286" s="2346"/>
      <c r="B286" s="2321"/>
      <c r="C286" s="189">
        <v>26</v>
      </c>
      <c r="D286" s="2325"/>
      <c r="E286" s="2325"/>
      <c r="F286" s="5">
        <v>0.57999999999999996</v>
      </c>
      <c r="G286" s="5">
        <f t="shared" si="66"/>
        <v>2.0183999999999997</v>
      </c>
      <c r="H286" s="5"/>
      <c r="I286" s="5">
        <f t="shared" si="67"/>
        <v>2.0183999999999997</v>
      </c>
      <c r="J286" s="2343"/>
      <c r="L286" s="145">
        <f t="shared" si="68"/>
        <v>1</v>
      </c>
      <c r="M286" s="2325"/>
      <c r="N286" s="5">
        <f t="shared" si="69"/>
        <v>5.0199999999999996</v>
      </c>
      <c r="O286" s="5">
        <f t="shared" si="73"/>
        <v>5.0199999999999996</v>
      </c>
      <c r="P286" s="2343"/>
      <c r="R286" s="2346"/>
      <c r="S286" s="405">
        <f t="shared" si="70"/>
        <v>0.57999999999999996</v>
      </c>
      <c r="T286" s="253">
        <f t="shared" si="71"/>
        <v>4.6399999999999997</v>
      </c>
      <c r="U286" s="253">
        <f t="shared" si="72"/>
        <v>0.46399999999999997</v>
      </c>
      <c r="V286" s="2343"/>
    </row>
    <row r="287" spans="1:22">
      <c r="A287" s="2346"/>
      <c r="B287" s="2321"/>
      <c r="C287" s="189">
        <v>27</v>
      </c>
      <c r="D287" s="2325"/>
      <c r="E287" s="2325"/>
      <c r="F287" s="5">
        <v>1.59</v>
      </c>
      <c r="G287" s="5">
        <f t="shared" si="66"/>
        <v>5.5331999999999999</v>
      </c>
      <c r="H287" s="5"/>
      <c r="I287" s="5">
        <f t="shared" si="67"/>
        <v>5.5331999999999999</v>
      </c>
      <c r="J287" s="2343"/>
      <c r="L287" s="145">
        <f t="shared" si="68"/>
        <v>1</v>
      </c>
      <c r="M287" s="2325"/>
      <c r="N287" s="5">
        <f t="shared" si="69"/>
        <v>5.0199999999999996</v>
      </c>
      <c r="O287" s="5">
        <f t="shared" si="73"/>
        <v>5.0199999999999996</v>
      </c>
      <c r="P287" s="2343"/>
      <c r="R287" s="2346"/>
      <c r="S287" s="405">
        <f t="shared" si="70"/>
        <v>1.59</v>
      </c>
      <c r="T287" s="253">
        <f t="shared" si="71"/>
        <v>12.72</v>
      </c>
      <c r="U287" s="253">
        <f t="shared" si="72"/>
        <v>1.2720000000000002</v>
      </c>
      <c r="V287" s="2343"/>
    </row>
    <row r="288" spans="1:22">
      <c r="A288" s="2346"/>
      <c r="B288" s="2321"/>
      <c r="C288" s="189">
        <v>28</v>
      </c>
      <c r="D288" s="2325"/>
      <c r="E288" s="2325"/>
      <c r="F288" s="5">
        <v>2.42</v>
      </c>
      <c r="G288" s="5">
        <f t="shared" si="66"/>
        <v>8.4215999999999998</v>
      </c>
      <c r="H288" s="5"/>
      <c r="I288" s="5">
        <f t="shared" si="67"/>
        <v>8.4215999999999998</v>
      </c>
      <c r="J288" s="2343"/>
      <c r="L288" s="145">
        <f t="shared" si="68"/>
        <v>2</v>
      </c>
      <c r="M288" s="2325"/>
      <c r="N288" s="5">
        <f t="shared" si="69"/>
        <v>10.039999999999999</v>
      </c>
      <c r="O288" s="5">
        <f t="shared" si="73"/>
        <v>10.039999999999999</v>
      </c>
      <c r="P288" s="2343"/>
      <c r="R288" s="2346"/>
      <c r="S288" s="405">
        <f t="shared" si="70"/>
        <v>2.42</v>
      </c>
      <c r="T288" s="253">
        <f t="shared" si="71"/>
        <v>19.36</v>
      </c>
      <c r="U288" s="253">
        <f t="shared" si="72"/>
        <v>1.9359999999999999</v>
      </c>
      <c r="V288" s="2343"/>
    </row>
    <row r="289" spans="1:22">
      <c r="A289" s="2346"/>
      <c r="B289" s="2321"/>
      <c r="C289" s="189">
        <v>29</v>
      </c>
      <c r="D289" s="2325"/>
      <c r="E289" s="2325"/>
      <c r="F289" s="5">
        <v>1.05</v>
      </c>
      <c r="G289" s="5">
        <f t="shared" si="66"/>
        <v>3.6539999999999999</v>
      </c>
      <c r="H289" s="5"/>
      <c r="I289" s="5">
        <f t="shared" si="67"/>
        <v>3.6539999999999999</v>
      </c>
      <c r="J289" s="2343"/>
      <c r="L289" s="145">
        <f t="shared" si="68"/>
        <v>1</v>
      </c>
      <c r="M289" s="2325"/>
      <c r="N289" s="5">
        <f t="shared" si="69"/>
        <v>5.0199999999999996</v>
      </c>
      <c r="O289" s="5">
        <f t="shared" si="73"/>
        <v>5.0199999999999996</v>
      </c>
      <c r="P289" s="2343"/>
      <c r="R289" s="2346"/>
      <c r="S289" s="405">
        <f t="shared" si="70"/>
        <v>1.05</v>
      </c>
      <c r="T289" s="253">
        <f t="shared" si="71"/>
        <v>8.4</v>
      </c>
      <c r="U289" s="253">
        <f t="shared" si="72"/>
        <v>0.84000000000000008</v>
      </c>
      <c r="V289" s="2343"/>
    </row>
    <row r="290" spans="1:22">
      <c r="A290" s="2346"/>
      <c r="B290" s="2321"/>
      <c r="C290" s="189">
        <v>30</v>
      </c>
      <c r="D290" s="2325"/>
      <c r="E290" s="2325"/>
      <c r="F290" s="5">
        <v>2.83</v>
      </c>
      <c r="G290" s="5">
        <f t="shared" si="66"/>
        <v>9.8483999999999998</v>
      </c>
      <c r="H290" s="5"/>
      <c r="I290" s="5">
        <f t="shared" si="67"/>
        <v>9.8483999999999998</v>
      </c>
      <c r="J290" s="2343"/>
      <c r="L290" s="145">
        <f t="shared" si="68"/>
        <v>2</v>
      </c>
      <c r="M290" s="2325"/>
      <c r="N290" s="5">
        <f t="shared" si="69"/>
        <v>10.039999999999999</v>
      </c>
      <c r="O290" s="5">
        <f t="shared" si="73"/>
        <v>10.039999999999999</v>
      </c>
      <c r="P290" s="2343"/>
      <c r="R290" s="2346"/>
      <c r="S290" s="405">
        <f t="shared" si="70"/>
        <v>2.83</v>
      </c>
      <c r="T290" s="253">
        <f t="shared" si="71"/>
        <v>22.64</v>
      </c>
      <c r="U290" s="253">
        <f t="shared" si="72"/>
        <v>2.2640000000000002</v>
      </c>
      <c r="V290" s="2343"/>
    </row>
    <row r="291" spans="1:22">
      <c r="A291" s="2346"/>
      <c r="B291" s="2321"/>
      <c r="C291" s="189">
        <v>31</v>
      </c>
      <c r="D291" s="2325"/>
      <c r="E291" s="2325"/>
      <c r="F291" s="5">
        <v>1.59</v>
      </c>
      <c r="G291" s="5">
        <f t="shared" si="66"/>
        <v>5.5331999999999999</v>
      </c>
      <c r="H291" s="5"/>
      <c r="I291" s="5">
        <f t="shared" si="67"/>
        <v>5.5331999999999999</v>
      </c>
      <c r="J291" s="2343"/>
      <c r="L291" s="145">
        <f t="shared" si="68"/>
        <v>1</v>
      </c>
      <c r="M291" s="2325"/>
      <c r="N291" s="5">
        <f t="shared" si="69"/>
        <v>5.0199999999999996</v>
      </c>
      <c r="O291" s="5">
        <f t="shared" si="73"/>
        <v>5.0199999999999996</v>
      </c>
      <c r="P291" s="2343"/>
      <c r="R291" s="2346"/>
      <c r="S291" s="405">
        <f t="shared" si="70"/>
        <v>1.59</v>
      </c>
      <c r="T291" s="253">
        <f t="shared" si="71"/>
        <v>12.72</v>
      </c>
      <c r="U291" s="253">
        <f t="shared" si="72"/>
        <v>1.2720000000000002</v>
      </c>
      <c r="V291" s="2343"/>
    </row>
    <row r="292" spans="1:22">
      <c r="A292" s="2346"/>
      <c r="B292" s="2321"/>
      <c r="C292" s="189">
        <v>32</v>
      </c>
      <c r="D292" s="2325"/>
      <c r="E292" s="2325"/>
      <c r="F292" s="5">
        <v>0.6</v>
      </c>
      <c r="G292" s="5">
        <f t="shared" si="66"/>
        <v>2.0880000000000001</v>
      </c>
      <c r="H292" s="5"/>
      <c r="I292" s="5">
        <f t="shared" si="67"/>
        <v>2.0880000000000001</v>
      </c>
      <c r="J292" s="2343"/>
      <c r="L292" s="145">
        <f t="shared" si="68"/>
        <v>1</v>
      </c>
      <c r="M292" s="2325"/>
      <c r="N292" s="5">
        <f t="shared" si="69"/>
        <v>5.0199999999999996</v>
      </c>
      <c r="O292" s="5">
        <f t="shared" si="73"/>
        <v>5.0199999999999996</v>
      </c>
      <c r="P292" s="2343"/>
      <c r="R292" s="2346"/>
      <c r="S292" s="405">
        <f t="shared" si="70"/>
        <v>0.6</v>
      </c>
      <c r="T292" s="253">
        <f t="shared" si="71"/>
        <v>4.8</v>
      </c>
      <c r="U292" s="253">
        <f t="shared" si="72"/>
        <v>0.48</v>
      </c>
      <c r="V292" s="2343"/>
    </row>
    <row r="293" spans="1:22">
      <c r="A293" s="2346"/>
      <c r="B293" s="2321"/>
      <c r="C293" s="189">
        <v>33</v>
      </c>
      <c r="D293" s="2325"/>
      <c r="E293" s="2325"/>
      <c r="F293" s="5">
        <v>8.25</v>
      </c>
      <c r="G293" s="5">
        <f t="shared" si="66"/>
        <v>28.71</v>
      </c>
      <c r="H293" s="5"/>
      <c r="I293" s="5">
        <f t="shared" si="67"/>
        <v>28.71</v>
      </c>
      <c r="J293" s="2343"/>
      <c r="L293" s="145">
        <f t="shared" si="68"/>
        <v>5</v>
      </c>
      <c r="M293" s="2325"/>
      <c r="N293" s="5">
        <f t="shared" si="69"/>
        <v>25.099999999999998</v>
      </c>
      <c r="O293" s="5">
        <f t="shared" si="73"/>
        <v>25.099999999999998</v>
      </c>
      <c r="P293" s="2343"/>
      <c r="R293" s="2346"/>
      <c r="S293" s="405">
        <f t="shared" si="70"/>
        <v>8.25</v>
      </c>
      <c r="T293" s="253">
        <f t="shared" si="71"/>
        <v>66</v>
      </c>
      <c r="U293" s="253">
        <f t="shared" si="72"/>
        <v>6.6000000000000005</v>
      </c>
      <c r="V293" s="2343"/>
    </row>
    <row r="294" spans="1:22">
      <c r="A294" s="2346"/>
      <c r="B294" s="2321"/>
      <c r="C294" s="189">
        <v>34</v>
      </c>
      <c r="D294" s="2325"/>
      <c r="E294" s="2325"/>
      <c r="F294" s="5">
        <v>0.9</v>
      </c>
      <c r="G294" s="5">
        <f t="shared" si="66"/>
        <v>3.1320000000000001</v>
      </c>
      <c r="H294" s="5"/>
      <c r="I294" s="5">
        <f t="shared" si="67"/>
        <v>3.1320000000000001</v>
      </c>
      <c r="J294" s="2343"/>
      <c r="L294" s="145">
        <f t="shared" si="68"/>
        <v>1</v>
      </c>
      <c r="M294" s="2325"/>
      <c r="N294" s="5">
        <f t="shared" si="69"/>
        <v>5.0199999999999996</v>
      </c>
      <c r="O294" s="5">
        <f t="shared" si="73"/>
        <v>5.0199999999999996</v>
      </c>
      <c r="P294" s="2343"/>
      <c r="R294" s="2346"/>
      <c r="S294" s="405">
        <f t="shared" si="70"/>
        <v>0.9</v>
      </c>
      <c r="T294" s="253">
        <f t="shared" si="71"/>
        <v>7.2</v>
      </c>
      <c r="U294" s="253">
        <f t="shared" si="72"/>
        <v>0.72000000000000008</v>
      </c>
      <c r="V294" s="2343"/>
    </row>
    <row r="295" spans="1:22">
      <c r="A295" s="2346"/>
      <c r="B295" s="2321"/>
      <c r="C295" s="189">
        <v>35</v>
      </c>
      <c r="D295" s="2325"/>
      <c r="E295" s="2325"/>
      <c r="F295" s="5">
        <v>0.75</v>
      </c>
      <c r="G295" s="5">
        <f t="shared" si="66"/>
        <v>2.61</v>
      </c>
      <c r="H295" s="5"/>
      <c r="I295" s="5">
        <f t="shared" si="67"/>
        <v>2.61</v>
      </c>
      <c r="J295" s="2343"/>
      <c r="L295" s="145">
        <f t="shared" si="68"/>
        <v>1</v>
      </c>
      <c r="M295" s="2325"/>
      <c r="N295" s="5">
        <f t="shared" si="69"/>
        <v>5.0199999999999996</v>
      </c>
      <c r="O295" s="5">
        <f t="shared" si="73"/>
        <v>5.0199999999999996</v>
      </c>
      <c r="P295" s="2343"/>
      <c r="R295" s="2346"/>
      <c r="S295" s="405">
        <f t="shared" si="70"/>
        <v>0.75</v>
      </c>
      <c r="T295" s="253">
        <f t="shared" si="71"/>
        <v>6</v>
      </c>
      <c r="U295" s="253">
        <f t="shared" si="72"/>
        <v>0.60000000000000009</v>
      </c>
      <c r="V295" s="2343"/>
    </row>
    <row r="296" spans="1:22">
      <c r="A296" s="2346"/>
      <c r="B296" s="2321"/>
      <c r="C296" s="189">
        <v>36</v>
      </c>
      <c r="D296" s="2325"/>
      <c r="E296" s="2325"/>
      <c r="F296" s="5">
        <v>2.56</v>
      </c>
      <c r="G296" s="5">
        <f t="shared" si="66"/>
        <v>8.9087999999999994</v>
      </c>
      <c r="H296" s="5"/>
      <c r="I296" s="5">
        <f t="shared" si="67"/>
        <v>8.9087999999999994</v>
      </c>
      <c r="J296" s="2343"/>
      <c r="L296" s="145">
        <f t="shared" si="68"/>
        <v>2</v>
      </c>
      <c r="M296" s="2325"/>
      <c r="N296" s="5">
        <f t="shared" si="69"/>
        <v>10.039999999999999</v>
      </c>
      <c r="O296" s="5">
        <f t="shared" si="73"/>
        <v>10.039999999999999</v>
      </c>
      <c r="P296" s="2343"/>
      <c r="R296" s="2346"/>
      <c r="S296" s="405">
        <f t="shared" si="70"/>
        <v>2.56</v>
      </c>
      <c r="T296" s="253">
        <f t="shared" si="71"/>
        <v>20.48</v>
      </c>
      <c r="U296" s="253">
        <f t="shared" si="72"/>
        <v>2.048</v>
      </c>
      <c r="V296" s="2343"/>
    </row>
    <row r="297" spans="1:22">
      <c r="A297" s="2346"/>
      <c r="B297" s="2321"/>
      <c r="C297" s="189">
        <v>37</v>
      </c>
      <c r="D297" s="2325"/>
      <c r="E297" s="2325"/>
      <c r="F297" s="5">
        <v>4.87</v>
      </c>
      <c r="G297" s="5">
        <f t="shared" si="66"/>
        <v>16.947600000000001</v>
      </c>
      <c r="H297" s="5"/>
      <c r="I297" s="5">
        <f t="shared" si="67"/>
        <v>16.947600000000001</v>
      </c>
      <c r="J297" s="2343"/>
      <c r="L297" s="145">
        <f t="shared" si="68"/>
        <v>3</v>
      </c>
      <c r="M297" s="2325"/>
      <c r="N297" s="5">
        <f t="shared" si="69"/>
        <v>15.059999999999999</v>
      </c>
      <c r="O297" s="5">
        <f t="shared" si="73"/>
        <v>15.059999999999999</v>
      </c>
      <c r="P297" s="2343"/>
      <c r="R297" s="2346"/>
      <c r="S297" s="405">
        <f t="shared" si="70"/>
        <v>4.87</v>
      </c>
      <c r="T297" s="253">
        <f t="shared" si="71"/>
        <v>38.96</v>
      </c>
      <c r="U297" s="253">
        <f t="shared" si="72"/>
        <v>3.8960000000000004</v>
      </c>
      <c r="V297" s="2343"/>
    </row>
    <row r="298" spans="1:22">
      <c r="A298" s="2346"/>
      <c r="B298" s="2321"/>
      <c r="C298" s="189">
        <v>38</v>
      </c>
      <c r="D298" s="2325"/>
      <c r="E298" s="2325"/>
      <c r="F298" s="5">
        <v>3.17</v>
      </c>
      <c r="G298" s="5">
        <f t="shared" si="66"/>
        <v>11.031599999999999</v>
      </c>
      <c r="H298" s="5"/>
      <c r="I298" s="5">
        <f t="shared" si="67"/>
        <v>11.031599999999999</v>
      </c>
      <c r="J298" s="2343"/>
      <c r="L298" s="145">
        <f t="shared" si="68"/>
        <v>2</v>
      </c>
      <c r="M298" s="2325"/>
      <c r="N298" s="5">
        <f t="shared" si="69"/>
        <v>10.039999999999999</v>
      </c>
      <c r="O298" s="5">
        <f t="shared" si="73"/>
        <v>10.039999999999999</v>
      </c>
      <c r="P298" s="2343"/>
      <c r="R298" s="2346"/>
      <c r="S298" s="405">
        <f t="shared" si="70"/>
        <v>3.17</v>
      </c>
      <c r="T298" s="253">
        <f t="shared" si="71"/>
        <v>25.36</v>
      </c>
      <c r="U298" s="253">
        <f t="shared" si="72"/>
        <v>2.536</v>
      </c>
      <c r="V298" s="2343"/>
    </row>
    <row r="299" spans="1:22">
      <c r="A299" s="2346"/>
      <c r="B299" s="2321"/>
      <c r="C299" s="189">
        <v>39</v>
      </c>
      <c r="D299" s="2325"/>
      <c r="E299" s="2325"/>
      <c r="F299" s="5">
        <v>1.54</v>
      </c>
      <c r="G299" s="5">
        <f t="shared" si="66"/>
        <v>5.3592000000000004</v>
      </c>
      <c r="H299" s="5"/>
      <c r="I299" s="5">
        <f t="shared" si="67"/>
        <v>5.3592000000000004</v>
      </c>
      <c r="J299" s="2343"/>
      <c r="L299" s="145">
        <f t="shared" si="68"/>
        <v>1</v>
      </c>
      <c r="M299" s="2325"/>
      <c r="N299" s="5">
        <f t="shared" si="69"/>
        <v>5.0199999999999996</v>
      </c>
      <c r="O299" s="5">
        <f t="shared" si="73"/>
        <v>5.0199999999999996</v>
      </c>
      <c r="P299" s="2343"/>
      <c r="R299" s="2346"/>
      <c r="S299" s="405">
        <f t="shared" si="70"/>
        <v>1.54</v>
      </c>
      <c r="T299" s="253">
        <f t="shared" si="71"/>
        <v>12.32</v>
      </c>
      <c r="U299" s="253">
        <f t="shared" si="72"/>
        <v>1.2320000000000002</v>
      </c>
      <c r="V299" s="2343"/>
    </row>
    <row r="300" spans="1:22" ht="13.5" thickBot="1">
      <c r="A300" s="2347"/>
      <c r="B300" s="2324"/>
      <c r="C300" s="399">
        <v>40</v>
      </c>
      <c r="D300" s="2326"/>
      <c r="E300" s="2326"/>
      <c r="F300" s="167">
        <v>5.29</v>
      </c>
      <c r="G300" s="167">
        <f t="shared" si="66"/>
        <v>18.409199999999998</v>
      </c>
      <c r="H300" s="167"/>
      <c r="I300" s="167">
        <f t="shared" si="67"/>
        <v>18.409199999999998</v>
      </c>
      <c r="J300" s="2344"/>
      <c r="L300" s="402">
        <f t="shared" si="68"/>
        <v>3</v>
      </c>
      <c r="M300" s="2323"/>
      <c r="N300" s="230">
        <f t="shared" si="69"/>
        <v>15.059999999999999</v>
      </c>
      <c r="O300" s="230">
        <f t="shared" si="73"/>
        <v>15.059999999999999</v>
      </c>
      <c r="P300" s="2390"/>
      <c r="R300" s="2347"/>
      <c r="S300" s="405">
        <f t="shared" si="70"/>
        <v>5.29</v>
      </c>
      <c r="T300" s="253">
        <f t="shared" si="71"/>
        <v>42.32</v>
      </c>
      <c r="U300" s="253">
        <f t="shared" si="72"/>
        <v>4.2320000000000002</v>
      </c>
      <c r="V300" s="2390"/>
    </row>
    <row r="301" spans="1:22" ht="13.5" thickBot="1">
      <c r="A301" s="2307" t="s">
        <v>551</v>
      </c>
      <c r="B301" s="2308"/>
      <c r="C301" s="2308"/>
      <c r="D301" s="2308"/>
      <c r="E301" s="2308"/>
      <c r="F301" s="2308"/>
      <c r="G301" s="2308"/>
      <c r="H301" s="2309"/>
      <c r="I301" s="392">
        <f>SUM(I261:I300)</f>
        <v>385.82760000000013</v>
      </c>
      <c r="J301" s="392" t="s">
        <v>55</v>
      </c>
      <c r="L301" s="2372" t="s">
        <v>561</v>
      </c>
      <c r="M301" s="2373"/>
      <c r="N301" s="2373"/>
      <c r="O301" s="403">
        <f>SUM(O261:O300)</f>
        <v>416.65999999999991</v>
      </c>
      <c r="P301" s="404" t="s">
        <v>39</v>
      </c>
      <c r="R301" s="2372" t="s">
        <v>561</v>
      </c>
      <c r="S301" s="2373"/>
      <c r="T301" s="2373"/>
      <c r="U301" s="403">
        <f>SUM(U261:U300)</f>
        <v>88.695999999999984</v>
      </c>
      <c r="V301" s="404" t="s">
        <v>39</v>
      </c>
    </row>
    <row r="302" spans="1:22">
      <c r="A302" s="2335">
        <v>6</v>
      </c>
      <c r="B302" s="2334" t="s">
        <v>549</v>
      </c>
      <c r="C302" s="398">
        <v>1</v>
      </c>
      <c r="D302" s="2334">
        <v>0.15</v>
      </c>
      <c r="E302" s="385">
        <v>3</v>
      </c>
      <c r="F302" s="398">
        <v>11.13</v>
      </c>
      <c r="G302" s="398">
        <f>$E$302*F302</f>
        <v>33.39</v>
      </c>
      <c r="H302" s="165"/>
      <c r="I302" s="398">
        <f>G302-H302</f>
        <v>33.39</v>
      </c>
      <c r="J302" s="2338" t="s">
        <v>55</v>
      </c>
      <c r="L302" s="154">
        <f>TRUNC((F302/1.2))+1</f>
        <v>10</v>
      </c>
      <c r="M302" s="253">
        <f>($E$302)+(0.12+0.56+0.9)</f>
        <v>4.58</v>
      </c>
      <c r="N302" s="253">
        <f>M302*L302</f>
        <v>45.8</v>
      </c>
      <c r="O302" s="253">
        <f t="shared" si="73"/>
        <v>45.8</v>
      </c>
      <c r="P302" s="2374" t="s">
        <v>39</v>
      </c>
      <c r="R302" s="2391">
        <v>8</v>
      </c>
      <c r="S302" s="253">
        <f>F302</f>
        <v>11.13</v>
      </c>
      <c r="T302" s="253">
        <f>$R$302*S302</f>
        <v>89.04</v>
      </c>
      <c r="U302" s="253">
        <f>T302*0.1</f>
        <v>8.9040000000000017</v>
      </c>
      <c r="V302" s="2374" t="s">
        <v>39</v>
      </c>
    </row>
    <row r="303" spans="1:22">
      <c r="A303" s="2336"/>
      <c r="B303" s="2325"/>
      <c r="C303" s="189">
        <v>2</v>
      </c>
      <c r="D303" s="2325"/>
      <c r="E303" s="2323">
        <f>3.6-0.12</f>
        <v>3.48</v>
      </c>
      <c r="F303" s="189">
        <v>1.62</v>
      </c>
      <c r="G303" s="189">
        <f>$E$303*F303</f>
        <v>5.6375999999999999</v>
      </c>
      <c r="H303" s="5"/>
      <c r="I303" s="189">
        <f t="shared" ref="I303:I366" si="74">G303-H303</f>
        <v>5.6375999999999999</v>
      </c>
      <c r="J303" s="2339"/>
      <c r="L303" s="145">
        <f>TRUNC((F303/1.8))+1</f>
        <v>1</v>
      </c>
      <c r="M303" s="2325">
        <f>($E$303)+(0.66+0.88)</f>
        <v>5.0199999999999996</v>
      </c>
      <c r="N303" s="5">
        <f>$M$303*L303</f>
        <v>5.0199999999999996</v>
      </c>
      <c r="O303" s="5">
        <f t="shared" si="73"/>
        <v>5.0199999999999996</v>
      </c>
      <c r="P303" s="2339"/>
      <c r="R303" s="2392"/>
      <c r="S303" s="253">
        <f t="shared" ref="S303:S366" si="75">F303</f>
        <v>1.62</v>
      </c>
      <c r="T303" s="253">
        <f t="shared" ref="T303:T366" si="76">$R$302*S303</f>
        <v>12.96</v>
      </c>
      <c r="U303" s="253">
        <f t="shared" ref="U303:U366" si="77">T303*0.1</f>
        <v>1.2960000000000003</v>
      </c>
      <c r="V303" s="2339"/>
    </row>
    <row r="304" spans="1:22">
      <c r="A304" s="2336"/>
      <c r="B304" s="2325"/>
      <c r="C304" s="189">
        <v>3</v>
      </c>
      <c r="D304" s="2325"/>
      <c r="E304" s="2321"/>
      <c r="F304" s="189">
        <v>0.6</v>
      </c>
      <c r="G304" s="189">
        <f t="shared" ref="G304:G343" si="78">$E$303*F304</f>
        <v>2.0880000000000001</v>
      </c>
      <c r="H304" s="5"/>
      <c r="I304" s="189">
        <f t="shared" si="74"/>
        <v>2.0880000000000001</v>
      </c>
      <c r="J304" s="2339"/>
      <c r="L304" s="145">
        <f t="shared" ref="L304:L343" si="79">TRUNC((F304/1.8))+1</f>
        <v>1</v>
      </c>
      <c r="M304" s="2325"/>
      <c r="N304" s="5">
        <f t="shared" ref="N304:N343" si="80">$M$303*L304</f>
        <v>5.0199999999999996</v>
      </c>
      <c r="O304" s="5">
        <f t="shared" si="73"/>
        <v>5.0199999999999996</v>
      </c>
      <c r="P304" s="2339"/>
      <c r="R304" s="2392"/>
      <c r="S304" s="253">
        <f t="shared" si="75"/>
        <v>0.6</v>
      </c>
      <c r="T304" s="253">
        <f t="shared" si="76"/>
        <v>4.8</v>
      </c>
      <c r="U304" s="253">
        <f t="shared" si="77"/>
        <v>0.48</v>
      </c>
      <c r="V304" s="2339"/>
    </row>
    <row r="305" spans="1:22">
      <c r="A305" s="2336"/>
      <c r="B305" s="2325"/>
      <c r="C305" s="189">
        <v>4</v>
      </c>
      <c r="D305" s="2325"/>
      <c r="E305" s="2321"/>
      <c r="F305" s="189">
        <v>1.95</v>
      </c>
      <c r="G305" s="189">
        <f t="shared" si="78"/>
        <v>6.7859999999999996</v>
      </c>
      <c r="H305" s="5"/>
      <c r="I305" s="189">
        <f t="shared" si="74"/>
        <v>6.7859999999999996</v>
      </c>
      <c r="J305" s="2339"/>
      <c r="L305" s="145">
        <f t="shared" si="79"/>
        <v>2</v>
      </c>
      <c r="M305" s="2325"/>
      <c r="N305" s="5">
        <f t="shared" si="80"/>
        <v>10.039999999999999</v>
      </c>
      <c r="O305" s="5">
        <f t="shared" si="73"/>
        <v>10.039999999999999</v>
      </c>
      <c r="P305" s="2339"/>
      <c r="R305" s="2392"/>
      <c r="S305" s="253">
        <f t="shared" si="75"/>
        <v>1.95</v>
      </c>
      <c r="T305" s="253">
        <f t="shared" si="76"/>
        <v>15.6</v>
      </c>
      <c r="U305" s="253">
        <f t="shared" si="77"/>
        <v>1.56</v>
      </c>
      <c r="V305" s="2339"/>
    </row>
    <row r="306" spans="1:22">
      <c r="A306" s="2336"/>
      <c r="B306" s="2325"/>
      <c r="C306" s="189">
        <v>5</v>
      </c>
      <c r="D306" s="2325"/>
      <c r="E306" s="2321"/>
      <c r="F306" s="189">
        <v>1.5</v>
      </c>
      <c r="G306" s="189">
        <f t="shared" si="78"/>
        <v>5.22</v>
      </c>
      <c r="H306" s="5"/>
      <c r="I306" s="189">
        <f t="shared" si="74"/>
        <v>5.22</v>
      </c>
      <c r="J306" s="2339"/>
      <c r="L306" s="145">
        <f t="shared" si="79"/>
        <v>1</v>
      </c>
      <c r="M306" s="2325"/>
      <c r="N306" s="5">
        <f t="shared" si="80"/>
        <v>5.0199999999999996</v>
      </c>
      <c r="O306" s="5">
        <f t="shared" si="73"/>
        <v>5.0199999999999996</v>
      </c>
      <c r="P306" s="2339"/>
      <c r="R306" s="2392"/>
      <c r="S306" s="253">
        <f t="shared" si="75"/>
        <v>1.5</v>
      </c>
      <c r="T306" s="253">
        <f t="shared" si="76"/>
        <v>12</v>
      </c>
      <c r="U306" s="253">
        <f t="shared" si="77"/>
        <v>1.2000000000000002</v>
      </c>
      <c r="V306" s="2339"/>
    </row>
    <row r="307" spans="1:22">
      <c r="A307" s="2336"/>
      <c r="B307" s="2325"/>
      <c r="C307" s="189">
        <v>6</v>
      </c>
      <c r="D307" s="2325"/>
      <c r="E307" s="2321"/>
      <c r="F307" s="189">
        <v>1.47</v>
      </c>
      <c r="G307" s="189">
        <f t="shared" si="78"/>
        <v>5.1155999999999997</v>
      </c>
      <c r="H307" s="5"/>
      <c r="I307" s="189">
        <f t="shared" si="74"/>
        <v>5.1155999999999997</v>
      </c>
      <c r="J307" s="2339"/>
      <c r="L307" s="145">
        <f t="shared" si="79"/>
        <v>1</v>
      </c>
      <c r="M307" s="2325"/>
      <c r="N307" s="5">
        <f t="shared" si="80"/>
        <v>5.0199999999999996</v>
      </c>
      <c r="O307" s="5">
        <f t="shared" si="73"/>
        <v>5.0199999999999996</v>
      </c>
      <c r="P307" s="2339"/>
      <c r="R307" s="2392"/>
      <c r="S307" s="253">
        <f t="shared" si="75"/>
        <v>1.47</v>
      </c>
      <c r="T307" s="253">
        <f t="shared" si="76"/>
        <v>11.76</v>
      </c>
      <c r="U307" s="253">
        <f t="shared" si="77"/>
        <v>1.1759999999999999</v>
      </c>
      <c r="V307" s="2339"/>
    </row>
    <row r="308" spans="1:22">
      <c r="A308" s="2336"/>
      <c r="B308" s="2325"/>
      <c r="C308" s="189">
        <v>7</v>
      </c>
      <c r="D308" s="2325"/>
      <c r="E308" s="2321"/>
      <c r="F308" s="189">
        <v>1.46</v>
      </c>
      <c r="G308" s="189">
        <f t="shared" si="78"/>
        <v>5.0808</v>
      </c>
      <c r="H308" s="5"/>
      <c r="I308" s="189">
        <f t="shared" si="74"/>
        <v>5.0808</v>
      </c>
      <c r="J308" s="2339"/>
      <c r="L308" s="145">
        <f t="shared" si="79"/>
        <v>1</v>
      </c>
      <c r="M308" s="2325"/>
      <c r="N308" s="5">
        <f t="shared" si="80"/>
        <v>5.0199999999999996</v>
      </c>
      <c r="O308" s="5">
        <f t="shared" si="73"/>
        <v>5.0199999999999996</v>
      </c>
      <c r="P308" s="2339"/>
      <c r="R308" s="2392"/>
      <c r="S308" s="253">
        <f t="shared" si="75"/>
        <v>1.46</v>
      </c>
      <c r="T308" s="253">
        <f t="shared" si="76"/>
        <v>11.68</v>
      </c>
      <c r="U308" s="253">
        <f t="shared" si="77"/>
        <v>1.1679999999999999</v>
      </c>
      <c r="V308" s="2339"/>
    </row>
    <row r="309" spans="1:22">
      <c r="A309" s="2336"/>
      <c r="B309" s="2325"/>
      <c r="C309" s="189">
        <v>8</v>
      </c>
      <c r="D309" s="2325"/>
      <c r="E309" s="2321"/>
      <c r="F309" s="189">
        <v>0.5</v>
      </c>
      <c r="G309" s="189">
        <f t="shared" si="78"/>
        <v>1.74</v>
      </c>
      <c r="H309" s="5"/>
      <c r="I309" s="189">
        <f t="shared" si="74"/>
        <v>1.74</v>
      </c>
      <c r="J309" s="2339"/>
      <c r="L309" s="145">
        <f t="shared" si="79"/>
        <v>1</v>
      </c>
      <c r="M309" s="2325"/>
      <c r="N309" s="5">
        <f t="shared" si="80"/>
        <v>5.0199999999999996</v>
      </c>
      <c r="O309" s="5">
        <f t="shared" si="73"/>
        <v>5.0199999999999996</v>
      </c>
      <c r="P309" s="2339"/>
      <c r="R309" s="2392"/>
      <c r="S309" s="253">
        <f t="shared" si="75"/>
        <v>0.5</v>
      </c>
      <c r="T309" s="253">
        <f t="shared" si="76"/>
        <v>4</v>
      </c>
      <c r="U309" s="253">
        <f t="shared" si="77"/>
        <v>0.4</v>
      </c>
      <c r="V309" s="2339"/>
    </row>
    <row r="310" spans="1:22">
      <c r="A310" s="2336"/>
      <c r="B310" s="2325"/>
      <c r="C310" s="189">
        <v>9</v>
      </c>
      <c r="D310" s="2325"/>
      <c r="E310" s="2321"/>
      <c r="F310" s="189">
        <v>0.4</v>
      </c>
      <c r="G310" s="189">
        <f t="shared" si="78"/>
        <v>1.3920000000000001</v>
      </c>
      <c r="H310" s="5"/>
      <c r="I310" s="189">
        <f t="shared" si="74"/>
        <v>1.3920000000000001</v>
      </c>
      <c r="J310" s="2339"/>
      <c r="L310" s="145">
        <f t="shared" si="79"/>
        <v>1</v>
      </c>
      <c r="M310" s="2325"/>
      <c r="N310" s="5">
        <f t="shared" si="80"/>
        <v>5.0199999999999996</v>
      </c>
      <c r="O310" s="5">
        <f t="shared" si="73"/>
        <v>5.0199999999999996</v>
      </c>
      <c r="P310" s="2339"/>
      <c r="R310" s="2392"/>
      <c r="S310" s="253">
        <f t="shared" si="75"/>
        <v>0.4</v>
      </c>
      <c r="T310" s="253">
        <f t="shared" si="76"/>
        <v>3.2</v>
      </c>
      <c r="U310" s="253">
        <f t="shared" si="77"/>
        <v>0.32000000000000006</v>
      </c>
      <c r="V310" s="2339"/>
    </row>
    <row r="311" spans="1:22">
      <c r="A311" s="2336"/>
      <c r="B311" s="2325"/>
      <c r="C311" s="189">
        <v>10</v>
      </c>
      <c r="D311" s="2325"/>
      <c r="E311" s="2321"/>
      <c r="F311" s="189">
        <v>0.8</v>
      </c>
      <c r="G311" s="189">
        <f t="shared" si="78"/>
        <v>2.7840000000000003</v>
      </c>
      <c r="H311" s="5"/>
      <c r="I311" s="189">
        <f t="shared" si="74"/>
        <v>2.7840000000000003</v>
      </c>
      <c r="J311" s="2339"/>
      <c r="L311" s="145">
        <f t="shared" si="79"/>
        <v>1</v>
      </c>
      <c r="M311" s="2325"/>
      <c r="N311" s="5">
        <f t="shared" si="80"/>
        <v>5.0199999999999996</v>
      </c>
      <c r="O311" s="5">
        <f t="shared" si="73"/>
        <v>5.0199999999999996</v>
      </c>
      <c r="P311" s="2339"/>
      <c r="R311" s="2392"/>
      <c r="S311" s="253">
        <f t="shared" si="75"/>
        <v>0.8</v>
      </c>
      <c r="T311" s="253">
        <f t="shared" si="76"/>
        <v>6.4</v>
      </c>
      <c r="U311" s="253">
        <f t="shared" si="77"/>
        <v>0.64000000000000012</v>
      </c>
      <c r="V311" s="2339"/>
    </row>
    <row r="312" spans="1:22">
      <c r="A312" s="2336"/>
      <c r="B312" s="2325"/>
      <c r="C312" s="189">
        <v>11</v>
      </c>
      <c r="D312" s="2325"/>
      <c r="E312" s="2321"/>
      <c r="F312" s="189">
        <v>0.82</v>
      </c>
      <c r="G312" s="189">
        <f t="shared" si="78"/>
        <v>2.8535999999999997</v>
      </c>
      <c r="H312" s="5"/>
      <c r="I312" s="189">
        <f t="shared" si="74"/>
        <v>2.8535999999999997</v>
      </c>
      <c r="J312" s="2339"/>
      <c r="L312" s="145">
        <f t="shared" si="79"/>
        <v>1</v>
      </c>
      <c r="M312" s="2325"/>
      <c r="N312" s="5">
        <f t="shared" si="80"/>
        <v>5.0199999999999996</v>
      </c>
      <c r="O312" s="5">
        <f t="shared" si="73"/>
        <v>5.0199999999999996</v>
      </c>
      <c r="P312" s="2339"/>
      <c r="R312" s="2392"/>
      <c r="S312" s="253">
        <f t="shared" si="75"/>
        <v>0.82</v>
      </c>
      <c r="T312" s="253">
        <f t="shared" si="76"/>
        <v>6.56</v>
      </c>
      <c r="U312" s="253">
        <f t="shared" si="77"/>
        <v>0.65600000000000003</v>
      </c>
      <c r="V312" s="2339"/>
    </row>
    <row r="313" spans="1:22">
      <c r="A313" s="2336"/>
      <c r="B313" s="2325"/>
      <c r="C313" s="189">
        <v>12</v>
      </c>
      <c r="D313" s="2325"/>
      <c r="E313" s="2321"/>
      <c r="F313" s="189">
        <v>1.25</v>
      </c>
      <c r="G313" s="189">
        <f t="shared" si="78"/>
        <v>4.3499999999999996</v>
      </c>
      <c r="H313" s="5"/>
      <c r="I313" s="189">
        <f t="shared" si="74"/>
        <v>4.3499999999999996</v>
      </c>
      <c r="J313" s="2339"/>
      <c r="L313" s="145">
        <f t="shared" si="79"/>
        <v>1</v>
      </c>
      <c r="M313" s="2325"/>
      <c r="N313" s="5">
        <f t="shared" si="80"/>
        <v>5.0199999999999996</v>
      </c>
      <c r="O313" s="5">
        <f t="shared" si="73"/>
        <v>5.0199999999999996</v>
      </c>
      <c r="P313" s="2339"/>
      <c r="R313" s="2392"/>
      <c r="S313" s="253">
        <f t="shared" si="75"/>
        <v>1.25</v>
      </c>
      <c r="T313" s="253">
        <f t="shared" si="76"/>
        <v>10</v>
      </c>
      <c r="U313" s="253">
        <f t="shared" si="77"/>
        <v>1</v>
      </c>
      <c r="V313" s="2339"/>
    </row>
    <row r="314" spans="1:22">
      <c r="A314" s="2336"/>
      <c r="B314" s="2325"/>
      <c r="C314" s="189">
        <v>13</v>
      </c>
      <c r="D314" s="2325"/>
      <c r="E314" s="2321"/>
      <c r="F314" s="189">
        <v>2.16</v>
      </c>
      <c r="G314" s="189">
        <f t="shared" si="78"/>
        <v>7.5168000000000008</v>
      </c>
      <c r="H314" s="5"/>
      <c r="I314" s="189">
        <f t="shared" si="74"/>
        <v>7.5168000000000008</v>
      </c>
      <c r="J314" s="2339"/>
      <c r="L314" s="145">
        <f t="shared" si="79"/>
        <v>2</v>
      </c>
      <c r="M314" s="2325"/>
      <c r="N314" s="5">
        <f t="shared" si="80"/>
        <v>10.039999999999999</v>
      </c>
      <c r="O314" s="5">
        <f t="shared" si="73"/>
        <v>10.039999999999999</v>
      </c>
      <c r="P314" s="2339"/>
      <c r="R314" s="2392"/>
      <c r="S314" s="253">
        <f t="shared" si="75"/>
        <v>2.16</v>
      </c>
      <c r="T314" s="253">
        <f t="shared" si="76"/>
        <v>17.28</v>
      </c>
      <c r="U314" s="253">
        <f t="shared" si="77"/>
        <v>1.7280000000000002</v>
      </c>
      <c r="V314" s="2339"/>
    </row>
    <row r="315" spans="1:22">
      <c r="A315" s="2336"/>
      <c r="B315" s="2325"/>
      <c r="C315" s="189">
        <v>14</v>
      </c>
      <c r="D315" s="2325"/>
      <c r="E315" s="2321"/>
      <c r="F315" s="189">
        <v>4.47</v>
      </c>
      <c r="G315" s="189">
        <f t="shared" si="78"/>
        <v>15.555599999999998</v>
      </c>
      <c r="H315" s="5"/>
      <c r="I315" s="189">
        <f t="shared" si="74"/>
        <v>15.555599999999998</v>
      </c>
      <c r="J315" s="2339"/>
      <c r="L315" s="145">
        <f t="shared" si="79"/>
        <v>3</v>
      </c>
      <c r="M315" s="2325"/>
      <c r="N315" s="5">
        <f t="shared" si="80"/>
        <v>15.059999999999999</v>
      </c>
      <c r="O315" s="5">
        <f t="shared" si="73"/>
        <v>15.059999999999999</v>
      </c>
      <c r="P315" s="2339"/>
      <c r="R315" s="2392"/>
      <c r="S315" s="253">
        <f t="shared" si="75"/>
        <v>4.47</v>
      </c>
      <c r="T315" s="253">
        <f t="shared" si="76"/>
        <v>35.76</v>
      </c>
      <c r="U315" s="253">
        <f t="shared" si="77"/>
        <v>3.5760000000000001</v>
      </c>
      <c r="V315" s="2339"/>
    </row>
    <row r="316" spans="1:22">
      <c r="A316" s="2336"/>
      <c r="B316" s="2325"/>
      <c r="C316" s="189">
        <v>15</v>
      </c>
      <c r="D316" s="2325"/>
      <c r="E316" s="2321"/>
      <c r="F316" s="189">
        <v>3.18</v>
      </c>
      <c r="G316" s="189">
        <f t="shared" si="78"/>
        <v>11.0664</v>
      </c>
      <c r="H316" s="5"/>
      <c r="I316" s="189">
        <f t="shared" si="74"/>
        <v>11.0664</v>
      </c>
      <c r="J316" s="2339"/>
      <c r="L316" s="145">
        <f t="shared" si="79"/>
        <v>2</v>
      </c>
      <c r="M316" s="2325"/>
      <c r="N316" s="5">
        <f t="shared" si="80"/>
        <v>10.039999999999999</v>
      </c>
      <c r="O316" s="5">
        <f t="shared" si="73"/>
        <v>10.039999999999999</v>
      </c>
      <c r="P316" s="2339"/>
      <c r="R316" s="2392"/>
      <c r="S316" s="253">
        <f t="shared" si="75"/>
        <v>3.18</v>
      </c>
      <c r="T316" s="253">
        <f t="shared" si="76"/>
        <v>25.44</v>
      </c>
      <c r="U316" s="253">
        <f t="shared" si="77"/>
        <v>2.5440000000000005</v>
      </c>
      <c r="V316" s="2339"/>
    </row>
    <row r="317" spans="1:22">
      <c r="A317" s="2336"/>
      <c r="B317" s="2325"/>
      <c r="C317" s="189">
        <v>16</v>
      </c>
      <c r="D317" s="2325"/>
      <c r="E317" s="2321"/>
      <c r="F317" s="189">
        <v>2.65</v>
      </c>
      <c r="G317" s="189">
        <f t="shared" si="78"/>
        <v>9.2219999999999995</v>
      </c>
      <c r="H317" s="5"/>
      <c r="I317" s="189">
        <f t="shared" si="74"/>
        <v>9.2219999999999995</v>
      </c>
      <c r="J317" s="2339"/>
      <c r="L317" s="145">
        <f t="shared" si="79"/>
        <v>2</v>
      </c>
      <c r="M317" s="2325"/>
      <c r="N317" s="5">
        <f t="shared" si="80"/>
        <v>10.039999999999999</v>
      </c>
      <c r="O317" s="5">
        <f t="shared" si="73"/>
        <v>10.039999999999999</v>
      </c>
      <c r="P317" s="2339"/>
      <c r="R317" s="2392"/>
      <c r="S317" s="253">
        <f t="shared" si="75"/>
        <v>2.65</v>
      </c>
      <c r="T317" s="253">
        <f t="shared" si="76"/>
        <v>21.2</v>
      </c>
      <c r="U317" s="253">
        <f t="shared" si="77"/>
        <v>2.12</v>
      </c>
      <c r="V317" s="2339"/>
    </row>
    <row r="318" spans="1:22">
      <c r="A318" s="2336"/>
      <c r="B318" s="2325"/>
      <c r="C318" s="189">
        <v>17</v>
      </c>
      <c r="D318" s="2325"/>
      <c r="E318" s="2321"/>
      <c r="F318" s="189">
        <v>11.18</v>
      </c>
      <c r="G318" s="189">
        <f t="shared" si="78"/>
        <v>38.906399999999998</v>
      </c>
      <c r="H318" s="5"/>
      <c r="I318" s="189">
        <f t="shared" si="74"/>
        <v>38.906399999999998</v>
      </c>
      <c r="J318" s="2339"/>
      <c r="L318" s="145">
        <f t="shared" si="79"/>
        <v>7</v>
      </c>
      <c r="M318" s="2325"/>
      <c r="N318" s="5">
        <f t="shared" si="80"/>
        <v>35.14</v>
      </c>
      <c r="O318" s="5">
        <f t="shared" si="73"/>
        <v>35.14</v>
      </c>
      <c r="P318" s="2339"/>
      <c r="R318" s="2392"/>
      <c r="S318" s="253">
        <f t="shared" si="75"/>
        <v>11.18</v>
      </c>
      <c r="T318" s="253">
        <f t="shared" si="76"/>
        <v>89.44</v>
      </c>
      <c r="U318" s="253">
        <f t="shared" si="77"/>
        <v>8.9440000000000008</v>
      </c>
      <c r="V318" s="2339"/>
    </row>
    <row r="319" spans="1:22">
      <c r="A319" s="2336"/>
      <c r="B319" s="2325"/>
      <c r="C319" s="189">
        <v>18</v>
      </c>
      <c r="D319" s="2325"/>
      <c r="E319" s="2321"/>
      <c r="F319" s="189">
        <v>1.6</v>
      </c>
      <c r="G319" s="189">
        <f t="shared" si="78"/>
        <v>5.5680000000000005</v>
      </c>
      <c r="H319" s="5"/>
      <c r="I319" s="189">
        <f t="shared" si="74"/>
        <v>5.5680000000000005</v>
      </c>
      <c r="J319" s="2339"/>
      <c r="L319" s="145">
        <f t="shared" si="79"/>
        <v>1</v>
      </c>
      <c r="M319" s="2325"/>
      <c r="N319" s="5">
        <f t="shared" si="80"/>
        <v>5.0199999999999996</v>
      </c>
      <c r="O319" s="5">
        <f t="shared" si="73"/>
        <v>5.0199999999999996</v>
      </c>
      <c r="P319" s="2339"/>
      <c r="R319" s="2392"/>
      <c r="S319" s="253">
        <f t="shared" si="75"/>
        <v>1.6</v>
      </c>
      <c r="T319" s="253">
        <f t="shared" si="76"/>
        <v>12.8</v>
      </c>
      <c r="U319" s="253">
        <f t="shared" si="77"/>
        <v>1.2800000000000002</v>
      </c>
      <c r="V319" s="2339"/>
    </row>
    <row r="320" spans="1:22">
      <c r="A320" s="2336"/>
      <c r="B320" s="2325"/>
      <c r="C320" s="189">
        <v>19</v>
      </c>
      <c r="D320" s="2325"/>
      <c r="E320" s="2321"/>
      <c r="F320" s="189">
        <v>2.48</v>
      </c>
      <c r="G320" s="189">
        <f t="shared" si="78"/>
        <v>8.6303999999999998</v>
      </c>
      <c r="H320" s="5"/>
      <c r="I320" s="189">
        <f t="shared" si="74"/>
        <v>8.6303999999999998</v>
      </c>
      <c r="J320" s="2339"/>
      <c r="L320" s="145">
        <f t="shared" si="79"/>
        <v>2</v>
      </c>
      <c r="M320" s="2325"/>
      <c r="N320" s="5">
        <f t="shared" si="80"/>
        <v>10.039999999999999</v>
      </c>
      <c r="O320" s="5">
        <f t="shared" si="73"/>
        <v>10.039999999999999</v>
      </c>
      <c r="P320" s="2339"/>
      <c r="R320" s="2392"/>
      <c r="S320" s="253">
        <f t="shared" si="75"/>
        <v>2.48</v>
      </c>
      <c r="T320" s="253">
        <f t="shared" si="76"/>
        <v>19.84</v>
      </c>
      <c r="U320" s="253">
        <f t="shared" si="77"/>
        <v>1.984</v>
      </c>
      <c r="V320" s="2339"/>
    </row>
    <row r="321" spans="1:22">
      <c r="A321" s="2336"/>
      <c r="B321" s="2325"/>
      <c r="C321" s="189">
        <v>20</v>
      </c>
      <c r="D321" s="2325"/>
      <c r="E321" s="2321"/>
      <c r="F321" s="189">
        <v>0.53</v>
      </c>
      <c r="G321" s="189">
        <f t="shared" si="78"/>
        <v>1.8444</v>
      </c>
      <c r="H321" s="5"/>
      <c r="I321" s="189">
        <f t="shared" si="74"/>
        <v>1.8444</v>
      </c>
      <c r="J321" s="2339"/>
      <c r="L321" s="145">
        <f t="shared" si="79"/>
        <v>1</v>
      </c>
      <c r="M321" s="2325"/>
      <c r="N321" s="5">
        <f t="shared" si="80"/>
        <v>5.0199999999999996</v>
      </c>
      <c r="O321" s="5">
        <f t="shared" si="73"/>
        <v>5.0199999999999996</v>
      </c>
      <c r="P321" s="2339"/>
      <c r="R321" s="2392"/>
      <c r="S321" s="253">
        <f t="shared" si="75"/>
        <v>0.53</v>
      </c>
      <c r="T321" s="253">
        <f t="shared" si="76"/>
        <v>4.24</v>
      </c>
      <c r="U321" s="253">
        <f t="shared" si="77"/>
        <v>0.42400000000000004</v>
      </c>
      <c r="V321" s="2339"/>
    </row>
    <row r="322" spans="1:22">
      <c r="A322" s="2336"/>
      <c r="B322" s="2325"/>
      <c r="C322" s="189">
        <v>21</v>
      </c>
      <c r="D322" s="2325"/>
      <c r="E322" s="2321"/>
      <c r="F322" s="189">
        <v>4.1500000000000004</v>
      </c>
      <c r="G322" s="189">
        <f t="shared" si="78"/>
        <v>14.442000000000002</v>
      </c>
      <c r="H322" s="5"/>
      <c r="I322" s="189">
        <f t="shared" si="74"/>
        <v>14.442000000000002</v>
      </c>
      <c r="J322" s="2339"/>
      <c r="L322" s="145">
        <f t="shared" si="79"/>
        <v>3</v>
      </c>
      <c r="M322" s="2325"/>
      <c r="N322" s="5">
        <f t="shared" si="80"/>
        <v>15.059999999999999</v>
      </c>
      <c r="O322" s="5">
        <f t="shared" si="73"/>
        <v>15.059999999999999</v>
      </c>
      <c r="P322" s="2339"/>
      <c r="R322" s="2392"/>
      <c r="S322" s="253">
        <f t="shared" si="75"/>
        <v>4.1500000000000004</v>
      </c>
      <c r="T322" s="253">
        <f t="shared" si="76"/>
        <v>33.200000000000003</v>
      </c>
      <c r="U322" s="253">
        <f t="shared" si="77"/>
        <v>3.3200000000000003</v>
      </c>
      <c r="V322" s="2339"/>
    </row>
    <row r="323" spans="1:22">
      <c r="A323" s="2336"/>
      <c r="B323" s="2325"/>
      <c r="C323" s="189">
        <v>22</v>
      </c>
      <c r="D323" s="2325"/>
      <c r="E323" s="2321"/>
      <c r="F323" s="189">
        <v>2</v>
      </c>
      <c r="G323" s="189">
        <f t="shared" si="78"/>
        <v>6.96</v>
      </c>
      <c r="H323" s="5"/>
      <c r="I323" s="189">
        <f t="shared" si="74"/>
        <v>6.96</v>
      </c>
      <c r="J323" s="2339"/>
      <c r="L323" s="145">
        <f t="shared" si="79"/>
        <v>2</v>
      </c>
      <c r="M323" s="2325"/>
      <c r="N323" s="5">
        <f t="shared" si="80"/>
        <v>10.039999999999999</v>
      </c>
      <c r="O323" s="5">
        <f t="shared" si="73"/>
        <v>10.039999999999999</v>
      </c>
      <c r="P323" s="2339"/>
      <c r="R323" s="2392"/>
      <c r="S323" s="253">
        <f t="shared" si="75"/>
        <v>2</v>
      </c>
      <c r="T323" s="253">
        <f t="shared" si="76"/>
        <v>16</v>
      </c>
      <c r="U323" s="253">
        <f t="shared" si="77"/>
        <v>1.6</v>
      </c>
      <c r="V323" s="2339"/>
    </row>
    <row r="324" spans="1:22">
      <c r="A324" s="2336"/>
      <c r="B324" s="2325"/>
      <c r="C324" s="189">
        <v>23</v>
      </c>
      <c r="D324" s="2325"/>
      <c r="E324" s="2321"/>
      <c r="F324" s="189">
        <v>1.1499999999999999</v>
      </c>
      <c r="G324" s="189">
        <f t="shared" si="78"/>
        <v>4.0019999999999998</v>
      </c>
      <c r="H324" s="5"/>
      <c r="I324" s="189">
        <f t="shared" si="74"/>
        <v>4.0019999999999998</v>
      </c>
      <c r="J324" s="2339"/>
      <c r="L324" s="145">
        <f t="shared" si="79"/>
        <v>1</v>
      </c>
      <c r="M324" s="2325"/>
      <c r="N324" s="5">
        <f t="shared" si="80"/>
        <v>5.0199999999999996</v>
      </c>
      <c r="O324" s="5">
        <f t="shared" si="73"/>
        <v>5.0199999999999996</v>
      </c>
      <c r="P324" s="2339"/>
      <c r="R324" s="2392"/>
      <c r="S324" s="253">
        <f t="shared" si="75"/>
        <v>1.1499999999999999</v>
      </c>
      <c r="T324" s="253">
        <f t="shared" si="76"/>
        <v>9.1999999999999993</v>
      </c>
      <c r="U324" s="253">
        <f t="shared" si="77"/>
        <v>0.91999999999999993</v>
      </c>
      <c r="V324" s="2339"/>
    </row>
    <row r="325" spans="1:22">
      <c r="A325" s="2336"/>
      <c r="B325" s="2325"/>
      <c r="C325" s="189">
        <v>24</v>
      </c>
      <c r="D325" s="2325"/>
      <c r="E325" s="2321"/>
      <c r="F325" s="189">
        <v>2.8</v>
      </c>
      <c r="G325" s="189">
        <f t="shared" si="78"/>
        <v>9.7439999999999998</v>
      </c>
      <c r="H325" s="5"/>
      <c r="I325" s="189">
        <f t="shared" si="74"/>
        <v>9.7439999999999998</v>
      </c>
      <c r="J325" s="2339"/>
      <c r="L325" s="145">
        <f t="shared" si="79"/>
        <v>2</v>
      </c>
      <c r="M325" s="2325"/>
      <c r="N325" s="5">
        <f t="shared" si="80"/>
        <v>10.039999999999999</v>
      </c>
      <c r="O325" s="5">
        <f t="shared" si="73"/>
        <v>10.039999999999999</v>
      </c>
      <c r="P325" s="2339"/>
      <c r="R325" s="2392"/>
      <c r="S325" s="253">
        <f t="shared" si="75"/>
        <v>2.8</v>
      </c>
      <c r="T325" s="253">
        <f t="shared" si="76"/>
        <v>22.4</v>
      </c>
      <c r="U325" s="253">
        <f t="shared" si="77"/>
        <v>2.2399999999999998</v>
      </c>
      <c r="V325" s="2339"/>
    </row>
    <row r="326" spans="1:22">
      <c r="A326" s="2336"/>
      <c r="B326" s="2325"/>
      <c r="C326" s="189">
        <v>25</v>
      </c>
      <c r="D326" s="2325"/>
      <c r="E326" s="2321"/>
      <c r="F326" s="189">
        <v>2.31</v>
      </c>
      <c r="G326" s="189">
        <f t="shared" si="78"/>
        <v>8.0388000000000002</v>
      </c>
      <c r="H326" s="5"/>
      <c r="I326" s="189">
        <f t="shared" si="74"/>
        <v>8.0388000000000002</v>
      </c>
      <c r="J326" s="2339"/>
      <c r="L326" s="145">
        <f t="shared" si="79"/>
        <v>2</v>
      </c>
      <c r="M326" s="2325"/>
      <c r="N326" s="5">
        <f t="shared" si="80"/>
        <v>10.039999999999999</v>
      </c>
      <c r="O326" s="5">
        <f t="shared" si="73"/>
        <v>10.039999999999999</v>
      </c>
      <c r="P326" s="2339"/>
      <c r="R326" s="2392"/>
      <c r="S326" s="253">
        <f t="shared" si="75"/>
        <v>2.31</v>
      </c>
      <c r="T326" s="253">
        <f t="shared" si="76"/>
        <v>18.48</v>
      </c>
      <c r="U326" s="253">
        <f t="shared" si="77"/>
        <v>1.8480000000000001</v>
      </c>
      <c r="V326" s="2339"/>
    </row>
    <row r="327" spans="1:22">
      <c r="A327" s="2336"/>
      <c r="B327" s="2325"/>
      <c r="C327" s="189">
        <v>26</v>
      </c>
      <c r="D327" s="2325"/>
      <c r="E327" s="2321"/>
      <c r="F327" s="189">
        <v>2.41</v>
      </c>
      <c r="G327" s="189">
        <f t="shared" si="78"/>
        <v>8.3868000000000009</v>
      </c>
      <c r="H327" s="5"/>
      <c r="I327" s="189">
        <f t="shared" si="74"/>
        <v>8.3868000000000009</v>
      </c>
      <c r="J327" s="2339"/>
      <c r="L327" s="145">
        <f t="shared" si="79"/>
        <v>2</v>
      </c>
      <c r="M327" s="2325"/>
      <c r="N327" s="5">
        <f t="shared" si="80"/>
        <v>10.039999999999999</v>
      </c>
      <c r="O327" s="5">
        <f t="shared" si="73"/>
        <v>10.039999999999999</v>
      </c>
      <c r="P327" s="2339"/>
      <c r="R327" s="2392"/>
      <c r="S327" s="253">
        <f t="shared" si="75"/>
        <v>2.41</v>
      </c>
      <c r="T327" s="253">
        <f t="shared" si="76"/>
        <v>19.28</v>
      </c>
      <c r="U327" s="253">
        <f t="shared" si="77"/>
        <v>1.9280000000000002</v>
      </c>
      <c r="V327" s="2339"/>
    </row>
    <row r="328" spans="1:22">
      <c r="A328" s="2336"/>
      <c r="B328" s="2325"/>
      <c r="C328" s="189">
        <v>27</v>
      </c>
      <c r="D328" s="2325"/>
      <c r="E328" s="2321"/>
      <c r="F328" s="5">
        <f>2.31+2.45</f>
        <v>4.76</v>
      </c>
      <c r="G328" s="189">
        <f t="shared" si="78"/>
        <v>16.564799999999998</v>
      </c>
      <c r="H328" s="5"/>
      <c r="I328" s="189">
        <f t="shared" si="74"/>
        <v>16.564799999999998</v>
      </c>
      <c r="J328" s="2339"/>
      <c r="L328" s="145">
        <f t="shared" si="79"/>
        <v>3</v>
      </c>
      <c r="M328" s="2325"/>
      <c r="N328" s="5">
        <f t="shared" si="80"/>
        <v>15.059999999999999</v>
      </c>
      <c r="O328" s="5">
        <f t="shared" si="73"/>
        <v>15.059999999999999</v>
      </c>
      <c r="P328" s="2339"/>
      <c r="R328" s="2392"/>
      <c r="S328" s="253">
        <f t="shared" si="75"/>
        <v>4.76</v>
      </c>
      <c r="T328" s="253">
        <f t="shared" si="76"/>
        <v>38.08</v>
      </c>
      <c r="U328" s="253">
        <f t="shared" si="77"/>
        <v>3.8079999999999998</v>
      </c>
      <c r="V328" s="2339"/>
    </row>
    <row r="329" spans="1:22">
      <c r="A329" s="2336"/>
      <c r="B329" s="2325"/>
      <c r="C329" s="189">
        <v>28</v>
      </c>
      <c r="D329" s="2325"/>
      <c r="E329" s="2321"/>
      <c r="F329" s="5">
        <v>4.72</v>
      </c>
      <c r="G329" s="189">
        <f t="shared" si="78"/>
        <v>16.425599999999999</v>
      </c>
      <c r="H329" s="5"/>
      <c r="I329" s="189">
        <f t="shared" si="74"/>
        <v>16.425599999999999</v>
      </c>
      <c r="J329" s="2339"/>
      <c r="L329" s="145">
        <f t="shared" si="79"/>
        <v>3</v>
      </c>
      <c r="M329" s="2325"/>
      <c r="N329" s="5">
        <f t="shared" si="80"/>
        <v>15.059999999999999</v>
      </c>
      <c r="O329" s="5">
        <f t="shared" ref="O329:O392" si="81">N329*1</f>
        <v>15.059999999999999</v>
      </c>
      <c r="P329" s="2339"/>
      <c r="R329" s="2392"/>
      <c r="S329" s="253">
        <f t="shared" si="75"/>
        <v>4.72</v>
      </c>
      <c r="T329" s="253">
        <f t="shared" si="76"/>
        <v>37.76</v>
      </c>
      <c r="U329" s="253">
        <f t="shared" si="77"/>
        <v>3.7759999999999998</v>
      </c>
      <c r="V329" s="2339"/>
    </row>
    <row r="330" spans="1:22">
      <c r="A330" s="2336"/>
      <c r="B330" s="2325"/>
      <c r="C330" s="189">
        <v>29</v>
      </c>
      <c r="D330" s="2325"/>
      <c r="E330" s="2321"/>
      <c r="F330" s="5">
        <v>0.56000000000000005</v>
      </c>
      <c r="G330" s="189">
        <f t="shared" si="78"/>
        <v>1.9488000000000001</v>
      </c>
      <c r="H330" s="5"/>
      <c r="I330" s="189">
        <f t="shared" si="74"/>
        <v>1.9488000000000001</v>
      </c>
      <c r="J330" s="2339"/>
      <c r="L330" s="145">
        <f t="shared" si="79"/>
        <v>1</v>
      </c>
      <c r="M330" s="2325"/>
      <c r="N330" s="5">
        <f t="shared" si="80"/>
        <v>5.0199999999999996</v>
      </c>
      <c r="O330" s="5">
        <f t="shared" si="81"/>
        <v>5.0199999999999996</v>
      </c>
      <c r="P330" s="2339"/>
      <c r="R330" s="2392"/>
      <c r="S330" s="253">
        <f t="shared" si="75"/>
        <v>0.56000000000000005</v>
      </c>
      <c r="T330" s="253">
        <f t="shared" si="76"/>
        <v>4.4800000000000004</v>
      </c>
      <c r="U330" s="253">
        <f t="shared" si="77"/>
        <v>0.44800000000000006</v>
      </c>
      <c r="V330" s="2339"/>
    </row>
    <row r="331" spans="1:22">
      <c r="A331" s="2336"/>
      <c r="B331" s="2325"/>
      <c r="C331" s="189">
        <v>30</v>
      </c>
      <c r="D331" s="2325"/>
      <c r="E331" s="2321"/>
      <c r="F331" s="5">
        <v>2.89</v>
      </c>
      <c r="G331" s="189">
        <f t="shared" si="78"/>
        <v>10.0572</v>
      </c>
      <c r="H331" s="5"/>
      <c r="I331" s="189">
        <f t="shared" si="74"/>
        <v>10.0572</v>
      </c>
      <c r="J331" s="2339"/>
      <c r="L331" s="145">
        <f t="shared" si="79"/>
        <v>2</v>
      </c>
      <c r="M331" s="2325"/>
      <c r="N331" s="5">
        <f t="shared" si="80"/>
        <v>10.039999999999999</v>
      </c>
      <c r="O331" s="5">
        <f t="shared" si="81"/>
        <v>10.039999999999999</v>
      </c>
      <c r="P331" s="2339"/>
      <c r="R331" s="2392"/>
      <c r="S331" s="253">
        <f t="shared" si="75"/>
        <v>2.89</v>
      </c>
      <c r="T331" s="253">
        <f t="shared" si="76"/>
        <v>23.12</v>
      </c>
      <c r="U331" s="253">
        <f t="shared" si="77"/>
        <v>2.3120000000000003</v>
      </c>
      <c r="V331" s="2339"/>
    </row>
    <row r="332" spans="1:22">
      <c r="A332" s="2336"/>
      <c r="B332" s="2325"/>
      <c r="C332" s="189">
        <v>31</v>
      </c>
      <c r="D332" s="2325"/>
      <c r="E332" s="2321"/>
      <c r="F332" s="5">
        <v>4.6900000000000004</v>
      </c>
      <c r="G332" s="189">
        <f t="shared" si="78"/>
        <v>16.321200000000001</v>
      </c>
      <c r="H332" s="5"/>
      <c r="I332" s="189">
        <f t="shared" si="74"/>
        <v>16.321200000000001</v>
      </c>
      <c r="J332" s="2339"/>
      <c r="L332" s="145">
        <f t="shared" si="79"/>
        <v>3</v>
      </c>
      <c r="M332" s="2325"/>
      <c r="N332" s="5">
        <f t="shared" si="80"/>
        <v>15.059999999999999</v>
      </c>
      <c r="O332" s="5">
        <f t="shared" si="81"/>
        <v>15.059999999999999</v>
      </c>
      <c r="P332" s="2339"/>
      <c r="R332" s="2392"/>
      <c r="S332" s="253">
        <f t="shared" si="75"/>
        <v>4.6900000000000004</v>
      </c>
      <c r="T332" s="253">
        <f t="shared" si="76"/>
        <v>37.520000000000003</v>
      </c>
      <c r="U332" s="253">
        <f t="shared" si="77"/>
        <v>3.7520000000000007</v>
      </c>
      <c r="V332" s="2339"/>
    </row>
    <row r="333" spans="1:22">
      <c r="A333" s="2336"/>
      <c r="B333" s="2325"/>
      <c r="C333" s="189">
        <v>32</v>
      </c>
      <c r="D333" s="2325"/>
      <c r="E333" s="2321"/>
      <c r="F333" s="5">
        <v>2.5</v>
      </c>
      <c r="G333" s="189">
        <f t="shared" si="78"/>
        <v>8.6999999999999993</v>
      </c>
      <c r="H333" s="5"/>
      <c r="I333" s="189">
        <f t="shared" si="74"/>
        <v>8.6999999999999993</v>
      </c>
      <c r="J333" s="2339"/>
      <c r="L333" s="145">
        <f t="shared" si="79"/>
        <v>2</v>
      </c>
      <c r="M333" s="2325"/>
      <c r="N333" s="5">
        <f t="shared" si="80"/>
        <v>10.039999999999999</v>
      </c>
      <c r="O333" s="5">
        <f t="shared" si="81"/>
        <v>10.039999999999999</v>
      </c>
      <c r="P333" s="2339"/>
      <c r="R333" s="2392"/>
      <c r="S333" s="253">
        <f t="shared" si="75"/>
        <v>2.5</v>
      </c>
      <c r="T333" s="253">
        <f t="shared" si="76"/>
        <v>20</v>
      </c>
      <c r="U333" s="253">
        <f t="shared" si="77"/>
        <v>2</v>
      </c>
      <c r="V333" s="2339"/>
    </row>
    <row r="334" spans="1:22">
      <c r="A334" s="2336"/>
      <c r="B334" s="2325"/>
      <c r="C334" s="189">
        <v>33</v>
      </c>
      <c r="D334" s="2325"/>
      <c r="E334" s="2321"/>
      <c r="F334" s="5">
        <v>1.18</v>
      </c>
      <c r="G334" s="189">
        <f t="shared" si="78"/>
        <v>4.1063999999999998</v>
      </c>
      <c r="H334" s="5"/>
      <c r="I334" s="189">
        <f t="shared" si="74"/>
        <v>4.1063999999999998</v>
      </c>
      <c r="J334" s="2339"/>
      <c r="L334" s="145">
        <f t="shared" si="79"/>
        <v>1</v>
      </c>
      <c r="M334" s="2325"/>
      <c r="N334" s="5">
        <f t="shared" si="80"/>
        <v>5.0199999999999996</v>
      </c>
      <c r="O334" s="5">
        <f t="shared" si="81"/>
        <v>5.0199999999999996</v>
      </c>
      <c r="P334" s="2339"/>
      <c r="R334" s="2392"/>
      <c r="S334" s="253">
        <f t="shared" si="75"/>
        <v>1.18</v>
      </c>
      <c r="T334" s="253">
        <f t="shared" si="76"/>
        <v>9.44</v>
      </c>
      <c r="U334" s="253">
        <f t="shared" si="77"/>
        <v>0.94399999999999995</v>
      </c>
      <c r="V334" s="2339"/>
    </row>
    <row r="335" spans="1:22">
      <c r="A335" s="2336"/>
      <c r="B335" s="2325"/>
      <c r="C335" s="189">
        <v>34</v>
      </c>
      <c r="D335" s="2325"/>
      <c r="E335" s="2321"/>
      <c r="F335" s="5">
        <v>1.83</v>
      </c>
      <c r="G335" s="189">
        <f t="shared" si="78"/>
        <v>6.3684000000000003</v>
      </c>
      <c r="H335" s="5"/>
      <c r="I335" s="189">
        <f t="shared" si="74"/>
        <v>6.3684000000000003</v>
      </c>
      <c r="J335" s="2339"/>
      <c r="L335" s="145">
        <f t="shared" si="79"/>
        <v>2</v>
      </c>
      <c r="M335" s="2325"/>
      <c r="N335" s="5">
        <f t="shared" si="80"/>
        <v>10.039999999999999</v>
      </c>
      <c r="O335" s="5">
        <f t="shared" si="81"/>
        <v>10.039999999999999</v>
      </c>
      <c r="P335" s="2339"/>
      <c r="R335" s="2392"/>
      <c r="S335" s="253">
        <f t="shared" si="75"/>
        <v>1.83</v>
      </c>
      <c r="T335" s="253">
        <f t="shared" si="76"/>
        <v>14.64</v>
      </c>
      <c r="U335" s="253">
        <f t="shared" si="77"/>
        <v>1.4640000000000002</v>
      </c>
      <c r="V335" s="2339"/>
    </row>
    <row r="336" spans="1:22">
      <c r="A336" s="2336"/>
      <c r="B336" s="2325"/>
      <c r="C336" s="189">
        <v>35</v>
      </c>
      <c r="D336" s="2325"/>
      <c r="E336" s="2321"/>
      <c r="F336" s="5">
        <v>2.31</v>
      </c>
      <c r="G336" s="189">
        <f t="shared" si="78"/>
        <v>8.0388000000000002</v>
      </c>
      <c r="H336" s="5"/>
      <c r="I336" s="189">
        <f t="shared" si="74"/>
        <v>8.0388000000000002</v>
      </c>
      <c r="J336" s="2339"/>
      <c r="L336" s="145">
        <f t="shared" si="79"/>
        <v>2</v>
      </c>
      <c r="M336" s="2325"/>
      <c r="N336" s="5">
        <f t="shared" si="80"/>
        <v>10.039999999999999</v>
      </c>
      <c r="O336" s="5">
        <f t="shared" si="81"/>
        <v>10.039999999999999</v>
      </c>
      <c r="P336" s="2339"/>
      <c r="R336" s="2392"/>
      <c r="S336" s="253">
        <f t="shared" si="75"/>
        <v>2.31</v>
      </c>
      <c r="T336" s="253">
        <f t="shared" si="76"/>
        <v>18.48</v>
      </c>
      <c r="U336" s="253">
        <f t="shared" si="77"/>
        <v>1.8480000000000001</v>
      </c>
      <c r="V336" s="2339"/>
    </row>
    <row r="337" spans="1:22">
      <c r="A337" s="2336"/>
      <c r="B337" s="2325"/>
      <c r="C337" s="189">
        <v>36</v>
      </c>
      <c r="D337" s="2325"/>
      <c r="E337" s="2321"/>
      <c r="F337" s="5">
        <v>3.87</v>
      </c>
      <c r="G337" s="189">
        <f t="shared" si="78"/>
        <v>13.467600000000001</v>
      </c>
      <c r="H337" s="5"/>
      <c r="I337" s="189">
        <f t="shared" si="74"/>
        <v>13.467600000000001</v>
      </c>
      <c r="J337" s="2339"/>
      <c r="L337" s="145">
        <f t="shared" si="79"/>
        <v>3</v>
      </c>
      <c r="M337" s="2325"/>
      <c r="N337" s="5">
        <f t="shared" si="80"/>
        <v>15.059999999999999</v>
      </c>
      <c r="O337" s="5">
        <f t="shared" si="81"/>
        <v>15.059999999999999</v>
      </c>
      <c r="P337" s="2339"/>
      <c r="R337" s="2392"/>
      <c r="S337" s="253">
        <f t="shared" si="75"/>
        <v>3.87</v>
      </c>
      <c r="T337" s="253">
        <f t="shared" si="76"/>
        <v>30.96</v>
      </c>
      <c r="U337" s="253">
        <f t="shared" si="77"/>
        <v>3.0960000000000001</v>
      </c>
      <c r="V337" s="2339"/>
    </row>
    <row r="338" spans="1:22">
      <c r="A338" s="2336"/>
      <c r="B338" s="2325"/>
      <c r="C338" s="189">
        <v>37</v>
      </c>
      <c r="D338" s="2325"/>
      <c r="E338" s="2321"/>
      <c r="F338" s="5">
        <v>3.83</v>
      </c>
      <c r="G338" s="189">
        <f t="shared" si="78"/>
        <v>13.3284</v>
      </c>
      <c r="H338" s="5"/>
      <c r="I338" s="189">
        <f t="shared" si="74"/>
        <v>13.3284</v>
      </c>
      <c r="J338" s="2339"/>
      <c r="L338" s="145">
        <f t="shared" si="79"/>
        <v>3</v>
      </c>
      <c r="M338" s="2325"/>
      <c r="N338" s="5">
        <f t="shared" si="80"/>
        <v>15.059999999999999</v>
      </c>
      <c r="O338" s="5">
        <f t="shared" si="81"/>
        <v>15.059999999999999</v>
      </c>
      <c r="P338" s="2339"/>
      <c r="R338" s="2392"/>
      <c r="S338" s="253">
        <f t="shared" si="75"/>
        <v>3.83</v>
      </c>
      <c r="T338" s="253">
        <f t="shared" si="76"/>
        <v>30.64</v>
      </c>
      <c r="U338" s="253">
        <f t="shared" si="77"/>
        <v>3.0640000000000001</v>
      </c>
      <c r="V338" s="2339"/>
    </row>
    <row r="339" spans="1:22">
      <c r="A339" s="2336"/>
      <c r="B339" s="2325"/>
      <c r="C339" s="189">
        <v>38</v>
      </c>
      <c r="D339" s="2325"/>
      <c r="E339" s="2321"/>
      <c r="F339" s="5">
        <v>7.15</v>
      </c>
      <c r="G339" s="189">
        <f t="shared" si="78"/>
        <v>24.882000000000001</v>
      </c>
      <c r="H339" s="5"/>
      <c r="I339" s="189">
        <f t="shared" si="74"/>
        <v>24.882000000000001</v>
      </c>
      <c r="J339" s="2339"/>
      <c r="L339" s="145">
        <f t="shared" si="79"/>
        <v>4</v>
      </c>
      <c r="M339" s="2325"/>
      <c r="N339" s="5">
        <f t="shared" si="80"/>
        <v>20.079999999999998</v>
      </c>
      <c r="O339" s="5">
        <f t="shared" si="81"/>
        <v>20.079999999999998</v>
      </c>
      <c r="P339" s="2339"/>
      <c r="R339" s="2392"/>
      <c r="S339" s="253">
        <f t="shared" si="75"/>
        <v>7.15</v>
      </c>
      <c r="T339" s="253">
        <f t="shared" si="76"/>
        <v>57.2</v>
      </c>
      <c r="U339" s="253">
        <f t="shared" si="77"/>
        <v>5.7200000000000006</v>
      </c>
      <c r="V339" s="2339"/>
    </row>
    <row r="340" spans="1:22">
      <c r="A340" s="2336"/>
      <c r="B340" s="2325"/>
      <c r="C340" s="189">
        <v>39</v>
      </c>
      <c r="D340" s="2325"/>
      <c r="E340" s="2321"/>
      <c r="F340" s="5">
        <v>2.15</v>
      </c>
      <c r="G340" s="189">
        <f t="shared" si="78"/>
        <v>7.4819999999999993</v>
      </c>
      <c r="H340" s="5"/>
      <c r="I340" s="189">
        <f t="shared" si="74"/>
        <v>7.4819999999999993</v>
      </c>
      <c r="J340" s="2339"/>
      <c r="L340" s="145">
        <f t="shared" si="79"/>
        <v>2</v>
      </c>
      <c r="M340" s="2325"/>
      <c r="N340" s="5">
        <f t="shared" si="80"/>
        <v>10.039999999999999</v>
      </c>
      <c r="O340" s="5">
        <f t="shared" si="81"/>
        <v>10.039999999999999</v>
      </c>
      <c r="P340" s="2339"/>
      <c r="R340" s="2392"/>
      <c r="S340" s="253">
        <f t="shared" si="75"/>
        <v>2.15</v>
      </c>
      <c r="T340" s="253">
        <f t="shared" si="76"/>
        <v>17.2</v>
      </c>
      <c r="U340" s="253">
        <f t="shared" si="77"/>
        <v>1.72</v>
      </c>
      <c r="V340" s="2339"/>
    </row>
    <row r="341" spans="1:22">
      <c r="A341" s="2336"/>
      <c r="B341" s="2325"/>
      <c r="C341" s="189">
        <v>40</v>
      </c>
      <c r="D341" s="2325"/>
      <c r="E341" s="2321"/>
      <c r="F341" s="5">
        <v>0.89</v>
      </c>
      <c r="G341" s="189">
        <f t="shared" si="78"/>
        <v>3.0972</v>
      </c>
      <c r="H341" s="5"/>
      <c r="I341" s="189">
        <f t="shared" si="74"/>
        <v>3.0972</v>
      </c>
      <c r="J341" s="2339"/>
      <c r="L341" s="145">
        <f t="shared" si="79"/>
        <v>1</v>
      </c>
      <c r="M341" s="2325"/>
      <c r="N341" s="5">
        <f t="shared" si="80"/>
        <v>5.0199999999999996</v>
      </c>
      <c r="O341" s="5">
        <f t="shared" si="81"/>
        <v>5.0199999999999996</v>
      </c>
      <c r="P341" s="2339"/>
      <c r="R341" s="2392"/>
      <c r="S341" s="253">
        <f t="shared" si="75"/>
        <v>0.89</v>
      </c>
      <c r="T341" s="253">
        <f t="shared" si="76"/>
        <v>7.12</v>
      </c>
      <c r="U341" s="253">
        <f t="shared" si="77"/>
        <v>0.71200000000000008</v>
      </c>
      <c r="V341" s="2339"/>
    </row>
    <row r="342" spans="1:22">
      <c r="A342" s="2336"/>
      <c r="B342" s="2325"/>
      <c r="C342" s="189">
        <v>41</v>
      </c>
      <c r="D342" s="2325"/>
      <c r="E342" s="2321"/>
      <c r="F342" s="5">
        <v>0.8</v>
      </c>
      <c r="G342" s="189">
        <f t="shared" si="78"/>
        <v>2.7840000000000003</v>
      </c>
      <c r="H342" s="5"/>
      <c r="I342" s="189">
        <f t="shared" si="74"/>
        <v>2.7840000000000003</v>
      </c>
      <c r="J342" s="2339"/>
      <c r="L342" s="145">
        <f t="shared" si="79"/>
        <v>1</v>
      </c>
      <c r="M342" s="2325"/>
      <c r="N342" s="5">
        <f t="shared" si="80"/>
        <v>5.0199999999999996</v>
      </c>
      <c r="O342" s="5">
        <f t="shared" si="81"/>
        <v>5.0199999999999996</v>
      </c>
      <c r="P342" s="2339"/>
      <c r="R342" s="2392"/>
      <c r="S342" s="253">
        <f t="shared" si="75"/>
        <v>0.8</v>
      </c>
      <c r="T342" s="253">
        <f t="shared" si="76"/>
        <v>6.4</v>
      </c>
      <c r="U342" s="253">
        <f t="shared" si="77"/>
        <v>0.64000000000000012</v>
      </c>
      <c r="V342" s="2339"/>
    </row>
    <row r="343" spans="1:22">
      <c r="A343" s="2336"/>
      <c r="B343" s="2325"/>
      <c r="C343" s="189">
        <v>42</v>
      </c>
      <c r="D343" s="2325"/>
      <c r="E343" s="2322"/>
      <c r="F343" s="5">
        <v>1.03</v>
      </c>
      <c r="G343" s="189">
        <f t="shared" si="78"/>
        <v>3.5844</v>
      </c>
      <c r="H343" s="5"/>
      <c r="I343" s="189">
        <f t="shared" si="74"/>
        <v>3.5844</v>
      </c>
      <c r="J343" s="2339"/>
      <c r="L343" s="145">
        <f t="shared" si="79"/>
        <v>1</v>
      </c>
      <c r="M343" s="2325"/>
      <c r="N343" s="5">
        <f t="shared" si="80"/>
        <v>5.0199999999999996</v>
      </c>
      <c r="O343" s="5">
        <f t="shared" si="81"/>
        <v>5.0199999999999996</v>
      </c>
      <c r="P343" s="2339"/>
      <c r="R343" s="2392"/>
      <c r="S343" s="253">
        <f t="shared" si="75"/>
        <v>1.03</v>
      </c>
      <c r="T343" s="253">
        <f t="shared" si="76"/>
        <v>8.24</v>
      </c>
      <c r="U343" s="253">
        <f t="shared" si="77"/>
        <v>0.82400000000000007</v>
      </c>
      <c r="V343" s="2339"/>
    </row>
    <row r="344" spans="1:22">
      <c r="A344" s="2336"/>
      <c r="B344" s="2325"/>
      <c r="C344" s="189">
        <v>43</v>
      </c>
      <c r="D344" s="2325"/>
      <c r="E344" s="2323">
        <f>3.6-0.6</f>
        <v>3</v>
      </c>
      <c r="F344" s="5">
        <v>6.35</v>
      </c>
      <c r="G344" s="189">
        <f>$E$344*F344</f>
        <v>19.049999999999997</v>
      </c>
      <c r="H344" s="5"/>
      <c r="I344" s="189">
        <f t="shared" si="74"/>
        <v>19.049999999999997</v>
      </c>
      <c r="J344" s="2339"/>
      <c r="L344" s="145">
        <f>TRUNC((F344/1.2))+1</f>
        <v>6</v>
      </c>
      <c r="M344" s="2325">
        <f>($E$344)+(0.12+0.56+0.9)</f>
        <v>4.58</v>
      </c>
      <c r="N344" s="5">
        <f>$M$344*L344</f>
        <v>27.48</v>
      </c>
      <c r="O344" s="5">
        <f t="shared" si="81"/>
        <v>27.48</v>
      </c>
      <c r="P344" s="2339"/>
      <c r="R344" s="2392"/>
      <c r="S344" s="253">
        <f t="shared" si="75"/>
        <v>6.35</v>
      </c>
      <c r="T344" s="253">
        <f t="shared" si="76"/>
        <v>50.8</v>
      </c>
      <c r="U344" s="253">
        <f t="shared" si="77"/>
        <v>5.08</v>
      </c>
      <c r="V344" s="2339"/>
    </row>
    <row r="345" spans="1:22">
      <c r="A345" s="2336"/>
      <c r="B345" s="2325"/>
      <c r="C345" s="189">
        <v>44</v>
      </c>
      <c r="D345" s="2325"/>
      <c r="E345" s="2321"/>
      <c r="F345" s="5">
        <v>7.42</v>
      </c>
      <c r="G345" s="189">
        <f>$E$344*F345</f>
        <v>22.259999999999998</v>
      </c>
      <c r="H345" s="5">
        <f>1*1.1</f>
        <v>1.1000000000000001</v>
      </c>
      <c r="I345" s="189">
        <f t="shared" si="74"/>
        <v>21.159999999999997</v>
      </c>
      <c r="J345" s="2339"/>
      <c r="L345" s="145">
        <f>TRUNC((F345/1.2))+1</f>
        <v>7</v>
      </c>
      <c r="M345" s="2325"/>
      <c r="N345" s="5">
        <f>$M$344*L345</f>
        <v>32.06</v>
      </c>
      <c r="O345" s="5">
        <f t="shared" si="81"/>
        <v>32.06</v>
      </c>
      <c r="P345" s="2339"/>
      <c r="R345" s="2392"/>
      <c r="S345" s="253">
        <f t="shared" si="75"/>
        <v>7.42</v>
      </c>
      <c r="T345" s="253">
        <f t="shared" si="76"/>
        <v>59.36</v>
      </c>
      <c r="U345" s="253">
        <f t="shared" si="77"/>
        <v>5.9359999999999999</v>
      </c>
      <c r="V345" s="2339"/>
    </row>
    <row r="346" spans="1:22">
      <c r="A346" s="2336"/>
      <c r="B346" s="2325"/>
      <c r="C346" s="189">
        <v>45</v>
      </c>
      <c r="D346" s="2325"/>
      <c r="E346" s="2321"/>
      <c r="F346" s="5">
        <v>13.51</v>
      </c>
      <c r="G346" s="189">
        <f>$E$344*F346</f>
        <v>40.53</v>
      </c>
      <c r="H346" s="5">
        <f>2*((0.968+1.22+1.22+1.698)*1.1)</f>
        <v>11.2332</v>
      </c>
      <c r="I346" s="189">
        <f t="shared" si="74"/>
        <v>29.296800000000001</v>
      </c>
      <c r="J346" s="2339"/>
      <c r="L346" s="145">
        <f>TRUNC((F346/1.2))+1</f>
        <v>12</v>
      </c>
      <c r="M346" s="2325"/>
      <c r="N346" s="5">
        <f>$M$344*L346</f>
        <v>54.96</v>
      </c>
      <c r="O346" s="5">
        <f t="shared" si="81"/>
        <v>54.96</v>
      </c>
      <c r="P346" s="2339"/>
      <c r="R346" s="2392"/>
      <c r="S346" s="253">
        <f t="shared" si="75"/>
        <v>13.51</v>
      </c>
      <c r="T346" s="253">
        <f t="shared" si="76"/>
        <v>108.08</v>
      </c>
      <c r="U346" s="253">
        <f t="shared" si="77"/>
        <v>10.808</v>
      </c>
      <c r="V346" s="2339"/>
    </row>
    <row r="347" spans="1:22">
      <c r="A347" s="2336"/>
      <c r="B347" s="2325"/>
      <c r="C347" s="189">
        <v>46</v>
      </c>
      <c r="D347" s="2325"/>
      <c r="E347" s="2322"/>
      <c r="F347" s="5">
        <v>48.4</v>
      </c>
      <c r="G347" s="189">
        <f>$E$344*F347</f>
        <v>145.19999999999999</v>
      </c>
      <c r="H347" s="5">
        <f>1.1*(1.573+1.22+1.22+0.855+0.904+(6*1.22)+0.757+0.884+0.733)+3*9.245+((3*1.22+0.906+0.886)*1.1)+(1.1*(1.344+1.213+1.227+1.213+1.169+1.22+1.22+1.175))</f>
        <v>61.503900000000009</v>
      </c>
      <c r="I347" s="189">
        <f t="shared" si="74"/>
        <v>83.696099999999973</v>
      </c>
      <c r="J347" s="2339"/>
      <c r="L347" s="145">
        <f>TRUNC((F347/1.2))+1</f>
        <v>41</v>
      </c>
      <c r="M347" s="2325"/>
      <c r="N347" s="5">
        <f>$M$344*L347</f>
        <v>187.78</v>
      </c>
      <c r="O347" s="5">
        <f t="shared" si="81"/>
        <v>187.78</v>
      </c>
      <c r="P347" s="2339"/>
      <c r="R347" s="2392"/>
      <c r="S347" s="253">
        <f t="shared" si="75"/>
        <v>48.4</v>
      </c>
      <c r="T347" s="253">
        <f t="shared" si="76"/>
        <v>387.2</v>
      </c>
      <c r="U347" s="253">
        <f t="shared" si="77"/>
        <v>38.72</v>
      </c>
      <c r="V347" s="2339"/>
    </row>
    <row r="348" spans="1:22">
      <c r="A348" s="2336"/>
      <c r="B348" s="2325"/>
      <c r="C348" s="189">
        <v>47</v>
      </c>
      <c r="D348" s="2325"/>
      <c r="E348" s="2323">
        <f>3.6-0.12</f>
        <v>3.48</v>
      </c>
      <c r="F348" s="5">
        <v>3.94</v>
      </c>
      <c r="G348" s="189">
        <f>$E$348*F348</f>
        <v>13.7112</v>
      </c>
      <c r="H348" s="5">
        <f>(1/3)*G348</f>
        <v>4.5703999999999994</v>
      </c>
      <c r="I348" s="189">
        <f t="shared" si="74"/>
        <v>9.1408000000000005</v>
      </c>
      <c r="J348" s="2339"/>
      <c r="L348" s="145">
        <f>TRUNC((F348/1.8))+1</f>
        <v>3</v>
      </c>
      <c r="M348" s="2325">
        <f>($E$348)+(0.66+0.88)</f>
        <v>5.0199999999999996</v>
      </c>
      <c r="N348" s="5">
        <f>$M$348*L348</f>
        <v>15.059999999999999</v>
      </c>
      <c r="O348" s="5">
        <f t="shared" si="81"/>
        <v>15.059999999999999</v>
      </c>
      <c r="P348" s="2339"/>
      <c r="R348" s="2392"/>
      <c r="S348" s="253">
        <f t="shared" si="75"/>
        <v>3.94</v>
      </c>
      <c r="T348" s="253">
        <f t="shared" si="76"/>
        <v>31.52</v>
      </c>
      <c r="U348" s="253">
        <f t="shared" si="77"/>
        <v>3.1520000000000001</v>
      </c>
      <c r="V348" s="2339"/>
    </row>
    <row r="349" spans="1:22">
      <c r="A349" s="2336"/>
      <c r="B349" s="2325"/>
      <c r="C349" s="189">
        <v>48</v>
      </c>
      <c r="D349" s="2325"/>
      <c r="E349" s="2321"/>
      <c r="F349" s="5">
        <v>3.69</v>
      </c>
      <c r="G349" s="189">
        <f t="shared" ref="G349:G386" si="82">$E$348*F349</f>
        <v>12.841200000000001</v>
      </c>
      <c r="H349" s="5">
        <f t="shared" ref="H349:H367" si="83">(1/3)*G349</f>
        <v>4.2804000000000002</v>
      </c>
      <c r="I349" s="189">
        <f t="shared" si="74"/>
        <v>8.5608000000000004</v>
      </c>
      <c r="J349" s="2339"/>
      <c r="L349" s="145">
        <f t="shared" ref="L349:L386" si="84">TRUNC((F349/1.8))+1</f>
        <v>3</v>
      </c>
      <c r="M349" s="2325"/>
      <c r="N349" s="5">
        <f t="shared" ref="N349:N386" si="85">$M$348*L349</f>
        <v>15.059999999999999</v>
      </c>
      <c r="O349" s="5">
        <f t="shared" si="81"/>
        <v>15.059999999999999</v>
      </c>
      <c r="P349" s="2339"/>
      <c r="R349" s="2392"/>
      <c r="S349" s="253">
        <f t="shared" si="75"/>
        <v>3.69</v>
      </c>
      <c r="T349" s="253">
        <f t="shared" si="76"/>
        <v>29.52</v>
      </c>
      <c r="U349" s="253">
        <f t="shared" si="77"/>
        <v>2.952</v>
      </c>
      <c r="V349" s="2339"/>
    </row>
    <row r="350" spans="1:22">
      <c r="A350" s="2336"/>
      <c r="B350" s="2325"/>
      <c r="C350" s="189">
        <v>49</v>
      </c>
      <c r="D350" s="2325"/>
      <c r="E350" s="2321"/>
      <c r="F350" s="5">
        <v>3.72</v>
      </c>
      <c r="G350" s="189">
        <f t="shared" si="82"/>
        <v>12.945600000000001</v>
      </c>
      <c r="H350" s="5">
        <f t="shared" si="83"/>
        <v>4.3151999999999999</v>
      </c>
      <c r="I350" s="189">
        <f t="shared" si="74"/>
        <v>8.6304000000000016</v>
      </c>
      <c r="J350" s="2339"/>
      <c r="L350" s="145">
        <f t="shared" si="84"/>
        <v>3</v>
      </c>
      <c r="M350" s="2325"/>
      <c r="N350" s="5">
        <f t="shared" si="85"/>
        <v>15.059999999999999</v>
      </c>
      <c r="O350" s="5">
        <f t="shared" si="81"/>
        <v>15.059999999999999</v>
      </c>
      <c r="P350" s="2339"/>
      <c r="R350" s="2392"/>
      <c r="S350" s="253">
        <f t="shared" si="75"/>
        <v>3.72</v>
      </c>
      <c r="T350" s="253">
        <f t="shared" si="76"/>
        <v>29.76</v>
      </c>
      <c r="U350" s="253">
        <f t="shared" si="77"/>
        <v>2.9760000000000004</v>
      </c>
      <c r="V350" s="2339"/>
    </row>
    <row r="351" spans="1:22">
      <c r="A351" s="2336"/>
      <c r="B351" s="2325"/>
      <c r="C351" s="189">
        <v>50</v>
      </c>
      <c r="D351" s="2325"/>
      <c r="E351" s="2321"/>
      <c r="F351" s="5">
        <v>4.76</v>
      </c>
      <c r="G351" s="189">
        <f t="shared" si="82"/>
        <v>16.564799999999998</v>
      </c>
      <c r="H351" s="5">
        <f t="shared" si="83"/>
        <v>5.5215999999999994</v>
      </c>
      <c r="I351" s="189">
        <f t="shared" si="74"/>
        <v>11.043199999999999</v>
      </c>
      <c r="J351" s="2339"/>
      <c r="L351" s="145">
        <f t="shared" si="84"/>
        <v>3</v>
      </c>
      <c r="M351" s="2325"/>
      <c r="N351" s="5">
        <f t="shared" si="85"/>
        <v>15.059999999999999</v>
      </c>
      <c r="O351" s="5">
        <f t="shared" si="81"/>
        <v>15.059999999999999</v>
      </c>
      <c r="P351" s="2339"/>
      <c r="R351" s="2392"/>
      <c r="S351" s="253">
        <f t="shared" si="75"/>
        <v>4.76</v>
      </c>
      <c r="T351" s="253">
        <f t="shared" si="76"/>
        <v>38.08</v>
      </c>
      <c r="U351" s="253">
        <f t="shared" si="77"/>
        <v>3.8079999999999998</v>
      </c>
      <c r="V351" s="2339"/>
    </row>
    <row r="352" spans="1:22">
      <c r="A352" s="2336"/>
      <c r="B352" s="2325"/>
      <c r="C352" s="189">
        <v>51</v>
      </c>
      <c r="D352" s="2325"/>
      <c r="E352" s="2321"/>
      <c r="F352" s="5">
        <v>4.75</v>
      </c>
      <c r="G352" s="189">
        <f t="shared" si="82"/>
        <v>16.53</v>
      </c>
      <c r="H352" s="5">
        <f t="shared" si="83"/>
        <v>5.51</v>
      </c>
      <c r="I352" s="189">
        <f t="shared" si="74"/>
        <v>11.020000000000001</v>
      </c>
      <c r="J352" s="2339"/>
      <c r="L352" s="145">
        <f t="shared" si="84"/>
        <v>3</v>
      </c>
      <c r="M352" s="2325"/>
      <c r="N352" s="5">
        <f t="shared" si="85"/>
        <v>15.059999999999999</v>
      </c>
      <c r="O352" s="5">
        <f t="shared" si="81"/>
        <v>15.059999999999999</v>
      </c>
      <c r="P352" s="2339"/>
      <c r="R352" s="2392"/>
      <c r="S352" s="253">
        <f t="shared" si="75"/>
        <v>4.75</v>
      </c>
      <c r="T352" s="253">
        <f t="shared" si="76"/>
        <v>38</v>
      </c>
      <c r="U352" s="253">
        <f t="shared" si="77"/>
        <v>3.8000000000000003</v>
      </c>
      <c r="V352" s="2339"/>
    </row>
    <row r="353" spans="1:22">
      <c r="A353" s="2336"/>
      <c r="B353" s="2325"/>
      <c r="C353" s="189">
        <v>52</v>
      </c>
      <c r="D353" s="2325"/>
      <c r="E353" s="2321"/>
      <c r="F353" s="5">
        <v>4.75</v>
      </c>
      <c r="G353" s="189">
        <f t="shared" si="82"/>
        <v>16.53</v>
      </c>
      <c r="H353" s="5">
        <f t="shared" si="83"/>
        <v>5.51</v>
      </c>
      <c r="I353" s="189">
        <f t="shared" si="74"/>
        <v>11.020000000000001</v>
      </c>
      <c r="J353" s="2339"/>
      <c r="L353" s="145">
        <f t="shared" si="84"/>
        <v>3</v>
      </c>
      <c r="M353" s="2325"/>
      <c r="N353" s="5">
        <f t="shared" si="85"/>
        <v>15.059999999999999</v>
      </c>
      <c r="O353" s="5">
        <f t="shared" si="81"/>
        <v>15.059999999999999</v>
      </c>
      <c r="P353" s="2339"/>
      <c r="R353" s="2392"/>
      <c r="S353" s="253">
        <f t="shared" si="75"/>
        <v>4.75</v>
      </c>
      <c r="T353" s="253">
        <f t="shared" si="76"/>
        <v>38</v>
      </c>
      <c r="U353" s="253">
        <f t="shared" si="77"/>
        <v>3.8000000000000003</v>
      </c>
      <c r="V353" s="2339"/>
    </row>
    <row r="354" spans="1:22">
      <c r="A354" s="2336"/>
      <c r="B354" s="2325"/>
      <c r="C354" s="189">
        <v>53</v>
      </c>
      <c r="D354" s="2325"/>
      <c r="E354" s="2321"/>
      <c r="F354" s="5">
        <v>4</v>
      </c>
      <c r="G354" s="189">
        <f t="shared" si="82"/>
        <v>13.92</v>
      </c>
      <c r="H354" s="5">
        <f t="shared" si="83"/>
        <v>4.6399999999999997</v>
      </c>
      <c r="I354" s="189">
        <f t="shared" si="74"/>
        <v>9.2800000000000011</v>
      </c>
      <c r="J354" s="2339"/>
      <c r="L354" s="145">
        <f t="shared" si="84"/>
        <v>3</v>
      </c>
      <c r="M354" s="2325"/>
      <c r="N354" s="5">
        <f t="shared" si="85"/>
        <v>15.059999999999999</v>
      </c>
      <c r="O354" s="5">
        <f t="shared" si="81"/>
        <v>15.059999999999999</v>
      </c>
      <c r="P354" s="2339"/>
      <c r="R354" s="2392"/>
      <c r="S354" s="253">
        <f t="shared" si="75"/>
        <v>4</v>
      </c>
      <c r="T354" s="253">
        <f t="shared" si="76"/>
        <v>32</v>
      </c>
      <c r="U354" s="253">
        <f t="shared" si="77"/>
        <v>3.2</v>
      </c>
      <c r="V354" s="2339"/>
    </row>
    <row r="355" spans="1:22">
      <c r="A355" s="2336"/>
      <c r="B355" s="2325"/>
      <c r="C355" s="189">
        <v>54</v>
      </c>
      <c r="D355" s="2325"/>
      <c r="E355" s="2321"/>
      <c r="F355" s="5">
        <v>3.71</v>
      </c>
      <c r="G355" s="189">
        <f t="shared" si="82"/>
        <v>12.9108</v>
      </c>
      <c r="H355" s="5">
        <f t="shared" si="83"/>
        <v>4.3035999999999994</v>
      </c>
      <c r="I355" s="189">
        <f t="shared" si="74"/>
        <v>8.6072000000000006</v>
      </c>
      <c r="J355" s="2339"/>
      <c r="L355" s="145">
        <f t="shared" si="84"/>
        <v>3</v>
      </c>
      <c r="M355" s="2325"/>
      <c r="N355" s="5">
        <f t="shared" si="85"/>
        <v>15.059999999999999</v>
      </c>
      <c r="O355" s="5">
        <f t="shared" si="81"/>
        <v>15.059999999999999</v>
      </c>
      <c r="P355" s="2339"/>
      <c r="R355" s="2392"/>
      <c r="S355" s="253">
        <f t="shared" si="75"/>
        <v>3.71</v>
      </c>
      <c r="T355" s="253">
        <f t="shared" si="76"/>
        <v>29.68</v>
      </c>
      <c r="U355" s="253">
        <f t="shared" si="77"/>
        <v>2.968</v>
      </c>
      <c r="V355" s="2339"/>
    </row>
    <row r="356" spans="1:22">
      <c r="A356" s="2336"/>
      <c r="B356" s="2325"/>
      <c r="C356" s="189">
        <v>55</v>
      </c>
      <c r="D356" s="2325"/>
      <c r="E356" s="2321"/>
      <c r="F356" s="5">
        <v>3.71</v>
      </c>
      <c r="G356" s="189">
        <f t="shared" si="82"/>
        <v>12.9108</v>
      </c>
      <c r="H356" s="5">
        <f t="shared" si="83"/>
        <v>4.3035999999999994</v>
      </c>
      <c r="I356" s="189">
        <f t="shared" si="74"/>
        <v>8.6072000000000006</v>
      </c>
      <c r="J356" s="2339"/>
      <c r="L356" s="145">
        <f t="shared" si="84"/>
        <v>3</v>
      </c>
      <c r="M356" s="2325"/>
      <c r="N356" s="5">
        <f t="shared" si="85"/>
        <v>15.059999999999999</v>
      </c>
      <c r="O356" s="5">
        <f t="shared" si="81"/>
        <v>15.059999999999999</v>
      </c>
      <c r="P356" s="2339"/>
      <c r="R356" s="2392"/>
      <c r="S356" s="253">
        <f t="shared" si="75"/>
        <v>3.71</v>
      </c>
      <c r="T356" s="253">
        <f t="shared" si="76"/>
        <v>29.68</v>
      </c>
      <c r="U356" s="253">
        <f t="shared" si="77"/>
        <v>2.968</v>
      </c>
      <c r="V356" s="2339"/>
    </row>
    <row r="357" spans="1:22">
      <c r="A357" s="2336"/>
      <c r="B357" s="2325"/>
      <c r="C357" s="189">
        <v>56</v>
      </c>
      <c r="D357" s="2325"/>
      <c r="E357" s="2321"/>
      <c r="F357" s="5">
        <v>3.46</v>
      </c>
      <c r="G357" s="189">
        <f t="shared" si="82"/>
        <v>12.040799999999999</v>
      </c>
      <c r="H357" s="5">
        <f t="shared" si="83"/>
        <v>4.0135999999999994</v>
      </c>
      <c r="I357" s="189">
        <f t="shared" si="74"/>
        <v>8.0272000000000006</v>
      </c>
      <c r="J357" s="2339"/>
      <c r="L357" s="145">
        <f t="shared" si="84"/>
        <v>2</v>
      </c>
      <c r="M357" s="2325"/>
      <c r="N357" s="5">
        <f t="shared" si="85"/>
        <v>10.039999999999999</v>
      </c>
      <c r="O357" s="5">
        <f t="shared" si="81"/>
        <v>10.039999999999999</v>
      </c>
      <c r="P357" s="2339"/>
      <c r="R357" s="2392"/>
      <c r="S357" s="253">
        <f t="shared" si="75"/>
        <v>3.46</v>
      </c>
      <c r="T357" s="253">
        <f t="shared" si="76"/>
        <v>27.68</v>
      </c>
      <c r="U357" s="253">
        <f t="shared" si="77"/>
        <v>2.7680000000000002</v>
      </c>
      <c r="V357" s="2339"/>
    </row>
    <row r="358" spans="1:22">
      <c r="A358" s="2336"/>
      <c r="B358" s="2325"/>
      <c r="C358" s="189">
        <v>57</v>
      </c>
      <c r="D358" s="2325"/>
      <c r="E358" s="2321"/>
      <c r="F358" s="5">
        <v>3.37</v>
      </c>
      <c r="G358" s="189">
        <f t="shared" si="82"/>
        <v>11.727600000000001</v>
      </c>
      <c r="H358" s="5">
        <f t="shared" si="83"/>
        <v>3.9092000000000002</v>
      </c>
      <c r="I358" s="189">
        <f t="shared" si="74"/>
        <v>7.8184000000000005</v>
      </c>
      <c r="J358" s="2339"/>
      <c r="L358" s="145">
        <f t="shared" si="84"/>
        <v>2</v>
      </c>
      <c r="M358" s="2325"/>
      <c r="N358" s="5">
        <f t="shared" si="85"/>
        <v>10.039999999999999</v>
      </c>
      <c r="O358" s="5">
        <f t="shared" si="81"/>
        <v>10.039999999999999</v>
      </c>
      <c r="P358" s="2339"/>
      <c r="R358" s="2392"/>
      <c r="S358" s="253">
        <f t="shared" si="75"/>
        <v>3.37</v>
      </c>
      <c r="T358" s="253">
        <f t="shared" si="76"/>
        <v>26.96</v>
      </c>
      <c r="U358" s="253">
        <f t="shared" si="77"/>
        <v>2.6960000000000002</v>
      </c>
      <c r="V358" s="2339"/>
    </row>
    <row r="359" spans="1:22">
      <c r="A359" s="2336"/>
      <c r="B359" s="2325"/>
      <c r="C359" s="189">
        <v>58</v>
      </c>
      <c r="D359" s="2325"/>
      <c r="E359" s="2321"/>
      <c r="F359" s="5">
        <v>4.17</v>
      </c>
      <c r="G359" s="189">
        <f t="shared" si="82"/>
        <v>14.5116</v>
      </c>
      <c r="H359" s="5">
        <f t="shared" si="83"/>
        <v>4.8371999999999993</v>
      </c>
      <c r="I359" s="189">
        <f t="shared" si="74"/>
        <v>9.6744000000000003</v>
      </c>
      <c r="J359" s="2339"/>
      <c r="L359" s="145">
        <f t="shared" si="84"/>
        <v>3</v>
      </c>
      <c r="M359" s="2325"/>
      <c r="N359" s="5">
        <f t="shared" si="85"/>
        <v>15.059999999999999</v>
      </c>
      <c r="O359" s="5">
        <f t="shared" si="81"/>
        <v>15.059999999999999</v>
      </c>
      <c r="P359" s="2339"/>
      <c r="R359" s="2392"/>
      <c r="S359" s="253">
        <f t="shared" si="75"/>
        <v>4.17</v>
      </c>
      <c r="T359" s="253">
        <f t="shared" si="76"/>
        <v>33.36</v>
      </c>
      <c r="U359" s="253">
        <f t="shared" si="77"/>
        <v>3.3360000000000003</v>
      </c>
      <c r="V359" s="2339"/>
    </row>
    <row r="360" spans="1:22">
      <c r="A360" s="2336"/>
      <c r="B360" s="2325"/>
      <c r="C360" s="189">
        <v>59</v>
      </c>
      <c r="D360" s="2325"/>
      <c r="E360" s="2321"/>
      <c r="F360" s="5">
        <v>4.83</v>
      </c>
      <c r="G360" s="189">
        <f t="shared" si="82"/>
        <v>16.808399999999999</v>
      </c>
      <c r="H360" s="5">
        <f t="shared" si="83"/>
        <v>5.6027999999999993</v>
      </c>
      <c r="I360" s="189">
        <f t="shared" si="74"/>
        <v>11.2056</v>
      </c>
      <c r="J360" s="2339"/>
      <c r="L360" s="145">
        <f t="shared" si="84"/>
        <v>3</v>
      </c>
      <c r="M360" s="2325"/>
      <c r="N360" s="5">
        <f t="shared" si="85"/>
        <v>15.059999999999999</v>
      </c>
      <c r="O360" s="5">
        <f t="shared" si="81"/>
        <v>15.059999999999999</v>
      </c>
      <c r="P360" s="2339"/>
      <c r="R360" s="2392"/>
      <c r="S360" s="253">
        <f t="shared" si="75"/>
        <v>4.83</v>
      </c>
      <c r="T360" s="253">
        <f t="shared" si="76"/>
        <v>38.64</v>
      </c>
      <c r="U360" s="253">
        <f t="shared" si="77"/>
        <v>3.8640000000000003</v>
      </c>
      <c r="V360" s="2339"/>
    </row>
    <row r="361" spans="1:22">
      <c r="A361" s="2336"/>
      <c r="B361" s="2325"/>
      <c r="C361" s="189">
        <v>60</v>
      </c>
      <c r="D361" s="2325"/>
      <c r="E361" s="2321"/>
      <c r="F361" s="5">
        <v>3.37</v>
      </c>
      <c r="G361" s="189">
        <f t="shared" si="82"/>
        <v>11.727600000000001</v>
      </c>
      <c r="H361" s="5">
        <f t="shared" si="83"/>
        <v>3.9092000000000002</v>
      </c>
      <c r="I361" s="189">
        <f t="shared" si="74"/>
        <v>7.8184000000000005</v>
      </c>
      <c r="J361" s="2339"/>
      <c r="L361" s="145">
        <f t="shared" si="84"/>
        <v>2</v>
      </c>
      <c r="M361" s="2325"/>
      <c r="N361" s="5">
        <f t="shared" si="85"/>
        <v>10.039999999999999</v>
      </c>
      <c r="O361" s="5">
        <f t="shared" si="81"/>
        <v>10.039999999999999</v>
      </c>
      <c r="P361" s="2339"/>
      <c r="R361" s="2392"/>
      <c r="S361" s="253">
        <f t="shared" si="75"/>
        <v>3.37</v>
      </c>
      <c r="T361" s="253">
        <f t="shared" si="76"/>
        <v>26.96</v>
      </c>
      <c r="U361" s="253">
        <f t="shared" si="77"/>
        <v>2.6960000000000002</v>
      </c>
      <c r="V361" s="2339"/>
    </row>
    <row r="362" spans="1:22">
      <c r="A362" s="2336"/>
      <c r="B362" s="2325"/>
      <c r="C362" s="189">
        <v>61</v>
      </c>
      <c r="D362" s="2325"/>
      <c r="E362" s="2321"/>
      <c r="F362" s="5">
        <v>3.63</v>
      </c>
      <c r="G362" s="189">
        <f t="shared" si="82"/>
        <v>12.632399999999999</v>
      </c>
      <c r="H362" s="5">
        <f t="shared" si="83"/>
        <v>4.210799999999999</v>
      </c>
      <c r="I362" s="189">
        <f t="shared" si="74"/>
        <v>8.4215999999999998</v>
      </c>
      <c r="J362" s="2339"/>
      <c r="L362" s="145">
        <f t="shared" si="84"/>
        <v>3</v>
      </c>
      <c r="M362" s="2325"/>
      <c r="N362" s="5">
        <f t="shared" si="85"/>
        <v>15.059999999999999</v>
      </c>
      <c r="O362" s="5">
        <f t="shared" si="81"/>
        <v>15.059999999999999</v>
      </c>
      <c r="P362" s="2339"/>
      <c r="R362" s="2392"/>
      <c r="S362" s="253">
        <f t="shared" si="75"/>
        <v>3.63</v>
      </c>
      <c r="T362" s="253">
        <f t="shared" si="76"/>
        <v>29.04</v>
      </c>
      <c r="U362" s="253">
        <f t="shared" si="77"/>
        <v>2.9039999999999999</v>
      </c>
      <c r="V362" s="2339"/>
    </row>
    <row r="363" spans="1:22">
      <c r="A363" s="2336"/>
      <c r="B363" s="2325"/>
      <c r="C363" s="189">
        <v>62</v>
      </c>
      <c r="D363" s="2325"/>
      <c r="E363" s="2321"/>
      <c r="F363" s="5">
        <v>3.71</v>
      </c>
      <c r="G363" s="189">
        <f t="shared" si="82"/>
        <v>12.9108</v>
      </c>
      <c r="H363" s="5">
        <f t="shared" si="83"/>
        <v>4.3035999999999994</v>
      </c>
      <c r="I363" s="189">
        <f t="shared" si="74"/>
        <v>8.6072000000000006</v>
      </c>
      <c r="J363" s="2339"/>
      <c r="L363" s="145">
        <f t="shared" si="84"/>
        <v>3</v>
      </c>
      <c r="M363" s="2325"/>
      <c r="N363" s="5">
        <f t="shared" si="85"/>
        <v>15.059999999999999</v>
      </c>
      <c r="O363" s="5">
        <f t="shared" si="81"/>
        <v>15.059999999999999</v>
      </c>
      <c r="P363" s="2339"/>
      <c r="R363" s="2392"/>
      <c r="S363" s="253">
        <f t="shared" si="75"/>
        <v>3.71</v>
      </c>
      <c r="T363" s="253">
        <f t="shared" si="76"/>
        <v>29.68</v>
      </c>
      <c r="U363" s="253">
        <f t="shared" si="77"/>
        <v>2.968</v>
      </c>
      <c r="V363" s="2339"/>
    </row>
    <row r="364" spans="1:22">
      <c r="A364" s="2336"/>
      <c r="B364" s="2325"/>
      <c r="C364" s="189">
        <v>63</v>
      </c>
      <c r="D364" s="2325"/>
      <c r="E364" s="2321"/>
      <c r="F364" s="5">
        <v>3.63</v>
      </c>
      <c r="G364" s="189">
        <f t="shared" si="82"/>
        <v>12.632399999999999</v>
      </c>
      <c r="H364" s="5">
        <f t="shared" si="83"/>
        <v>4.210799999999999</v>
      </c>
      <c r="I364" s="189">
        <f t="shared" si="74"/>
        <v>8.4215999999999998</v>
      </c>
      <c r="J364" s="2339"/>
      <c r="L364" s="145">
        <f t="shared" si="84"/>
        <v>3</v>
      </c>
      <c r="M364" s="2325"/>
      <c r="N364" s="5">
        <f t="shared" si="85"/>
        <v>15.059999999999999</v>
      </c>
      <c r="O364" s="5">
        <f t="shared" si="81"/>
        <v>15.059999999999999</v>
      </c>
      <c r="P364" s="2339"/>
      <c r="R364" s="2392"/>
      <c r="S364" s="253">
        <f t="shared" si="75"/>
        <v>3.63</v>
      </c>
      <c r="T364" s="253">
        <f t="shared" si="76"/>
        <v>29.04</v>
      </c>
      <c r="U364" s="253">
        <f t="shared" si="77"/>
        <v>2.9039999999999999</v>
      </c>
      <c r="V364" s="2339"/>
    </row>
    <row r="365" spans="1:22">
      <c r="A365" s="2336"/>
      <c r="B365" s="2325"/>
      <c r="C365" s="189">
        <v>64</v>
      </c>
      <c r="D365" s="2325"/>
      <c r="E365" s="2321"/>
      <c r="F365" s="5">
        <v>4.7699999999999996</v>
      </c>
      <c r="G365" s="189">
        <f t="shared" si="82"/>
        <v>16.599599999999999</v>
      </c>
      <c r="H365" s="5">
        <f t="shared" si="83"/>
        <v>5.533199999999999</v>
      </c>
      <c r="I365" s="189">
        <f t="shared" si="74"/>
        <v>11.0664</v>
      </c>
      <c r="J365" s="2339"/>
      <c r="L365" s="145">
        <f t="shared" si="84"/>
        <v>3</v>
      </c>
      <c r="M365" s="2325"/>
      <c r="N365" s="5">
        <f t="shared" si="85"/>
        <v>15.059999999999999</v>
      </c>
      <c r="O365" s="5">
        <f t="shared" si="81"/>
        <v>15.059999999999999</v>
      </c>
      <c r="P365" s="2339"/>
      <c r="R365" s="2392"/>
      <c r="S365" s="253">
        <f t="shared" si="75"/>
        <v>4.7699999999999996</v>
      </c>
      <c r="T365" s="253">
        <f t="shared" si="76"/>
        <v>38.159999999999997</v>
      </c>
      <c r="U365" s="253">
        <f t="shared" si="77"/>
        <v>3.8159999999999998</v>
      </c>
      <c r="V365" s="2339"/>
    </row>
    <row r="366" spans="1:22">
      <c r="A366" s="2336"/>
      <c r="B366" s="2325"/>
      <c r="C366" s="189">
        <v>65</v>
      </c>
      <c r="D366" s="2325"/>
      <c r="E366" s="2321"/>
      <c r="F366" s="5">
        <v>4.76</v>
      </c>
      <c r="G366" s="189">
        <f t="shared" si="82"/>
        <v>16.564799999999998</v>
      </c>
      <c r="H366" s="5">
        <f t="shared" si="83"/>
        <v>5.5215999999999994</v>
      </c>
      <c r="I366" s="189">
        <f t="shared" si="74"/>
        <v>11.043199999999999</v>
      </c>
      <c r="J366" s="2339"/>
      <c r="L366" s="145">
        <f t="shared" si="84"/>
        <v>3</v>
      </c>
      <c r="M366" s="2325"/>
      <c r="N366" s="5">
        <f t="shared" si="85"/>
        <v>15.059999999999999</v>
      </c>
      <c r="O366" s="5">
        <f t="shared" si="81"/>
        <v>15.059999999999999</v>
      </c>
      <c r="P366" s="2339"/>
      <c r="R366" s="2392"/>
      <c r="S366" s="253">
        <f t="shared" si="75"/>
        <v>4.76</v>
      </c>
      <c r="T366" s="253">
        <f t="shared" si="76"/>
        <v>38.08</v>
      </c>
      <c r="U366" s="253">
        <f t="shared" si="77"/>
        <v>3.8079999999999998</v>
      </c>
      <c r="V366" s="2339"/>
    </row>
    <row r="367" spans="1:22">
      <c r="A367" s="2336"/>
      <c r="B367" s="2325"/>
      <c r="C367" s="189">
        <v>66</v>
      </c>
      <c r="D367" s="2325"/>
      <c r="E367" s="2321"/>
      <c r="F367" s="5">
        <v>3.72</v>
      </c>
      <c r="G367" s="189">
        <f t="shared" si="82"/>
        <v>12.945600000000001</v>
      </c>
      <c r="H367" s="5">
        <f t="shared" si="83"/>
        <v>4.3151999999999999</v>
      </c>
      <c r="I367" s="189">
        <f t="shared" ref="I367:I386" si="86">G367-H367</f>
        <v>8.6304000000000016</v>
      </c>
      <c r="J367" s="2339"/>
      <c r="L367" s="145">
        <f t="shared" si="84"/>
        <v>3</v>
      </c>
      <c r="M367" s="2325"/>
      <c r="N367" s="5">
        <f t="shared" si="85"/>
        <v>15.059999999999999</v>
      </c>
      <c r="O367" s="5">
        <f t="shared" si="81"/>
        <v>15.059999999999999</v>
      </c>
      <c r="P367" s="2339"/>
      <c r="R367" s="2392"/>
      <c r="S367" s="253">
        <f t="shared" ref="S367:S386" si="87">F367</f>
        <v>3.72</v>
      </c>
      <c r="T367" s="253">
        <f t="shared" ref="T367:T386" si="88">$R$302*S367</f>
        <v>29.76</v>
      </c>
      <c r="U367" s="253">
        <f t="shared" ref="U367:U386" si="89">T367*0.1</f>
        <v>2.9760000000000004</v>
      </c>
      <c r="V367" s="2339"/>
    </row>
    <row r="368" spans="1:22">
      <c r="A368" s="2336"/>
      <c r="B368" s="2325" t="s">
        <v>550</v>
      </c>
      <c r="C368" s="189">
        <v>67</v>
      </c>
      <c r="D368" s="1918">
        <v>0.12</v>
      </c>
      <c r="E368" s="2321"/>
      <c r="F368" s="5">
        <v>5.35</v>
      </c>
      <c r="G368" s="189">
        <f t="shared" si="82"/>
        <v>18.617999999999999</v>
      </c>
      <c r="H368" s="5"/>
      <c r="I368" s="189">
        <f t="shared" si="86"/>
        <v>18.617999999999999</v>
      </c>
      <c r="J368" s="2339"/>
      <c r="L368" s="145">
        <f t="shared" si="84"/>
        <v>3</v>
      </c>
      <c r="M368" s="2325"/>
      <c r="N368" s="5">
        <f t="shared" si="85"/>
        <v>15.059999999999999</v>
      </c>
      <c r="O368" s="5">
        <f t="shared" si="81"/>
        <v>15.059999999999999</v>
      </c>
      <c r="P368" s="2339"/>
      <c r="R368" s="2392"/>
      <c r="S368" s="253">
        <f t="shared" si="87"/>
        <v>5.35</v>
      </c>
      <c r="T368" s="253">
        <f t="shared" si="88"/>
        <v>42.8</v>
      </c>
      <c r="U368" s="253">
        <f t="shared" si="89"/>
        <v>4.28</v>
      </c>
      <c r="V368" s="2339"/>
    </row>
    <row r="369" spans="1:22">
      <c r="A369" s="2336"/>
      <c r="B369" s="2325"/>
      <c r="C369" s="189">
        <v>68</v>
      </c>
      <c r="D369" s="1918"/>
      <c r="E369" s="2321"/>
      <c r="F369" s="5">
        <v>4.82</v>
      </c>
      <c r="G369" s="189">
        <f t="shared" si="82"/>
        <v>16.773600000000002</v>
      </c>
      <c r="H369" s="5"/>
      <c r="I369" s="189">
        <f t="shared" si="86"/>
        <v>16.773600000000002</v>
      </c>
      <c r="J369" s="2339"/>
      <c r="L369" s="145">
        <f t="shared" si="84"/>
        <v>3</v>
      </c>
      <c r="M369" s="2325"/>
      <c r="N369" s="5">
        <f t="shared" si="85"/>
        <v>15.059999999999999</v>
      </c>
      <c r="O369" s="5">
        <f t="shared" si="81"/>
        <v>15.059999999999999</v>
      </c>
      <c r="P369" s="2339"/>
      <c r="R369" s="2392"/>
      <c r="S369" s="253">
        <f t="shared" si="87"/>
        <v>4.82</v>
      </c>
      <c r="T369" s="253">
        <f t="shared" si="88"/>
        <v>38.56</v>
      </c>
      <c r="U369" s="253">
        <f t="shared" si="89"/>
        <v>3.8560000000000003</v>
      </c>
      <c r="V369" s="2339"/>
    </row>
    <row r="370" spans="1:22">
      <c r="A370" s="2336"/>
      <c r="B370" s="2325"/>
      <c r="C370" s="189">
        <v>69</v>
      </c>
      <c r="D370" s="1918"/>
      <c r="E370" s="2321"/>
      <c r="F370" s="5">
        <v>2.0099999999999998</v>
      </c>
      <c r="G370" s="189">
        <f t="shared" si="82"/>
        <v>6.9947999999999988</v>
      </c>
      <c r="H370" s="5"/>
      <c r="I370" s="189">
        <f t="shared" si="86"/>
        <v>6.9947999999999988</v>
      </c>
      <c r="J370" s="2339"/>
      <c r="L370" s="145">
        <f t="shared" si="84"/>
        <v>2</v>
      </c>
      <c r="M370" s="2325"/>
      <c r="N370" s="5">
        <f t="shared" si="85"/>
        <v>10.039999999999999</v>
      </c>
      <c r="O370" s="5">
        <f t="shared" si="81"/>
        <v>10.039999999999999</v>
      </c>
      <c r="P370" s="2339"/>
      <c r="R370" s="2392"/>
      <c r="S370" s="253">
        <f t="shared" si="87"/>
        <v>2.0099999999999998</v>
      </c>
      <c r="T370" s="253">
        <f t="shared" si="88"/>
        <v>16.079999999999998</v>
      </c>
      <c r="U370" s="253">
        <f t="shared" si="89"/>
        <v>1.6079999999999999</v>
      </c>
      <c r="V370" s="2339"/>
    </row>
    <row r="371" spans="1:22">
      <c r="A371" s="2336"/>
      <c r="B371" s="2325"/>
      <c r="C371" s="189">
        <v>70</v>
      </c>
      <c r="D371" s="1918"/>
      <c r="E371" s="2321"/>
      <c r="F371" s="5">
        <v>4.24</v>
      </c>
      <c r="G371" s="189">
        <f t="shared" si="82"/>
        <v>14.7552</v>
      </c>
      <c r="H371" s="5"/>
      <c r="I371" s="189">
        <f t="shared" si="86"/>
        <v>14.7552</v>
      </c>
      <c r="J371" s="2339"/>
      <c r="L371" s="145">
        <f t="shared" si="84"/>
        <v>3</v>
      </c>
      <c r="M371" s="2325"/>
      <c r="N371" s="5">
        <f t="shared" si="85"/>
        <v>15.059999999999999</v>
      </c>
      <c r="O371" s="5">
        <f t="shared" si="81"/>
        <v>15.059999999999999</v>
      </c>
      <c r="P371" s="2339"/>
      <c r="R371" s="2392"/>
      <c r="S371" s="253">
        <f t="shared" si="87"/>
        <v>4.24</v>
      </c>
      <c r="T371" s="253">
        <f t="shared" si="88"/>
        <v>33.92</v>
      </c>
      <c r="U371" s="253">
        <f t="shared" si="89"/>
        <v>3.3920000000000003</v>
      </c>
      <c r="V371" s="2339"/>
    </row>
    <row r="372" spans="1:22">
      <c r="A372" s="2336"/>
      <c r="B372" s="2325"/>
      <c r="C372" s="189">
        <v>71</v>
      </c>
      <c r="D372" s="1918"/>
      <c r="E372" s="2321"/>
      <c r="F372" s="5">
        <v>5.2</v>
      </c>
      <c r="G372" s="189">
        <f t="shared" si="82"/>
        <v>18.096</v>
      </c>
      <c r="H372" s="5"/>
      <c r="I372" s="189">
        <f t="shared" si="86"/>
        <v>18.096</v>
      </c>
      <c r="J372" s="2339"/>
      <c r="L372" s="145">
        <f t="shared" si="84"/>
        <v>3</v>
      </c>
      <c r="M372" s="2325"/>
      <c r="N372" s="5">
        <f t="shared" si="85"/>
        <v>15.059999999999999</v>
      </c>
      <c r="O372" s="5">
        <f t="shared" si="81"/>
        <v>15.059999999999999</v>
      </c>
      <c r="P372" s="2339"/>
      <c r="R372" s="2392"/>
      <c r="S372" s="253">
        <f t="shared" si="87"/>
        <v>5.2</v>
      </c>
      <c r="T372" s="253">
        <f t="shared" si="88"/>
        <v>41.6</v>
      </c>
      <c r="U372" s="253">
        <f t="shared" si="89"/>
        <v>4.16</v>
      </c>
      <c r="V372" s="2339"/>
    </row>
    <row r="373" spans="1:22">
      <c r="A373" s="2336"/>
      <c r="B373" s="2325"/>
      <c r="C373" s="189">
        <v>72</v>
      </c>
      <c r="D373" s="1918"/>
      <c r="E373" s="2321"/>
      <c r="F373" s="5">
        <v>1.17</v>
      </c>
      <c r="G373" s="189">
        <f t="shared" si="82"/>
        <v>4.0716000000000001</v>
      </c>
      <c r="H373" s="5"/>
      <c r="I373" s="189">
        <f t="shared" si="86"/>
        <v>4.0716000000000001</v>
      </c>
      <c r="J373" s="2339"/>
      <c r="L373" s="145">
        <f t="shared" si="84"/>
        <v>1</v>
      </c>
      <c r="M373" s="2325"/>
      <c r="N373" s="5">
        <f t="shared" si="85"/>
        <v>5.0199999999999996</v>
      </c>
      <c r="O373" s="5">
        <f t="shared" si="81"/>
        <v>5.0199999999999996</v>
      </c>
      <c r="P373" s="2339"/>
      <c r="R373" s="2392"/>
      <c r="S373" s="253">
        <f t="shared" si="87"/>
        <v>1.17</v>
      </c>
      <c r="T373" s="253">
        <f t="shared" si="88"/>
        <v>9.36</v>
      </c>
      <c r="U373" s="253">
        <f t="shared" si="89"/>
        <v>0.93599999999999994</v>
      </c>
      <c r="V373" s="2339"/>
    </row>
    <row r="374" spans="1:22">
      <c r="A374" s="2336"/>
      <c r="B374" s="2325"/>
      <c r="C374" s="189">
        <v>73</v>
      </c>
      <c r="D374" s="1918"/>
      <c r="E374" s="2321"/>
      <c r="F374" s="5">
        <v>3.32</v>
      </c>
      <c r="G374" s="189">
        <f t="shared" si="82"/>
        <v>11.553599999999999</v>
      </c>
      <c r="H374" s="5"/>
      <c r="I374" s="189">
        <f t="shared" si="86"/>
        <v>11.553599999999999</v>
      </c>
      <c r="J374" s="2339"/>
      <c r="L374" s="145">
        <f t="shared" si="84"/>
        <v>2</v>
      </c>
      <c r="M374" s="2325"/>
      <c r="N374" s="5">
        <f t="shared" si="85"/>
        <v>10.039999999999999</v>
      </c>
      <c r="O374" s="5">
        <f t="shared" si="81"/>
        <v>10.039999999999999</v>
      </c>
      <c r="P374" s="2339"/>
      <c r="R374" s="2392"/>
      <c r="S374" s="253">
        <f t="shared" si="87"/>
        <v>3.32</v>
      </c>
      <c r="T374" s="253">
        <f t="shared" si="88"/>
        <v>26.56</v>
      </c>
      <c r="U374" s="253">
        <f t="shared" si="89"/>
        <v>2.6560000000000001</v>
      </c>
      <c r="V374" s="2339"/>
    </row>
    <row r="375" spans="1:22">
      <c r="A375" s="2336"/>
      <c r="B375" s="2325"/>
      <c r="C375" s="189">
        <v>74</v>
      </c>
      <c r="D375" s="1918"/>
      <c r="E375" s="2321"/>
      <c r="F375" s="5">
        <v>4.45</v>
      </c>
      <c r="G375" s="189">
        <f t="shared" si="82"/>
        <v>15.486000000000001</v>
      </c>
      <c r="H375" s="5"/>
      <c r="I375" s="189">
        <f t="shared" si="86"/>
        <v>15.486000000000001</v>
      </c>
      <c r="J375" s="2339"/>
      <c r="L375" s="145">
        <f t="shared" si="84"/>
        <v>3</v>
      </c>
      <c r="M375" s="2325"/>
      <c r="N375" s="5">
        <f t="shared" si="85"/>
        <v>15.059999999999999</v>
      </c>
      <c r="O375" s="5">
        <f t="shared" si="81"/>
        <v>15.059999999999999</v>
      </c>
      <c r="P375" s="2339"/>
      <c r="R375" s="2392"/>
      <c r="S375" s="253">
        <f t="shared" si="87"/>
        <v>4.45</v>
      </c>
      <c r="T375" s="253">
        <f t="shared" si="88"/>
        <v>35.6</v>
      </c>
      <c r="U375" s="253">
        <f t="shared" si="89"/>
        <v>3.5600000000000005</v>
      </c>
      <c r="V375" s="2339"/>
    </row>
    <row r="376" spans="1:22">
      <c r="A376" s="2336"/>
      <c r="B376" s="2325"/>
      <c r="C376" s="189">
        <v>75</v>
      </c>
      <c r="D376" s="1918"/>
      <c r="E376" s="2321"/>
      <c r="F376" s="5">
        <v>1.52</v>
      </c>
      <c r="G376" s="189">
        <f t="shared" si="82"/>
        <v>5.2896000000000001</v>
      </c>
      <c r="H376" s="5"/>
      <c r="I376" s="189">
        <f t="shared" si="86"/>
        <v>5.2896000000000001</v>
      </c>
      <c r="J376" s="2339"/>
      <c r="L376" s="145">
        <f t="shared" si="84"/>
        <v>1</v>
      </c>
      <c r="M376" s="2325"/>
      <c r="N376" s="5">
        <f t="shared" si="85"/>
        <v>5.0199999999999996</v>
      </c>
      <c r="O376" s="5">
        <f t="shared" si="81"/>
        <v>5.0199999999999996</v>
      </c>
      <c r="P376" s="2339"/>
      <c r="R376" s="2392"/>
      <c r="S376" s="253">
        <f t="shared" si="87"/>
        <v>1.52</v>
      </c>
      <c r="T376" s="253">
        <f t="shared" si="88"/>
        <v>12.16</v>
      </c>
      <c r="U376" s="253">
        <f t="shared" si="89"/>
        <v>1.2160000000000002</v>
      </c>
      <c r="V376" s="2339"/>
    </row>
    <row r="377" spans="1:22">
      <c r="A377" s="2336"/>
      <c r="B377" s="2325"/>
      <c r="C377" s="189">
        <v>76</v>
      </c>
      <c r="D377" s="1918"/>
      <c r="E377" s="2321"/>
      <c r="F377" s="5">
        <v>1</v>
      </c>
      <c r="G377" s="189">
        <f t="shared" si="82"/>
        <v>3.48</v>
      </c>
      <c r="H377" s="5"/>
      <c r="I377" s="189">
        <f t="shared" si="86"/>
        <v>3.48</v>
      </c>
      <c r="J377" s="2339"/>
      <c r="L377" s="145">
        <f t="shared" si="84"/>
        <v>1</v>
      </c>
      <c r="M377" s="2325"/>
      <c r="N377" s="5">
        <f t="shared" si="85"/>
        <v>5.0199999999999996</v>
      </c>
      <c r="O377" s="5">
        <f t="shared" si="81"/>
        <v>5.0199999999999996</v>
      </c>
      <c r="P377" s="2339"/>
      <c r="R377" s="2392"/>
      <c r="S377" s="253">
        <f t="shared" si="87"/>
        <v>1</v>
      </c>
      <c r="T377" s="253">
        <f t="shared" si="88"/>
        <v>8</v>
      </c>
      <c r="U377" s="253">
        <f t="shared" si="89"/>
        <v>0.8</v>
      </c>
      <c r="V377" s="2339"/>
    </row>
    <row r="378" spans="1:22">
      <c r="A378" s="2336"/>
      <c r="B378" s="2325"/>
      <c r="C378" s="189">
        <v>77</v>
      </c>
      <c r="D378" s="1918"/>
      <c r="E378" s="2321"/>
      <c r="F378" s="5">
        <v>9.92</v>
      </c>
      <c r="G378" s="189">
        <f t="shared" si="82"/>
        <v>34.521599999999999</v>
      </c>
      <c r="H378" s="5"/>
      <c r="I378" s="189">
        <f t="shared" si="86"/>
        <v>34.521599999999999</v>
      </c>
      <c r="J378" s="2339"/>
      <c r="L378" s="145">
        <f t="shared" si="84"/>
        <v>6</v>
      </c>
      <c r="M378" s="2325"/>
      <c r="N378" s="5">
        <f t="shared" si="85"/>
        <v>30.119999999999997</v>
      </c>
      <c r="O378" s="5">
        <f t="shared" si="81"/>
        <v>30.119999999999997</v>
      </c>
      <c r="P378" s="2339"/>
      <c r="R378" s="2392"/>
      <c r="S378" s="253">
        <f t="shared" si="87"/>
        <v>9.92</v>
      </c>
      <c r="T378" s="253">
        <f t="shared" si="88"/>
        <v>79.36</v>
      </c>
      <c r="U378" s="253">
        <f t="shared" si="89"/>
        <v>7.9359999999999999</v>
      </c>
      <c r="V378" s="2339"/>
    </row>
    <row r="379" spans="1:22">
      <c r="A379" s="2336"/>
      <c r="B379" s="2325"/>
      <c r="C379" s="189">
        <v>78</v>
      </c>
      <c r="D379" s="1918"/>
      <c r="E379" s="2321"/>
      <c r="F379" s="5">
        <v>5.46</v>
      </c>
      <c r="G379" s="189">
        <f t="shared" si="82"/>
        <v>19.000799999999998</v>
      </c>
      <c r="H379" s="5"/>
      <c r="I379" s="189">
        <f t="shared" si="86"/>
        <v>19.000799999999998</v>
      </c>
      <c r="J379" s="2339"/>
      <c r="L379" s="145">
        <f t="shared" si="84"/>
        <v>4</v>
      </c>
      <c r="M379" s="2325"/>
      <c r="N379" s="5">
        <f t="shared" si="85"/>
        <v>20.079999999999998</v>
      </c>
      <c r="O379" s="5">
        <f t="shared" si="81"/>
        <v>20.079999999999998</v>
      </c>
      <c r="P379" s="2339"/>
      <c r="R379" s="2392"/>
      <c r="S379" s="253">
        <f t="shared" si="87"/>
        <v>5.46</v>
      </c>
      <c r="T379" s="253">
        <f t="shared" si="88"/>
        <v>43.68</v>
      </c>
      <c r="U379" s="253">
        <f t="shared" si="89"/>
        <v>4.3680000000000003</v>
      </c>
      <c r="V379" s="2339"/>
    </row>
    <row r="380" spans="1:22">
      <c r="A380" s="2336"/>
      <c r="B380" s="2325"/>
      <c r="C380" s="189">
        <v>79</v>
      </c>
      <c r="D380" s="1918"/>
      <c r="E380" s="2321"/>
      <c r="F380" s="5">
        <v>2.06</v>
      </c>
      <c r="G380" s="189">
        <f t="shared" si="82"/>
        <v>7.1688000000000001</v>
      </c>
      <c r="H380" s="5"/>
      <c r="I380" s="189">
        <f t="shared" si="86"/>
        <v>7.1688000000000001</v>
      </c>
      <c r="J380" s="2339"/>
      <c r="L380" s="145">
        <f t="shared" si="84"/>
        <v>2</v>
      </c>
      <c r="M380" s="2325"/>
      <c r="N380" s="5">
        <f t="shared" si="85"/>
        <v>10.039999999999999</v>
      </c>
      <c r="O380" s="5">
        <f t="shared" si="81"/>
        <v>10.039999999999999</v>
      </c>
      <c r="P380" s="2339"/>
      <c r="R380" s="2392"/>
      <c r="S380" s="253">
        <f t="shared" si="87"/>
        <v>2.06</v>
      </c>
      <c r="T380" s="253">
        <f t="shared" si="88"/>
        <v>16.48</v>
      </c>
      <c r="U380" s="253">
        <f t="shared" si="89"/>
        <v>1.6480000000000001</v>
      </c>
      <c r="V380" s="2339"/>
    </row>
    <row r="381" spans="1:22">
      <c r="A381" s="2336"/>
      <c r="B381" s="2325"/>
      <c r="C381" s="189">
        <v>80</v>
      </c>
      <c r="D381" s="1918"/>
      <c r="E381" s="2321"/>
      <c r="F381" s="5">
        <v>6.12</v>
      </c>
      <c r="G381" s="189">
        <f t="shared" si="82"/>
        <v>21.297599999999999</v>
      </c>
      <c r="H381" s="5"/>
      <c r="I381" s="189">
        <f t="shared" si="86"/>
        <v>21.297599999999999</v>
      </c>
      <c r="J381" s="2339"/>
      <c r="L381" s="145">
        <f t="shared" si="84"/>
        <v>4</v>
      </c>
      <c r="M381" s="2325"/>
      <c r="N381" s="5">
        <f t="shared" si="85"/>
        <v>20.079999999999998</v>
      </c>
      <c r="O381" s="5">
        <f t="shared" si="81"/>
        <v>20.079999999999998</v>
      </c>
      <c r="P381" s="2339"/>
      <c r="R381" s="2392"/>
      <c r="S381" s="253">
        <f t="shared" si="87"/>
        <v>6.12</v>
      </c>
      <c r="T381" s="253">
        <f t="shared" si="88"/>
        <v>48.96</v>
      </c>
      <c r="U381" s="253">
        <f t="shared" si="89"/>
        <v>4.8960000000000008</v>
      </c>
      <c r="V381" s="2339"/>
    </row>
    <row r="382" spans="1:22">
      <c r="A382" s="2336"/>
      <c r="B382" s="2325"/>
      <c r="C382" s="189">
        <v>81</v>
      </c>
      <c r="D382" s="1918"/>
      <c r="E382" s="2321"/>
      <c r="F382" s="5">
        <v>2.0499999999999998</v>
      </c>
      <c r="G382" s="189">
        <f t="shared" si="82"/>
        <v>7.1339999999999995</v>
      </c>
      <c r="H382" s="5"/>
      <c r="I382" s="189">
        <f t="shared" si="86"/>
        <v>7.1339999999999995</v>
      </c>
      <c r="J382" s="2339"/>
      <c r="L382" s="145">
        <f t="shared" si="84"/>
        <v>2</v>
      </c>
      <c r="M382" s="2325"/>
      <c r="N382" s="5">
        <f t="shared" si="85"/>
        <v>10.039999999999999</v>
      </c>
      <c r="O382" s="5">
        <f t="shared" si="81"/>
        <v>10.039999999999999</v>
      </c>
      <c r="P382" s="2339"/>
      <c r="R382" s="2392"/>
      <c r="S382" s="253">
        <f t="shared" si="87"/>
        <v>2.0499999999999998</v>
      </c>
      <c r="T382" s="253">
        <f t="shared" si="88"/>
        <v>16.399999999999999</v>
      </c>
      <c r="U382" s="253">
        <f t="shared" si="89"/>
        <v>1.64</v>
      </c>
      <c r="V382" s="2339"/>
    </row>
    <row r="383" spans="1:22">
      <c r="A383" s="2336"/>
      <c r="B383" s="2325"/>
      <c r="C383" s="189">
        <v>82</v>
      </c>
      <c r="D383" s="1918"/>
      <c r="E383" s="2321"/>
      <c r="F383" s="5">
        <v>6.22</v>
      </c>
      <c r="G383" s="189">
        <f t="shared" si="82"/>
        <v>21.645599999999998</v>
      </c>
      <c r="H383" s="5"/>
      <c r="I383" s="189">
        <f t="shared" si="86"/>
        <v>21.645599999999998</v>
      </c>
      <c r="J383" s="2339"/>
      <c r="L383" s="145">
        <f t="shared" si="84"/>
        <v>4</v>
      </c>
      <c r="M383" s="2325"/>
      <c r="N383" s="5">
        <f t="shared" si="85"/>
        <v>20.079999999999998</v>
      </c>
      <c r="O383" s="5">
        <f t="shared" si="81"/>
        <v>20.079999999999998</v>
      </c>
      <c r="P383" s="2339"/>
      <c r="R383" s="2392"/>
      <c r="S383" s="253">
        <f t="shared" si="87"/>
        <v>6.22</v>
      </c>
      <c r="T383" s="253">
        <f t="shared" si="88"/>
        <v>49.76</v>
      </c>
      <c r="U383" s="253">
        <f t="shared" si="89"/>
        <v>4.976</v>
      </c>
      <c r="V383" s="2339"/>
    </row>
    <row r="384" spans="1:22">
      <c r="A384" s="2336"/>
      <c r="B384" s="2325"/>
      <c r="C384" s="189">
        <v>83</v>
      </c>
      <c r="D384" s="1918"/>
      <c r="E384" s="2321"/>
      <c r="F384" s="5">
        <v>5.48</v>
      </c>
      <c r="G384" s="189">
        <f t="shared" si="82"/>
        <v>19.070400000000003</v>
      </c>
      <c r="H384" s="5"/>
      <c r="I384" s="189">
        <f t="shared" si="86"/>
        <v>19.070400000000003</v>
      </c>
      <c r="J384" s="2339"/>
      <c r="L384" s="145">
        <f t="shared" si="84"/>
        <v>4</v>
      </c>
      <c r="M384" s="2325"/>
      <c r="N384" s="5">
        <f t="shared" si="85"/>
        <v>20.079999999999998</v>
      </c>
      <c r="O384" s="5">
        <f t="shared" si="81"/>
        <v>20.079999999999998</v>
      </c>
      <c r="P384" s="2339"/>
      <c r="R384" s="2392"/>
      <c r="S384" s="253">
        <f t="shared" si="87"/>
        <v>5.48</v>
      </c>
      <c r="T384" s="253">
        <f t="shared" si="88"/>
        <v>43.84</v>
      </c>
      <c r="U384" s="253">
        <f t="shared" si="89"/>
        <v>4.3840000000000003</v>
      </c>
      <c r="V384" s="2339"/>
    </row>
    <row r="385" spans="1:22">
      <c r="A385" s="2336"/>
      <c r="B385" s="2325"/>
      <c r="C385" s="189">
        <v>84</v>
      </c>
      <c r="D385" s="1918"/>
      <c r="E385" s="2321"/>
      <c r="F385" s="5">
        <v>2.31</v>
      </c>
      <c r="G385" s="189">
        <f t="shared" si="82"/>
        <v>8.0388000000000002</v>
      </c>
      <c r="H385" s="5"/>
      <c r="I385" s="189">
        <f t="shared" si="86"/>
        <v>8.0388000000000002</v>
      </c>
      <c r="J385" s="2339"/>
      <c r="L385" s="145">
        <f t="shared" si="84"/>
        <v>2</v>
      </c>
      <c r="M385" s="2325"/>
      <c r="N385" s="5">
        <f t="shared" si="85"/>
        <v>10.039999999999999</v>
      </c>
      <c r="O385" s="5">
        <f t="shared" si="81"/>
        <v>10.039999999999999</v>
      </c>
      <c r="P385" s="2339"/>
      <c r="R385" s="2392"/>
      <c r="S385" s="253">
        <f t="shared" si="87"/>
        <v>2.31</v>
      </c>
      <c r="T385" s="253">
        <f t="shared" si="88"/>
        <v>18.48</v>
      </c>
      <c r="U385" s="253">
        <f t="shared" si="89"/>
        <v>1.8480000000000001</v>
      </c>
      <c r="V385" s="2339"/>
    </row>
    <row r="386" spans="1:22" ht="13.5" thickBot="1">
      <c r="A386" s="2337"/>
      <c r="B386" s="2326"/>
      <c r="C386" s="399">
        <v>85</v>
      </c>
      <c r="D386" s="2341"/>
      <c r="E386" s="2324"/>
      <c r="F386" s="167">
        <v>1.95</v>
      </c>
      <c r="G386" s="399">
        <f t="shared" si="82"/>
        <v>6.7859999999999996</v>
      </c>
      <c r="H386" s="167"/>
      <c r="I386" s="399">
        <f t="shared" si="86"/>
        <v>6.7859999999999996</v>
      </c>
      <c r="J386" s="2340"/>
      <c r="L386" s="402">
        <f t="shared" si="84"/>
        <v>2</v>
      </c>
      <c r="M386" s="2323"/>
      <c r="N386" s="230">
        <f t="shared" si="85"/>
        <v>10.039999999999999</v>
      </c>
      <c r="O386" s="230">
        <f t="shared" si="81"/>
        <v>10.039999999999999</v>
      </c>
      <c r="P386" s="2375"/>
      <c r="R386" s="2393"/>
      <c r="S386" s="253">
        <f t="shared" si="87"/>
        <v>1.95</v>
      </c>
      <c r="T386" s="253">
        <f t="shared" si="88"/>
        <v>15.6</v>
      </c>
      <c r="U386" s="253">
        <f t="shared" si="89"/>
        <v>1.56</v>
      </c>
      <c r="V386" s="2375"/>
    </row>
    <row r="387" spans="1:22" ht="13.5" thickBot="1">
      <c r="A387" s="2307" t="s">
        <v>551</v>
      </c>
      <c r="B387" s="2308"/>
      <c r="C387" s="2308"/>
      <c r="D387" s="2308"/>
      <c r="E387" s="2308"/>
      <c r="F387" s="2308"/>
      <c r="G387" s="2308"/>
      <c r="H387" s="2309"/>
      <c r="I387" s="392">
        <f>SUM(I302:I367)</f>
        <v>723.32489999999996</v>
      </c>
      <c r="J387" s="2305" t="s">
        <v>55</v>
      </c>
      <c r="L387" s="2366" t="s">
        <v>560</v>
      </c>
      <c r="M387" s="2367"/>
      <c r="N387" s="2367"/>
      <c r="O387" s="2370">
        <f>SUM(O302:O386)</f>
        <v>1286.8199999999981</v>
      </c>
      <c r="P387" s="2376" t="s">
        <v>39</v>
      </c>
      <c r="R387" s="2366" t="s">
        <v>560</v>
      </c>
      <c r="S387" s="2367"/>
      <c r="T387" s="2367"/>
      <c r="U387" s="2370">
        <f>SUM(U302:U386)</f>
        <v>274.00800000000004</v>
      </c>
      <c r="V387" s="2376" t="s">
        <v>39</v>
      </c>
    </row>
    <row r="388" spans="1:22" ht="13.5" thickBot="1">
      <c r="A388" s="2307" t="s">
        <v>552</v>
      </c>
      <c r="B388" s="2308"/>
      <c r="C388" s="2308"/>
      <c r="D388" s="2308"/>
      <c r="E388" s="2308"/>
      <c r="F388" s="2308"/>
      <c r="G388" s="2308"/>
      <c r="H388" s="2309"/>
      <c r="I388" s="392">
        <f>SUM(I368:I386)</f>
        <v>259.78199999999998</v>
      </c>
      <c r="J388" s="2306"/>
      <c r="L388" s="2368"/>
      <c r="M388" s="2369"/>
      <c r="N388" s="2369"/>
      <c r="O388" s="2371"/>
      <c r="P388" s="2377"/>
      <c r="R388" s="2368"/>
      <c r="S388" s="2369"/>
      <c r="T388" s="2369"/>
      <c r="U388" s="2371"/>
      <c r="V388" s="2377"/>
    </row>
    <row r="389" spans="1:22">
      <c r="A389" s="2335">
        <v>7</v>
      </c>
      <c r="B389" s="2334" t="s">
        <v>549</v>
      </c>
      <c r="C389" s="398">
        <v>1</v>
      </c>
      <c r="D389" s="2334">
        <v>0.15</v>
      </c>
      <c r="E389" s="385">
        <v>3</v>
      </c>
      <c r="F389" s="398">
        <v>11.13</v>
      </c>
      <c r="G389" s="398">
        <f>$E$389*F389</f>
        <v>33.39</v>
      </c>
      <c r="H389" s="165"/>
      <c r="I389" s="398">
        <f>G389-H389</f>
        <v>33.39</v>
      </c>
      <c r="J389" s="2338" t="s">
        <v>55</v>
      </c>
      <c r="L389" s="154">
        <f>TRUNC((F389/1.2))+1</f>
        <v>10</v>
      </c>
      <c r="M389" s="253">
        <f>($E$389)+(0.12+0.56+0.9)</f>
        <v>4.58</v>
      </c>
      <c r="N389" s="253">
        <f>$M$389*L389</f>
        <v>45.8</v>
      </c>
      <c r="O389" s="253">
        <f t="shared" si="81"/>
        <v>45.8</v>
      </c>
      <c r="P389" s="2374" t="s">
        <v>39</v>
      </c>
      <c r="R389" s="2391">
        <v>8</v>
      </c>
      <c r="S389" s="253">
        <f>F389</f>
        <v>11.13</v>
      </c>
      <c r="T389" s="253">
        <f>$R$389*S389</f>
        <v>89.04</v>
      </c>
      <c r="U389" s="253">
        <f>T389*0.1</f>
        <v>8.9040000000000017</v>
      </c>
      <c r="V389" s="2374" t="s">
        <v>39</v>
      </c>
    </row>
    <row r="390" spans="1:22">
      <c r="A390" s="2336"/>
      <c r="B390" s="2325"/>
      <c r="C390" s="189">
        <v>2</v>
      </c>
      <c r="D390" s="2325"/>
      <c r="E390" s="2323">
        <v>3.48</v>
      </c>
      <c r="F390" s="189">
        <v>1.62</v>
      </c>
      <c r="G390" s="394">
        <f>$E$390*F390</f>
        <v>5.6375999999999999</v>
      </c>
      <c r="H390" s="5"/>
      <c r="I390" s="189">
        <f t="shared" ref="I390:I453" si="90">G390-H390</f>
        <v>5.6375999999999999</v>
      </c>
      <c r="J390" s="2339"/>
      <c r="L390" s="145">
        <f>TRUNC((F390/1.8))+1</f>
        <v>1</v>
      </c>
      <c r="M390" s="1918">
        <f>($E$390)+(0.66+0.88)</f>
        <v>5.0199999999999996</v>
      </c>
      <c r="N390" s="5">
        <f>$M$390*L390</f>
        <v>5.0199999999999996</v>
      </c>
      <c r="O390" s="5">
        <f t="shared" si="81"/>
        <v>5.0199999999999996</v>
      </c>
      <c r="P390" s="2339"/>
      <c r="R390" s="2392"/>
      <c r="S390" s="253">
        <f t="shared" ref="S390:S453" si="91">F390</f>
        <v>1.62</v>
      </c>
      <c r="T390" s="253">
        <f t="shared" ref="T390:T453" si="92">$R$389*S390</f>
        <v>12.96</v>
      </c>
      <c r="U390" s="253">
        <f t="shared" ref="U390:U453" si="93">T390*0.1</f>
        <v>1.2960000000000003</v>
      </c>
      <c r="V390" s="2339"/>
    </row>
    <row r="391" spans="1:22">
      <c r="A391" s="2336"/>
      <c r="B391" s="2325"/>
      <c r="C391" s="189">
        <v>3</v>
      </c>
      <c r="D391" s="2325"/>
      <c r="E391" s="2321"/>
      <c r="F391" s="189">
        <v>0.6</v>
      </c>
      <c r="G391" s="394">
        <f t="shared" ref="G391:G430" si="94">$E$390*F391</f>
        <v>2.0880000000000001</v>
      </c>
      <c r="H391" s="5"/>
      <c r="I391" s="189">
        <f t="shared" si="90"/>
        <v>2.0880000000000001</v>
      </c>
      <c r="J391" s="2339"/>
      <c r="L391" s="145">
        <f t="shared" ref="L391:L430" si="95">TRUNC((F391/1.8))+1</f>
        <v>1</v>
      </c>
      <c r="M391" s="1918"/>
      <c r="N391" s="5">
        <f t="shared" ref="N391:N430" si="96">$M$390*L391</f>
        <v>5.0199999999999996</v>
      </c>
      <c r="O391" s="5">
        <f t="shared" si="81"/>
        <v>5.0199999999999996</v>
      </c>
      <c r="P391" s="2339"/>
      <c r="R391" s="2392"/>
      <c r="S391" s="253">
        <f t="shared" si="91"/>
        <v>0.6</v>
      </c>
      <c r="T391" s="253">
        <f t="shared" si="92"/>
        <v>4.8</v>
      </c>
      <c r="U391" s="253">
        <f t="shared" si="93"/>
        <v>0.48</v>
      </c>
      <c r="V391" s="2339"/>
    </row>
    <row r="392" spans="1:22">
      <c r="A392" s="2336"/>
      <c r="B392" s="2325"/>
      <c r="C392" s="189">
        <v>4</v>
      </c>
      <c r="D392" s="2325"/>
      <c r="E392" s="2321"/>
      <c r="F392" s="189">
        <v>1.95</v>
      </c>
      <c r="G392" s="394">
        <f t="shared" si="94"/>
        <v>6.7859999999999996</v>
      </c>
      <c r="H392" s="5"/>
      <c r="I392" s="189">
        <f t="shared" si="90"/>
        <v>6.7859999999999996</v>
      </c>
      <c r="J392" s="2339"/>
      <c r="L392" s="145">
        <f t="shared" si="95"/>
        <v>2</v>
      </c>
      <c r="M392" s="1918"/>
      <c r="N392" s="5">
        <f t="shared" si="96"/>
        <v>10.039999999999999</v>
      </c>
      <c r="O392" s="5">
        <f t="shared" si="81"/>
        <v>10.039999999999999</v>
      </c>
      <c r="P392" s="2339"/>
      <c r="R392" s="2392"/>
      <c r="S392" s="253">
        <f t="shared" si="91"/>
        <v>1.95</v>
      </c>
      <c r="T392" s="253">
        <f t="shared" si="92"/>
        <v>15.6</v>
      </c>
      <c r="U392" s="253">
        <f t="shared" si="93"/>
        <v>1.56</v>
      </c>
      <c r="V392" s="2339"/>
    </row>
    <row r="393" spans="1:22">
      <c r="A393" s="2336"/>
      <c r="B393" s="2325"/>
      <c r="C393" s="189">
        <v>5</v>
      </c>
      <c r="D393" s="2325"/>
      <c r="E393" s="2321"/>
      <c r="F393" s="189">
        <v>1.5</v>
      </c>
      <c r="G393" s="394">
        <f t="shared" si="94"/>
        <v>5.22</v>
      </c>
      <c r="H393" s="5"/>
      <c r="I393" s="189">
        <f t="shared" si="90"/>
        <v>5.22</v>
      </c>
      <c r="J393" s="2339"/>
      <c r="L393" s="145">
        <f t="shared" si="95"/>
        <v>1</v>
      </c>
      <c r="M393" s="1918"/>
      <c r="N393" s="5">
        <f t="shared" si="96"/>
        <v>5.0199999999999996</v>
      </c>
      <c r="O393" s="5">
        <f t="shared" ref="O393:O456" si="97">N393*1</f>
        <v>5.0199999999999996</v>
      </c>
      <c r="P393" s="2339"/>
      <c r="R393" s="2392"/>
      <c r="S393" s="253">
        <f t="shared" si="91"/>
        <v>1.5</v>
      </c>
      <c r="T393" s="253">
        <f t="shared" si="92"/>
        <v>12</v>
      </c>
      <c r="U393" s="253">
        <f t="shared" si="93"/>
        <v>1.2000000000000002</v>
      </c>
      <c r="V393" s="2339"/>
    </row>
    <row r="394" spans="1:22">
      <c r="A394" s="2336"/>
      <c r="B394" s="2325"/>
      <c r="C394" s="189">
        <v>6</v>
      </c>
      <c r="D394" s="2325"/>
      <c r="E394" s="2321"/>
      <c r="F394" s="189">
        <v>1.47</v>
      </c>
      <c r="G394" s="394">
        <f t="shared" si="94"/>
        <v>5.1155999999999997</v>
      </c>
      <c r="H394" s="5"/>
      <c r="I394" s="189">
        <f t="shared" si="90"/>
        <v>5.1155999999999997</v>
      </c>
      <c r="J394" s="2339"/>
      <c r="L394" s="145">
        <f t="shared" si="95"/>
        <v>1</v>
      </c>
      <c r="M394" s="1918"/>
      <c r="N394" s="5">
        <f t="shared" si="96"/>
        <v>5.0199999999999996</v>
      </c>
      <c r="O394" s="5">
        <f t="shared" si="97"/>
        <v>5.0199999999999996</v>
      </c>
      <c r="P394" s="2339"/>
      <c r="R394" s="2392"/>
      <c r="S394" s="253">
        <f t="shared" si="91"/>
        <v>1.47</v>
      </c>
      <c r="T394" s="253">
        <f t="shared" si="92"/>
        <v>11.76</v>
      </c>
      <c r="U394" s="253">
        <f t="shared" si="93"/>
        <v>1.1759999999999999</v>
      </c>
      <c r="V394" s="2339"/>
    </row>
    <row r="395" spans="1:22">
      <c r="A395" s="2336"/>
      <c r="B395" s="2325"/>
      <c r="C395" s="189">
        <v>7</v>
      </c>
      <c r="D395" s="2325"/>
      <c r="E395" s="2321"/>
      <c r="F395" s="189">
        <v>1.46</v>
      </c>
      <c r="G395" s="394">
        <f t="shared" si="94"/>
        <v>5.0808</v>
      </c>
      <c r="H395" s="5"/>
      <c r="I395" s="189">
        <f t="shared" si="90"/>
        <v>5.0808</v>
      </c>
      <c r="J395" s="2339"/>
      <c r="L395" s="145">
        <f t="shared" si="95"/>
        <v>1</v>
      </c>
      <c r="M395" s="1918"/>
      <c r="N395" s="5">
        <f t="shared" si="96"/>
        <v>5.0199999999999996</v>
      </c>
      <c r="O395" s="5">
        <f t="shared" si="97"/>
        <v>5.0199999999999996</v>
      </c>
      <c r="P395" s="2339"/>
      <c r="R395" s="2392"/>
      <c r="S395" s="253">
        <f t="shared" si="91"/>
        <v>1.46</v>
      </c>
      <c r="T395" s="253">
        <f t="shared" si="92"/>
        <v>11.68</v>
      </c>
      <c r="U395" s="253">
        <f t="shared" si="93"/>
        <v>1.1679999999999999</v>
      </c>
      <c r="V395" s="2339"/>
    </row>
    <row r="396" spans="1:22">
      <c r="A396" s="2336"/>
      <c r="B396" s="2325"/>
      <c r="C396" s="189">
        <v>8</v>
      </c>
      <c r="D396" s="2325"/>
      <c r="E396" s="2321"/>
      <c r="F396" s="189">
        <v>0.5</v>
      </c>
      <c r="G396" s="394">
        <f t="shared" si="94"/>
        <v>1.74</v>
      </c>
      <c r="H396" s="5"/>
      <c r="I396" s="189">
        <f t="shared" si="90"/>
        <v>1.74</v>
      </c>
      <c r="J396" s="2339"/>
      <c r="L396" s="145">
        <f t="shared" si="95"/>
        <v>1</v>
      </c>
      <c r="M396" s="1918"/>
      <c r="N396" s="5">
        <f t="shared" si="96"/>
        <v>5.0199999999999996</v>
      </c>
      <c r="O396" s="5">
        <f t="shared" si="97"/>
        <v>5.0199999999999996</v>
      </c>
      <c r="P396" s="2339"/>
      <c r="R396" s="2392"/>
      <c r="S396" s="253">
        <f t="shared" si="91"/>
        <v>0.5</v>
      </c>
      <c r="T396" s="253">
        <f t="shared" si="92"/>
        <v>4</v>
      </c>
      <c r="U396" s="253">
        <f t="shared" si="93"/>
        <v>0.4</v>
      </c>
      <c r="V396" s="2339"/>
    </row>
    <row r="397" spans="1:22">
      <c r="A397" s="2336"/>
      <c r="B397" s="2325"/>
      <c r="C397" s="189">
        <v>9</v>
      </c>
      <c r="D397" s="2325"/>
      <c r="E397" s="2321"/>
      <c r="F397" s="189">
        <v>0.4</v>
      </c>
      <c r="G397" s="394">
        <f t="shared" si="94"/>
        <v>1.3920000000000001</v>
      </c>
      <c r="H397" s="5"/>
      <c r="I397" s="189">
        <f t="shared" si="90"/>
        <v>1.3920000000000001</v>
      </c>
      <c r="J397" s="2339"/>
      <c r="L397" s="145">
        <f t="shared" si="95"/>
        <v>1</v>
      </c>
      <c r="M397" s="1918"/>
      <c r="N397" s="5">
        <f t="shared" si="96"/>
        <v>5.0199999999999996</v>
      </c>
      <c r="O397" s="5">
        <f t="shared" si="97"/>
        <v>5.0199999999999996</v>
      </c>
      <c r="P397" s="2339"/>
      <c r="R397" s="2392"/>
      <c r="S397" s="253">
        <f t="shared" si="91"/>
        <v>0.4</v>
      </c>
      <c r="T397" s="253">
        <f t="shared" si="92"/>
        <v>3.2</v>
      </c>
      <c r="U397" s="253">
        <f t="shared" si="93"/>
        <v>0.32000000000000006</v>
      </c>
      <c r="V397" s="2339"/>
    </row>
    <row r="398" spans="1:22">
      <c r="A398" s="2336"/>
      <c r="B398" s="2325"/>
      <c r="C398" s="189">
        <v>10</v>
      </c>
      <c r="D398" s="2325"/>
      <c r="E398" s="2321"/>
      <c r="F398" s="189">
        <v>0.8</v>
      </c>
      <c r="G398" s="394">
        <f t="shared" si="94"/>
        <v>2.7840000000000003</v>
      </c>
      <c r="H398" s="5"/>
      <c r="I398" s="189">
        <f t="shared" si="90"/>
        <v>2.7840000000000003</v>
      </c>
      <c r="J398" s="2339"/>
      <c r="L398" s="145">
        <f t="shared" si="95"/>
        <v>1</v>
      </c>
      <c r="M398" s="1918"/>
      <c r="N398" s="5">
        <f t="shared" si="96"/>
        <v>5.0199999999999996</v>
      </c>
      <c r="O398" s="5">
        <f t="shared" si="97"/>
        <v>5.0199999999999996</v>
      </c>
      <c r="P398" s="2339"/>
      <c r="R398" s="2392"/>
      <c r="S398" s="253">
        <f t="shared" si="91"/>
        <v>0.8</v>
      </c>
      <c r="T398" s="253">
        <f t="shared" si="92"/>
        <v>6.4</v>
      </c>
      <c r="U398" s="253">
        <f t="shared" si="93"/>
        <v>0.64000000000000012</v>
      </c>
      <c r="V398" s="2339"/>
    </row>
    <row r="399" spans="1:22">
      <c r="A399" s="2336"/>
      <c r="B399" s="2325"/>
      <c r="C399" s="189">
        <v>11</v>
      </c>
      <c r="D399" s="2325"/>
      <c r="E399" s="2321"/>
      <c r="F399" s="189">
        <v>0.82</v>
      </c>
      <c r="G399" s="394">
        <f t="shared" si="94"/>
        <v>2.8535999999999997</v>
      </c>
      <c r="H399" s="5"/>
      <c r="I399" s="189">
        <f t="shared" si="90"/>
        <v>2.8535999999999997</v>
      </c>
      <c r="J399" s="2339"/>
      <c r="L399" s="145">
        <f t="shared" si="95"/>
        <v>1</v>
      </c>
      <c r="M399" s="1918"/>
      <c r="N399" s="5">
        <f t="shared" si="96"/>
        <v>5.0199999999999996</v>
      </c>
      <c r="O399" s="5">
        <f t="shared" si="97"/>
        <v>5.0199999999999996</v>
      </c>
      <c r="P399" s="2339"/>
      <c r="R399" s="2392"/>
      <c r="S399" s="253">
        <f t="shared" si="91"/>
        <v>0.82</v>
      </c>
      <c r="T399" s="253">
        <f t="shared" si="92"/>
        <v>6.56</v>
      </c>
      <c r="U399" s="253">
        <f t="shared" si="93"/>
        <v>0.65600000000000003</v>
      </c>
      <c r="V399" s="2339"/>
    </row>
    <row r="400" spans="1:22">
      <c r="A400" s="2336"/>
      <c r="B400" s="2325"/>
      <c r="C400" s="189">
        <v>12</v>
      </c>
      <c r="D400" s="2325"/>
      <c r="E400" s="2321"/>
      <c r="F400" s="189">
        <v>1.25</v>
      </c>
      <c r="G400" s="394">
        <f t="shared" si="94"/>
        <v>4.3499999999999996</v>
      </c>
      <c r="H400" s="5"/>
      <c r="I400" s="189">
        <f t="shared" si="90"/>
        <v>4.3499999999999996</v>
      </c>
      <c r="J400" s="2339"/>
      <c r="L400" s="145">
        <f t="shared" si="95"/>
        <v>1</v>
      </c>
      <c r="M400" s="1918"/>
      <c r="N400" s="5">
        <f t="shared" si="96"/>
        <v>5.0199999999999996</v>
      </c>
      <c r="O400" s="5">
        <f t="shared" si="97"/>
        <v>5.0199999999999996</v>
      </c>
      <c r="P400" s="2339"/>
      <c r="R400" s="2392"/>
      <c r="S400" s="253">
        <f t="shared" si="91"/>
        <v>1.25</v>
      </c>
      <c r="T400" s="253">
        <f t="shared" si="92"/>
        <v>10</v>
      </c>
      <c r="U400" s="253">
        <f t="shared" si="93"/>
        <v>1</v>
      </c>
      <c r="V400" s="2339"/>
    </row>
    <row r="401" spans="1:22">
      <c r="A401" s="2336"/>
      <c r="B401" s="2325"/>
      <c r="C401" s="189">
        <v>13</v>
      </c>
      <c r="D401" s="2325"/>
      <c r="E401" s="2321"/>
      <c r="F401" s="189">
        <v>2.16</v>
      </c>
      <c r="G401" s="394">
        <f t="shared" si="94"/>
        <v>7.5168000000000008</v>
      </c>
      <c r="H401" s="5"/>
      <c r="I401" s="189">
        <f t="shared" si="90"/>
        <v>7.5168000000000008</v>
      </c>
      <c r="J401" s="2339"/>
      <c r="L401" s="145">
        <f t="shared" si="95"/>
        <v>2</v>
      </c>
      <c r="M401" s="1918"/>
      <c r="N401" s="5">
        <f t="shared" si="96"/>
        <v>10.039999999999999</v>
      </c>
      <c r="O401" s="5">
        <f t="shared" si="97"/>
        <v>10.039999999999999</v>
      </c>
      <c r="P401" s="2339"/>
      <c r="R401" s="2392"/>
      <c r="S401" s="253">
        <f t="shared" si="91"/>
        <v>2.16</v>
      </c>
      <c r="T401" s="253">
        <f t="shared" si="92"/>
        <v>17.28</v>
      </c>
      <c r="U401" s="253">
        <f t="shared" si="93"/>
        <v>1.7280000000000002</v>
      </c>
      <c r="V401" s="2339"/>
    </row>
    <row r="402" spans="1:22">
      <c r="A402" s="2336"/>
      <c r="B402" s="2325"/>
      <c r="C402" s="189">
        <v>14</v>
      </c>
      <c r="D402" s="2325"/>
      <c r="E402" s="2321"/>
      <c r="F402" s="189">
        <v>4.47</v>
      </c>
      <c r="G402" s="394">
        <f t="shared" si="94"/>
        <v>15.555599999999998</v>
      </c>
      <c r="H402" s="5"/>
      <c r="I402" s="189">
        <f t="shared" si="90"/>
        <v>15.555599999999998</v>
      </c>
      <c r="J402" s="2339"/>
      <c r="L402" s="145">
        <f t="shared" si="95"/>
        <v>3</v>
      </c>
      <c r="M402" s="1918"/>
      <c r="N402" s="5">
        <f t="shared" si="96"/>
        <v>15.059999999999999</v>
      </c>
      <c r="O402" s="5">
        <f t="shared" si="97"/>
        <v>15.059999999999999</v>
      </c>
      <c r="P402" s="2339"/>
      <c r="R402" s="2392"/>
      <c r="S402" s="253">
        <f t="shared" si="91"/>
        <v>4.47</v>
      </c>
      <c r="T402" s="253">
        <f t="shared" si="92"/>
        <v>35.76</v>
      </c>
      <c r="U402" s="253">
        <f t="shared" si="93"/>
        <v>3.5760000000000001</v>
      </c>
      <c r="V402" s="2339"/>
    </row>
    <row r="403" spans="1:22">
      <c r="A403" s="2336"/>
      <c r="B403" s="2325"/>
      <c r="C403" s="189">
        <v>15</v>
      </c>
      <c r="D403" s="2325"/>
      <c r="E403" s="2321"/>
      <c r="F403" s="189">
        <v>3.18</v>
      </c>
      <c r="G403" s="394">
        <f t="shared" si="94"/>
        <v>11.0664</v>
      </c>
      <c r="H403" s="5"/>
      <c r="I403" s="189">
        <f t="shared" si="90"/>
        <v>11.0664</v>
      </c>
      <c r="J403" s="2339"/>
      <c r="L403" s="145">
        <f t="shared" si="95"/>
        <v>2</v>
      </c>
      <c r="M403" s="1918"/>
      <c r="N403" s="5">
        <f t="shared" si="96"/>
        <v>10.039999999999999</v>
      </c>
      <c r="O403" s="5">
        <f t="shared" si="97"/>
        <v>10.039999999999999</v>
      </c>
      <c r="P403" s="2339"/>
      <c r="R403" s="2392"/>
      <c r="S403" s="253">
        <f t="shared" si="91"/>
        <v>3.18</v>
      </c>
      <c r="T403" s="253">
        <f t="shared" si="92"/>
        <v>25.44</v>
      </c>
      <c r="U403" s="253">
        <f t="shared" si="93"/>
        <v>2.5440000000000005</v>
      </c>
      <c r="V403" s="2339"/>
    </row>
    <row r="404" spans="1:22">
      <c r="A404" s="2336"/>
      <c r="B404" s="2325"/>
      <c r="C404" s="189">
        <v>16</v>
      </c>
      <c r="D404" s="2325"/>
      <c r="E404" s="2321"/>
      <c r="F404" s="189">
        <v>2.65</v>
      </c>
      <c r="G404" s="394">
        <f t="shared" si="94"/>
        <v>9.2219999999999995</v>
      </c>
      <c r="H404" s="5"/>
      <c r="I404" s="189">
        <f t="shared" si="90"/>
        <v>9.2219999999999995</v>
      </c>
      <c r="J404" s="2339"/>
      <c r="L404" s="145">
        <f t="shared" si="95"/>
        <v>2</v>
      </c>
      <c r="M404" s="1918"/>
      <c r="N404" s="5">
        <f t="shared" si="96"/>
        <v>10.039999999999999</v>
      </c>
      <c r="O404" s="5">
        <f t="shared" si="97"/>
        <v>10.039999999999999</v>
      </c>
      <c r="P404" s="2339"/>
      <c r="R404" s="2392"/>
      <c r="S404" s="253">
        <f t="shared" si="91"/>
        <v>2.65</v>
      </c>
      <c r="T404" s="253">
        <f t="shared" si="92"/>
        <v>21.2</v>
      </c>
      <c r="U404" s="253">
        <f t="shared" si="93"/>
        <v>2.12</v>
      </c>
      <c r="V404" s="2339"/>
    </row>
    <row r="405" spans="1:22">
      <c r="A405" s="2336"/>
      <c r="B405" s="2325"/>
      <c r="C405" s="189">
        <v>17</v>
      </c>
      <c r="D405" s="2325"/>
      <c r="E405" s="2321"/>
      <c r="F405" s="189">
        <v>11.18</v>
      </c>
      <c r="G405" s="394">
        <f t="shared" si="94"/>
        <v>38.906399999999998</v>
      </c>
      <c r="H405" s="5"/>
      <c r="I405" s="189">
        <f t="shared" si="90"/>
        <v>38.906399999999998</v>
      </c>
      <c r="J405" s="2339"/>
      <c r="L405" s="145">
        <f t="shared" si="95"/>
        <v>7</v>
      </c>
      <c r="M405" s="1918"/>
      <c r="N405" s="5">
        <f t="shared" si="96"/>
        <v>35.14</v>
      </c>
      <c r="O405" s="5">
        <f t="shared" si="97"/>
        <v>35.14</v>
      </c>
      <c r="P405" s="2339"/>
      <c r="R405" s="2392"/>
      <c r="S405" s="253">
        <f t="shared" si="91"/>
        <v>11.18</v>
      </c>
      <c r="T405" s="253">
        <f t="shared" si="92"/>
        <v>89.44</v>
      </c>
      <c r="U405" s="253">
        <f t="shared" si="93"/>
        <v>8.9440000000000008</v>
      </c>
      <c r="V405" s="2339"/>
    </row>
    <row r="406" spans="1:22">
      <c r="A406" s="2336"/>
      <c r="B406" s="2325"/>
      <c r="C406" s="189">
        <v>18</v>
      </c>
      <c r="D406" s="2325"/>
      <c r="E406" s="2321"/>
      <c r="F406" s="189">
        <v>1.6</v>
      </c>
      <c r="G406" s="394">
        <f t="shared" si="94"/>
        <v>5.5680000000000005</v>
      </c>
      <c r="H406" s="5"/>
      <c r="I406" s="189">
        <f t="shared" si="90"/>
        <v>5.5680000000000005</v>
      </c>
      <c r="J406" s="2339"/>
      <c r="L406" s="145">
        <f t="shared" si="95"/>
        <v>1</v>
      </c>
      <c r="M406" s="1918"/>
      <c r="N406" s="5">
        <f t="shared" si="96"/>
        <v>5.0199999999999996</v>
      </c>
      <c r="O406" s="5">
        <f t="shared" si="97"/>
        <v>5.0199999999999996</v>
      </c>
      <c r="P406" s="2339"/>
      <c r="R406" s="2392"/>
      <c r="S406" s="253">
        <f t="shared" si="91"/>
        <v>1.6</v>
      </c>
      <c r="T406" s="253">
        <f t="shared" si="92"/>
        <v>12.8</v>
      </c>
      <c r="U406" s="253">
        <f t="shared" si="93"/>
        <v>1.2800000000000002</v>
      </c>
      <c r="V406" s="2339"/>
    </row>
    <row r="407" spans="1:22">
      <c r="A407" s="2336"/>
      <c r="B407" s="2325"/>
      <c r="C407" s="189">
        <v>19</v>
      </c>
      <c r="D407" s="2325"/>
      <c r="E407" s="2321"/>
      <c r="F407" s="189">
        <v>2.48</v>
      </c>
      <c r="G407" s="394">
        <f t="shared" si="94"/>
        <v>8.6303999999999998</v>
      </c>
      <c r="H407" s="5"/>
      <c r="I407" s="189">
        <f t="shared" si="90"/>
        <v>8.6303999999999998</v>
      </c>
      <c r="J407" s="2339"/>
      <c r="L407" s="145">
        <f t="shared" si="95"/>
        <v>2</v>
      </c>
      <c r="M407" s="1918"/>
      <c r="N407" s="5">
        <f t="shared" si="96"/>
        <v>10.039999999999999</v>
      </c>
      <c r="O407" s="5">
        <f t="shared" si="97"/>
        <v>10.039999999999999</v>
      </c>
      <c r="P407" s="2339"/>
      <c r="R407" s="2392"/>
      <c r="S407" s="253">
        <f t="shared" si="91"/>
        <v>2.48</v>
      </c>
      <c r="T407" s="253">
        <f t="shared" si="92"/>
        <v>19.84</v>
      </c>
      <c r="U407" s="253">
        <f t="shared" si="93"/>
        <v>1.984</v>
      </c>
      <c r="V407" s="2339"/>
    </row>
    <row r="408" spans="1:22">
      <c r="A408" s="2336"/>
      <c r="B408" s="2325"/>
      <c r="C408" s="189">
        <v>20</v>
      </c>
      <c r="D408" s="2325"/>
      <c r="E408" s="2321"/>
      <c r="F408" s="189">
        <v>0.53</v>
      </c>
      <c r="G408" s="394">
        <f t="shared" si="94"/>
        <v>1.8444</v>
      </c>
      <c r="H408" s="5"/>
      <c r="I408" s="189">
        <f t="shared" si="90"/>
        <v>1.8444</v>
      </c>
      <c r="J408" s="2339"/>
      <c r="L408" s="145">
        <f t="shared" si="95"/>
        <v>1</v>
      </c>
      <c r="M408" s="1918"/>
      <c r="N408" s="5">
        <f t="shared" si="96"/>
        <v>5.0199999999999996</v>
      </c>
      <c r="O408" s="5">
        <f t="shared" si="97"/>
        <v>5.0199999999999996</v>
      </c>
      <c r="P408" s="2339"/>
      <c r="R408" s="2392"/>
      <c r="S408" s="253">
        <f t="shared" si="91"/>
        <v>0.53</v>
      </c>
      <c r="T408" s="253">
        <f t="shared" si="92"/>
        <v>4.24</v>
      </c>
      <c r="U408" s="253">
        <f t="shared" si="93"/>
        <v>0.42400000000000004</v>
      </c>
      <c r="V408" s="2339"/>
    </row>
    <row r="409" spans="1:22">
      <c r="A409" s="2336"/>
      <c r="B409" s="2325"/>
      <c r="C409" s="189">
        <v>21</v>
      </c>
      <c r="D409" s="2325"/>
      <c r="E409" s="2321"/>
      <c r="F409" s="189">
        <v>4.1500000000000004</v>
      </c>
      <c r="G409" s="394">
        <f t="shared" si="94"/>
        <v>14.442000000000002</v>
      </c>
      <c r="H409" s="5"/>
      <c r="I409" s="189">
        <f t="shared" si="90"/>
        <v>14.442000000000002</v>
      </c>
      <c r="J409" s="2339"/>
      <c r="L409" s="145">
        <f t="shared" si="95"/>
        <v>3</v>
      </c>
      <c r="M409" s="1918"/>
      <c r="N409" s="5">
        <f t="shared" si="96"/>
        <v>15.059999999999999</v>
      </c>
      <c r="O409" s="5">
        <f t="shared" si="97"/>
        <v>15.059999999999999</v>
      </c>
      <c r="P409" s="2339"/>
      <c r="R409" s="2392"/>
      <c r="S409" s="253">
        <f t="shared" si="91"/>
        <v>4.1500000000000004</v>
      </c>
      <c r="T409" s="253">
        <f t="shared" si="92"/>
        <v>33.200000000000003</v>
      </c>
      <c r="U409" s="253">
        <f t="shared" si="93"/>
        <v>3.3200000000000003</v>
      </c>
      <c r="V409" s="2339"/>
    </row>
    <row r="410" spans="1:22">
      <c r="A410" s="2336"/>
      <c r="B410" s="2325"/>
      <c r="C410" s="189">
        <v>22</v>
      </c>
      <c r="D410" s="2325"/>
      <c r="E410" s="2321"/>
      <c r="F410" s="189">
        <v>2</v>
      </c>
      <c r="G410" s="394">
        <f t="shared" si="94"/>
        <v>6.96</v>
      </c>
      <c r="H410" s="5"/>
      <c r="I410" s="189">
        <f t="shared" si="90"/>
        <v>6.96</v>
      </c>
      <c r="J410" s="2339"/>
      <c r="L410" s="145">
        <f t="shared" si="95"/>
        <v>2</v>
      </c>
      <c r="M410" s="1918"/>
      <c r="N410" s="5">
        <f t="shared" si="96"/>
        <v>10.039999999999999</v>
      </c>
      <c r="O410" s="5">
        <f t="shared" si="97"/>
        <v>10.039999999999999</v>
      </c>
      <c r="P410" s="2339"/>
      <c r="R410" s="2392"/>
      <c r="S410" s="253">
        <f t="shared" si="91"/>
        <v>2</v>
      </c>
      <c r="T410" s="253">
        <f t="shared" si="92"/>
        <v>16</v>
      </c>
      <c r="U410" s="253">
        <f t="shared" si="93"/>
        <v>1.6</v>
      </c>
      <c r="V410" s="2339"/>
    </row>
    <row r="411" spans="1:22">
      <c r="A411" s="2336"/>
      <c r="B411" s="2325"/>
      <c r="C411" s="189">
        <v>23</v>
      </c>
      <c r="D411" s="2325"/>
      <c r="E411" s="2321"/>
      <c r="F411" s="189">
        <v>1.1499999999999999</v>
      </c>
      <c r="G411" s="394">
        <f t="shared" si="94"/>
        <v>4.0019999999999998</v>
      </c>
      <c r="H411" s="5"/>
      <c r="I411" s="189">
        <f t="shared" si="90"/>
        <v>4.0019999999999998</v>
      </c>
      <c r="J411" s="2339"/>
      <c r="L411" s="145">
        <f t="shared" si="95"/>
        <v>1</v>
      </c>
      <c r="M411" s="1918"/>
      <c r="N411" s="5">
        <f t="shared" si="96"/>
        <v>5.0199999999999996</v>
      </c>
      <c r="O411" s="5">
        <f t="shared" si="97"/>
        <v>5.0199999999999996</v>
      </c>
      <c r="P411" s="2339"/>
      <c r="R411" s="2392"/>
      <c r="S411" s="253">
        <f t="shared" si="91"/>
        <v>1.1499999999999999</v>
      </c>
      <c r="T411" s="253">
        <f t="shared" si="92"/>
        <v>9.1999999999999993</v>
      </c>
      <c r="U411" s="253">
        <f t="shared" si="93"/>
        <v>0.91999999999999993</v>
      </c>
      <c r="V411" s="2339"/>
    </row>
    <row r="412" spans="1:22">
      <c r="A412" s="2336"/>
      <c r="B412" s="2325"/>
      <c r="C412" s="189">
        <v>24</v>
      </c>
      <c r="D412" s="2325"/>
      <c r="E412" s="2321"/>
      <c r="F412" s="189">
        <v>2.8</v>
      </c>
      <c r="G412" s="394">
        <f t="shared" si="94"/>
        <v>9.7439999999999998</v>
      </c>
      <c r="H412" s="5"/>
      <c r="I412" s="189">
        <f t="shared" si="90"/>
        <v>9.7439999999999998</v>
      </c>
      <c r="J412" s="2339"/>
      <c r="L412" s="145">
        <f t="shared" si="95"/>
        <v>2</v>
      </c>
      <c r="M412" s="1918"/>
      <c r="N412" s="5">
        <f t="shared" si="96"/>
        <v>10.039999999999999</v>
      </c>
      <c r="O412" s="5">
        <f t="shared" si="97"/>
        <v>10.039999999999999</v>
      </c>
      <c r="P412" s="2339"/>
      <c r="R412" s="2392"/>
      <c r="S412" s="253">
        <f t="shared" si="91"/>
        <v>2.8</v>
      </c>
      <c r="T412" s="253">
        <f t="shared" si="92"/>
        <v>22.4</v>
      </c>
      <c r="U412" s="253">
        <f t="shared" si="93"/>
        <v>2.2399999999999998</v>
      </c>
      <c r="V412" s="2339"/>
    </row>
    <row r="413" spans="1:22">
      <c r="A413" s="2336"/>
      <c r="B413" s="2325"/>
      <c r="C413" s="189">
        <v>25</v>
      </c>
      <c r="D413" s="2325"/>
      <c r="E413" s="2321"/>
      <c r="F413" s="189">
        <v>2.31</v>
      </c>
      <c r="G413" s="394">
        <f t="shared" si="94"/>
        <v>8.0388000000000002</v>
      </c>
      <c r="H413" s="5"/>
      <c r="I413" s="189">
        <f t="shared" si="90"/>
        <v>8.0388000000000002</v>
      </c>
      <c r="J413" s="2339"/>
      <c r="L413" s="145">
        <f t="shared" si="95"/>
        <v>2</v>
      </c>
      <c r="M413" s="1918"/>
      <c r="N413" s="5">
        <f t="shared" si="96"/>
        <v>10.039999999999999</v>
      </c>
      <c r="O413" s="5">
        <f t="shared" si="97"/>
        <v>10.039999999999999</v>
      </c>
      <c r="P413" s="2339"/>
      <c r="R413" s="2392"/>
      <c r="S413" s="253">
        <f t="shared" si="91"/>
        <v>2.31</v>
      </c>
      <c r="T413" s="253">
        <f t="shared" si="92"/>
        <v>18.48</v>
      </c>
      <c r="U413" s="253">
        <f t="shared" si="93"/>
        <v>1.8480000000000001</v>
      </c>
      <c r="V413" s="2339"/>
    </row>
    <row r="414" spans="1:22">
      <c r="A414" s="2336"/>
      <c r="B414" s="2325"/>
      <c r="C414" s="189">
        <v>26</v>
      </c>
      <c r="D414" s="2325"/>
      <c r="E414" s="2321"/>
      <c r="F414" s="189">
        <v>2.41</v>
      </c>
      <c r="G414" s="394">
        <f t="shared" si="94"/>
        <v>8.3868000000000009</v>
      </c>
      <c r="H414" s="5"/>
      <c r="I414" s="189">
        <f t="shared" si="90"/>
        <v>8.3868000000000009</v>
      </c>
      <c r="J414" s="2339"/>
      <c r="L414" s="145">
        <f t="shared" si="95"/>
        <v>2</v>
      </c>
      <c r="M414" s="1918"/>
      <c r="N414" s="5">
        <f t="shared" si="96"/>
        <v>10.039999999999999</v>
      </c>
      <c r="O414" s="5">
        <f t="shared" si="97"/>
        <v>10.039999999999999</v>
      </c>
      <c r="P414" s="2339"/>
      <c r="R414" s="2392"/>
      <c r="S414" s="253">
        <f t="shared" si="91"/>
        <v>2.41</v>
      </c>
      <c r="T414" s="253">
        <f t="shared" si="92"/>
        <v>19.28</v>
      </c>
      <c r="U414" s="253">
        <f t="shared" si="93"/>
        <v>1.9280000000000002</v>
      </c>
      <c r="V414" s="2339"/>
    </row>
    <row r="415" spans="1:22">
      <c r="A415" s="2336"/>
      <c r="B415" s="2325"/>
      <c r="C415" s="189">
        <v>27</v>
      </c>
      <c r="D415" s="2325"/>
      <c r="E415" s="2321"/>
      <c r="F415" s="5">
        <f>2.31+2.45</f>
        <v>4.76</v>
      </c>
      <c r="G415" s="394">
        <f t="shared" si="94"/>
        <v>16.564799999999998</v>
      </c>
      <c r="H415" s="5"/>
      <c r="I415" s="189">
        <f t="shared" si="90"/>
        <v>16.564799999999998</v>
      </c>
      <c r="J415" s="2339"/>
      <c r="L415" s="145">
        <f t="shared" si="95"/>
        <v>3</v>
      </c>
      <c r="M415" s="1918"/>
      <c r="N415" s="5">
        <f t="shared" si="96"/>
        <v>15.059999999999999</v>
      </c>
      <c r="O415" s="5">
        <f t="shared" si="97"/>
        <v>15.059999999999999</v>
      </c>
      <c r="P415" s="2339"/>
      <c r="R415" s="2392"/>
      <c r="S415" s="253">
        <f t="shared" si="91"/>
        <v>4.76</v>
      </c>
      <c r="T415" s="253">
        <f t="shared" si="92"/>
        <v>38.08</v>
      </c>
      <c r="U415" s="253">
        <f t="shared" si="93"/>
        <v>3.8079999999999998</v>
      </c>
      <c r="V415" s="2339"/>
    </row>
    <row r="416" spans="1:22">
      <c r="A416" s="2336"/>
      <c r="B416" s="2325"/>
      <c r="C416" s="189">
        <v>28</v>
      </c>
      <c r="D416" s="2325"/>
      <c r="E416" s="2321"/>
      <c r="F416" s="5">
        <v>4.72</v>
      </c>
      <c r="G416" s="394">
        <f t="shared" si="94"/>
        <v>16.425599999999999</v>
      </c>
      <c r="H416" s="5"/>
      <c r="I416" s="189">
        <f t="shared" si="90"/>
        <v>16.425599999999999</v>
      </c>
      <c r="J416" s="2339"/>
      <c r="L416" s="145">
        <f t="shared" si="95"/>
        <v>3</v>
      </c>
      <c r="M416" s="1918"/>
      <c r="N416" s="5">
        <f t="shared" si="96"/>
        <v>15.059999999999999</v>
      </c>
      <c r="O416" s="5">
        <f t="shared" si="97"/>
        <v>15.059999999999999</v>
      </c>
      <c r="P416" s="2339"/>
      <c r="R416" s="2392"/>
      <c r="S416" s="253">
        <f t="shared" si="91"/>
        <v>4.72</v>
      </c>
      <c r="T416" s="253">
        <f t="shared" si="92"/>
        <v>37.76</v>
      </c>
      <c r="U416" s="253">
        <f t="shared" si="93"/>
        <v>3.7759999999999998</v>
      </c>
      <c r="V416" s="2339"/>
    </row>
    <row r="417" spans="1:22">
      <c r="A417" s="2336"/>
      <c r="B417" s="2325"/>
      <c r="C417" s="189">
        <v>29</v>
      </c>
      <c r="D417" s="2325"/>
      <c r="E417" s="2321"/>
      <c r="F417" s="5">
        <v>0.56000000000000005</v>
      </c>
      <c r="G417" s="394">
        <f t="shared" si="94"/>
        <v>1.9488000000000001</v>
      </c>
      <c r="H417" s="5"/>
      <c r="I417" s="189">
        <f t="shared" si="90"/>
        <v>1.9488000000000001</v>
      </c>
      <c r="J417" s="2339"/>
      <c r="L417" s="145">
        <f t="shared" si="95"/>
        <v>1</v>
      </c>
      <c r="M417" s="1918"/>
      <c r="N417" s="5">
        <f t="shared" si="96"/>
        <v>5.0199999999999996</v>
      </c>
      <c r="O417" s="5">
        <f t="shared" si="97"/>
        <v>5.0199999999999996</v>
      </c>
      <c r="P417" s="2339"/>
      <c r="R417" s="2392"/>
      <c r="S417" s="253">
        <f t="shared" si="91"/>
        <v>0.56000000000000005</v>
      </c>
      <c r="T417" s="253">
        <f t="shared" si="92"/>
        <v>4.4800000000000004</v>
      </c>
      <c r="U417" s="253">
        <f t="shared" si="93"/>
        <v>0.44800000000000006</v>
      </c>
      <c r="V417" s="2339"/>
    </row>
    <row r="418" spans="1:22">
      <c r="A418" s="2336"/>
      <c r="B418" s="2325"/>
      <c r="C418" s="189">
        <v>30</v>
      </c>
      <c r="D418" s="2325"/>
      <c r="E418" s="2321"/>
      <c r="F418" s="5">
        <v>2.89</v>
      </c>
      <c r="G418" s="394">
        <f t="shared" si="94"/>
        <v>10.0572</v>
      </c>
      <c r="H418" s="5"/>
      <c r="I418" s="189">
        <f t="shared" si="90"/>
        <v>10.0572</v>
      </c>
      <c r="J418" s="2339"/>
      <c r="L418" s="145">
        <f t="shared" si="95"/>
        <v>2</v>
      </c>
      <c r="M418" s="1918"/>
      <c r="N418" s="5">
        <f t="shared" si="96"/>
        <v>10.039999999999999</v>
      </c>
      <c r="O418" s="5">
        <f t="shared" si="97"/>
        <v>10.039999999999999</v>
      </c>
      <c r="P418" s="2339"/>
      <c r="R418" s="2392"/>
      <c r="S418" s="253">
        <f t="shared" si="91"/>
        <v>2.89</v>
      </c>
      <c r="T418" s="253">
        <f t="shared" si="92"/>
        <v>23.12</v>
      </c>
      <c r="U418" s="253">
        <f t="shared" si="93"/>
        <v>2.3120000000000003</v>
      </c>
      <c r="V418" s="2339"/>
    </row>
    <row r="419" spans="1:22">
      <c r="A419" s="2336"/>
      <c r="B419" s="2325"/>
      <c r="C419" s="189">
        <v>31</v>
      </c>
      <c r="D419" s="2325"/>
      <c r="E419" s="2321"/>
      <c r="F419" s="5">
        <v>4.6900000000000004</v>
      </c>
      <c r="G419" s="394">
        <f t="shared" si="94"/>
        <v>16.321200000000001</v>
      </c>
      <c r="H419" s="5"/>
      <c r="I419" s="189">
        <f t="shared" si="90"/>
        <v>16.321200000000001</v>
      </c>
      <c r="J419" s="2339"/>
      <c r="L419" s="145">
        <f t="shared" si="95"/>
        <v>3</v>
      </c>
      <c r="M419" s="1918"/>
      <c r="N419" s="5">
        <f t="shared" si="96"/>
        <v>15.059999999999999</v>
      </c>
      <c r="O419" s="5">
        <f t="shared" si="97"/>
        <v>15.059999999999999</v>
      </c>
      <c r="P419" s="2339"/>
      <c r="R419" s="2392"/>
      <c r="S419" s="253">
        <f t="shared" si="91"/>
        <v>4.6900000000000004</v>
      </c>
      <c r="T419" s="253">
        <f t="shared" si="92"/>
        <v>37.520000000000003</v>
      </c>
      <c r="U419" s="253">
        <f t="shared" si="93"/>
        <v>3.7520000000000007</v>
      </c>
      <c r="V419" s="2339"/>
    </row>
    <row r="420" spans="1:22">
      <c r="A420" s="2336"/>
      <c r="B420" s="2325"/>
      <c r="C420" s="189">
        <v>32</v>
      </c>
      <c r="D420" s="2325"/>
      <c r="E420" s="2321"/>
      <c r="F420" s="5">
        <v>2.5</v>
      </c>
      <c r="G420" s="394">
        <f t="shared" si="94"/>
        <v>8.6999999999999993</v>
      </c>
      <c r="H420" s="5"/>
      <c r="I420" s="189">
        <f t="shared" si="90"/>
        <v>8.6999999999999993</v>
      </c>
      <c r="J420" s="2339"/>
      <c r="L420" s="145">
        <f t="shared" si="95"/>
        <v>2</v>
      </c>
      <c r="M420" s="1918"/>
      <c r="N420" s="5">
        <f t="shared" si="96"/>
        <v>10.039999999999999</v>
      </c>
      <c r="O420" s="5">
        <f t="shared" si="97"/>
        <v>10.039999999999999</v>
      </c>
      <c r="P420" s="2339"/>
      <c r="R420" s="2392"/>
      <c r="S420" s="253">
        <f t="shared" si="91"/>
        <v>2.5</v>
      </c>
      <c r="T420" s="253">
        <f t="shared" si="92"/>
        <v>20</v>
      </c>
      <c r="U420" s="253">
        <f t="shared" si="93"/>
        <v>2</v>
      </c>
      <c r="V420" s="2339"/>
    </row>
    <row r="421" spans="1:22">
      <c r="A421" s="2336"/>
      <c r="B421" s="2325"/>
      <c r="C421" s="189">
        <v>33</v>
      </c>
      <c r="D421" s="2325"/>
      <c r="E421" s="2321"/>
      <c r="F421" s="5">
        <v>1.18</v>
      </c>
      <c r="G421" s="394">
        <f t="shared" si="94"/>
        <v>4.1063999999999998</v>
      </c>
      <c r="H421" s="5"/>
      <c r="I421" s="189">
        <f t="shared" si="90"/>
        <v>4.1063999999999998</v>
      </c>
      <c r="J421" s="2339"/>
      <c r="L421" s="145">
        <f t="shared" si="95"/>
        <v>1</v>
      </c>
      <c r="M421" s="1918"/>
      <c r="N421" s="5">
        <f t="shared" si="96"/>
        <v>5.0199999999999996</v>
      </c>
      <c r="O421" s="5">
        <f t="shared" si="97"/>
        <v>5.0199999999999996</v>
      </c>
      <c r="P421" s="2339"/>
      <c r="R421" s="2392"/>
      <c r="S421" s="253">
        <f t="shared" si="91"/>
        <v>1.18</v>
      </c>
      <c r="T421" s="253">
        <f t="shared" si="92"/>
        <v>9.44</v>
      </c>
      <c r="U421" s="253">
        <f t="shared" si="93"/>
        <v>0.94399999999999995</v>
      </c>
      <c r="V421" s="2339"/>
    </row>
    <row r="422" spans="1:22">
      <c r="A422" s="2336"/>
      <c r="B422" s="2325"/>
      <c r="C422" s="189">
        <v>34</v>
      </c>
      <c r="D422" s="2325"/>
      <c r="E422" s="2321"/>
      <c r="F422" s="5">
        <v>1.83</v>
      </c>
      <c r="G422" s="394">
        <f t="shared" si="94"/>
        <v>6.3684000000000003</v>
      </c>
      <c r="H422" s="5"/>
      <c r="I422" s="189">
        <f t="shared" si="90"/>
        <v>6.3684000000000003</v>
      </c>
      <c r="J422" s="2339"/>
      <c r="L422" s="145">
        <f t="shared" si="95"/>
        <v>2</v>
      </c>
      <c r="M422" s="1918"/>
      <c r="N422" s="5">
        <f t="shared" si="96"/>
        <v>10.039999999999999</v>
      </c>
      <c r="O422" s="5">
        <f t="shared" si="97"/>
        <v>10.039999999999999</v>
      </c>
      <c r="P422" s="2339"/>
      <c r="R422" s="2392"/>
      <c r="S422" s="253">
        <f t="shared" si="91"/>
        <v>1.83</v>
      </c>
      <c r="T422" s="253">
        <f t="shared" si="92"/>
        <v>14.64</v>
      </c>
      <c r="U422" s="253">
        <f t="shared" si="93"/>
        <v>1.4640000000000002</v>
      </c>
      <c r="V422" s="2339"/>
    </row>
    <row r="423" spans="1:22">
      <c r="A423" s="2336"/>
      <c r="B423" s="2325"/>
      <c r="C423" s="189">
        <v>35</v>
      </c>
      <c r="D423" s="2325"/>
      <c r="E423" s="2321"/>
      <c r="F423" s="5">
        <v>2.31</v>
      </c>
      <c r="G423" s="394">
        <f t="shared" si="94"/>
        <v>8.0388000000000002</v>
      </c>
      <c r="H423" s="5"/>
      <c r="I423" s="189">
        <f t="shared" si="90"/>
        <v>8.0388000000000002</v>
      </c>
      <c r="J423" s="2339"/>
      <c r="L423" s="145">
        <f t="shared" si="95"/>
        <v>2</v>
      </c>
      <c r="M423" s="1918"/>
      <c r="N423" s="5">
        <f t="shared" si="96"/>
        <v>10.039999999999999</v>
      </c>
      <c r="O423" s="5">
        <f t="shared" si="97"/>
        <v>10.039999999999999</v>
      </c>
      <c r="P423" s="2339"/>
      <c r="R423" s="2392"/>
      <c r="S423" s="253">
        <f t="shared" si="91"/>
        <v>2.31</v>
      </c>
      <c r="T423" s="253">
        <f t="shared" si="92"/>
        <v>18.48</v>
      </c>
      <c r="U423" s="253">
        <f t="shared" si="93"/>
        <v>1.8480000000000001</v>
      </c>
      <c r="V423" s="2339"/>
    </row>
    <row r="424" spans="1:22">
      <c r="A424" s="2336"/>
      <c r="B424" s="2325"/>
      <c r="C424" s="189">
        <v>36</v>
      </c>
      <c r="D424" s="2325"/>
      <c r="E424" s="2321"/>
      <c r="F424" s="5">
        <v>3.87</v>
      </c>
      <c r="G424" s="394">
        <f t="shared" si="94"/>
        <v>13.467600000000001</v>
      </c>
      <c r="H424" s="5"/>
      <c r="I424" s="189">
        <f t="shared" si="90"/>
        <v>13.467600000000001</v>
      </c>
      <c r="J424" s="2339"/>
      <c r="L424" s="145">
        <f t="shared" si="95"/>
        <v>3</v>
      </c>
      <c r="M424" s="1918"/>
      <c r="N424" s="5">
        <f t="shared" si="96"/>
        <v>15.059999999999999</v>
      </c>
      <c r="O424" s="5">
        <f t="shared" si="97"/>
        <v>15.059999999999999</v>
      </c>
      <c r="P424" s="2339"/>
      <c r="R424" s="2392"/>
      <c r="S424" s="253">
        <f t="shared" si="91"/>
        <v>3.87</v>
      </c>
      <c r="T424" s="253">
        <f t="shared" si="92"/>
        <v>30.96</v>
      </c>
      <c r="U424" s="253">
        <f t="shared" si="93"/>
        <v>3.0960000000000001</v>
      </c>
      <c r="V424" s="2339"/>
    </row>
    <row r="425" spans="1:22">
      <c r="A425" s="2336"/>
      <c r="B425" s="2325"/>
      <c r="C425" s="189">
        <v>37</v>
      </c>
      <c r="D425" s="2325"/>
      <c r="E425" s="2321"/>
      <c r="F425" s="5">
        <v>3.83</v>
      </c>
      <c r="G425" s="394">
        <f t="shared" si="94"/>
        <v>13.3284</v>
      </c>
      <c r="H425" s="5"/>
      <c r="I425" s="189">
        <f t="shared" si="90"/>
        <v>13.3284</v>
      </c>
      <c r="J425" s="2339"/>
      <c r="L425" s="145">
        <f t="shared" si="95"/>
        <v>3</v>
      </c>
      <c r="M425" s="1918"/>
      <c r="N425" s="5">
        <f t="shared" si="96"/>
        <v>15.059999999999999</v>
      </c>
      <c r="O425" s="5">
        <f t="shared" si="97"/>
        <v>15.059999999999999</v>
      </c>
      <c r="P425" s="2339"/>
      <c r="R425" s="2392"/>
      <c r="S425" s="253">
        <f t="shared" si="91"/>
        <v>3.83</v>
      </c>
      <c r="T425" s="253">
        <f t="shared" si="92"/>
        <v>30.64</v>
      </c>
      <c r="U425" s="253">
        <f t="shared" si="93"/>
        <v>3.0640000000000001</v>
      </c>
      <c r="V425" s="2339"/>
    </row>
    <row r="426" spans="1:22">
      <c r="A426" s="2336"/>
      <c r="B426" s="2325"/>
      <c r="C426" s="189">
        <v>38</v>
      </c>
      <c r="D426" s="2325"/>
      <c r="E426" s="2321"/>
      <c r="F426" s="5">
        <v>7.15</v>
      </c>
      <c r="G426" s="394">
        <f t="shared" si="94"/>
        <v>24.882000000000001</v>
      </c>
      <c r="H426" s="5"/>
      <c r="I426" s="189">
        <f t="shared" si="90"/>
        <v>24.882000000000001</v>
      </c>
      <c r="J426" s="2339"/>
      <c r="L426" s="145">
        <f t="shared" si="95"/>
        <v>4</v>
      </c>
      <c r="M426" s="1918"/>
      <c r="N426" s="5">
        <f t="shared" si="96"/>
        <v>20.079999999999998</v>
      </c>
      <c r="O426" s="5">
        <f t="shared" si="97"/>
        <v>20.079999999999998</v>
      </c>
      <c r="P426" s="2339"/>
      <c r="R426" s="2392"/>
      <c r="S426" s="253">
        <f t="shared" si="91"/>
        <v>7.15</v>
      </c>
      <c r="T426" s="253">
        <f t="shared" si="92"/>
        <v>57.2</v>
      </c>
      <c r="U426" s="253">
        <f t="shared" si="93"/>
        <v>5.7200000000000006</v>
      </c>
      <c r="V426" s="2339"/>
    </row>
    <row r="427" spans="1:22">
      <c r="A427" s="2336"/>
      <c r="B427" s="2325"/>
      <c r="C427" s="189">
        <v>39</v>
      </c>
      <c r="D427" s="2325"/>
      <c r="E427" s="2321"/>
      <c r="F427" s="5">
        <v>2.15</v>
      </c>
      <c r="G427" s="394">
        <f t="shared" si="94"/>
        <v>7.4819999999999993</v>
      </c>
      <c r="H427" s="5"/>
      <c r="I427" s="189">
        <f t="shared" si="90"/>
        <v>7.4819999999999993</v>
      </c>
      <c r="J427" s="2339"/>
      <c r="L427" s="145">
        <f t="shared" si="95"/>
        <v>2</v>
      </c>
      <c r="M427" s="1918"/>
      <c r="N427" s="5">
        <f t="shared" si="96"/>
        <v>10.039999999999999</v>
      </c>
      <c r="O427" s="5">
        <f t="shared" si="97"/>
        <v>10.039999999999999</v>
      </c>
      <c r="P427" s="2339"/>
      <c r="R427" s="2392"/>
      <c r="S427" s="253">
        <f t="shared" si="91"/>
        <v>2.15</v>
      </c>
      <c r="T427" s="253">
        <f t="shared" si="92"/>
        <v>17.2</v>
      </c>
      <c r="U427" s="253">
        <f t="shared" si="93"/>
        <v>1.72</v>
      </c>
      <c r="V427" s="2339"/>
    </row>
    <row r="428" spans="1:22">
      <c r="A428" s="2336"/>
      <c r="B428" s="2325"/>
      <c r="C428" s="189">
        <v>40</v>
      </c>
      <c r="D428" s="2325"/>
      <c r="E428" s="2321"/>
      <c r="F428" s="5">
        <v>0.89</v>
      </c>
      <c r="G428" s="394">
        <f t="shared" si="94"/>
        <v>3.0972</v>
      </c>
      <c r="H428" s="5"/>
      <c r="I428" s="189">
        <f t="shared" si="90"/>
        <v>3.0972</v>
      </c>
      <c r="J428" s="2339"/>
      <c r="L428" s="145">
        <f t="shared" si="95"/>
        <v>1</v>
      </c>
      <c r="M428" s="1918"/>
      <c r="N428" s="5">
        <f t="shared" si="96"/>
        <v>5.0199999999999996</v>
      </c>
      <c r="O428" s="5">
        <f t="shared" si="97"/>
        <v>5.0199999999999996</v>
      </c>
      <c r="P428" s="2339"/>
      <c r="R428" s="2392"/>
      <c r="S428" s="253">
        <f t="shared" si="91"/>
        <v>0.89</v>
      </c>
      <c r="T428" s="253">
        <f t="shared" si="92"/>
        <v>7.12</v>
      </c>
      <c r="U428" s="253">
        <f t="shared" si="93"/>
        <v>0.71200000000000008</v>
      </c>
      <c r="V428" s="2339"/>
    </row>
    <row r="429" spans="1:22">
      <c r="A429" s="2336"/>
      <c r="B429" s="2325"/>
      <c r="C429" s="189">
        <v>41</v>
      </c>
      <c r="D429" s="2325"/>
      <c r="E429" s="2321"/>
      <c r="F429" s="5">
        <v>0.8</v>
      </c>
      <c r="G429" s="394">
        <f t="shared" si="94"/>
        <v>2.7840000000000003</v>
      </c>
      <c r="H429" s="5"/>
      <c r="I429" s="189">
        <f t="shared" si="90"/>
        <v>2.7840000000000003</v>
      </c>
      <c r="J429" s="2339"/>
      <c r="L429" s="145">
        <f t="shared" si="95"/>
        <v>1</v>
      </c>
      <c r="M429" s="1918"/>
      <c r="N429" s="5">
        <f t="shared" si="96"/>
        <v>5.0199999999999996</v>
      </c>
      <c r="O429" s="5">
        <f t="shared" si="97"/>
        <v>5.0199999999999996</v>
      </c>
      <c r="P429" s="2339"/>
      <c r="R429" s="2392"/>
      <c r="S429" s="253">
        <f t="shared" si="91"/>
        <v>0.8</v>
      </c>
      <c r="T429" s="253">
        <f t="shared" si="92"/>
        <v>6.4</v>
      </c>
      <c r="U429" s="253">
        <f t="shared" si="93"/>
        <v>0.64000000000000012</v>
      </c>
      <c r="V429" s="2339"/>
    </row>
    <row r="430" spans="1:22">
      <c r="A430" s="2336"/>
      <c r="B430" s="2325"/>
      <c r="C430" s="189">
        <v>42</v>
      </c>
      <c r="D430" s="2325"/>
      <c r="E430" s="2322"/>
      <c r="F430" s="5">
        <v>1.03</v>
      </c>
      <c r="G430" s="394">
        <f t="shared" si="94"/>
        <v>3.5844</v>
      </c>
      <c r="H430" s="5"/>
      <c r="I430" s="189">
        <f t="shared" si="90"/>
        <v>3.5844</v>
      </c>
      <c r="J430" s="2339"/>
      <c r="L430" s="145">
        <f t="shared" si="95"/>
        <v>1</v>
      </c>
      <c r="M430" s="1918"/>
      <c r="N430" s="5">
        <f t="shared" si="96"/>
        <v>5.0199999999999996</v>
      </c>
      <c r="O430" s="5">
        <f t="shared" si="97"/>
        <v>5.0199999999999996</v>
      </c>
      <c r="P430" s="2339"/>
      <c r="R430" s="2392"/>
      <c r="S430" s="253">
        <f t="shared" si="91"/>
        <v>1.03</v>
      </c>
      <c r="T430" s="253">
        <f t="shared" si="92"/>
        <v>8.24</v>
      </c>
      <c r="U430" s="253">
        <f t="shared" si="93"/>
        <v>0.82400000000000007</v>
      </c>
      <c r="V430" s="2339"/>
    </row>
    <row r="431" spans="1:22">
      <c r="A431" s="2336"/>
      <c r="B431" s="2325"/>
      <c r="C431" s="189">
        <v>43</v>
      </c>
      <c r="D431" s="2325"/>
      <c r="E431" s="2323">
        <v>3</v>
      </c>
      <c r="F431" s="5">
        <v>6.35</v>
      </c>
      <c r="G431" s="394">
        <f>$E$431*F431</f>
        <v>19.049999999999997</v>
      </c>
      <c r="H431" s="5"/>
      <c r="I431" s="189">
        <f t="shared" si="90"/>
        <v>19.049999999999997</v>
      </c>
      <c r="J431" s="2339"/>
      <c r="L431" s="145">
        <f>TRUNC((F431/1.2))+1</f>
        <v>6</v>
      </c>
      <c r="M431" s="1918">
        <f>($E$431)+(0.12+0.56+0.9)</f>
        <v>4.58</v>
      </c>
      <c r="N431" s="5">
        <f>$M$431*L431</f>
        <v>27.48</v>
      </c>
      <c r="O431" s="5">
        <f t="shared" si="97"/>
        <v>27.48</v>
      </c>
      <c r="P431" s="2339"/>
      <c r="R431" s="2392"/>
      <c r="S431" s="253">
        <f t="shared" si="91"/>
        <v>6.35</v>
      </c>
      <c r="T431" s="253">
        <f t="shared" si="92"/>
        <v>50.8</v>
      </c>
      <c r="U431" s="253">
        <f t="shared" si="93"/>
        <v>5.08</v>
      </c>
      <c r="V431" s="2339"/>
    </row>
    <row r="432" spans="1:22">
      <c r="A432" s="2336"/>
      <c r="B432" s="2325"/>
      <c r="C432" s="189">
        <v>44</v>
      </c>
      <c r="D432" s="2325"/>
      <c r="E432" s="2321"/>
      <c r="F432" s="5">
        <v>7.42</v>
      </c>
      <c r="G432" s="394">
        <f>$E$431*F432</f>
        <v>22.259999999999998</v>
      </c>
      <c r="H432" s="5">
        <f>1*1.1</f>
        <v>1.1000000000000001</v>
      </c>
      <c r="I432" s="189">
        <f t="shared" si="90"/>
        <v>21.159999999999997</v>
      </c>
      <c r="J432" s="2339"/>
      <c r="L432" s="145">
        <f>TRUNC((F432/1.2))+1</f>
        <v>7</v>
      </c>
      <c r="M432" s="1918"/>
      <c r="N432" s="5">
        <f>$M$431*L432</f>
        <v>32.06</v>
      </c>
      <c r="O432" s="5">
        <f t="shared" si="97"/>
        <v>32.06</v>
      </c>
      <c r="P432" s="2339"/>
      <c r="R432" s="2392"/>
      <c r="S432" s="253">
        <f t="shared" si="91"/>
        <v>7.42</v>
      </c>
      <c r="T432" s="253">
        <f t="shared" si="92"/>
        <v>59.36</v>
      </c>
      <c r="U432" s="253">
        <f t="shared" si="93"/>
        <v>5.9359999999999999</v>
      </c>
      <c r="V432" s="2339"/>
    </row>
    <row r="433" spans="1:22">
      <c r="A433" s="2336"/>
      <c r="B433" s="2325"/>
      <c r="C433" s="189">
        <v>45</v>
      </c>
      <c r="D433" s="2325"/>
      <c r="E433" s="2321"/>
      <c r="F433" s="5">
        <v>13.51</v>
      </c>
      <c r="G433" s="394">
        <f>$E$431*F433</f>
        <v>40.53</v>
      </c>
      <c r="H433" s="5">
        <f>2*((0.968+1.22+1.22+1.698)*1.1)</f>
        <v>11.2332</v>
      </c>
      <c r="I433" s="189">
        <f>G433-H433</f>
        <v>29.296800000000001</v>
      </c>
      <c r="J433" s="2339"/>
      <c r="L433" s="145">
        <f>TRUNC((F433/1.2))+1</f>
        <v>12</v>
      </c>
      <c r="M433" s="1918"/>
      <c r="N433" s="5">
        <f>$M$431*L433</f>
        <v>54.96</v>
      </c>
      <c r="O433" s="5">
        <f t="shared" si="97"/>
        <v>54.96</v>
      </c>
      <c r="P433" s="2339"/>
      <c r="R433" s="2392"/>
      <c r="S433" s="253">
        <f t="shared" si="91"/>
        <v>13.51</v>
      </c>
      <c r="T433" s="253">
        <f t="shared" si="92"/>
        <v>108.08</v>
      </c>
      <c r="U433" s="253">
        <f t="shared" si="93"/>
        <v>10.808</v>
      </c>
      <c r="V433" s="2339"/>
    </row>
    <row r="434" spans="1:22">
      <c r="A434" s="2336"/>
      <c r="B434" s="2325"/>
      <c r="C434" s="189">
        <v>46</v>
      </c>
      <c r="D434" s="2325"/>
      <c r="E434" s="2322"/>
      <c r="F434" s="5">
        <v>48.4</v>
      </c>
      <c r="G434" s="394">
        <f>$E$431*F434</f>
        <v>145.19999999999999</v>
      </c>
      <c r="H434" s="5">
        <f>1.1*(1.573+1.22+1.22+0.855+0.904+(6*1.22)+0.757+0.884+0.733)+3*9.245+((3*1.22+0.906+0.886)*1.1)+(1.1*(1.344+1.213+1.227+1.213+1.169+1.22+1.22+1.175))</f>
        <v>61.503900000000009</v>
      </c>
      <c r="I434" s="189">
        <f>G434-H434</f>
        <v>83.696099999999973</v>
      </c>
      <c r="J434" s="2339"/>
      <c r="L434" s="145">
        <f>TRUNC((F434/1.2))+1</f>
        <v>41</v>
      </c>
      <c r="M434" s="1918"/>
      <c r="N434" s="5">
        <f>$M$431*L434</f>
        <v>187.78</v>
      </c>
      <c r="O434" s="5">
        <f t="shared" si="97"/>
        <v>187.78</v>
      </c>
      <c r="P434" s="2339"/>
      <c r="R434" s="2392"/>
      <c r="S434" s="253">
        <f t="shared" si="91"/>
        <v>48.4</v>
      </c>
      <c r="T434" s="253">
        <f t="shared" si="92"/>
        <v>387.2</v>
      </c>
      <c r="U434" s="253">
        <f t="shared" si="93"/>
        <v>38.72</v>
      </c>
      <c r="V434" s="2339"/>
    </row>
    <row r="435" spans="1:22">
      <c r="A435" s="2336"/>
      <c r="B435" s="2325"/>
      <c r="C435" s="189">
        <v>47</v>
      </c>
      <c r="D435" s="2325"/>
      <c r="E435" s="2323">
        <v>3.48</v>
      </c>
      <c r="F435" s="5">
        <v>3.94</v>
      </c>
      <c r="G435" s="394">
        <f>$E$435*F435</f>
        <v>13.7112</v>
      </c>
      <c r="H435" s="5">
        <f>(1/3)*G435</f>
        <v>4.5703999999999994</v>
      </c>
      <c r="I435" s="189">
        <f>G435-H435</f>
        <v>9.1408000000000005</v>
      </c>
      <c r="J435" s="2339"/>
      <c r="L435" s="145">
        <f>TRUNC((F435/1.8))+1</f>
        <v>3</v>
      </c>
      <c r="M435" s="1918">
        <f>($E$435)+(0.66+0.88)</f>
        <v>5.0199999999999996</v>
      </c>
      <c r="N435" s="5">
        <f>$M$435*L435</f>
        <v>15.059999999999999</v>
      </c>
      <c r="O435" s="5">
        <f t="shared" si="97"/>
        <v>15.059999999999999</v>
      </c>
      <c r="P435" s="2339"/>
      <c r="R435" s="2392"/>
      <c r="S435" s="253">
        <f t="shared" si="91"/>
        <v>3.94</v>
      </c>
      <c r="T435" s="253">
        <f t="shared" si="92"/>
        <v>31.52</v>
      </c>
      <c r="U435" s="253">
        <f t="shared" si="93"/>
        <v>3.1520000000000001</v>
      </c>
      <c r="V435" s="2339"/>
    </row>
    <row r="436" spans="1:22">
      <c r="A436" s="2336"/>
      <c r="B436" s="2325"/>
      <c r="C436" s="189">
        <v>48</v>
      </c>
      <c r="D436" s="2325"/>
      <c r="E436" s="2321"/>
      <c r="F436" s="5">
        <v>3.69</v>
      </c>
      <c r="G436" s="394">
        <f t="shared" ref="G436:G473" si="98">$E$435*F436</f>
        <v>12.841200000000001</v>
      </c>
      <c r="H436" s="5">
        <f t="shared" ref="H436:H454" si="99">(1/3)*G436</f>
        <v>4.2804000000000002</v>
      </c>
      <c r="I436" s="189">
        <f t="shared" si="90"/>
        <v>8.5608000000000004</v>
      </c>
      <c r="J436" s="2339"/>
      <c r="L436" s="145">
        <f t="shared" ref="L436:L473" si="100">TRUNC((F436/1.8))+1</f>
        <v>3</v>
      </c>
      <c r="M436" s="1918"/>
      <c r="N436" s="5">
        <f t="shared" ref="N436:N473" si="101">$M$435*L436</f>
        <v>15.059999999999999</v>
      </c>
      <c r="O436" s="5">
        <f t="shared" si="97"/>
        <v>15.059999999999999</v>
      </c>
      <c r="P436" s="2339"/>
      <c r="R436" s="2392"/>
      <c r="S436" s="253">
        <f t="shared" si="91"/>
        <v>3.69</v>
      </c>
      <c r="T436" s="253">
        <f t="shared" si="92"/>
        <v>29.52</v>
      </c>
      <c r="U436" s="253">
        <f t="shared" si="93"/>
        <v>2.952</v>
      </c>
      <c r="V436" s="2339"/>
    </row>
    <row r="437" spans="1:22">
      <c r="A437" s="2336"/>
      <c r="B437" s="2325"/>
      <c r="C437" s="189">
        <v>49</v>
      </c>
      <c r="D437" s="2325"/>
      <c r="E437" s="2321"/>
      <c r="F437" s="5">
        <v>3.72</v>
      </c>
      <c r="G437" s="394">
        <f t="shared" si="98"/>
        <v>12.945600000000001</v>
      </c>
      <c r="H437" s="5">
        <f t="shared" si="99"/>
        <v>4.3151999999999999</v>
      </c>
      <c r="I437" s="189">
        <f t="shared" si="90"/>
        <v>8.6304000000000016</v>
      </c>
      <c r="J437" s="2339"/>
      <c r="L437" s="145">
        <f t="shared" si="100"/>
        <v>3</v>
      </c>
      <c r="M437" s="1918"/>
      <c r="N437" s="5">
        <f t="shared" si="101"/>
        <v>15.059999999999999</v>
      </c>
      <c r="O437" s="5">
        <f t="shared" si="97"/>
        <v>15.059999999999999</v>
      </c>
      <c r="P437" s="2339"/>
      <c r="R437" s="2392"/>
      <c r="S437" s="253">
        <f t="shared" si="91"/>
        <v>3.72</v>
      </c>
      <c r="T437" s="253">
        <f t="shared" si="92"/>
        <v>29.76</v>
      </c>
      <c r="U437" s="253">
        <f t="shared" si="93"/>
        <v>2.9760000000000004</v>
      </c>
      <c r="V437" s="2339"/>
    </row>
    <row r="438" spans="1:22">
      <c r="A438" s="2336"/>
      <c r="B438" s="2325"/>
      <c r="C438" s="189">
        <v>50</v>
      </c>
      <c r="D438" s="2325"/>
      <c r="E438" s="2321"/>
      <c r="F438" s="5">
        <v>4.76</v>
      </c>
      <c r="G438" s="394">
        <f t="shared" si="98"/>
        <v>16.564799999999998</v>
      </c>
      <c r="H438" s="5">
        <f t="shared" si="99"/>
        <v>5.5215999999999994</v>
      </c>
      <c r="I438" s="189">
        <f t="shared" si="90"/>
        <v>11.043199999999999</v>
      </c>
      <c r="J438" s="2339"/>
      <c r="L438" s="145">
        <f t="shared" si="100"/>
        <v>3</v>
      </c>
      <c r="M438" s="1918"/>
      <c r="N438" s="5">
        <f t="shared" si="101"/>
        <v>15.059999999999999</v>
      </c>
      <c r="O438" s="5">
        <f t="shared" si="97"/>
        <v>15.059999999999999</v>
      </c>
      <c r="P438" s="2339"/>
      <c r="R438" s="2392"/>
      <c r="S438" s="253">
        <f t="shared" si="91"/>
        <v>4.76</v>
      </c>
      <c r="T438" s="253">
        <f t="shared" si="92"/>
        <v>38.08</v>
      </c>
      <c r="U438" s="253">
        <f t="shared" si="93"/>
        <v>3.8079999999999998</v>
      </c>
      <c r="V438" s="2339"/>
    </row>
    <row r="439" spans="1:22">
      <c r="A439" s="2336"/>
      <c r="B439" s="2325"/>
      <c r="C439" s="189">
        <v>51</v>
      </c>
      <c r="D439" s="2325"/>
      <c r="E439" s="2321"/>
      <c r="F439" s="5">
        <v>3.71</v>
      </c>
      <c r="G439" s="394">
        <f t="shared" si="98"/>
        <v>12.9108</v>
      </c>
      <c r="H439" s="5">
        <f t="shared" si="99"/>
        <v>4.3035999999999994</v>
      </c>
      <c r="I439" s="189">
        <f t="shared" si="90"/>
        <v>8.6072000000000006</v>
      </c>
      <c r="J439" s="2339"/>
      <c r="L439" s="145">
        <f t="shared" si="100"/>
        <v>3</v>
      </c>
      <c r="M439" s="1918"/>
      <c r="N439" s="5">
        <f t="shared" si="101"/>
        <v>15.059999999999999</v>
      </c>
      <c r="O439" s="5">
        <f t="shared" si="97"/>
        <v>15.059999999999999</v>
      </c>
      <c r="P439" s="2339"/>
      <c r="R439" s="2392"/>
      <c r="S439" s="253">
        <f t="shared" si="91"/>
        <v>3.71</v>
      </c>
      <c r="T439" s="253">
        <f t="shared" si="92"/>
        <v>29.68</v>
      </c>
      <c r="U439" s="253">
        <f t="shared" si="93"/>
        <v>2.968</v>
      </c>
      <c r="V439" s="2339"/>
    </row>
    <row r="440" spans="1:22">
      <c r="A440" s="2336"/>
      <c r="B440" s="2325"/>
      <c r="C440" s="189">
        <v>52</v>
      </c>
      <c r="D440" s="2325"/>
      <c r="E440" s="2321"/>
      <c r="F440" s="5">
        <v>3.71</v>
      </c>
      <c r="G440" s="394">
        <f t="shared" si="98"/>
        <v>12.9108</v>
      </c>
      <c r="H440" s="5">
        <f t="shared" si="99"/>
        <v>4.3035999999999994</v>
      </c>
      <c r="I440" s="189">
        <f t="shared" si="90"/>
        <v>8.6072000000000006</v>
      </c>
      <c r="J440" s="2339"/>
      <c r="L440" s="145">
        <f t="shared" si="100"/>
        <v>3</v>
      </c>
      <c r="M440" s="1918"/>
      <c r="N440" s="5">
        <f t="shared" si="101"/>
        <v>15.059999999999999</v>
      </c>
      <c r="O440" s="5">
        <f t="shared" si="97"/>
        <v>15.059999999999999</v>
      </c>
      <c r="P440" s="2339"/>
      <c r="R440" s="2392"/>
      <c r="S440" s="253">
        <f t="shared" si="91"/>
        <v>3.71</v>
      </c>
      <c r="T440" s="253">
        <f t="shared" si="92"/>
        <v>29.68</v>
      </c>
      <c r="U440" s="253">
        <f t="shared" si="93"/>
        <v>2.968</v>
      </c>
      <c r="V440" s="2339"/>
    </row>
    <row r="441" spans="1:22">
      <c r="A441" s="2336"/>
      <c r="B441" s="2325"/>
      <c r="C441" s="189">
        <v>53</v>
      </c>
      <c r="D441" s="2325"/>
      <c r="E441" s="2321"/>
      <c r="F441" s="5">
        <v>4</v>
      </c>
      <c r="G441" s="394">
        <f t="shared" si="98"/>
        <v>13.92</v>
      </c>
      <c r="H441" s="5">
        <f t="shared" si="99"/>
        <v>4.6399999999999997</v>
      </c>
      <c r="I441" s="189">
        <f t="shared" si="90"/>
        <v>9.2800000000000011</v>
      </c>
      <c r="J441" s="2339"/>
      <c r="L441" s="145">
        <f t="shared" si="100"/>
        <v>3</v>
      </c>
      <c r="M441" s="1918"/>
      <c r="N441" s="5">
        <f t="shared" si="101"/>
        <v>15.059999999999999</v>
      </c>
      <c r="O441" s="5">
        <f t="shared" si="97"/>
        <v>15.059999999999999</v>
      </c>
      <c r="P441" s="2339"/>
      <c r="R441" s="2392"/>
      <c r="S441" s="253">
        <f t="shared" si="91"/>
        <v>4</v>
      </c>
      <c r="T441" s="253">
        <f t="shared" si="92"/>
        <v>32</v>
      </c>
      <c r="U441" s="253">
        <f t="shared" si="93"/>
        <v>3.2</v>
      </c>
      <c r="V441" s="2339"/>
    </row>
    <row r="442" spans="1:22">
      <c r="A442" s="2336"/>
      <c r="B442" s="2325"/>
      <c r="C442" s="189">
        <v>54</v>
      </c>
      <c r="D442" s="2325"/>
      <c r="E442" s="2321"/>
      <c r="F442" s="5">
        <v>3.71</v>
      </c>
      <c r="G442" s="394">
        <f t="shared" si="98"/>
        <v>12.9108</v>
      </c>
      <c r="H442" s="5">
        <f t="shared" si="99"/>
        <v>4.3035999999999994</v>
      </c>
      <c r="I442" s="189">
        <f t="shared" si="90"/>
        <v>8.6072000000000006</v>
      </c>
      <c r="J442" s="2339"/>
      <c r="L442" s="145">
        <f t="shared" si="100"/>
        <v>3</v>
      </c>
      <c r="M442" s="1918"/>
      <c r="N442" s="5">
        <f t="shared" si="101"/>
        <v>15.059999999999999</v>
      </c>
      <c r="O442" s="5">
        <f t="shared" si="97"/>
        <v>15.059999999999999</v>
      </c>
      <c r="P442" s="2339"/>
      <c r="R442" s="2392"/>
      <c r="S442" s="253">
        <f t="shared" si="91"/>
        <v>3.71</v>
      </c>
      <c r="T442" s="253">
        <f t="shared" si="92"/>
        <v>29.68</v>
      </c>
      <c r="U442" s="253">
        <f t="shared" si="93"/>
        <v>2.968</v>
      </c>
      <c r="V442" s="2339"/>
    </row>
    <row r="443" spans="1:22">
      <c r="A443" s="2336"/>
      <c r="B443" s="2325"/>
      <c r="C443" s="189">
        <v>55</v>
      </c>
      <c r="D443" s="2325"/>
      <c r="E443" s="2321"/>
      <c r="F443" s="5">
        <v>3.71</v>
      </c>
      <c r="G443" s="394">
        <f t="shared" si="98"/>
        <v>12.9108</v>
      </c>
      <c r="H443" s="5">
        <f t="shared" si="99"/>
        <v>4.3035999999999994</v>
      </c>
      <c r="I443" s="189">
        <f t="shared" si="90"/>
        <v>8.6072000000000006</v>
      </c>
      <c r="J443" s="2339"/>
      <c r="L443" s="145">
        <f t="shared" si="100"/>
        <v>3</v>
      </c>
      <c r="M443" s="1918"/>
      <c r="N443" s="5">
        <f t="shared" si="101"/>
        <v>15.059999999999999</v>
      </c>
      <c r="O443" s="5">
        <f t="shared" si="97"/>
        <v>15.059999999999999</v>
      </c>
      <c r="P443" s="2339"/>
      <c r="R443" s="2392"/>
      <c r="S443" s="253">
        <f t="shared" si="91"/>
        <v>3.71</v>
      </c>
      <c r="T443" s="253">
        <f t="shared" si="92"/>
        <v>29.68</v>
      </c>
      <c r="U443" s="253">
        <f t="shared" si="93"/>
        <v>2.968</v>
      </c>
      <c r="V443" s="2339"/>
    </row>
    <row r="444" spans="1:22">
      <c r="A444" s="2336"/>
      <c r="B444" s="2325"/>
      <c r="C444" s="189">
        <v>56</v>
      </c>
      <c r="D444" s="2325"/>
      <c r="E444" s="2321"/>
      <c r="F444" s="5">
        <v>3.46</v>
      </c>
      <c r="G444" s="394">
        <f t="shared" si="98"/>
        <v>12.040799999999999</v>
      </c>
      <c r="H444" s="5">
        <f t="shared" si="99"/>
        <v>4.0135999999999994</v>
      </c>
      <c r="I444" s="189">
        <f t="shared" si="90"/>
        <v>8.0272000000000006</v>
      </c>
      <c r="J444" s="2339"/>
      <c r="L444" s="145">
        <f t="shared" si="100"/>
        <v>2</v>
      </c>
      <c r="M444" s="1918"/>
      <c r="N444" s="5">
        <f t="shared" si="101"/>
        <v>10.039999999999999</v>
      </c>
      <c r="O444" s="5">
        <f t="shared" si="97"/>
        <v>10.039999999999999</v>
      </c>
      <c r="P444" s="2339"/>
      <c r="R444" s="2392"/>
      <c r="S444" s="253">
        <f t="shared" si="91"/>
        <v>3.46</v>
      </c>
      <c r="T444" s="253">
        <f t="shared" si="92"/>
        <v>27.68</v>
      </c>
      <c r="U444" s="253">
        <f t="shared" si="93"/>
        <v>2.7680000000000002</v>
      </c>
      <c r="V444" s="2339"/>
    </row>
    <row r="445" spans="1:22">
      <c r="A445" s="2336"/>
      <c r="B445" s="2325"/>
      <c r="C445" s="189">
        <v>57</v>
      </c>
      <c r="D445" s="2325"/>
      <c r="E445" s="2321"/>
      <c r="F445" s="5">
        <v>3.37</v>
      </c>
      <c r="G445" s="394">
        <f t="shared" si="98"/>
        <v>11.727600000000001</v>
      </c>
      <c r="H445" s="5">
        <f t="shared" si="99"/>
        <v>3.9092000000000002</v>
      </c>
      <c r="I445" s="189">
        <f t="shared" si="90"/>
        <v>7.8184000000000005</v>
      </c>
      <c r="J445" s="2339"/>
      <c r="L445" s="145">
        <f t="shared" si="100"/>
        <v>2</v>
      </c>
      <c r="M445" s="1918"/>
      <c r="N445" s="5">
        <f t="shared" si="101"/>
        <v>10.039999999999999</v>
      </c>
      <c r="O445" s="5">
        <f t="shared" si="97"/>
        <v>10.039999999999999</v>
      </c>
      <c r="P445" s="2339"/>
      <c r="R445" s="2392"/>
      <c r="S445" s="253">
        <f t="shared" si="91"/>
        <v>3.37</v>
      </c>
      <c r="T445" s="253">
        <f t="shared" si="92"/>
        <v>26.96</v>
      </c>
      <c r="U445" s="253">
        <f t="shared" si="93"/>
        <v>2.6960000000000002</v>
      </c>
      <c r="V445" s="2339"/>
    </row>
    <row r="446" spans="1:22">
      <c r="A446" s="2336"/>
      <c r="B446" s="2325"/>
      <c r="C446" s="189">
        <v>58</v>
      </c>
      <c r="D446" s="2325"/>
      <c r="E446" s="2321"/>
      <c r="F446" s="5">
        <v>4.17</v>
      </c>
      <c r="G446" s="394">
        <f t="shared" si="98"/>
        <v>14.5116</v>
      </c>
      <c r="H446" s="5">
        <f t="shared" si="99"/>
        <v>4.8371999999999993</v>
      </c>
      <c r="I446" s="189">
        <f t="shared" si="90"/>
        <v>9.6744000000000003</v>
      </c>
      <c r="J446" s="2339"/>
      <c r="L446" s="145">
        <f t="shared" si="100"/>
        <v>3</v>
      </c>
      <c r="M446" s="1918"/>
      <c r="N446" s="5">
        <f t="shared" si="101"/>
        <v>15.059999999999999</v>
      </c>
      <c r="O446" s="5">
        <f t="shared" si="97"/>
        <v>15.059999999999999</v>
      </c>
      <c r="P446" s="2339"/>
      <c r="R446" s="2392"/>
      <c r="S446" s="253">
        <f t="shared" si="91"/>
        <v>4.17</v>
      </c>
      <c r="T446" s="253">
        <f t="shared" si="92"/>
        <v>33.36</v>
      </c>
      <c r="U446" s="253">
        <f t="shared" si="93"/>
        <v>3.3360000000000003</v>
      </c>
      <c r="V446" s="2339"/>
    </row>
    <row r="447" spans="1:22">
      <c r="A447" s="2336"/>
      <c r="B447" s="2325"/>
      <c r="C447" s="189">
        <v>59</v>
      </c>
      <c r="D447" s="2325"/>
      <c r="E447" s="2321"/>
      <c r="F447" s="5">
        <v>4.83</v>
      </c>
      <c r="G447" s="394">
        <f t="shared" si="98"/>
        <v>16.808399999999999</v>
      </c>
      <c r="H447" s="5">
        <f t="shared" si="99"/>
        <v>5.6027999999999993</v>
      </c>
      <c r="I447" s="189">
        <f t="shared" si="90"/>
        <v>11.2056</v>
      </c>
      <c r="J447" s="2339"/>
      <c r="L447" s="145">
        <f t="shared" si="100"/>
        <v>3</v>
      </c>
      <c r="M447" s="1918"/>
      <c r="N447" s="5">
        <f t="shared" si="101"/>
        <v>15.059999999999999</v>
      </c>
      <c r="O447" s="5">
        <f t="shared" si="97"/>
        <v>15.059999999999999</v>
      </c>
      <c r="P447" s="2339"/>
      <c r="R447" s="2392"/>
      <c r="S447" s="253">
        <f t="shared" si="91"/>
        <v>4.83</v>
      </c>
      <c r="T447" s="253">
        <f t="shared" si="92"/>
        <v>38.64</v>
      </c>
      <c r="U447" s="253">
        <f t="shared" si="93"/>
        <v>3.8640000000000003</v>
      </c>
      <c r="V447" s="2339"/>
    </row>
    <row r="448" spans="1:22">
      <c r="A448" s="2336"/>
      <c r="B448" s="2325"/>
      <c r="C448" s="189">
        <v>60</v>
      </c>
      <c r="D448" s="2325"/>
      <c r="E448" s="2321"/>
      <c r="F448" s="5">
        <v>3.37</v>
      </c>
      <c r="G448" s="394">
        <f t="shared" si="98"/>
        <v>11.727600000000001</v>
      </c>
      <c r="H448" s="5">
        <f t="shared" si="99"/>
        <v>3.9092000000000002</v>
      </c>
      <c r="I448" s="189">
        <f t="shared" si="90"/>
        <v>7.8184000000000005</v>
      </c>
      <c r="J448" s="2339"/>
      <c r="L448" s="145">
        <f t="shared" si="100"/>
        <v>2</v>
      </c>
      <c r="M448" s="1918"/>
      <c r="N448" s="5">
        <f t="shared" si="101"/>
        <v>10.039999999999999</v>
      </c>
      <c r="O448" s="5">
        <f t="shared" si="97"/>
        <v>10.039999999999999</v>
      </c>
      <c r="P448" s="2339"/>
      <c r="R448" s="2392"/>
      <c r="S448" s="253">
        <f t="shared" si="91"/>
        <v>3.37</v>
      </c>
      <c r="T448" s="253">
        <f t="shared" si="92"/>
        <v>26.96</v>
      </c>
      <c r="U448" s="253">
        <f t="shared" si="93"/>
        <v>2.6960000000000002</v>
      </c>
      <c r="V448" s="2339"/>
    </row>
    <row r="449" spans="1:22">
      <c r="A449" s="2336"/>
      <c r="B449" s="2325"/>
      <c r="C449" s="189">
        <v>61</v>
      </c>
      <c r="D449" s="2325"/>
      <c r="E449" s="2321"/>
      <c r="F449" s="5">
        <v>3.63</v>
      </c>
      <c r="G449" s="394">
        <f t="shared" si="98"/>
        <v>12.632399999999999</v>
      </c>
      <c r="H449" s="5">
        <f t="shared" si="99"/>
        <v>4.210799999999999</v>
      </c>
      <c r="I449" s="189">
        <f t="shared" si="90"/>
        <v>8.4215999999999998</v>
      </c>
      <c r="J449" s="2339"/>
      <c r="L449" s="145">
        <f t="shared" si="100"/>
        <v>3</v>
      </c>
      <c r="M449" s="1918"/>
      <c r="N449" s="5">
        <f t="shared" si="101"/>
        <v>15.059999999999999</v>
      </c>
      <c r="O449" s="5">
        <f t="shared" si="97"/>
        <v>15.059999999999999</v>
      </c>
      <c r="P449" s="2339"/>
      <c r="R449" s="2392"/>
      <c r="S449" s="253">
        <f t="shared" si="91"/>
        <v>3.63</v>
      </c>
      <c r="T449" s="253">
        <f t="shared" si="92"/>
        <v>29.04</v>
      </c>
      <c r="U449" s="253">
        <f t="shared" si="93"/>
        <v>2.9039999999999999</v>
      </c>
      <c r="V449" s="2339"/>
    </row>
    <row r="450" spans="1:22">
      <c r="A450" s="2336"/>
      <c r="B450" s="2325"/>
      <c r="C450" s="189">
        <v>62</v>
      </c>
      <c r="D450" s="2325"/>
      <c r="E450" s="2321"/>
      <c r="F450" s="5">
        <v>3.71</v>
      </c>
      <c r="G450" s="394">
        <f t="shared" si="98"/>
        <v>12.9108</v>
      </c>
      <c r="H450" s="5">
        <f t="shared" si="99"/>
        <v>4.3035999999999994</v>
      </c>
      <c r="I450" s="189">
        <f t="shared" si="90"/>
        <v>8.6072000000000006</v>
      </c>
      <c r="J450" s="2339"/>
      <c r="L450" s="145">
        <f t="shared" si="100"/>
        <v>3</v>
      </c>
      <c r="M450" s="1918"/>
      <c r="N450" s="5">
        <f t="shared" si="101"/>
        <v>15.059999999999999</v>
      </c>
      <c r="O450" s="5">
        <f t="shared" si="97"/>
        <v>15.059999999999999</v>
      </c>
      <c r="P450" s="2339"/>
      <c r="R450" s="2392"/>
      <c r="S450" s="253">
        <f t="shared" si="91"/>
        <v>3.71</v>
      </c>
      <c r="T450" s="253">
        <f t="shared" si="92"/>
        <v>29.68</v>
      </c>
      <c r="U450" s="253">
        <f t="shared" si="93"/>
        <v>2.968</v>
      </c>
      <c r="V450" s="2339"/>
    </row>
    <row r="451" spans="1:22">
      <c r="A451" s="2336"/>
      <c r="B451" s="2325"/>
      <c r="C451" s="189">
        <v>63</v>
      </c>
      <c r="D451" s="2325"/>
      <c r="E451" s="2321"/>
      <c r="F451" s="5">
        <v>3.63</v>
      </c>
      <c r="G451" s="394">
        <f t="shared" si="98"/>
        <v>12.632399999999999</v>
      </c>
      <c r="H451" s="5">
        <f t="shared" si="99"/>
        <v>4.210799999999999</v>
      </c>
      <c r="I451" s="189">
        <f t="shared" si="90"/>
        <v>8.4215999999999998</v>
      </c>
      <c r="J451" s="2339"/>
      <c r="L451" s="145">
        <f t="shared" si="100"/>
        <v>3</v>
      </c>
      <c r="M451" s="1918"/>
      <c r="N451" s="5">
        <f t="shared" si="101"/>
        <v>15.059999999999999</v>
      </c>
      <c r="O451" s="5">
        <f t="shared" si="97"/>
        <v>15.059999999999999</v>
      </c>
      <c r="P451" s="2339"/>
      <c r="R451" s="2392"/>
      <c r="S451" s="253">
        <f t="shared" si="91"/>
        <v>3.63</v>
      </c>
      <c r="T451" s="253">
        <f t="shared" si="92"/>
        <v>29.04</v>
      </c>
      <c r="U451" s="253">
        <f t="shared" si="93"/>
        <v>2.9039999999999999</v>
      </c>
      <c r="V451" s="2339"/>
    </row>
    <row r="452" spans="1:22">
      <c r="A452" s="2336"/>
      <c r="B452" s="2325"/>
      <c r="C452" s="189">
        <v>64</v>
      </c>
      <c r="D452" s="2325"/>
      <c r="E452" s="2321"/>
      <c r="F452" s="5">
        <v>3.71</v>
      </c>
      <c r="G452" s="394">
        <f t="shared" si="98"/>
        <v>12.9108</v>
      </c>
      <c r="H452" s="5">
        <f t="shared" si="99"/>
        <v>4.3035999999999994</v>
      </c>
      <c r="I452" s="189">
        <f t="shared" si="90"/>
        <v>8.6072000000000006</v>
      </c>
      <c r="J452" s="2339"/>
      <c r="L452" s="145">
        <f t="shared" si="100"/>
        <v>3</v>
      </c>
      <c r="M452" s="1918"/>
      <c r="N452" s="5">
        <f t="shared" si="101"/>
        <v>15.059999999999999</v>
      </c>
      <c r="O452" s="5">
        <f t="shared" si="97"/>
        <v>15.059999999999999</v>
      </c>
      <c r="P452" s="2339"/>
      <c r="R452" s="2392"/>
      <c r="S452" s="253">
        <f t="shared" si="91"/>
        <v>3.71</v>
      </c>
      <c r="T452" s="253">
        <f t="shared" si="92"/>
        <v>29.68</v>
      </c>
      <c r="U452" s="253">
        <f t="shared" si="93"/>
        <v>2.968</v>
      </c>
      <c r="V452" s="2339"/>
    </row>
    <row r="453" spans="1:22">
      <c r="A453" s="2336"/>
      <c r="B453" s="2325"/>
      <c r="C453" s="189">
        <v>65</v>
      </c>
      <c r="D453" s="2325"/>
      <c r="E453" s="2321"/>
      <c r="F453" s="5">
        <v>3.63</v>
      </c>
      <c r="G453" s="394">
        <f t="shared" si="98"/>
        <v>12.632399999999999</v>
      </c>
      <c r="H453" s="5">
        <f t="shared" si="99"/>
        <v>4.210799999999999</v>
      </c>
      <c r="I453" s="189">
        <f t="shared" si="90"/>
        <v>8.4215999999999998</v>
      </c>
      <c r="J453" s="2339"/>
      <c r="L453" s="145">
        <f t="shared" si="100"/>
        <v>3</v>
      </c>
      <c r="M453" s="1918"/>
      <c r="N453" s="5">
        <f t="shared" si="101"/>
        <v>15.059999999999999</v>
      </c>
      <c r="O453" s="5">
        <f t="shared" si="97"/>
        <v>15.059999999999999</v>
      </c>
      <c r="P453" s="2339"/>
      <c r="R453" s="2392"/>
      <c r="S453" s="253">
        <f t="shared" si="91"/>
        <v>3.63</v>
      </c>
      <c r="T453" s="253">
        <f t="shared" si="92"/>
        <v>29.04</v>
      </c>
      <c r="U453" s="253">
        <f t="shared" si="93"/>
        <v>2.9039999999999999</v>
      </c>
      <c r="V453" s="2339"/>
    </row>
    <row r="454" spans="1:22">
      <c r="A454" s="2336"/>
      <c r="B454" s="2325"/>
      <c r="C454" s="189">
        <v>66</v>
      </c>
      <c r="D454" s="2325"/>
      <c r="E454" s="2321"/>
      <c r="F454" s="5">
        <v>3.72</v>
      </c>
      <c r="G454" s="394">
        <f t="shared" si="98"/>
        <v>12.945600000000001</v>
      </c>
      <c r="H454" s="5">
        <f t="shared" si="99"/>
        <v>4.3151999999999999</v>
      </c>
      <c r="I454" s="189">
        <f t="shared" ref="I454:I473" si="102">G454-H454</f>
        <v>8.6304000000000016</v>
      </c>
      <c r="J454" s="2339"/>
      <c r="L454" s="145">
        <f t="shared" si="100"/>
        <v>3</v>
      </c>
      <c r="M454" s="1918"/>
      <c r="N454" s="5">
        <f t="shared" si="101"/>
        <v>15.059999999999999</v>
      </c>
      <c r="O454" s="5">
        <f t="shared" si="97"/>
        <v>15.059999999999999</v>
      </c>
      <c r="P454" s="2339"/>
      <c r="R454" s="2392"/>
      <c r="S454" s="253">
        <f t="shared" ref="S454:S472" si="103">F454</f>
        <v>3.72</v>
      </c>
      <c r="T454" s="253">
        <f t="shared" ref="T454:T473" si="104">$R$389*S454</f>
        <v>29.76</v>
      </c>
      <c r="U454" s="253">
        <f t="shared" ref="U454:U473" si="105">T454*0.1</f>
        <v>2.9760000000000004</v>
      </c>
      <c r="V454" s="2339"/>
    </row>
    <row r="455" spans="1:22">
      <c r="A455" s="2336"/>
      <c r="B455" s="2325" t="s">
        <v>550</v>
      </c>
      <c r="C455" s="189">
        <v>67</v>
      </c>
      <c r="D455" s="1918">
        <v>0.12</v>
      </c>
      <c r="E455" s="2321"/>
      <c r="F455" s="5">
        <v>5.35</v>
      </c>
      <c r="G455" s="394">
        <f t="shared" si="98"/>
        <v>18.617999999999999</v>
      </c>
      <c r="H455" s="5"/>
      <c r="I455" s="189">
        <f t="shared" si="102"/>
        <v>18.617999999999999</v>
      </c>
      <c r="J455" s="2339"/>
      <c r="L455" s="145">
        <f t="shared" si="100"/>
        <v>3</v>
      </c>
      <c r="M455" s="1918"/>
      <c r="N455" s="5">
        <f t="shared" si="101"/>
        <v>15.059999999999999</v>
      </c>
      <c r="O455" s="5">
        <f t="shared" si="97"/>
        <v>15.059999999999999</v>
      </c>
      <c r="P455" s="2339"/>
      <c r="R455" s="2392"/>
      <c r="S455" s="253">
        <f t="shared" si="103"/>
        <v>5.35</v>
      </c>
      <c r="T455" s="253">
        <f t="shared" si="104"/>
        <v>42.8</v>
      </c>
      <c r="U455" s="253">
        <f t="shared" si="105"/>
        <v>4.28</v>
      </c>
      <c r="V455" s="2339"/>
    </row>
    <row r="456" spans="1:22">
      <c r="A456" s="2336"/>
      <c r="B456" s="2325"/>
      <c r="C456" s="189">
        <v>68</v>
      </c>
      <c r="D456" s="1918"/>
      <c r="E456" s="2321"/>
      <c r="F456" s="5">
        <v>34.39</v>
      </c>
      <c r="G456" s="394">
        <f t="shared" si="98"/>
        <v>119.6772</v>
      </c>
      <c r="H456" s="5"/>
      <c r="I456" s="189">
        <f t="shared" si="102"/>
        <v>119.6772</v>
      </c>
      <c r="J456" s="2339"/>
      <c r="L456" s="145">
        <f t="shared" si="100"/>
        <v>20</v>
      </c>
      <c r="M456" s="1918"/>
      <c r="N456" s="5">
        <f t="shared" si="101"/>
        <v>100.39999999999999</v>
      </c>
      <c r="O456" s="5">
        <f t="shared" si="97"/>
        <v>100.39999999999999</v>
      </c>
      <c r="P456" s="2339"/>
      <c r="R456" s="2392"/>
      <c r="S456" s="253">
        <f t="shared" si="103"/>
        <v>34.39</v>
      </c>
      <c r="T456" s="253">
        <f t="shared" si="104"/>
        <v>275.12</v>
      </c>
      <c r="U456" s="253">
        <f t="shared" si="105"/>
        <v>27.512</v>
      </c>
      <c r="V456" s="2339"/>
    </row>
    <row r="457" spans="1:22">
      <c r="A457" s="2336"/>
      <c r="B457" s="2325"/>
      <c r="C457" s="189">
        <v>69</v>
      </c>
      <c r="D457" s="1918"/>
      <c r="E457" s="2321"/>
      <c r="F457" s="5">
        <v>2.02</v>
      </c>
      <c r="G457" s="394">
        <f t="shared" si="98"/>
        <v>7.0296000000000003</v>
      </c>
      <c r="H457" s="5"/>
      <c r="I457" s="189">
        <f t="shared" si="102"/>
        <v>7.0296000000000003</v>
      </c>
      <c r="J457" s="2339"/>
      <c r="L457" s="145">
        <f t="shared" si="100"/>
        <v>2</v>
      </c>
      <c r="M457" s="1918"/>
      <c r="N457" s="5">
        <f t="shared" si="101"/>
        <v>10.039999999999999</v>
      </c>
      <c r="O457" s="5">
        <f t="shared" ref="O457:O520" si="106">N457*1</f>
        <v>10.039999999999999</v>
      </c>
      <c r="P457" s="2339"/>
      <c r="R457" s="2392"/>
      <c r="S457" s="253">
        <f t="shared" si="103"/>
        <v>2.02</v>
      </c>
      <c r="T457" s="253">
        <f t="shared" si="104"/>
        <v>16.16</v>
      </c>
      <c r="U457" s="253">
        <f t="shared" si="105"/>
        <v>1.6160000000000001</v>
      </c>
      <c r="V457" s="2339"/>
    </row>
    <row r="458" spans="1:22">
      <c r="A458" s="2336"/>
      <c r="B458" s="2325"/>
      <c r="C458" s="189">
        <v>70</v>
      </c>
      <c r="D458" s="1918"/>
      <c r="E458" s="2321"/>
      <c r="F458" s="5">
        <v>4.24</v>
      </c>
      <c r="G458" s="394">
        <f t="shared" si="98"/>
        <v>14.7552</v>
      </c>
      <c r="H458" s="5"/>
      <c r="I458" s="189">
        <f t="shared" si="102"/>
        <v>14.7552</v>
      </c>
      <c r="J458" s="2339"/>
      <c r="L458" s="145">
        <f t="shared" si="100"/>
        <v>3</v>
      </c>
      <c r="M458" s="1918"/>
      <c r="N458" s="5">
        <f t="shared" si="101"/>
        <v>15.059999999999999</v>
      </c>
      <c r="O458" s="5">
        <f t="shared" si="106"/>
        <v>15.059999999999999</v>
      </c>
      <c r="P458" s="2339"/>
      <c r="R458" s="2392"/>
      <c r="S458" s="253">
        <f t="shared" si="103"/>
        <v>4.24</v>
      </c>
      <c r="T458" s="253">
        <f t="shared" si="104"/>
        <v>33.92</v>
      </c>
      <c r="U458" s="253">
        <f t="shared" si="105"/>
        <v>3.3920000000000003</v>
      </c>
      <c r="V458" s="2339"/>
    </row>
    <row r="459" spans="1:22">
      <c r="A459" s="2336"/>
      <c r="B459" s="2325"/>
      <c r="C459" s="189">
        <v>71</v>
      </c>
      <c r="D459" s="1918"/>
      <c r="E459" s="2321"/>
      <c r="F459" s="5">
        <v>0.76</v>
      </c>
      <c r="G459" s="394">
        <f t="shared" si="98"/>
        <v>2.6448</v>
      </c>
      <c r="H459" s="5"/>
      <c r="I459" s="189">
        <f t="shared" si="102"/>
        <v>2.6448</v>
      </c>
      <c r="J459" s="2339"/>
      <c r="L459" s="145">
        <f t="shared" si="100"/>
        <v>1</v>
      </c>
      <c r="M459" s="1918"/>
      <c r="N459" s="5">
        <f t="shared" si="101"/>
        <v>5.0199999999999996</v>
      </c>
      <c r="O459" s="5">
        <f t="shared" si="106"/>
        <v>5.0199999999999996</v>
      </c>
      <c r="P459" s="2339"/>
      <c r="R459" s="2392"/>
      <c r="S459" s="253">
        <f t="shared" si="103"/>
        <v>0.76</v>
      </c>
      <c r="T459" s="253">
        <f t="shared" si="104"/>
        <v>6.08</v>
      </c>
      <c r="U459" s="253">
        <f t="shared" si="105"/>
        <v>0.6080000000000001</v>
      </c>
      <c r="V459" s="2339"/>
    </row>
    <row r="460" spans="1:22">
      <c r="A460" s="2336"/>
      <c r="B460" s="2325"/>
      <c r="C460" s="189">
        <v>72</v>
      </c>
      <c r="D460" s="1918"/>
      <c r="E460" s="2321"/>
      <c r="F460" s="5">
        <v>10</v>
      </c>
      <c r="G460" s="394">
        <f t="shared" si="98"/>
        <v>34.799999999999997</v>
      </c>
      <c r="H460" s="5"/>
      <c r="I460" s="189">
        <f t="shared" si="102"/>
        <v>34.799999999999997</v>
      </c>
      <c r="J460" s="2339"/>
      <c r="L460" s="145">
        <f t="shared" si="100"/>
        <v>6</v>
      </c>
      <c r="M460" s="1918"/>
      <c r="N460" s="5">
        <f t="shared" si="101"/>
        <v>30.119999999999997</v>
      </c>
      <c r="O460" s="5">
        <f t="shared" si="106"/>
        <v>30.119999999999997</v>
      </c>
      <c r="P460" s="2339"/>
      <c r="R460" s="2392"/>
      <c r="S460" s="253">
        <f t="shared" si="103"/>
        <v>10</v>
      </c>
      <c r="T460" s="253">
        <f t="shared" si="104"/>
        <v>80</v>
      </c>
      <c r="U460" s="253">
        <f t="shared" si="105"/>
        <v>8</v>
      </c>
      <c r="V460" s="2339"/>
    </row>
    <row r="461" spans="1:22">
      <c r="A461" s="2336"/>
      <c r="B461" s="2325"/>
      <c r="C461" s="189">
        <v>73</v>
      </c>
      <c r="D461" s="1918"/>
      <c r="E461" s="2321"/>
      <c r="F461" s="5">
        <v>0.28999999999999998</v>
      </c>
      <c r="G461" s="394">
        <f t="shared" si="98"/>
        <v>1.0091999999999999</v>
      </c>
      <c r="H461" s="5"/>
      <c r="I461" s="189">
        <f t="shared" si="102"/>
        <v>1.0091999999999999</v>
      </c>
      <c r="J461" s="2339"/>
      <c r="L461" s="145">
        <f t="shared" si="100"/>
        <v>1</v>
      </c>
      <c r="M461" s="1918"/>
      <c r="N461" s="5">
        <f t="shared" si="101"/>
        <v>5.0199999999999996</v>
      </c>
      <c r="O461" s="5">
        <f t="shared" si="106"/>
        <v>5.0199999999999996</v>
      </c>
      <c r="P461" s="2339"/>
      <c r="R461" s="2392"/>
      <c r="S461" s="253">
        <f t="shared" si="103"/>
        <v>0.28999999999999998</v>
      </c>
      <c r="T461" s="253">
        <f t="shared" si="104"/>
        <v>2.3199999999999998</v>
      </c>
      <c r="U461" s="253">
        <f t="shared" si="105"/>
        <v>0.23199999999999998</v>
      </c>
      <c r="V461" s="2339"/>
    </row>
    <row r="462" spans="1:22">
      <c r="A462" s="2336"/>
      <c r="B462" s="2325"/>
      <c r="C462" s="189">
        <v>74</v>
      </c>
      <c r="D462" s="1918"/>
      <c r="E462" s="2321"/>
      <c r="F462" s="5">
        <v>6.12</v>
      </c>
      <c r="G462" s="394">
        <f t="shared" si="98"/>
        <v>21.297599999999999</v>
      </c>
      <c r="H462" s="5"/>
      <c r="I462" s="189">
        <f t="shared" si="102"/>
        <v>21.297599999999999</v>
      </c>
      <c r="J462" s="2339"/>
      <c r="L462" s="145">
        <f t="shared" si="100"/>
        <v>4</v>
      </c>
      <c r="M462" s="1918"/>
      <c r="N462" s="5">
        <f t="shared" si="101"/>
        <v>20.079999999999998</v>
      </c>
      <c r="O462" s="5">
        <f t="shared" si="106"/>
        <v>20.079999999999998</v>
      </c>
      <c r="P462" s="2339"/>
      <c r="R462" s="2392"/>
      <c r="S462" s="253">
        <f t="shared" si="103"/>
        <v>6.12</v>
      </c>
      <c r="T462" s="253">
        <f t="shared" si="104"/>
        <v>48.96</v>
      </c>
      <c r="U462" s="253">
        <f t="shared" si="105"/>
        <v>4.8960000000000008</v>
      </c>
      <c r="V462" s="2339"/>
    </row>
    <row r="463" spans="1:22">
      <c r="A463" s="2336"/>
      <c r="B463" s="2325"/>
      <c r="C463" s="189">
        <v>75</v>
      </c>
      <c r="D463" s="1918"/>
      <c r="E463" s="2321"/>
      <c r="F463" s="5">
        <v>2.06</v>
      </c>
      <c r="G463" s="394">
        <f t="shared" si="98"/>
        <v>7.1688000000000001</v>
      </c>
      <c r="H463" s="5"/>
      <c r="I463" s="189">
        <f t="shared" si="102"/>
        <v>7.1688000000000001</v>
      </c>
      <c r="J463" s="2339"/>
      <c r="L463" s="145">
        <f t="shared" si="100"/>
        <v>2</v>
      </c>
      <c r="M463" s="1918"/>
      <c r="N463" s="5">
        <f t="shared" si="101"/>
        <v>10.039999999999999</v>
      </c>
      <c r="O463" s="5">
        <f t="shared" si="106"/>
        <v>10.039999999999999</v>
      </c>
      <c r="P463" s="2339"/>
      <c r="R463" s="2392"/>
      <c r="S463" s="253">
        <f t="shared" si="103"/>
        <v>2.06</v>
      </c>
      <c r="T463" s="253">
        <f t="shared" si="104"/>
        <v>16.48</v>
      </c>
      <c r="U463" s="253">
        <f t="shared" si="105"/>
        <v>1.6480000000000001</v>
      </c>
      <c r="V463" s="2339"/>
    </row>
    <row r="464" spans="1:22">
      <c r="A464" s="2336"/>
      <c r="B464" s="2325"/>
      <c r="C464" s="189">
        <v>76</v>
      </c>
      <c r="D464" s="1918"/>
      <c r="E464" s="2321"/>
      <c r="F464" s="5">
        <v>1</v>
      </c>
      <c r="G464" s="394">
        <f t="shared" si="98"/>
        <v>3.48</v>
      </c>
      <c r="H464" s="5"/>
      <c r="I464" s="189">
        <f t="shared" si="102"/>
        <v>3.48</v>
      </c>
      <c r="J464" s="2339"/>
      <c r="L464" s="145">
        <f t="shared" si="100"/>
        <v>1</v>
      </c>
      <c r="M464" s="1918"/>
      <c r="N464" s="5">
        <f t="shared" si="101"/>
        <v>5.0199999999999996</v>
      </c>
      <c r="O464" s="5">
        <f t="shared" si="106"/>
        <v>5.0199999999999996</v>
      </c>
      <c r="P464" s="2339"/>
      <c r="R464" s="2392"/>
      <c r="S464" s="253">
        <f t="shared" si="103"/>
        <v>1</v>
      </c>
      <c r="T464" s="253">
        <f t="shared" si="104"/>
        <v>8</v>
      </c>
      <c r="U464" s="253">
        <f t="shared" si="105"/>
        <v>0.8</v>
      </c>
      <c r="V464" s="2339"/>
    </row>
    <row r="465" spans="1:22">
      <c r="A465" s="2336"/>
      <c r="B465" s="2325"/>
      <c r="C465" s="189">
        <v>77</v>
      </c>
      <c r="D465" s="1918"/>
      <c r="E465" s="2321"/>
      <c r="F465" s="5">
        <v>10</v>
      </c>
      <c r="G465" s="394">
        <f t="shared" si="98"/>
        <v>34.799999999999997</v>
      </c>
      <c r="H465" s="5"/>
      <c r="I465" s="189">
        <f t="shared" si="102"/>
        <v>34.799999999999997</v>
      </c>
      <c r="J465" s="2339"/>
      <c r="L465" s="145">
        <f t="shared" si="100"/>
        <v>6</v>
      </c>
      <c r="M465" s="1918"/>
      <c r="N465" s="5">
        <f t="shared" si="101"/>
        <v>30.119999999999997</v>
      </c>
      <c r="O465" s="5">
        <f t="shared" si="106"/>
        <v>30.119999999999997</v>
      </c>
      <c r="P465" s="2339"/>
      <c r="R465" s="2392"/>
      <c r="S465" s="253">
        <f t="shared" si="103"/>
        <v>10</v>
      </c>
      <c r="T465" s="253">
        <f t="shared" si="104"/>
        <v>80</v>
      </c>
      <c r="U465" s="253">
        <f t="shared" si="105"/>
        <v>8</v>
      </c>
      <c r="V465" s="2339"/>
    </row>
    <row r="466" spans="1:22">
      <c r="A466" s="2336"/>
      <c r="B466" s="2325"/>
      <c r="C466" s="189">
        <v>78</v>
      </c>
      <c r="D466" s="1918"/>
      <c r="E466" s="2321"/>
      <c r="F466" s="5">
        <v>10</v>
      </c>
      <c r="G466" s="394">
        <f t="shared" si="98"/>
        <v>34.799999999999997</v>
      </c>
      <c r="H466" s="5"/>
      <c r="I466" s="189">
        <f t="shared" si="102"/>
        <v>34.799999999999997</v>
      </c>
      <c r="J466" s="2339"/>
      <c r="L466" s="145">
        <f>TRUNC((F466/1.8))+1</f>
        <v>6</v>
      </c>
      <c r="M466" s="1918"/>
      <c r="N466" s="5">
        <f t="shared" si="101"/>
        <v>30.119999999999997</v>
      </c>
      <c r="O466" s="5">
        <f t="shared" si="106"/>
        <v>30.119999999999997</v>
      </c>
      <c r="P466" s="2339"/>
      <c r="R466" s="2392"/>
      <c r="S466" s="253">
        <f t="shared" si="103"/>
        <v>10</v>
      </c>
      <c r="T466" s="253">
        <f t="shared" si="104"/>
        <v>80</v>
      </c>
      <c r="U466" s="253">
        <f t="shared" si="105"/>
        <v>8</v>
      </c>
      <c r="V466" s="2339"/>
    </row>
    <row r="467" spans="1:22">
      <c r="A467" s="2336"/>
      <c r="B467" s="2325"/>
      <c r="C467" s="189">
        <v>79</v>
      </c>
      <c r="D467" s="1918"/>
      <c r="E467" s="2321"/>
      <c r="F467" s="5">
        <v>2.06</v>
      </c>
      <c r="G467" s="394">
        <f t="shared" si="98"/>
        <v>7.1688000000000001</v>
      </c>
      <c r="H467" s="5"/>
      <c r="I467" s="189">
        <f t="shared" si="102"/>
        <v>7.1688000000000001</v>
      </c>
      <c r="J467" s="2339"/>
      <c r="L467" s="145">
        <f t="shared" si="100"/>
        <v>2</v>
      </c>
      <c r="M467" s="1918"/>
      <c r="N467" s="5">
        <f t="shared" si="101"/>
        <v>10.039999999999999</v>
      </c>
      <c r="O467" s="5">
        <f t="shared" si="106"/>
        <v>10.039999999999999</v>
      </c>
      <c r="P467" s="2339"/>
      <c r="R467" s="2392"/>
      <c r="S467" s="253">
        <f t="shared" si="103"/>
        <v>2.06</v>
      </c>
      <c r="T467" s="253">
        <f t="shared" si="104"/>
        <v>16.48</v>
      </c>
      <c r="U467" s="253">
        <f t="shared" si="105"/>
        <v>1.6480000000000001</v>
      </c>
      <c r="V467" s="2339"/>
    </row>
    <row r="468" spans="1:22">
      <c r="A468" s="2336"/>
      <c r="B468" s="2325"/>
      <c r="C468" s="189">
        <v>80</v>
      </c>
      <c r="D468" s="1918"/>
      <c r="E468" s="2321"/>
      <c r="F468" s="5">
        <v>6.12</v>
      </c>
      <c r="G468" s="394">
        <f t="shared" si="98"/>
        <v>21.297599999999999</v>
      </c>
      <c r="H468" s="5"/>
      <c r="I468" s="189">
        <f t="shared" si="102"/>
        <v>21.297599999999999</v>
      </c>
      <c r="J468" s="2339"/>
      <c r="L468" s="145">
        <f t="shared" si="100"/>
        <v>4</v>
      </c>
      <c r="M468" s="1918"/>
      <c r="N468" s="5">
        <f t="shared" si="101"/>
        <v>20.079999999999998</v>
      </c>
      <c r="O468" s="5">
        <f t="shared" si="106"/>
        <v>20.079999999999998</v>
      </c>
      <c r="P468" s="2339"/>
      <c r="R468" s="2392"/>
      <c r="S468" s="253">
        <f t="shared" si="103"/>
        <v>6.12</v>
      </c>
      <c r="T468" s="253">
        <f t="shared" si="104"/>
        <v>48.96</v>
      </c>
      <c r="U468" s="253">
        <f t="shared" si="105"/>
        <v>4.8960000000000008</v>
      </c>
      <c r="V468" s="2339"/>
    </row>
    <row r="469" spans="1:22">
      <c r="A469" s="2336"/>
      <c r="B469" s="2325"/>
      <c r="C469" s="189">
        <v>81</v>
      </c>
      <c r="D469" s="1918"/>
      <c r="E469" s="2321"/>
      <c r="F469" s="5">
        <v>2.0499999999999998</v>
      </c>
      <c r="G469" s="394">
        <f t="shared" si="98"/>
        <v>7.1339999999999995</v>
      </c>
      <c r="H469" s="5"/>
      <c r="I469" s="189">
        <f t="shared" si="102"/>
        <v>7.1339999999999995</v>
      </c>
      <c r="J469" s="2339"/>
      <c r="L469" s="145">
        <f t="shared" si="100"/>
        <v>2</v>
      </c>
      <c r="M469" s="1918"/>
      <c r="N469" s="5">
        <f t="shared" si="101"/>
        <v>10.039999999999999</v>
      </c>
      <c r="O469" s="5">
        <f t="shared" si="106"/>
        <v>10.039999999999999</v>
      </c>
      <c r="P469" s="2339"/>
      <c r="R469" s="2392"/>
      <c r="S469" s="253">
        <f t="shared" si="103"/>
        <v>2.0499999999999998</v>
      </c>
      <c r="T469" s="253">
        <f t="shared" si="104"/>
        <v>16.399999999999999</v>
      </c>
      <c r="U469" s="253">
        <f t="shared" si="105"/>
        <v>1.64</v>
      </c>
      <c r="V469" s="2339"/>
    </row>
    <row r="470" spans="1:22">
      <c r="A470" s="2336"/>
      <c r="B470" s="2325"/>
      <c r="C470" s="189">
        <v>82</v>
      </c>
      <c r="D470" s="1918"/>
      <c r="E470" s="2321"/>
      <c r="F470" s="5">
        <v>6.22</v>
      </c>
      <c r="G470" s="394">
        <f t="shared" si="98"/>
        <v>21.645599999999998</v>
      </c>
      <c r="H470" s="5"/>
      <c r="I470" s="189">
        <f t="shared" si="102"/>
        <v>21.645599999999998</v>
      </c>
      <c r="J470" s="2339"/>
      <c r="L470" s="145">
        <f t="shared" si="100"/>
        <v>4</v>
      </c>
      <c r="M470" s="1918"/>
      <c r="N470" s="5">
        <f t="shared" si="101"/>
        <v>20.079999999999998</v>
      </c>
      <c r="O470" s="5">
        <f t="shared" si="106"/>
        <v>20.079999999999998</v>
      </c>
      <c r="P470" s="2339"/>
      <c r="R470" s="2392"/>
      <c r="S470" s="253">
        <f t="shared" si="103"/>
        <v>6.22</v>
      </c>
      <c r="T470" s="253">
        <f t="shared" si="104"/>
        <v>49.76</v>
      </c>
      <c r="U470" s="253">
        <f t="shared" si="105"/>
        <v>4.976</v>
      </c>
      <c r="V470" s="2339"/>
    </row>
    <row r="471" spans="1:22">
      <c r="A471" s="2336"/>
      <c r="B471" s="2325"/>
      <c r="C471" s="189">
        <v>83</v>
      </c>
      <c r="D471" s="1918"/>
      <c r="E471" s="2321"/>
      <c r="F471" s="5">
        <v>5.48</v>
      </c>
      <c r="G471" s="394">
        <f t="shared" si="98"/>
        <v>19.070400000000003</v>
      </c>
      <c r="H471" s="5"/>
      <c r="I471" s="189">
        <f t="shared" si="102"/>
        <v>19.070400000000003</v>
      </c>
      <c r="J471" s="2339"/>
      <c r="L471" s="145">
        <f t="shared" si="100"/>
        <v>4</v>
      </c>
      <c r="M471" s="1918"/>
      <c r="N471" s="5">
        <f t="shared" si="101"/>
        <v>20.079999999999998</v>
      </c>
      <c r="O471" s="5">
        <f t="shared" si="106"/>
        <v>20.079999999999998</v>
      </c>
      <c r="P471" s="2339"/>
      <c r="R471" s="2392"/>
      <c r="S471" s="253">
        <f t="shared" si="103"/>
        <v>5.48</v>
      </c>
      <c r="T471" s="253">
        <f t="shared" si="104"/>
        <v>43.84</v>
      </c>
      <c r="U471" s="253">
        <f t="shared" si="105"/>
        <v>4.3840000000000003</v>
      </c>
      <c r="V471" s="2339"/>
    </row>
    <row r="472" spans="1:22">
      <c r="A472" s="2336"/>
      <c r="B472" s="2325"/>
      <c r="C472" s="189">
        <v>84</v>
      </c>
      <c r="D472" s="1918"/>
      <c r="E472" s="2321"/>
      <c r="F472" s="5">
        <v>2.31</v>
      </c>
      <c r="G472" s="394">
        <f t="shared" si="98"/>
        <v>8.0388000000000002</v>
      </c>
      <c r="H472" s="5"/>
      <c r="I472" s="189">
        <f t="shared" si="102"/>
        <v>8.0388000000000002</v>
      </c>
      <c r="J472" s="2339"/>
      <c r="L472" s="145">
        <f t="shared" si="100"/>
        <v>2</v>
      </c>
      <c r="M472" s="1918"/>
      <c r="N472" s="5">
        <f t="shared" si="101"/>
        <v>10.039999999999999</v>
      </c>
      <c r="O472" s="5">
        <f t="shared" si="106"/>
        <v>10.039999999999999</v>
      </c>
      <c r="P472" s="2339"/>
      <c r="R472" s="2392"/>
      <c r="S472" s="253">
        <f t="shared" si="103"/>
        <v>2.31</v>
      </c>
      <c r="T472" s="253">
        <f t="shared" si="104"/>
        <v>18.48</v>
      </c>
      <c r="U472" s="253">
        <f t="shared" si="105"/>
        <v>1.8480000000000001</v>
      </c>
      <c r="V472" s="2339"/>
    </row>
    <row r="473" spans="1:22" ht="13.5" thickBot="1">
      <c r="A473" s="2337"/>
      <c r="B473" s="2326"/>
      <c r="C473" s="399">
        <v>85</v>
      </c>
      <c r="D473" s="2341"/>
      <c r="E473" s="2324"/>
      <c r="F473" s="167">
        <v>1.95</v>
      </c>
      <c r="G473" s="401">
        <f t="shared" si="98"/>
        <v>6.7859999999999996</v>
      </c>
      <c r="H473" s="167"/>
      <c r="I473" s="399">
        <f t="shared" si="102"/>
        <v>6.7859999999999996</v>
      </c>
      <c r="J473" s="2340"/>
      <c r="L473" s="402">
        <f t="shared" si="100"/>
        <v>2</v>
      </c>
      <c r="M473" s="2004"/>
      <c r="N473" s="230">
        <f t="shared" si="101"/>
        <v>10.039999999999999</v>
      </c>
      <c r="O473" s="230">
        <f t="shared" si="106"/>
        <v>10.039999999999999</v>
      </c>
      <c r="P473" s="2375"/>
      <c r="R473" s="2393"/>
      <c r="S473" s="253">
        <f>F473</f>
        <v>1.95</v>
      </c>
      <c r="T473" s="253">
        <f t="shared" si="104"/>
        <v>15.6</v>
      </c>
      <c r="U473" s="253">
        <f t="shared" si="105"/>
        <v>1.56</v>
      </c>
      <c r="V473" s="2375"/>
    </row>
    <row r="474" spans="1:22" ht="13.5" thickBot="1">
      <c r="A474" s="2307" t="s">
        <v>551</v>
      </c>
      <c r="B474" s="2308"/>
      <c r="C474" s="2308"/>
      <c r="D474" s="2308"/>
      <c r="E474" s="2308"/>
      <c r="F474" s="2308"/>
      <c r="G474" s="2308"/>
      <c r="H474" s="2309"/>
      <c r="I474" s="392">
        <f>SUM(I389:I454)</f>
        <v>713.41850000000011</v>
      </c>
      <c r="J474" s="2305" t="s">
        <v>55</v>
      </c>
      <c r="L474" s="2366" t="s">
        <v>559</v>
      </c>
      <c r="M474" s="2367"/>
      <c r="N474" s="2367"/>
      <c r="O474" s="2370">
        <f>SUM(O389:O473)</f>
        <v>1402.2799999999982</v>
      </c>
      <c r="P474" s="2376" t="s">
        <v>39</v>
      </c>
      <c r="R474" s="2366" t="s">
        <v>559</v>
      </c>
      <c r="S474" s="2367"/>
      <c r="T474" s="2367"/>
      <c r="U474" s="2370">
        <f>SUM(U389:U473)</f>
        <v>300.80800000000011</v>
      </c>
      <c r="V474" s="2376" t="s">
        <v>39</v>
      </c>
    </row>
    <row r="475" spans="1:22" ht="13.5" thickBot="1">
      <c r="A475" s="2307" t="s">
        <v>552</v>
      </c>
      <c r="B475" s="2308"/>
      <c r="C475" s="2308"/>
      <c r="D475" s="2308"/>
      <c r="E475" s="2308"/>
      <c r="F475" s="2308"/>
      <c r="G475" s="2308"/>
      <c r="H475" s="2309"/>
      <c r="I475" s="392">
        <f>SUM(I455:I473)</f>
        <v>391.22159999999991</v>
      </c>
      <c r="J475" s="2306"/>
      <c r="L475" s="2368"/>
      <c r="M475" s="2369"/>
      <c r="N475" s="2369"/>
      <c r="O475" s="2371"/>
      <c r="P475" s="2377"/>
      <c r="R475" s="2368"/>
      <c r="S475" s="2369"/>
      <c r="T475" s="2369"/>
      <c r="U475" s="2371"/>
      <c r="V475" s="2377"/>
    </row>
    <row r="476" spans="1:22">
      <c r="A476" s="2335">
        <v>8</v>
      </c>
      <c r="B476" s="2334" t="s">
        <v>549</v>
      </c>
      <c r="C476" s="398">
        <v>1</v>
      </c>
      <c r="D476" s="2334">
        <v>0.15</v>
      </c>
      <c r="E476" s="385">
        <v>3</v>
      </c>
      <c r="F476" s="398">
        <v>11.13</v>
      </c>
      <c r="G476" s="398">
        <f>$E$476*F476</f>
        <v>33.39</v>
      </c>
      <c r="H476" s="165"/>
      <c r="I476" s="398">
        <f>G476-H476</f>
        <v>33.39</v>
      </c>
      <c r="J476" s="2338" t="s">
        <v>55</v>
      </c>
      <c r="L476" s="154">
        <f>TRUNC((F476/1.2))+1</f>
        <v>10</v>
      </c>
      <c r="M476" s="253">
        <f>($E$476)+(0.12+0.56+0.9)</f>
        <v>4.58</v>
      </c>
      <c r="N476" s="253">
        <f>$M$476*L476</f>
        <v>45.8</v>
      </c>
      <c r="O476" s="253">
        <f t="shared" si="106"/>
        <v>45.8</v>
      </c>
      <c r="P476" s="2374" t="s">
        <v>39</v>
      </c>
      <c r="R476" s="2391">
        <v>8</v>
      </c>
      <c r="S476" s="253">
        <f>F476</f>
        <v>11.13</v>
      </c>
      <c r="T476" s="253">
        <f>$R$476*S476</f>
        <v>89.04</v>
      </c>
      <c r="U476" s="253">
        <f>T476*0.1</f>
        <v>8.9040000000000017</v>
      </c>
      <c r="V476" s="2374" t="s">
        <v>39</v>
      </c>
    </row>
    <row r="477" spans="1:22">
      <c r="A477" s="2336"/>
      <c r="B477" s="2325"/>
      <c r="C477" s="189">
        <v>2</v>
      </c>
      <c r="D477" s="2325"/>
      <c r="E477" s="2323">
        <v>3.48</v>
      </c>
      <c r="F477" s="189">
        <v>1.62</v>
      </c>
      <c r="G477" s="394">
        <f>$E$477*F477</f>
        <v>5.6375999999999999</v>
      </c>
      <c r="H477" s="5"/>
      <c r="I477" s="189">
        <f t="shared" ref="I477:I540" si="107">G477-H477</f>
        <v>5.6375999999999999</v>
      </c>
      <c r="J477" s="2339"/>
      <c r="L477" s="145">
        <f>TRUNC((F477/1.8))+1</f>
        <v>1</v>
      </c>
      <c r="M477" s="1918">
        <f>($E$477)+(0.66+0.88)</f>
        <v>5.0199999999999996</v>
      </c>
      <c r="N477" s="5">
        <f>$M$477*L477</f>
        <v>5.0199999999999996</v>
      </c>
      <c r="O477" s="5">
        <f t="shared" si="106"/>
        <v>5.0199999999999996</v>
      </c>
      <c r="P477" s="2339"/>
      <c r="R477" s="2392"/>
      <c r="S477" s="253">
        <f t="shared" ref="S477:S540" si="108">F477</f>
        <v>1.62</v>
      </c>
      <c r="T477" s="253">
        <f t="shared" ref="T477:T540" si="109">$R$476*S477</f>
        <v>12.96</v>
      </c>
      <c r="U477" s="253">
        <f t="shared" ref="U477:U540" si="110">T477*0.1</f>
        <v>1.2960000000000003</v>
      </c>
      <c r="V477" s="2339"/>
    </row>
    <row r="478" spans="1:22">
      <c r="A478" s="2336"/>
      <c r="B478" s="2325"/>
      <c r="C478" s="189">
        <v>3</v>
      </c>
      <c r="D478" s="2325"/>
      <c r="E478" s="2321"/>
      <c r="F478" s="189">
        <v>0.6</v>
      </c>
      <c r="G478" s="394">
        <f t="shared" ref="G478:G517" si="111">$E$477*F478</f>
        <v>2.0880000000000001</v>
      </c>
      <c r="H478" s="5"/>
      <c r="I478" s="189">
        <f t="shared" si="107"/>
        <v>2.0880000000000001</v>
      </c>
      <c r="J478" s="2339"/>
      <c r="L478" s="145">
        <f t="shared" ref="L478:L517" si="112">TRUNC((F478/1.8))+1</f>
        <v>1</v>
      </c>
      <c r="M478" s="1918"/>
      <c r="N478" s="5">
        <f t="shared" ref="N478:N517" si="113">$M$477*L478</f>
        <v>5.0199999999999996</v>
      </c>
      <c r="O478" s="5">
        <f t="shared" si="106"/>
        <v>5.0199999999999996</v>
      </c>
      <c r="P478" s="2339"/>
      <c r="R478" s="2392"/>
      <c r="S478" s="253">
        <f t="shared" si="108"/>
        <v>0.6</v>
      </c>
      <c r="T478" s="253">
        <f t="shared" si="109"/>
        <v>4.8</v>
      </c>
      <c r="U478" s="253">
        <f t="shared" si="110"/>
        <v>0.48</v>
      </c>
      <c r="V478" s="2339"/>
    </row>
    <row r="479" spans="1:22">
      <c r="A479" s="2336"/>
      <c r="B479" s="2325"/>
      <c r="C479" s="189">
        <v>4</v>
      </c>
      <c r="D479" s="2325"/>
      <c r="E479" s="2321"/>
      <c r="F479" s="189">
        <v>1.95</v>
      </c>
      <c r="G479" s="394">
        <f t="shared" si="111"/>
        <v>6.7859999999999996</v>
      </c>
      <c r="H479" s="5"/>
      <c r="I479" s="189">
        <f t="shared" si="107"/>
        <v>6.7859999999999996</v>
      </c>
      <c r="J479" s="2339"/>
      <c r="L479" s="145">
        <f t="shared" si="112"/>
        <v>2</v>
      </c>
      <c r="M479" s="1918"/>
      <c r="N479" s="5">
        <f t="shared" si="113"/>
        <v>10.039999999999999</v>
      </c>
      <c r="O479" s="5">
        <f t="shared" si="106"/>
        <v>10.039999999999999</v>
      </c>
      <c r="P479" s="2339"/>
      <c r="R479" s="2392"/>
      <c r="S479" s="253">
        <f t="shared" si="108"/>
        <v>1.95</v>
      </c>
      <c r="T479" s="253">
        <f t="shared" si="109"/>
        <v>15.6</v>
      </c>
      <c r="U479" s="253">
        <f t="shared" si="110"/>
        <v>1.56</v>
      </c>
      <c r="V479" s="2339"/>
    </row>
    <row r="480" spans="1:22">
      <c r="A480" s="2336"/>
      <c r="B480" s="2325"/>
      <c r="C480" s="189">
        <v>5</v>
      </c>
      <c r="D480" s="2325"/>
      <c r="E480" s="2321"/>
      <c r="F480" s="189">
        <v>1.5</v>
      </c>
      <c r="G480" s="394">
        <f t="shared" si="111"/>
        <v>5.22</v>
      </c>
      <c r="H480" s="5"/>
      <c r="I480" s="189">
        <f t="shared" si="107"/>
        <v>5.22</v>
      </c>
      <c r="J480" s="2339"/>
      <c r="L480" s="145">
        <f t="shared" si="112"/>
        <v>1</v>
      </c>
      <c r="M480" s="1918"/>
      <c r="N480" s="5">
        <f t="shared" si="113"/>
        <v>5.0199999999999996</v>
      </c>
      <c r="O480" s="5">
        <f t="shared" si="106"/>
        <v>5.0199999999999996</v>
      </c>
      <c r="P480" s="2339"/>
      <c r="R480" s="2392"/>
      <c r="S480" s="253">
        <f t="shared" si="108"/>
        <v>1.5</v>
      </c>
      <c r="T480" s="253">
        <f t="shared" si="109"/>
        <v>12</v>
      </c>
      <c r="U480" s="253">
        <f t="shared" si="110"/>
        <v>1.2000000000000002</v>
      </c>
      <c r="V480" s="2339"/>
    </row>
    <row r="481" spans="1:22">
      <c r="A481" s="2336"/>
      <c r="B481" s="2325"/>
      <c r="C481" s="189">
        <v>6</v>
      </c>
      <c r="D481" s="2325"/>
      <c r="E481" s="2321"/>
      <c r="F481" s="189">
        <v>1.47</v>
      </c>
      <c r="G481" s="394">
        <f t="shared" si="111"/>
        <v>5.1155999999999997</v>
      </c>
      <c r="H481" s="5"/>
      <c r="I481" s="189">
        <f t="shared" si="107"/>
        <v>5.1155999999999997</v>
      </c>
      <c r="J481" s="2339"/>
      <c r="L481" s="145">
        <f t="shared" si="112"/>
        <v>1</v>
      </c>
      <c r="M481" s="1918"/>
      <c r="N481" s="5">
        <f t="shared" si="113"/>
        <v>5.0199999999999996</v>
      </c>
      <c r="O481" s="5">
        <f t="shared" si="106"/>
        <v>5.0199999999999996</v>
      </c>
      <c r="P481" s="2339"/>
      <c r="R481" s="2392"/>
      <c r="S481" s="253">
        <f t="shared" si="108"/>
        <v>1.47</v>
      </c>
      <c r="T481" s="253">
        <f t="shared" si="109"/>
        <v>11.76</v>
      </c>
      <c r="U481" s="253">
        <f t="shared" si="110"/>
        <v>1.1759999999999999</v>
      </c>
      <c r="V481" s="2339"/>
    </row>
    <row r="482" spans="1:22">
      <c r="A482" s="2336"/>
      <c r="B482" s="2325"/>
      <c r="C482" s="189">
        <v>7</v>
      </c>
      <c r="D482" s="2325"/>
      <c r="E482" s="2321"/>
      <c r="F482" s="189">
        <v>1.46</v>
      </c>
      <c r="G482" s="394">
        <f t="shared" si="111"/>
        <v>5.0808</v>
      </c>
      <c r="H482" s="5"/>
      <c r="I482" s="189">
        <f t="shared" si="107"/>
        <v>5.0808</v>
      </c>
      <c r="J482" s="2339"/>
      <c r="L482" s="145">
        <f t="shared" si="112"/>
        <v>1</v>
      </c>
      <c r="M482" s="1918"/>
      <c r="N482" s="5">
        <f t="shared" si="113"/>
        <v>5.0199999999999996</v>
      </c>
      <c r="O482" s="5">
        <f t="shared" si="106"/>
        <v>5.0199999999999996</v>
      </c>
      <c r="P482" s="2339"/>
      <c r="R482" s="2392"/>
      <c r="S482" s="253">
        <f t="shared" si="108"/>
        <v>1.46</v>
      </c>
      <c r="T482" s="253">
        <f t="shared" si="109"/>
        <v>11.68</v>
      </c>
      <c r="U482" s="253">
        <f t="shared" si="110"/>
        <v>1.1679999999999999</v>
      </c>
      <c r="V482" s="2339"/>
    </row>
    <row r="483" spans="1:22">
      <c r="A483" s="2336"/>
      <c r="B483" s="2325"/>
      <c r="C483" s="189">
        <v>8</v>
      </c>
      <c r="D483" s="2325"/>
      <c r="E483" s="2321"/>
      <c r="F483" s="189">
        <v>0.5</v>
      </c>
      <c r="G483" s="394">
        <f t="shared" si="111"/>
        <v>1.74</v>
      </c>
      <c r="H483" s="5"/>
      <c r="I483" s="189">
        <f t="shared" si="107"/>
        <v>1.74</v>
      </c>
      <c r="J483" s="2339"/>
      <c r="L483" s="145">
        <f t="shared" si="112"/>
        <v>1</v>
      </c>
      <c r="M483" s="1918"/>
      <c r="N483" s="5">
        <f t="shared" si="113"/>
        <v>5.0199999999999996</v>
      </c>
      <c r="O483" s="5">
        <f t="shared" si="106"/>
        <v>5.0199999999999996</v>
      </c>
      <c r="P483" s="2339"/>
      <c r="R483" s="2392"/>
      <c r="S483" s="253">
        <f t="shared" si="108"/>
        <v>0.5</v>
      </c>
      <c r="T483" s="253">
        <f t="shared" si="109"/>
        <v>4</v>
      </c>
      <c r="U483" s="253">
        <f t="shared" si="110"/>
        <v>0.4</v>
      </c>
      <c r="V483" s="2339"/>
    </row>
    <row r="484" spans="1:22">
      <c r="A484" s="2336"/>
      <c r="B484" s="2325"/>
      <c r="C484" s="189">
        <v>9</v>
      </c>
      <c r="D484" s="2325"/>
      <c r="E484" s="2321"/>
      <c r="F484" s="189">
        <v>0.4</v>
      </c>
      <c r="G484" s="394">
        <f t="shared" si="111"/>
        <v>1.3920000000000001</v>
      </c>
      <c r="H484" s="5"/>
      <c r="I484" s="189">
        <f t="shared" si="107"/>
        <v>1.3920000000000001</v>
      </c>
      <c r="J484" s="2339"/>
      <c r="L484" s="145">
        <f t="shared" si="112"/>
        <v>1</v>
      </c>
      <c r="M484" s="1918"/>
      <c r="N484" s="5">
        <f t="shared" si="113"/>
        <v>5.0199999999999996</v>
      </c>
      <c r="O484" s="5">
        <f t="shared" si="106"/>
        <v>5.0199999999999996</v>
      </c>
      <c r="P484" s="2339"/>
      <c r="R484" s="2392"/>
      <c r="S484" s="253">
        <f t="shared" si="108"/>
        <v>0.4</v>
      </c>
      <c r="T484" s="253">
        <f t="shared" si="109"/>
        <v>3.2</v>
      </c>
      <c r="U484" s="253">
        <f t="shared" si="110"/>
        <v>0.32000000000000006</v>
      </c>
      <c r="V484" s="2339"/>
    </row>
    <row r="485" spans="1:22">
      <c r="A485" s="2336"/>
      <c r="B485" s="2325"/>
      <c r="C485" s="189">
        <v>10</v>
      </c>
      <c r="D485" s="2325"/>
      <c r="E485" s="2321"/>
      <c r="F485" s="189">
        <v>0.8</v>
      </c>
      <c r="G485" s="394">
        <f t="shared" si="111"/>
        <v>2.7840000000000003</v>
      </c>
      <c r="H485" s="5"/>
      <c r="I485" s="189">
        <f t="shared" si="107"/>
        <v>2.7840000000000003</v>
      </c>
      <c r="J485" s="2339"/>
      <c r="L485" s="145">
        <f t="shared" si="112"/>
        <v>1</v>
      </c>
      <c r="M485" s="1918"/>
      <c r="N485" s="5">
        <f t="shared" si="113"/>
        <v>5.0199999999999996</v>
      </c>
      <c r="O485" s="5">
        <f t="shared" si="106"/>
        <v>5.0199999999999996</v>
      </c>
      <c r="P485" s="2339"/>
      <c r="R485" s="2392"/>
      <c r="S485" s="253">
        <f t="shared" si="108"/>
        <v>0.8</v>
      </c>
      <c r="T485" s="253">
        <f t="shared" si="109"/>
        <v>6.4</v>
      </c>
      <c r="U485" s="253">
        <f t="shared" si="110"/>
        <v>0.64000000000000012</v>
      </c>
      <c r="V485" s="2339"/>
    </row>
    <row r="486" spans="1:22">
      <c r="A486" s="2336"/>
      <c r="B486" s="2325"/>
      <c r="C486" s="189">
        <v>11</v>
      </c>
      <c r="D486" s="2325"/>
      <c r="E486" s="2321"/>
      <c r="F486" s="189">
        <v>0.82</v>
      </c>
      <c r="G486" s="394">
        <f t="shared" si="111"/>
        <v>2.8535999999999997</v>
      </c>
      <c r="H486" s="5"/>
      <c r="I486" s="189">
        <f t="shared" si="107"/>
        <v>2.8535999999999997</v>
      </c>
      <c r="J486" s="2339"/>
      <c r="L486" s="145">
        <f t="shared" si="112"/>
        <v>1</v>
      </c>
      <c r="M486" s="1918"/>
      <c r="N486" s="5">
        <f t="shared" si="113"/>
        <v>5.0199999999999996</v>
      </c>
      <c r="O486" s="5">
        <f t="shared" si="106"/>
        <v>5.0199999999999996</v>
      </c>
      <c r="P486" s="2339"/>
      <c r="R486" s="2392"/>
      <c r="S486" s="253">
        <f t="shared" si="108"/>
        <v>0.82</v>
      </c>
      <c r="T486" s="253">
        <f t="shared" si="109"/>
        <v>6.56</v>
      </c>
      <c r="U486" s="253">
        <f t="shared" si="110"/>
        <v>0.65600000000000003</v>
      </c>
      <c r="V486" s="2339"/>
    </row>
    <row r="487" spans="1:22">
      <c r="A487" s="2336"/>
      <c r="B487" s="2325"/>
      <c r="C487" s="189">
        <v>12</v>
      </c>
      <c r="D487" s="2325"/>
      <c r="E487" s="2321"/>
      <c r="F487" s="189">
        <v>1.25</v>
      </c>
      <c r="G487" s="394">
        <f t="shared" si="111"/>
        <v>4.3499999999999996</v>
      </c>
      <c r="H487" s="5"/>
      <c r="I487" s="189">
        <f t="shared" si="107"/>
        <v>4.3499999999999996</v>
      </c>
      <c r="J487" s="2339"/>
      <c r="L487" s="145">
        <f t="shared" si="112"/>
        <v>1</v>
      </c>
      <c r="M487" s="1918"/>
      <c r="N487" s="5">
        <f t="shared" si="113"/>
        <v>5.0199999999999996</v>
      </c>
      <c r="O487" s="5">
        <f t="shared" si="106"/>
        <v>5.0199999999999996</v>
      </c>
      <c r="P487" s="2339"/>
      <c r="R487" s="2392"/>
      <c r="S487" s="253">
        <f t="shared" si="108"/>
        <v>1.25</v>
      </c>
      <c r="T487" s="253">
        <f t="shared" si="109"/>
        <v>10</v>
      </c>
      <c r="U487" s="253">
        <f t="shared" si="110"/>
        <v>1</v>
      </c>
      <c r="V487" s="2339"/>
    </row>
    <row r="488" spans="1:22">
      <c r="A488" s="2336"/>
      <c r="B488" s="2325"/>
      <c r="C488" s="189">
        <v>13</v>
      </c>
      <c r="D488" s="2325"/>
      <c r="E488" s="2321"/>
      <c r="F488" s="189">
        <v>2.16</v>
      </c>
      <c r="G488" s="394">
        <f t="shared" si="111"/>
        <v>7.5168000000000008</v>
      </c>
      <c r="H488" s="5"/>
      <c r="I488" s="189">
        <f t="shared" si="107"/>
        <v>7.5168000000000008</v>
      </c>
      <c r="J488" s="2339"/>
      <c r="L488" s="145">
        <f t="shared" si="112"/>
        <v>2</v>
      </c>
      <c r="M488" s="1918"/>
      <c r="N488" s="5">
        <f t="shared" si="113"/>
        <v>10.039999999999999</v>
      </c>
      <c r="O488" s="5">
        <f t="shared" si="106"/>
        <v>10.039999999999999</v>
      </c>
      <c r="P488" s="2339"/>
      <c r="R488" s="2392"/>
      <c r="S488" s="253">
        <f t="shared" si="108"/>
        <v>2.16</v>
      </c>
      <c r="T488" s="253">
        <f t="shared" si="109"/>
        <v>17.28</v>
      </c>
      <c r="U488" s="253">
        <f t="shared" si="110"/>
        <v>1.7280000000000002</v>
      </c>
      <c r="V488" s="2339"/>
    </row>
    <row r="489" spans="1:22">
      <c r="A489" s="2336"/>
      <c r="B489" s="2325"/>
      <c r="C489" s="189">
        <v>14</v>
      </c>
      <c r="D489" s="2325"/>
      <c r="E489" s="2321"/>
      <c r="F489" s="189">
        <v>4.47</v>
      </c>
      <c r="G489" s="394">
        <f t="shared" si="111"/>
        <v>15.555599999999998</v>
      </c>
      <c r="H489" s="5"/>
      <c r="I489" s="189">
        <f t="shared" si="107"/>
        <v>15.555599999999998</v>
      </c>
      <c r="J489" s="2339"/>
      <c r="L489" s="145">
        <f t="shared" si="112"/>
        <v>3</v>
      </c>
      <c r="M489" s="1918"/>
      <c r="N489" s="5">
        <f t="shared" si="113"/>
        <v>15.059999999999999</v>
      </c>
      <c r="O489" s="5">
        <f t="shared" si="106"/>
        <v>15.059999999999999</v>
      </c>
      <c r="P489" s="2339"/>
      <c r="R489" s="2392"/>
      <c r="S489" s="253">
        <f t="shared" si="108"/>
        <v>4.47</v>
      </c>
      <c r="T489" s="253">
        <f t="shared" si="109"/>
        <v>35.76</v>
      </c>
      <c r="U489" s="253">
        <f t="shared" si="110"/>
        <v>3.5760000000000001</v>
      </c>
      <c r="V489" s="2339"/>
    </row>
    <row r="490" spans="1:22">
      <c r="A490" s="2336"/>
      <c r="B490" s="2325"/>
      <c r="C490" s="189">
        <v>15</v>
      </c>
      <c r="D490" s="2325"/>
      <c r="E490" s="2321"/>
      <c r="F490" s="189">
        <v>3.18</v>
      </c>
      <c r="G490" s="394">
        <f t="shared" si="111"/>
        <v>11.0664</v>
      </c>
      <c r="H490" s="5"/>
      <c r="I490" s="189">
        <f t="shared" si="107"/>
        <v>11.0664</v>
      </c>
      <c r="J490" s="2339"/>
      <c r="L490" s="145">
        <f t="shared" si="112"/>
        <v>2</v>
      </c>
      <c r="M490" s="1918"/>
      <c r="N490" s="5">
        <f t="shared" si="113"/>
        <v>10.039999999999999</v>
      </c>
      <c r="O490" s="5">
        <f t="shared" si="106"/>
        <v>10.039999999999999</v>
      </c>
      <c r="P490" s="2339"/>
      <c r="R490" s="2392"/>
      <c r="S490" s="253">
        <f t="shared" si="108"/>
        <v>3.18</v>
      </c>
      <c r="T490" s="253">
        <f t="shared" si="109"/>
        <v>25.44</v>
      </c>
      <c r="U490" s="253">
        <f t="shared" si="110"/>
        <v>2.5440000000000005</v>
      </c>
      <c r="V490" s="2339"/>
    </row>
    <row r="491" spans="1:22">
      <c r="A491" s="2336"/>
      <c r="B491" s="2325"/>
      <c r="C491" s="189">
        <v>16</v>
      </c>
      <c r="D491" s="2325"/>
      <c r="E491" s="2321"/>
      <c r="F491" s="189">
        <v>2.65</v>
      </c>
      <c r="G491" s="394">
        <f t="shared" si="111"/>
        <v>9.2219999999999995</v>
      </c>
      <c r="H491" s="5"/>
      <c r="I491" s="189">
        <f t="shared" si="107"/>
        <v>9.2219999999999995</v>
      </c>
      <c r="J491" s="2339"/>
      <c r="L491" s="145">
        <f t="shared" si="112"/>
        <v>2</v>
      </c>
      <c r="M491" s="1918"/>
      <c r="N491" s="5">
        <f t="shared" si="113"/>
        <v>10.039999999999999</v>
      </c>
      <c r="O491" s="5">
        <f t="shared" si="106"/>
        <v>10.039999999999999</v>
      </c>
      <c r="P491" s="2339"/>
      <c r="R491" s="2392"/>
      <c r="S491" s="253">
        <f t="shared" si="108"/>
        <v>2.65</v>
      </c>
      <c r="T491" s="253">
        <f t="shared" si="109"/>
        <v>21.2</v>
      </c>
      <c r="U491" s="253">
        <f t="shared" si="110"/>
        <v>2.12</v>
      </c>
      <c r="V491" s="2339"/>
    </row>
    <row r="492" spans="1:22">
      <c r="A492" s="2336"/>
      <c r="B492" s="2325"/>
      <c r="C492" s="189">
        <v>17</v>
      </c>
      <c r="D492" s="2325"/>
      <c r="E492" s="2321"/>
      <c r="F492" s="189">
        <v>11.18</v>
      </c>
      <c r="G492" s="394">
        <f t="shared" si="111"/>
        <v>38.906399999999998</v>
      </c>
      <c r="H492" s="5"/>
      <c r="I492" s="189">
        <f t="shared" si="107"/>
        <v>38.906399999999998</v>
      </c>
      <c r="J492" s="2339"/>
      <c r="L492" s="145">
        <f t="shared" si="112"/>
        <v>7</v>
      </c>
      <c r="M492" s="1918"/>
      <c r="N492" s="5">
        <f t="shared" si="113"/>
        <v>35.14</v>
      </c>
      <c r="O492" s="5">
        <f t="shared" si="106"/>
        <v>35.14</v>
      </c>
      <c r="P492" s="2339"/>
      <c r="R492" s="2392"/>
      <c r="S492" s="253">
        <f t="shared" si="108"/>
        <v>11.18</v>
      </c>
      <c r="T492" s="253">
        <f t="shared" si="109"/>
        <v>89.44</v>
      </c>
      <c r="U492" s="253">
        <f t="shared" si="110"/>
        <v>8.9440000000000008</v>
      </c>
      <c r="V492" s="2339"/>
    </row>
    <row r="493" spans="1:22">
      <c r="A493" s="2336"/>
      <c r="B493" s="2325"/>
      <c r="C493" s="189">
        <v>18</v>
      </c>
      <c r="D493" s="2325"/>
      <c r="E493" s="2321"/>
      <c r="F493" s="189">
        <v>1.6</v>
      </c>
      <c r="G493" s="394">
        <f t="shared" si="111"/>
        <v>5.5680000000000005</v>
      </c>
      <c r="H493" s="5"/>
      <c r="I493" s="189">
        <f t="shared" si="107"/>
        <v>5.5680000000000005</v>
      </c>
      <c r="J493" s="2339"/>
      <c r="L493" s="145">
        <f t="shared" si="112"/>
        <v>1</v>
      </c>
      <c r="M493" s="1918"/>
      <c r="N493" s="5">
        <f t="shared" si="113"/>
        <v>5.0199999999999996</v>
      </c>
      <c r="O493" s="5">
        <f t="shared" si="106"/>
        <v>5.0199999999999996</v>
      </c>
      <c r="P493" s="2339"/>
      <c r="R493" s="2392"/>
      <c r="S493" s="253">
        <f t="shared" si="108"/>
        <v>1.6</v>
      </c>
      <c r="T493" s="253">
        <f t="shared" si="109"/>
        <v>12.8</v>
      </c>
      <c r="U493" s="253">
        <f t="shared" si="110"/>
        <v>1.2800000000000002</v>
      </c>
      <c r="V493" s="2339"/>
    </row>
    <row r="494" spans="1:22">
      <c r="A494" s="2336"/>
      <c r="B494" s="2325"/>
      <c r="C494" s="189">
        <v>19</v>
      </c>
      <c r="D494" s="2325"/>
      <c r="E494" s="2321"/>
      <c r="F494" s="189">
        <v>2.48</v>
      </c>
      <c r="G494" s="394">
        <f t="shared" si="111"/>
        <v>8.6303999999999998</v>
      </c>
      <c r="H494" s="5"/>
      <c r="I494" s="189">
        <f t="shared" si="107"/>
        <v>8.6303999999999998</v>
      </c>
      <c r="J494" s="2339"/>
      <c r="L494" s="145">
        <f t="shared" si="112"/>
        <v>2</v>
      </c>
      <c r="M494" s="1918"/>
      <c r="N494" s="5">
        <f t="shared" si="113"/>
        <v>10.039999999999999</v>
      </c>
      <c r="O494" s="5">
        <f t="shared" si="106"/>
        <v>10.039999999999999</v>
      </c>
      <c r="P494" s="2339"/>
      <c r="R494" s="2392"/>
      <c r="S494" s="253">
        <f t="shared" si="108"/>
        <v>2.48</v>
      </c>
      <c r="T494" s="253">
        <f t="shared" si="109"/>
        <v>19.84</v>
      </c>
      <c r="U494" s="253">
        <f t="shared" si="110"/>
        <v>1.984</v>
      </c>
      <c r="V494" s="2339"/>
    </row>
    <row r="495" spans="1:22">
      <c r="A495" s="2336"/>
      <c r="B495" s="2325"/>
      <c r="C495" s="189">
        <v>20</v>
      </c>
      <c r="D495" s="2325"/>
      <c r="E495" s="2321"/>
      <c r="F495" s="189">
        <v>0.53</v>
      </c>
      <c r="G495" s="394">
        <f t="shared" si="111"/>
        <v>1.8444</v>
      </c>
      <c r="H495" s="5"/>
      <c r="I495" s="189">
        <f t="shared" si="107"/>
        <v>1.8444</v>
      </c>
      <c r="J495" s="2339"/>
      <c r="L495" s="145">
        <f t="shared" si="112"/>
        <v>1</v>
      </c>
      <c r="M495" s="1918"/>
      <c r="N495" s="5">
        <f t="shared" si="113"/>
        <v>5.0199999999999996</v>
      </c>
      <c r="O495" s="5">
        <f t="shared" si="106"/>
        <v>5.0199999999999996</v>
      </c>
      <c r="P495" s="2339"/>
      <c r="R495" s="2392"/>
      <c r="S495" s="253">
        <f t="shared" si="108"/>
        <v>0.53</v>
      </c>
      <c r="T495" s="253">
        <f t="shared" si="109"/>
        <v>4.24</v>
      </c>
      <c r="U495" s="253">
        <f t="shared" si="110"/>
        <v>0.42400000000000004</v>
      </c>
      <c r="V495" s="2339"/>
    </row>
    <row r="496" spans="1:22">
      <c r="A496" s="2336"/>
      <c r="B496" s="2325"/>
      <c r="C496" s="189">
        <v>21</v>
      </c>
      <c r="D496" s="2325"/>
      <c r="E496" s="2321"/>
      <c r="F496" s="189">
        <v>4.1500000000000004</v>
      </c>
      <c r="G496" s="394">
        <f t="shared" si="111"/>
        <v>14.442000000000002</v>
      </c>
      <c r="H496" s="5"/>
      <c r="I496" s="189">
        <f t="shared" si="107"/>
        <v>14.442000000000002</v>
      </c>
      <c r="J496" s="2339"/>
      <c r="L496" s="145">
        <f t="shared" si="112"/>
        <v>3</v>
      </c>
      <c r="M496" s="1918"/>
      <c r="N496" s="5">
        <f t="shared" si="113"/>
        <v>15.059999999999999</v>
      </c>
      <c r="O496" s="5">
        <f t="shared" si="106"/>
        <v>15.059999999999999</v>
      </c>
      <c r="P496" s="2339"/>
      <c r="R496" s="2392"/>
      <c r="S496" s="253">
        <f t="shared" si="108"/>
        <v>4.1500000000000004</v>
      </c>
      <c r="T496" s="253">
        <f t="shared" si="109"/>
        <v>33.200000000000003</v>
      </c>
      <c r="U496" s="253">
        <f t="shared" si="110"/>
        <v>3.3200000000000003</v>
      </c>
      <c r="V496" s="2339"/>
    </row>
    <row r="497" spans="1:22">
      <c r="A497" s="2336"/>
      <c r="B497" s="2325"/>
      <c r="C497" s="189">
        <v>22</v>
      </c>
      <c r="D497" s="2325"/>
      <c r="E497" s="2321"/>
      <c r="F497" s="189">
        <v>2</v>
      </c>
      <c r="G497" s="394">
        <f t="shared" si="111"/>
        <v>6.96</v>
      </c>
      <c r="H497" s="5"/>
      <c r="I497" s="189">
        <f t="shared" si="107"/>
        <v>6.96</v>
      </c>
      <c r="J497" s="2339"/>
      <c r="L497" s="145">
        <f t="shared" si="112"/>
        <v>2</v>
      </c>
      <c r="M497" s="1918"/>
      <c r="N497" s="5">
        <f t="shared" si="113"/>
        <v>10.039999999999999</v>
      </c>
      <c r="O497" s="5">
        <f t="shared" si="106"/>
        <v>10.039999999999999</v>
      </c>
      <c r="P497" s="2339"/>
      <c r="R497" s="2392"/>
      <c r="S497" s="253">
        <f t="shared" si="108"/>
        <v>2</v>
      </c>
      <c r="T497" s="253">
        <f t="shared" si="109"/>
        <v>16</v>
      </c>
      <c r="U497" s="253">
        <f t="shared" si="110"/>
        <v>1.6</v>
      </c>
      <c r="V497" s="2339"/>
    </row>
    <row r="498" spans="1:22">
      <c r="A498" s="2336"/>
      <c r="B498" s="2325"/>
      <c r="C498" s="189">
        <v>23</v>
      </c>
      <c r="D498" s="2325"/>
      <c r="E498" s="2321"/>
      <c r="F498" s="189">
        <v>1.1499999999999999</v>
      </c>
      <c r="G498" s="394">
        <f t="shared" si="111"/>
        <v>4.0019999999999998</v>
      </c>
      <c r="H498" s="5"/>
      <c r="I498" s="189">
        <f t="shared" si="107"/>
        <v>4.0019999999999998</v>
      </c>
      <c r="J498" s="2339"/>
      <c r="L498" s="145">
        <f t="shared" si="112"/>
        <v>1</v>
      </c>
      <c r="M498" s="1918"/>
      <c r="N498" s="5">
        <f t="shared" si="113"/>
        <v>5.0199999999999996</v>
      </c>
      <c r="O498" s="5">
        <f t="shared" si="106"/>
        <v>5.0199999999999996</v>
      </c>
      <c r="P498" s="2339"/>
      <c r="R498" s="2392"/>
      <c r="S498" s="253">
        <f t="shared" si="108"/>
        <v>1.1499999999999999</v>
      </c>
      <c r="T498" s="253">
        <f t="shared" si="109"/>
        <v>9.1999999999999993</v>
      </c>
      <c r="U498" s="253">
        <f t="shared" si="110"/>
        <v>0.91999999999999993</v>
      </c>
      <c r="V498" s="2339"/>
    </row>
    <row r="499" spans="1:22">
      <c r="A499" s="2336"/>
      <c r="B499" s="2325"/>
      <c r="C499" s="189">
        <v>24</v>
      </c>
      <c r="D499" s="2325"/>
      <c r="E499" s="2321"/>
      <c r="F499" s="189">
        <v>2.8</v>
      </c>
      <c r="G499" s="394">
        <f t="shared" si="111"/>
        <v>9.7439999999999998</v>
      </c>
      <c r="H499" s="5"/>
      <c r="I499" s="189">
        <f t="shared" si="107"/>
        <v>9.7439999999999998</v>
      </c>
      <c r="J499" s="2339"/>
      <c r="L499" s="145">
        <f t="shared" si="112"/>
        <v>2</v>
      </c>
      <c r="M499" s="1918"/>
      <c r="N499" s="5">
        <f t="shared" si="113"/>
        <v>10.039999999999999</v>
      </c>
      <c r="O499" s="5">
        <f t="shared" si="106"/>
        <v>10.039999999999999</v>
      </c>
      <c r="P499" s="2339"/>
      <c r="R499" s="2392"/>
      <c r="S499" s="253">
        <f t="shared" si="108"/>
        <v>2.8</v>
      </c>
      <c r="T499" s="253">
        <f t="shared" si="109"/>
        <v>22.4</v>
      </c>
      <c r="U499" s="253">
        <f t="shared" si="110"/>
        <v>2.2399999999999998</v>
      </c>
      <c r="V499" s="2339"/>
    </row>
    <row r="500" spans="1:22">
      <c r="A500" s="2336"/>
      <c r="B500" s="2325"/>
      <c r="C500" s="189">
        <v>25</v>
      </c>
      <c r="D500" s="2325"/>
      <c r="E500" s="2321"/>
      <c r="F500" s="189">
        <v>2.31</v>
      </c>
      <c r="G500" s="394">
        <f t="shared" si="111"/>
        <v>8.0388000000000002</v>
      </c>
      <c r="H500" s="5"/>
      <c r="I500" s="189">
        <f t="shared" si="107"/>
        <v>8.0388000000000002</v>
      </c>
      <c r="J500" s="2339"/>
      <c r="L500" s="145">
        <f t="shared" si="112"/>
        <v>2</v>
      </c>
      <c r="M500" s="1918"/>
      <c r="N500" s="5">
        <f t="shared" si="113"/>
        <v>10.039999999999999</v>
      </c>
      <c r="O500" s="5">
        <f t="shared" si="106"/>
        <v>10.039999999999999</v>
      </c>
      <c r="P500" s="2339"/>
      <c r="R500" s="2392"/>
      <c r="S500" s="253">
        <f t="shared" si="108"/>
        <v>2.31</v>
      </c>
      <c r="T500" s="253">
        <f t="shared" si="109"/>
        <v>18.48</v>
      </c>
      <c r="U500" s="253">
        <f t="shared" si="110"/>
        <v>1.8480000000000001</v>
      </c>
      <c r="V500" s="2339"/>
    </row>
    <row r="501" spans="1:22">
      <c r="A501" s="2336"/>
      <c r="B501" s="2325"/>
      <c r="C501" s="189">
        <v>26</v>
      </c>
      <c r="D501" s="2325"/>
      <c r="E501" s="2321"/>
      <c r="F501" s="189">
        <v>2.41</v>
      </c>
      <c r="G501" s="394">
        <f t="shared" si="111"/>
        <v>8.3868000000000009</v>
      </c>
      <c r="H501" s="5"/>
      <c r="I501" s="189">
        <f t="shared" si="107"/>
        <v>8.3868000000000009</v>
      </c>
      <c r="J501" s="2339"/>
      <c r="L501" s="145">
        <f t="shared" si="112"/>
        <v>2</v>
      </c>
      <c r="M501" s="1918"/>
      <c r="N501" s="5">
        <f t="shared" si="113"/>
        <v>10.039999999999999</v>
      </c>
      <c r="O501" s="5">
        <f t="shared" si="106"/>
        <v>10.039999999999999</v>
      </c>
      <c r="P501" s="2339"/>
      <c r="R501" s="2392"/>
      <c r="S501" s="253">
        <f t="shared" si="108"/>
        <v>2.41</v>
      </c>
      <c r="T501" s="253">
        <f t="shared" si="109"/>
        <v>19.28</v>
      </c>
      <c r="U501" s="253">
        <f t="shared" si="110"/>
        <v>1.9280000000000002</v>
      </c>
      <c r="V501" s="2339"/>
    </row>
    <row r="502" spans="1:22">
      <c r="A502" s="2336"/>
      <c r="B502" s="2325"/>
      <c r="C502" s="189">
        <v>27</v>
      </c>
      <c r="D502" s="2325"/>
      <c r="E502" s="2321"/>
      <c r="F502" s="5">
        <f>2.31+2.45</f>
        <v>4.76</v>
      </c>
      <c r="G502" s="394">
        <f t="shared" si="111"/>
        <v>16.564799999999998</v>
      </c>
      <c r="H502" s="5"/>
      <c r="I502" s="189">
        <f t="shared" si="107"/>
        <v>16.564799999999998</v>
      </c>
      <c r="J502" s="2339"/>
      <c r="L502" s="145">
        <f t="shared" si="112"/>
        <v>3</v>
      </c>
      <c r="M502" s="1918"/>
      <c r="N502" s="5">
        <f t="shared" si="113"/>
        <v>15.059999999999999</v>
      </c>
      <c r="O502" s="5">
        <f t="shared" si="106"/>
        <v>15.059999999999999</v>
      </c>
      <c r="P502" s="2339"/>
      <c r="R502" s="2392"/>
      <c r="S502" s="253">
        <f t="shared" si="108"/>
        <v>4.76</v>
      </c>
      <c r="T502" s="253">
        <f t="shared" si="109"/>
        <v>38.08</v>
      </c>
      <c r="U502" s="253">
        <f t="shared" si="110"/>
        <v>3.8079999999999998</v>
      </c>
      <c r="V502" s="2339"/>
    </row>
    <row r="503" spans="1:22">
      <c r="A503" s="2336"/>
      <c r="B503" s="2325"/>
      <c r="C503" s="189">
        <v>28</v>
      </c>
      <c r="D503" s="2325"/>
      <c r="E503" s="2321"/>
      <c r="F503" s="5">
        <v>4.72</v>
      </c>
      <c r="G503" s="394">
        <f t="shared" si="111"/>
        <v>16.425599999999999</v>
      </c>
      <c r="H503" s="5"/>
      <c r="I503" s="189">
        <f t="shared" si="107"/>
        <v>16.425599999999999</v>
      </c>
      <c r="J503" s="2339"/>
      <c r="L503" s="145">
        <f t="shared" si="112"/>
        <v>3</v>
      </c>
      <c r="M503" s="1918"/>
      <c r="N503" s="5">
        <f t="shared" si="113"/>
        <v>15.059999999999999</v>
      </c>
      <c r="O503" s="5">
        <f t="shared" si="106"/>
        <v>15.059999999999999</v>
      </c>
      <c r="P503" s="2339"/>
      <c r="R503" s="2392"/>
      <c r="S503" s="253">
        <f t="shared" si="108"/>
        <v>4.72</v>
      </c>
      <c r="T503" s="253">
        <f t="shared" si="109"/>
        <v>37.76</v>
      </c>
      <c r="U503" s="253">
        <f t="shared" si="110"/>
        <v>3.7759999999999998</v>
      </c>
      <c r="V503" s="2339"/>
    </row>
    <row r="504" spans="1:22">
      <c r="A504" s="2336"/>
      <c r="B504" s="2325"/>
      <c r="C504" s="189">
        <v>29</v>
      </c>
      <c r="D504" s="2325"/>
      <c r="E504" s="2321"/>
      <c r="F504" s="5">
        <v>0.56000000000000005</v>
      </c>
      <c r="G504" s="394">
        <f t="shared" si="111"/>
        <v>1.9488000000000001</v>
      </c>
      <c r="H504" s="5"/>
      <c r="I504" s="189">
        <f t="shared" si="107"/>
        <v>1.9488000000000001</v>
      </c>
      <c r="J504" s="2339"/>
      <c r="L504" s="145">
        <f t="shared" si="112"/>
        <v>1</v>
      </c>
      <c r="M504" s="1918"/>
      <c r="N504" s="5">
        <f t="shared" si="113"/>
        <v>5.0199999999999996</v>
      </c>
      <c r="O504" s="5">
        <f t="shared" si="106"/>
        <v>5.0199999999999996</v>
      </c>
      <c r="P504" s="2339"/>
      <c r="R504" s="2392"/>
      <c r="S504" s="253">
        <f t="shared" si="108"/>
        <v>0.56000000000000005</v>
      </c>
      <c r="T504" s="253">
        <f t="shared" si="109"/>
        <v>4.4800000000000004</v>
      </c>
      <c r="U504" s="253">
        <f t="shared" si="110"/>
        <v>0.44800000000000006</v>
      </c>
      <c r="V504" s="2339"/>
    </row>
    <row r="505" spans="1:22">
      <c r="A505" s="2336"/>
      <c r="B505" s="2325"/>
      <c r="C505" s="189">
        <v>30</v>
      </c>
      <c r="D505" s="2325"/>
      <c r="E505" s="2321"/>
      <c r="F505" s="5">
        <v>2.89</v>
      </c>
      <c r="G505" s="394">
        <f t="shared" si="111"/>
        <v>10.0572</v>
      </c>
      <c r="H505" s="5"/>
      <c r="I505" s="189">
        <f t="shared" si="107"/>
        <v>10.0572</v>
      </c>
      <c r="J505" s="2339"/>
      <c r="L505" s="145">
        <f t="shared" si="112"/>
        <v>2</v>
      </c>
      <c r="M505" s="1918"/>
      <c r="N505" s="5">
        <f t="shared" si="113"/>
        <v>10.039999999999999</v>
      </c>
      <c r="O505" s="5">
        <f t="shared" si="106"/>
        <v>10.039999999999999</v>
      </c>
      <c r="P505" s="2339"/>
      <c r="R505" s="2392"/>
      <c r="S505" s="253">
        <f t="shared" si="108"/>
        <v>2.89</v>
      </c>
      <c r="T505" s="253">
        <f t="shared" si="109"/>
        <v>23.12</v>
      </c>
      <c r="U505" s="253">
        <f t="shared" si="110"/>
        <v>2.3120000000000003</v>
      </c>
      <c r="V505" s="2339"/>
    </row>
    <row r="506" spans="1:22">
      <c r="A506" s="2336"/>
      <c r="B506" s="2325"/>
      <c r="C506" s="189">
        <v>31</v>
      </c>
      <c r="D506" s="2325"/>
      <c r="E506" s="2321"/>
      <c r="F506" s="5">
        <v>4.6900000000000004</v>
      </c>
      <c r="G506" s="394">
        <f t="shared" si="111"/>
        <v>16.321200000000001</v>
      </c>
      <c r="H506" s="5"/>
      <c r="I506" s="189">
        <f t="shared" si="107"/>
        <v>16.321200000000001</v>
      </c>
      <c r="J506" s="2339"/>
      <c r="L506" s="145">
        <f t="shared" si="112"/>
        <v>3</v>
      </c>
      <c r="M506" s="1918"/>
      <c r="N506" s="5">
        <f t="shared" si="113"/>
        <v>15.059999999999999</v>
      </c>
      <c r="O506" s="5">
        <f t="shared" si="106"/>
        <v>15.059999999999999</v>
      </c>
      <c r="P506" s="2339"/>
      <c r="R506" s="2392"/>
      <c r="S506" s="253">
        <f t="shared" si="108"/>
        <v>4.6900000000000004</v>
      </c>
      <c r="T506" s="253">
        <f t="shared" si="109"/>
        <v>37.520000000000003</v>
      </c>
      <c r="U506" s="253">
        <f t="shared" si="110"/>
        <v>3.7520000000000007</v>
      </c>
      <c r="V506" s="2339"/>
    </row>
    <row r="507" spans="1:22">
      <c r="A507" s="2336"/>
      <c r="B507" s="2325"/>
      <c r="C507" s="189">
        <v>32</v>
      </c>
      <c r="D507" s="2325"/>
      <c r="E507" s="2321"/>
      <c r="F507" s="5">
        <v>2.5</v>
      </c>
      <c r="G507" s="394">
        <f t="shared" si="111"/>
        <v>8.6999999999999993</v>
      </c>
      <c r="H507" s="5"/>
      <c r="I507" s="189">
        <f t="shared" si="107"/>
        <v>8.6999999999999993</v>
      </c>
      <c r="J507" s="2339"/>
      <c r="L507" s="145">
        <f t="shared" si="112"/>
        <v>2</v>
      </c>
      <c r="M507" s="1918"/>
      <c r="N507" s="5">
        <f t="shared" si="113"/>
        <v>10.039999999999999</v>
      </c>
      <c r="O507" s="5">
        <f t="shared" si="106"/>
        <v>10.039999999999999</v>
      </c>
      <c r="P507" s="2339"/>
      <c r="R507" s="2392"/>
      <c r="S507" s="253">
        <f t="shared" si="108"/>
        <v>2.5</v>
      </c>
      <c r="T507" s="253">
        <f t="shared" si="109"/>
        <v>20</v>
      </c>
      <c r="U507" s="253">
        <f t="shared" si="110"/>
        <v>2</v>
      </c>
      <c r="V507" s="2339"/>
    </row>
    <row r="508" spans="1:22">
      <c r="A508" s="2336"/>
      <c r="B508" s="2325"/>
      <c r="C508" s="189">
        <v>33</v>
      </c>
      <c r="D508" s="2325"/>
      <c r="E508" s="2321"/>
      <c r="F508" s="5">
        <v>1.18</v>
      </c>
      <c r="G508" s="394">
        <f t="shared" si="111"/>
        <v>4.1063999999999998</v>
      </c>
      <c r="H508" s="5"/>
      <c r="I508" s="189">
        <f t="shared" si="107"/>
        <v>4.1063999999999998</v>
      </c>
      <c r="J508" s="2339"/>
      <c r="L508" s="145">
        <f t="shared" si="112"/>
        <v>1</v>
      </c>
      <c r="M508" s="1918"/>
      <c r="N508" s="5">
        <f t="shared" si="113"/>
        <v>5.0199999999999996</v>
      </c>
      <c r="O508" s="5">
        <f t="shared" si="106"/>
        <v>5.0199999999999996</v>
      </c>
      <c r="P508" s="2339"/>
      <c r="R508" s="2392"/>
      <c r="S508" s="253">
        <f t="shared" si="108"/>
        <v>1.18</v>
      </c>
      <c r="T508" s="253">
        <f t="shared" si="109"/>
        <v>9.44</v>
      </c>
      <c r="U508" s="253">
        <f t="shared" si="110"/>
        <v>0.94399999999999995</v>
      </c>
      <c r="V508" s="2339"/>
    </row>
    <row r="509" spans="1:22">
      <c r="A509" s="2336"/>
      <c r="B509" s="2325"/>
      <c r="C509" s="189">
        <v>34</v>
      </c>
      <c r="D509" s="2325"/>
      <c r="E509" s="2321"/>
      <c r="F509" s="5">
        <v>1.83</v>
      </c>
      <c r="G509" s="394">
        <f t="shared" si="111"/>
        <v>6.3684000000000003</v>
      </c>
      <c r="H509" s="5"/>
      <c r="I509" s="189">
        <f t="shared" si="107"/>
        <v>6.3684000000000003</v>
      </c>
      <c r="J509" s="2339"/>
      <c r="L509" s="145">
        <f t="shared" si="112"/>
        <v>2</v>
      </c>
      <c r="M509" s="1918"/>
      <c r="N509" s="5">
        <f t="shared" si="113"/>
        <v>10.039999999999999</v>
      </c>
      <c r="O509" s="5">
        <f t="shared" si="106"/>
        <v>10.039999999999999</v>
      </c>
      <c r="P509" s="2339"/>
      <c r="R509" s="2392"/>
      <c r="S509" s="253">
        <f t="shared" si="108"/>
        <v>1.83</v>
      </c>
      <c r="T509" s="253">
        <f t="shared" si="109"/>
        <v>14.64</v>
      </c>
      <c r="U509" s="253">
        <f t="shared" si="110"/>
        <v>1.4640000000000002</v>
      </c>
      <c r="V509" s="2339"/>
    </row>
    <row r="510" spans="1:22">
      <c r="A510" s="2336"/>
      <c r="B510" s="2325"/>
      <c r="C510" s="189">
        <v>35</v>
      </c>
      <c r="D510" s="2325"/>
      <c r="E510" s="2321"/>
      <c r="F510" s="5">
        <v>2.31</v>
      </c>
      <c r="G510" s="394">
        <f t="shared" si="111"/>
        <v>8.0388000000000002</v>
      </c>
      <c r="H510" s="5"/>
      <c r="I510" s="189">
        <f t="shared" si="107"/>
        <v>8.0388000000000002</v>
      </c>
      <c r="J510" s="2339"/>
      <c r="L510" s="145">
        <f t="shared" si="112"/>
        <v>2</v>
      </c>
      <c r="M510" s="1918"/>
      <c r="N510" s="5">
        <f t="shared" si="113"/>
        <v>10.039999999999999</v>
      </c>
      <c r="O510" s="5">
        <f t="shared" si="106"/>
        <v>10.039999999999999</v>
      </c>
      <c r="P510" s="2339"/>
      <c r="R510" s="2392"/>
      <c r="S510" s="253">
        <f t="shared" si="108"/>
        <v>2.31</v>
      </c>
      <c r="T510" s="253">
        <f t="shared" si="109"/>
        <v>18.48</v>
      </c>
      <c r="U510" s="253">
        <f t="shared" si="110"/>
        <v>1.8480000000000001</v>
      </c>
      <c r="V510" s="2339"/>
    </row>
    <row r="511" spans="1:22">
      <c r="A511" s="2336"/>
      <c r="B511" s="2325"/>
      <c r="C511" s="189">
        <v>36</v>
      </c>
      <c r="D511" s="2325"/>
      <c r="E511" s="2321"/>
      <c r="F511" s="5">
        <v>3.87</v>
      </c>
      <c r="G511" s="394">
        <f t="shared" si="111"/>
        <v>13.467600000000001</v>
      </c>
      <c r="H511" s="5"/>
      <c r="I511" s="189">
        <f t="shared" si="107"/>
        <v>13.467600000000001</v>
      </c>
      <c r="J511" s="2339"/>
      <c r="L511" s="145">
        <f t="shared" si="112"/>
        <v>3</v>
      </c>
      <c r="M511" s="1918"/>
      <c r="N511" s="5">
        <f t="shared" si="113"/>
        <v>15.059999999999999</v>
      </c>
      <c r="O511" s="5">
        <f t="shared" si="106"/>
        <v>15.059999999999999</v>
      </c>
      <c r="P511" s="2339"/>
      <c r="R511" s="2392"/>
      <c r="S511" s="253">
        <f t="shared" si="108"/>
        <v>3.87</v>
      </c>
      <c r="T511" s="253">
        <f t="shared" si="109"/>
        <v>30.96</v>
      </c>
      <c r="U511" s="253">
        <f t="shared" si="110"/>
        <v>3.0960000000000001</v>
      </c>
      <c r="V511" s="2339"/>
    </row>
    <row r="512" spans="1:22">
      <c r="A512" s="2336"/>
      <c r="B512" s="2325"/>
      <c r="C512" s="189">
        <v>37</v>
      </c>
      <c r="D512" s="2325"/>
      <c r="E512" s="2321"/>
      <c r="F512" s="5">
        <v>3.83</v>
      </c>
      <c r="G512" s="394">
        <f t="shared" si="111"/>
        <v>13.3284</v>
      </c>
      <c r="H512" s="5"/>
      <c r="I512" s="189">
        <f t="shared" si="107"/>
        <v>13.3284</v>
      </c>
      <c r="J512" s="2339"/>
      <c r="L512" s="145">
        <f t="shared" si="112"/>
        <v>3</v>
      </c>
      <c r="M512" s="1918"/>
      <c r="N512" s="5">
        <f t="shared" si="113"/>
        <v>15.059999999999999</v>
      </c>
      <c r="O512" s="5">
        <f t="shared" si="106"/>
        <v>15.059999999999999</v>
      </c>
      <c r="P512" s="2339"/>
      <c r="R512" s="2392"/>
      <c r="S512" s="253">
        <f t="shared" si="108"/>
        <v>3.83</v>
      </c>
      <c r="T512" s="253">
        <f t="shared" si="109"/>
        <v>30.64</v>
      </c>
      <c r="U512" s="253">
        <f t="shared" si="110"/>
        <v>3.0640000000000001</v>
      </c>
      <c r="V512" s="2339"/>
    </row>
    <row r="513" spans="1:22">
      <c r="A513" s="2336"/>
      <c r="B513" s="2325"/>
      <c r="C513" s="189">
        <v>38</v>
      </c>
      <c r="D513" s="2325"/>
      <c r="E513" s="2321"/>
      <c r="F513" s="5">
        <v>7.15</v>
      </c>
      <c r="G513" s="394">
        <f t="shared" si="111"/>
        <v>24.882000000000001</v>
      </c>
      <c r="H513" s="5"/>
      <c r="I513" s="189">
        <f t="shared" si="107"/>
        <v>24.882000000000001</v>
      </c>
      <c r="J513" s="2339"/>
      <c r="L513" s="145">
        <f t="shared" si="112"/>
        <v>4</v>
      </c>
      <c r="M513" s="1918"/>
      <c r="N513" s="5">
        <f t="shared" si="113"/>
        <v>20.079999999999998</v>
      </c>
      <c r="O513" s="5">
        <f t="shared" si="106"/>
        <v>20.079999999999998</v>
      </c>
      <c r="P513" s="2339"/>
      <c r="R513" s="2392"/>
      <c r="S513" s="253">
        <f t="shared" si="108"/>
        <v>7.15</v>
      </c>
      <c r="T513" s="253">
        <f t="shared" si="109"/>
        <v>57.2</v>
      </c>
      <c r="U513" s="253">
        <f t="shared" si="110"/>
        <v>5.7200000000000006</v>
      </c>
      <c r="V513" s="2339"/>
    </row>
    <row r="514" spans="1:22">
      <c r="A514" s="2336"/>
      <c r="B514" s="2325"/>
      <c r="C514" s="189">
        <v>39</v>
      </c>
      <c r="D514" s="2325"/>
      <c r="E514" s="2321"/>
      <c r="F514" s="5">
        <v>2.15</v>
      </c>
      <c r="G514" s="394">
        <f t="shared" si="111"/>
        <v>7.4819999999999993</v>
      </c>
      <c r="H514" s="5"/>
      <c r="I514" s="189">
        <f t="shared" si="107"/>
        <v>7.4819999999999993</v>
      </c>
      <c r="J514" s="2339"/>
      <c r="L514" s="145">
        <f t="shared" si="112"/>
        <v>2</v>
      </c>
      <c r="M514" s="1918"/>
      <c r="N514" s="5">
        <f t="shared" si="113"/>
        <v>10.039999999999999</v>
      </c>
      <c r="O514" s="5">
        <f t="shared" si="106"/>
        <v>10.039999999999999</v>
      </c>
      <c r="P514" s="2339"/>
      <c r="R514" s="2392"/>
      <c r="S514" s="253">
        <f t="shared" si="108"/>
        <v>2.15</v>
      </c>
      <c r="T514" s="253">
        <f t="shared" si="109"/>
        <v>17.2</v>
      </c>
      <c r="U514" s="253">
        <f t="shared" si="110"/>
        <v>1.72</v>
      </c>
      <c r="V514" s="2339"/>
    </row>
    <row r="515" spans="1:22">
      <c r="A515" s="2336"/>
      <c r="B515" s="2325"/>
      <c r="C515" s="189">
        <v>40</v>
      </c>
      <c r="D515" s="2325"/>
      <c r="E515" s="2321"/>
      <c r="F515" s="5">
        <v>0.89</v>
      </c>
      <c r="G515" s="394">
        <f t="shared" si="111"/>
        <v>3.0972</v>
      </c>
      <c r="H515" s="5"/>
      <c r="I515" s="189">
        <f t="shared" si="107"/>
        <v>3.0972</v>
      </c>
      <c r="J515" s="2339"/>
      <c r="L515" s="145">
        <f t="shared" si="112"/>
        <v>1</v>
      </c>
      <c r="M515" s="1918"/>
      <c r="N515" s="5">
        <f t="shared" si="113"/>
        <v>5.0199999999999996</v>
      </c>
      <c r="O515" s="5">
        <f t="shared" si="106"/>
        <v>5.0199999999999996</v>
      </c>
      <c r="P515" s="2339"/>
      <c r="R515" s="2392"/>
      <c r="S515" s="253">
        <f t="shared" si="108"/>
        <v>0.89</v>
      </c>
      <c r="T515" s="253">
        <f t="shared" si="109"/>
        <v>7.12</v>
      </c>
      <c r="U515" s="253">
        <f t="shared" si="110"/>
        <v>0.71200000000000008</v>
      </c>
      <c r="V515" s="2339"/>
    </row>
    <row r="516" spans="1:22">
      <c r="A516" s="2336"/>
      <c r="B516" s="2325"/>
      <c r="C516" s="189">
        <v>41</v>
      </c>
      <c r="D516" s="2325"/>
      <c r="E516" s="2321"/>
      <c r="F516" s="5">
        <v>0.8</v>
      </c>
      <c r="G516" s="394">
        <f t="shared" si="111"/>
        <v>2.7840000000000003</v>
      </c>
      <c r="H516" s="5"/>
      <c r="I516" s="189">
        <f t="shared" si="107"/>
        <v>2.7840000000000003</v>
      </c>
      <c r="J516" s="2339"/>
      <c r="L516" s="145">
        <f t="shared" si="112"/>
        <v>1</v>
      </c>
      <c r="M516" s="1918"/>
      <c r="N516" s="5">
        <f t="shared" si="113"/>
        <v>5.0199999999999996</v>
      </c>
      <c r="O516" s="5">
        <f t="shared" si="106"/>
        <v>5.0199999999999996</v>
      </c>
      <c r="P516" s="2339"/>
      <c r="R516" s="2392"/>
      <c r="S516" s="253">
        <f t="shared" si="108"/>
        <v>0.8</v>
      </c>
      <c r="T516" s="253">
        <f t="shared" si="109"/>
        <v>6.4</v>
      </c>
      <c r="U516" s="253">
        <f t="shared" si="110"/>
        <v>0.64000000000000012</v>
      </c>
      <c r="V516" s="2339"/>
    </row>
    <row r="517" spans="1:22">
      <c r="A517" s="2336"/>
      <c r="B517" s="2325"/>
      <c r="C517" s="189">
        <v>42</v>
      </c>
      <c r="D517" s="2325"/>
      <c r="E517" s="2322"/>
      <c r="F517" s="5">
        <v>1.03</v>
      </c>
      <c r="G517" s="394">
        <f t="shared" si="111"/>
        <v>3.5844</v>
      </c>
      <c r="H517" s="5"/>
      <c r="I517" s="189">
        <f t="shared" si="107"/>
        <v>3.5844</v>
      </c>
      <c r="J517" s="2339"/>
      <c r="L517" s="145">
        <f t="shared" si="112"/>
        <v>1</v>
      </c>
      <c r="M517" s="1918"/>
      <c r="N517" s="5">
        <f t="shared" si="113"/>
        <v>5.0199999999999996</v>
      </c>
      <c r="O517" s="5">
        <f t="shared" si="106"/>
        <v>5.0199999999999996</v>
      </c>
      <c r="P517" s="2339"/>
      <c r="R517" s="2392"/>
      <c r="S517" s="253">
        <f t="shared" si="108"/>
        <v>1.03</v>
      </c>
      <c r="T517" s="253">
        <f t="shared" si="109"/>
        <v>8.24</v>
      </c>
      <c r="U517" s="253">
        <f t="shared" si="110"/>
        <v>0.82400000000000007</v>
      </c>
      <c r="V517" s="2339"/>
    </row>
    <row r="518" spans="1:22">
      <c r="A518" s="2336"/>
      <c r="B518" s="2325"/>
      <c r="C518" s="189">
        <v>43</v>
      </c>
      <c r="D518" s="2325"/>
      <c r="E518" s="2323">
        <v>3</v>
      </c>
      <c r="F518" s="5">
        <v>6.35</v>
      </c>
      <c r="G518" s="394">
        <f>$E$518*F518</f>
        <v>19.049999999999997</v>
      </c>
      <c r="H518" s="5"/>
      <c r="I518" s="189">
        <f t="shared" si="107"/>
        <v>19.049999999999997</v>
      </c>
      <c r="J518" s="2339"/>
      <c r="L518" s="145">
        <f>TRUNC((F518/1.2))+1</f>
        <v>6</v>
      </c>
      <c r="M518" s="2325">
        <f>($E$518)+(0.12+0.56+0.9)</f>
        <v>4.58</v>
      </c>
      <c r="N518" s="5">
        <f>$M$518*L518</f>
        <v>27.48</v>
      </c>
      <c r="O518" s="5">
        <f t="shared" si="106"/>
        <v>27.48</v>
      </c>
      <c r="P518" s="2339"/>
      <c r="R518" s="2392"/>
      <c r="S518" s="253">
        <f t="shared" si="108"/>
        <v>6.35</v>
      </c>
      <c r="T518" s="253">
        <f t="shared" si="109"/>
        <v>50.8</v>
      </c>
      <c r="U518" s="253">
        <f t="shared" si="110"/>
        <v>5.08</v>
      </c>
      <c r="V518" s="2339"/>
    </row>
    <row r="519" spans="1:22">
      <c r="A519" s="2336"/>
      <c r="B519" s="2325"/>
      <c r="C519" s="189">
        <v>44</v>
      </c>
      <c r="D519" s="2325"/>
      <c r="E519" s="2321"/>
      <c r="F519" s="5">
        <v>7.42</v>
      </c>
      <c r="G519" s="394">
        <f>$E$518*F519</f>
        <v>22.259999999999998</v>
      </c>
      <c r="H519" s="5">
        <f>1*1.1</f>
        <v>1.1000000000000001</v>
      </c>
      <c r="I519" s="189">
        <f t="shared" si="107"/>
        <v>21.159999999999997</v>
      </c>
      <c r="J519" s="2339"/>
      <c r="L519" s="145">
        <f>TRUNC((F519/1.2))+1</f>
        <v>7</v>
      </c>
      <c r="M519" s="2325"/>
      <c r="N519" s="5">
        <f>$M$518*L519</f>
        <v>32.06</v>
      </c>
      <c r="O519" s="5">
        <f t="shared" si="106"/>
        <v>32.06</v>
      </c>
      <c r="P519" s="2339"/>
      <c r="R519" s="2392"/>
      <c r="S519" s="253">
        <f t="shared" si="108"/>
        <v>7.42</v>
      </c>
      <c r="T519" s="253">
        <f t="shared" si="109"/>
        <v>59.36</v>
      </c>
      <c r="U519" s="253">
        <f t="shared" si="110"/>
        <v>5.9359999999999999</v>
      </c>
      <c r="V519" s="2339"/>
    </row>
    <row r="520" spans="1:22">
      <c r="A520" s="2336"/>
      <c r="B520" s="2325"/>
      <c r="C520" s="189">
        <v>45</v>
      </c>
      <c r="D520" s="2325"/>
      <c r="E520" s="2321"/>
      <c r="F520" s="5">
        <v>13.51</v>
      </c>
      <c r="G520" s="394">
        <f>$E$518*F520</f>
        <v>40.53</v>
      </c>
      <c r="H520" s="5">
        <f>2*((0.968+1.22+1.22+1.698)*1.1)</f>
        <v>11.2332</v>
      </c>
      <c r="I520" s="189">
        <f t="shared" si="107"/>
        <v>29.296800000000001</v>
      </c>
      <c r="J520" s="2339"/>
      <c r="L520" s="145">
        <f>TRUNC((F520/1.2))+1</f>
        <v>12</v>
      </c>
      <c r="M520" s="2325"/>
      <c r="N520" s="5">
        <f>$M$518*L520</f>
        <v>54.96</v>
      </c>
      <c r="O520" s="5">
        <f t="shared" si="106"/>
        <v>54.96</v>
      </c>
      <c r="P520" s="2339"/>
      <c r="R520" s="2392"/>
      <c r="S520" s="253">
        <f t="shared" si="108"/>
        <v>13.51</v>
      </c>
      <c r="T520" s="253">
        <f t="shared" si="109"/>
        <v>108.08</v>
      </c>
      <c r="U520" s="253">
        <f t="shared" si="110"/>
        <v>10.808</v>
      </c>
      <c r="V520" s="2339"/>
    </row>
    <row r="521" spans="1:22">
      <c r="A521" s="2336"/>
      <c r="B521" s="2325"/>
      <c r="C521" s="189">
        <v>46</v>
      </c>
      <c r="D521" s="2325"/>
      <c r="E521" s="2322"/>
      <c r="F521" s="5">
        <v>48.4</v>
      </c>
      <c r="G521" s="394">
        <f>$E$518*F521</f>
        <v>145.19999999999999</v>
      </c>
      <c r="H521" s="5">
        <f>1.1*(1.573+1.22+1.22+0.855+0.904+(6*1.22)+0.757+0.884+0.733)+3*9.245+((3*1.22+0.906+0.886)*1.1)+(1.1*(1.344+1.213+1.227+1.213+1.169+1.22+1.22+1.175))</f>
        <v>61.503900000000009</v>
      </c>
      <c r="I521" s="189">
        <f t="shared" si="107"/>
        <v>83.696099999999973</v>
      </c>
      <c r="J521" s="2339"/>
      <c r="L521" s="145">
        <f>TRUNC((F521/1.2))+1</f>
        <v>41</v>
      </c>
      <c r="M521" s="2325"/>
      <c r="N521" s="5">
        <f>$M$518*L521</f>
        <v>187.78</v>
      </c>
      <c r="O521" s="5">
        <f t="shared" ref="O521:O584" si="114">N521*1</f>
        <v>187.78</v>
      </c>
      <c r="P521" s="2339"/>
      <c r="R521" s="2392"/>
      <c r="S521" s="253">
        <f t="shared" si="108"/>
        <v>48.4</v>
      </c>
      <c r="T521" s="253">
        <f t="shared" si="109"/>
        <v>387.2</v>
      </c>
      <c r="U521" s="253">
        <f t="shared" si="110"/>
        <v>38.72</v>
      </c>
      <c r="V521" s="2339"/>
    </row>
    <row r="522" spans="1:22">
      <c r="A522" s="2336"/>
      <c r="B522" s="2325"/>
      <c r="C522" s="189">
        <v>47</v>
      </c>
      <c r="D522" s="2325"/>
      <c r="E522" s="2321">
        <v>3.48</v>
      </c>
      <c r="F522" s="5">
        <v>3.94</v>
      </c>
      <c r="G522" s="394">
        <f>$E$522*F522</f>
        <v>13.7112</v>
      </c>
      <c r="H522" s="5">
        <f>(1/3)*G522</f>
        <v>4.5703999999999994</v>
      </c>
      <c r="I522" s="189">
        <f t="shared" si="107"/>
        <v>9.1408000000000005</v>
      </c>
      <c r="J522" s="2339"/>
      <c r="L522" s="145">
        <f>TRUNC((F522/1.8))+1</f>
        <v>3</v>
      </c>
      <c r="M522" s="2325">
        <f>($E$522)+(0.66+0.88)</f>
        <v>5.0199999999999996</v>
      </c>
      <c r="N522" s="5">
        <f>$M$522*L522</f>
        <v>15.059999999999999</v>
      </c>
      <c r="O522" s="5">
        <f t="shared" si="114"/>
        <v>15.059999999999999</v>
      </c>
      <c r="P522" s="2339"/>
      <c r="R522" s="2392"/>
      <c r="S522" s="253">
        <f t="shared" si="108"/>
        <v>3.94</v>
      </c>
      <c r="T522" s="253">
        <f t="shared" si="109"/>
        <v>31.52</v>
      </c>
      <c r="U522" s="253">
        <f t="shared" si="110"/>
        <v>3.1520000000000001</v>
      </c>
      <c r="V522" s="2339"/>
    </row>
    <row r="523" spans="1:22">
      <c r="A523" s="2336"/>
      <c r="B523" s="2325"/>
      <c r="C523" s="189">
        <v>48</v>
      </c>
      <c r="D523" s="2325"/>
      <c r="E523" s="2321"/>
      <c r="F523" s="5">
        <v>3.69</v>
      </c>
      <c r="G523" s="394">
        <f t="shared" ref="G523:G560" si="115">$E$522*F523</f>
        <v>12.841200000000001</v>
      </c>
      <c r="H523" s="5">
        <f t="shared" ref="H523:H541" si="116">(1/3)*G523</f>
        <v>4.2804000000000002</v>
      </c>
      <c r="I523" s="189">
        <f t="shared" si="107"/>
        <v>8.5608000000000004</v>
      </c>
      <c r="J523" s="2339"/>
      <c r="L523" s="145">
        <f t="shared" ref="L523:L560" si="117">TRUNC((F523/1.8))+1</f>
        <v>3</v>
      </c>
      <c r="M523" s="2325"/>
      <c r="N523" s="5">
        <f t="shared" ref="N523:N560" si="118">$M$522*L523</f>
        <v>15.059999999999999</v>
      </c>
      <c r="O523" s="5">
        <f t="shared" si="114"/>
        <v>15.059999999999999</v>
      </c>
      <c r="P523" s="2339"/>
      <c r="R523" s="2392"/>
      <c r="S523" s="253">
        <f t="shared" si="108"/>
        <v>3.69</v>
      </c>
      <c r="T523" s="253">
        <f t="shared" si="109"/>
        <v>29.52</v>
      </c>
      <c r="U523" s="253">
        <f t="shared" si="110"/>
        <v>2.952</v>
      </c>
      <c r="V523" s="2339"/>
    </row>
    <row r="524" spans="1:22">
      <c r="A524" s="2336"/>
      <c r="B524" s="2325"/>
      <c r="C524" s="189">
        <v>49</v>
      </c>
      <c r="D524" s="2325"/>
      <c r="E524" s="2321"/>
      <c r="F524" s="5">
        <v>3.72</v>
      </c>
      <c r="G524" s="394">
        <f t="shared" si="115"/>
        <v>12.945600000000001</v>
      </c>
      <c r="H524" s="5">
        <f t="shared" si="116"/>
        <v>4.3151999999999999</v>
      </c>
      <c r="I524" s="189">
        <f t="shared" si="107"/>
        <v>8.6304000000000016</v>
      </c>
      <c r="J524" s="2339"/>
      <c r="L524" s="145">
        <f t="shared" si="117"/>
        <v>3</v>
      </c>
      <c r="M524" s="2325"/>
      <c r="N524" s="5">
        <f t="shared" si="118"/>
        <v>15.059999999999999</v>
      </c>
      <c r="O524" s="5">
        <f t="shared" si="114"/>
        <v>15.059999999999999</v>
      </c>
      <c r="P524" s="2339"/>
      <c r="R524" s="2392"/>
      <c r="S524" s="253">
        <f t="shared" si="108"/>
        <v>3.72</v>
      </c>
      <c r="T524" s="253">
        <f t="shared" si="109"/>
        <v>29.76</v>
      </c>
      <c r="U524" s="253">
        <f t="shared" si="110"/>
        <v>2.9760000000000004</v>
      </c>
      <c r="V524" s="2339"/>
    </row>
    <row r="525" spans="1:22">
      <c r="A525" s="2336"/>
      <c r="B525" s="2325"/>
      <c r="C525" s="189">
        <v>50</v>
      </c>
      <c r="D525" s="2325"/>
      <c r="E525" s="2321"/>
      <c r="F525" s="5">
        <v>4.76</v>
      </c>
      <c r="G525" s="394">
        <f t="shared" si="115"/>
        <v>16.564799999999998</v>
      </c>
      <c r="H525" s="5">
        <f t="shared" si="116"/>
        <v>5.5215999999999994</v>
      </c>
      <c r="I525" s="189">
        <f t="shared" si="107"/>
        <v>11.043199999999999</v>
      </c>
      <c r="J525" s="2339"/>
      <c r="L525" s="145">
        <f t="shared" si="117"/>
        <v>3</v>
      </c>
      <c r="M525" s="2325"/>
      <c r="N525" s="5">
        <f t="shared" si="118"/>
        <v>15.059999999999999</v>
      </c>
      <c r="O525" s="5">
        <f t="shared" si="114"/>
        <v>15.059999999999999</v>
      </c>
      <c r="P525" s="2339"/>
      <c r="R525" s="2392"/>
      <c r="S525" s="253">
        <f t="shared" si="108"/>
        <v>4.76</v>
      </c>
      <c r="T525" s="253">
        <f t="shared" si="109"/>
        <v>38.08</v>
      </c>
      <c r="U525" s="253">
        <f t="shared" si="110"/>
        <v>3.8079999999999998</v>
      </c>
      <c r="V525" s="2339"/>
    </row>
    <row r="526" spans="1:22">
      <c r="A526" s="2336"/>
      <c r="B526" s="2325"/>
      <c r="C526" s="189">
        <v>51</v>
      </c>
      <c r="D526" s="2325"/>
      <c r="E526" s="2321"/>
      <c r="F526" s="5">
        <v>3.71</v>
      </c>
      <c r="G526" s="394">
        <f t="shared" si="115"/>
        <v>12.9108</v>
      </c>
      <c r="H526" s="5">
        <f t="shared" si="116"/>
        <v>4.3035999999999994</v>
      </c>
      <c r="I526" s="189">
        <f t="shared" si="107"/>
        <v>8.6072000000000006</v>
      </c>
      <c r="J526" s="2339"/>
      <c r="L526" s="145">
        <f t="shared" si="117"/>
        <v>3</v>
      </c>
      <c r="M526" s="2325"/>
      <c r="N526" s="5">
        <f t="shared" si="118"/>
        <v>15.059999999999999</v>
      </c>
      <c r="O526" s="5">
        <f t="shared" si="114"/>
        <v>15.059999999999999</v>
      </c>
      <c r="P526" s="2339"/>
      <c r="R526" s="2392"/>
      <c r="S526" s="253">
        <f t="shared" si="108"/>
        <v>3.71</v>
      </c>
      <c r="T526" s="253">
        <f t="shared" si="109"/>
        <v>29.68</v>
      </c>
      <c r="U526" s="253">
        <f t="shared" si="110"/>
        <v>2.968</v>
      </c>
      <c r="V526" s="2339"/>
    </row>
    <row r="527" spans="1:22">
      <c r="A527" s="2336"/>
      <c r="B527" s="2325"/>
      <c r="C527" s="189">
        <v>52</v>
      </c>
      <c r="D527" s="2325"/>
      <c r="E527" s="2321"/>
      <c r="F527" s="5">
        <v>3.71</v>
      </c>
      <c r="G527" s="394">
        <f t="shared" si="115"/>
        <v>12.9108</v>
      </c>
      <c r="H527" s="5">
        <f t="shared" si="116"/>
        <v>4.3035999999999994</v>
      </c>
      <c r="I527" s="189">
        <f t="shared" si="107"/>
        <v>8.6072000000000006</v>
      </c>
      <c r="J527" s="2339"/>
      <c r="L527" s="145">
        <f t="shared" si="117"/>
        <v>3</v>
      </c>
      <c r="M527" s="2325"/>
      <c r="N527" s="5">
        <f t="shared" si="118"/>
        <v>15.059999999999999</v>
      </c>
      <c r="O527" s="5">
        <f t="shared" si="114"/>
        <v>15.059999999999999</v>
      </c>
      <c r="P527" s="2339"/>
      <c r="R527" s="2392"/>
      <c r="S527" s="253">
        <f t="shared" si="108"/>
        <v>3.71</v>
      </c>
      <c r="T527" s="253">
        <f t="shared" si="109"/>
        <v>29.68</v>
      </c>
      <c r="U527" s="253">
        <f t="shared" si="110"/>
        <v>2.968</v>
      </c>
      <c r="V527" s="2339"/>
    </row>
    <row r="528" spans="1:22">
      <c r="A528" s="2336"/>
      <c r="B528" s="2325"/>
      <c r="C528" s="189">
        <v>53</v>
      </c>
      <c r="D528" s="2325"/>
      <c r="E528" s="2321"/>
      <c r="F528" s="5">
        <v>4</v>
      </c>
      <c r="G528" s="394">
        <f t="shared" si="115"/>
        <v>13.92</v>
      </c>
      <c r="H528" s="5">
        <f t="shared" si="116"/>
        <v>4.6399999999999997</v>
      </c>
      <c r="I528" s="189">
        <f t="shared" si="107"/>
        <v>9.2800000000000011</v>
      </c>
      <c r="J528" s="2339"/>
      <c r="L528" s="145">
        <f t="shared" si="117"/>
        <v>3</v>
      </c>
      <c r="M528" s="2325"/>
      <c r="N528" s="5">
        <f t="shared" si="118"/>
        <v>15.059999999999999</v>
      </c>
      <c r="O528" s="5">
        <f t="shared" si="114"/>
        <v>15.059999999999999</v>
      </c>
      <c r="P528" s="2339"/>
      <c r="R528" s="2392"/>
      <c r="S528" s="253">
        <f t="shared" si="108"/>
        <v>4</v>
      </c>
      <c r="T528" s="253">
        <f t="shared" si="109"/>
        <v>32</v>
      </c>
      <c r="U528" s="253">
        <f t="shared" si="110"/>
        <v>3.2</v>
      </c>
      <c r="V528" s="2339"/>
    </row>
    <row r="529" spans="1:22">
      <c r="A529" s="2336"/>
      <c r="B529" s="2325"/>
      <c r="C529" s="189">
        <v>54</v>
      </c>
      <c r="D529" s="2325"/>
      <c r="E529" s="2321"/>
      <c r="F529" s="5">
        <v>3.71</v>
      </c>
      <c r="G529" s="394">
        <f t="shared" si="115"/>
        <v>12.9108</v>
      </c>
      <c r="H529" s="5">
        <f t="shared" si="116"/>
        <v>4.3035999999999994</v>
      </c>
      <c r="I529" s="189">
        <f t="shared" si="107"/>
        <v>8.6072000000000006</v>
      </c>
      <c r="J529" s="2339"/>
      <c r="L529" s="145">
        <f t="shared" si="117"/>
        <v>3</v>
      </c>
      <c r="M529" s="2325"/>
      <c r="N529" s="5">
        <f t="shared" si="118"/>
        <v>15.059999999999999</v>
      </c>
      <c r="O529" s="5">
        <f t="shared" si="114"/>
        <v>15.059999999999999</v>
      </c>
      <c r="P529" s="2339"/>
      <c r="R529" s="2392"/>
      <c r="S529" s="253">
        <f t="shared" si="108"/>
        <v>3.71</v>
      </c>
      <c r="T529" s="253">
        <f t="shared" si="109"/>
        <v>29.68</v>
      </c>
      <c r="U529" s="253">
        <f t="shared" si="110"/>
        <v>2.968</v>
      </c>
      <c r="V529" s="2339"/>
    </row>
    <row r="530" spans="1:22">
      <c r="A530" s="2336"/>
      <c r="B530" s="2325"/>
      <c r="C530" s="189">
        <v>55</v>
      </c>
      <c r="D530" s="2325"/>
      <c r="E530" s="2321"/>
      <c r="F530" s="5">
        <v>3.71</v>
      </c>
      <c r="G530" s="394">
        <f t="shared" si="115"/>
        <v>12.9108</v>
      </c>
      <c r="H530" s="5">
        <f t="shared" si="116"/>
        <v>4.3035999999999994</v>
      </c>
      <c r="I530" s="189">
        <f t="shared" si="107"/>
        <v>8.6072000000000006</v>
      </c>
      <c r="J530" s="2339"/>
      <c r="L530" s="145">
        <f t="shared" si="117"/>
        <v>3</v>
      </c>
      <c r="M530" s="2325"/>
      <c r="N530" s="5">
        <f t="shared" si="118"/>
        <v>15.059999999999999</v>
      </c>
      <c r="O530" s="5">
        <f t="shared" si="114"/>
        <v>15.059999999999999</v>
      </c>
      <c r="P530" s="2339"/>
      <c r="R530" s="2392"/>
      <c r="S530" s="253">
        <f t="shared" si="108"/>
        <v>3.71</v>
      </c>
      <c r="T530" s="253">
        <f t="shared" si="109"/>
        <v>29.68</v>
      </c>
      <c r="U530" s="253">
        <f t="shared" si="110"/>
        <v>2.968</v>
      </c>
      <c r="V530" s="2339"/>
    </row>
    <row r="531" spans="1:22">
      <c r="A531" s="2336"/>
      <c r="B531" s="2325"/>
      <c r="C531" s="189">
        <v>56</v>
      </c>
      <c r="D531" s="2325"/>
      <c r="E531" s="2321"/>
      <c r="F531" s="5">
        <v>3.46</v>
      </c>
      <c r="G531" s="394">
        <f t="shared" si="115"/>
        <v>12.040799999999999</v>
      </c>
      <c r="H531" s="5">
        <f t="shared" si="116"/>
        <v>4.0135999999999994</v>
      </c>
      <c r="I531" s="189">
        <f t="shared" si="107"/>
        <v>8.0272000000000006</v>
      </c>
      <c r="J531" s="2339"/>
      <c r="L531" s="145">
        <f t="shared" si="117"/>
        <v>2</v>
      </c>
      <c r="M531" s="2325"/>
      <c r="N531" s="5">
        <f t="shared" si="118"/>
        <v>10.039999999999999</v>
      </c>
      <c r="O531" s="5">
        <f t="shared" si="114"/>
        <v>10.039999999999999</v>
      </c>
      <c r="P531" s="2339"/>
      <c r="R531" s="2392"/>
      <c r="S531" s="253">
        <f t="shared" si="108"/>
        <v>3.46</v>
      </c>
      <c r="T531" s="253">
        <f t="shared" si="109"/>
        <v>27.68</v>
      </c>
      <c r="U531" s="253">
        <f t="shared" si="110"/>
        <v>2.7680000000000002</v>
      </c>
      <c r="V531" s="2339"/>
    </row>
    <row r="532" spans="1:22">
      <c r="A532" s="2336"/>
      <c r="B532" s="2325"/>
      <c r="C532" s="189">
        <v>57</v>
      </c>
      <c r="D532" s="2325"/>
      <c r="E532" s="2321"/>
      <c r="F532" s="5">
        <v>3.37</v>
      </c>
      <c r="G532" s="394">
        <f t="shared" si="115"/>
        <v>11.727600000000001</v>
      </c>
      <c r="H532" s="5">
        <f t="shared" si="116"/>
        <v>3.9092000000000002</v>
      </c>
      <c r="I532" s="189">
        <f t="shared" si="107"/>
        <v>7.8184000000000005</v>
      </c>
      <c r="J532" s="2339"/>
      <c r="L532" s="145">
        <f t="shared" si="117"/>
        <v>2</v>
      </c>
      <c r="M532" s="2325"/>
      <c r="N532" s="5">
        <f t="shared" si="118"/>
        <v>10.039999999999999</v>
      </c>
      <c r="O532" s="5">
        <f t="shared" si="114"/>
        <v>10.039999999999999</v>
      </c>
      <c r="P532" s="2339"/>
      <c r="R532" s="2392"/>
      <c r="S532" s="253">
        <f t="shared" si="108"/>
        <v>3.37</v>
      </c>
      <c r="T532" s="253">
        <f t="shared" si="109"/>
        <v>26.96</v>
      </c>
      <c r="U532" s="253">
        <f t="shared" si="110"/>
        <v>2.6960000000000002</v>
      </c>
      <c r="V532" s="2339"/>
    </row>
    <row r="533" spans="1:22">
      <c r="A533" s="2336"/>
      <c r="B533" s="2325"/>
      <c r="C533" s="189">
        <v>58</v>
      </c>
      <c r="D533" s="2325"/>
      <c r="E533" s="2321"/>
      <c r="F533" s="5">
        <v>4.17</v>
      </c>
      <c r="G533" s="394">
        <f t="shared" si="115"/>
        <v>14.5116</v>
      </c>
      <c r="H533" s="5">
        <f t="shared" si="116"/>
        <v>4.8371999999999993</v>
      </c>
      <c r="I533" s="189">
        <f t="shared" si="107"/>
        <v>9.6744000000000003</v>
      </c>
      <c r="J533" s="2339"/>
      <c r="L533" s="145">
        <f t="shared" si="117"/>
        <v>3</v>
      </c>
      <c r="M533" s="2325"/>
      <c r="N533" s="5">
        <f t="shared" si="118"/>
        <v>15.059999999999999</v>
      </c>
      <c r="O533" s="5">
        <f t="shared" si="114"/>
        <v>15.059999999999999</v>
      </c>
      <c r="P533" s="2339"/>
      <c r="R533" s="2392"/>
      <c r="S533" s="253">
        <f t="shared" si="108"/>
        <v>4.17</v>
      </c>
      <c r="T533" s="253">
        <f t="shared" si="109"/>
        <v>33.36</v>
      </c>
      <c r="U533" s="253">
        <f t="shared" si="110"/>
        <v>3.3360000000000003</v>
      </c>
      <c r="V533" s="2339"/>
    </row>
    <row r="534" spans="1:22">
      <c r="A534" s="2336"/>
      <c r="B534" s="2325"/>
      <c r="C534" s="189">
        <v>59</v>
      </c>
      <c r="D534" s="2325"/>
      <c r="E534" s="2321"/>
      <c r="F534" s="5">
        <v>4.83</v>
      </c>
      <c r="G534" s="394">
        <f t="shared" si="115"/>
        <v>16.808399999999999</v>
      </c>
      <c r="H534" s="5">
        <f t="shared" si="116"/>
        <v>5.6027999999999993</v>
      </c>
      <c r="I534" s="189">
        <f t="shared" si="107"/>
        <v>11.2056</v>
      </c>
      <c r="J534" s="2339"/>
      <c r="L534" s="145">
        <f t="shared" si="117"/>
        <v>3</v>
      </c>
      <c r="M534" s="2325"/>
      <c r="N534" s="5">
        <f t="shared" si="118"/>
        <v>15.059999999999999</v>
      </c>
      <c r="O534" s="5">
        <f t="shared" si="114"/>
        <v>15.059999999999999</v>
      </c>
      <c r="P534" s="2339"/>
      <c r="R534" s="2392"/>
      <c r="S534" s="253">
        <f t="shared" si="108"/>
        <v>4.83</v>
      </c>
      <c r="T534" s="253">
        <f t="shared" si="109"/>
        <v>38.64</v>
      </c>
      <c r="U534" s="253">
        <f t="shared" si="110"/>
        <v>3.8640000000000003</v>
      </c>
      <c r="V534" s="2339"/>
    </row>
    <row r="535" spans="1:22">
      <c r="A535" s="2336"/>
      <c r="B535" s="2325"/>
      <c r="C535" s="189">
        <v>60</v>
      </c>
      <c r="D535" s="2325"/>
      <c r="E535" s="2321"/>
      <c r="F535" s="5">
        <v>3.37</v>
      </c>
      <c r="G535" s="394">
        <f t="shared" si="115"/>
        <v>11.727600000000001</v>
      </c>
      <c r="H535" s="5">
        <f t="shared" si="116"/>
        <v>3.9092000000000002</v>
      </c>
      <c r="I535" s="189">
        <f t="shared" si="107"/>
        <v>7.8184000000000005</v>
      </c>
      <c r="J535" s="2339"/>
      <c r="L535" s="145">
        <f t="shared" si="117"/>
        <v>2</v>
      </c>
      <c r="M535" s="2325"/>
      <c r="N535" s="5">
        <f t="shared" si="118"/>
        <v>10.039999999999999</v>
      </c>
      <c r="O535" s="5">
        <f t="shared" si="114"/>
        <v>10.039999999999999</v>
      </c>
      <c r="P535" s="2339"/>
      <c r="R535" s="2392"/>
      <c r="S535" s="253">
        <f t="shared" si="108"/>
        <v>3.37</v>
      </c>
      <c r="T535" s="253">
        <f t="shared" si="109"/>
        <v>26.96</v>
      </c>
      <c r="U535" s="253">
        <f t="shared" si="110"/>
        <v>2.6960000000000002</v>
      </c>
      <c r="V535" s="2339"/>
    </row>
    <row r="536" spans="1:22">
      <c r="A536" s="2336"/>
      <c r="B536" s="2325"/>
      <c r="C536" s="189">
        <v>61</v>
      </c>
      <c r="D536" s="2325"/>
      <c r="E536" s="2321"/>
      <c r="F536" s="5">
        <v>3.63</v>
      </c>
      <c r="G536" s="394">
        <f t="shared" si="115"/>
        <v>12.632399999999999</v>
      </c>
      <c r="H536" s="5">
        <f t="shared" si="116"/>
        <v>4.210799999999999</v>
      </c>
      <c r="I536" s="189">
        <f t="shared" si="107"/>
        <v>8.4215999999999998</v>
      </c>
      <c r="J536" s="2339"/>
      <c r="L536" s="145">
        <f t="shared" si="117"/>
        <v>3</v>
      </c>
      <c r="M536" s="2325"/>
      <c r="N536" s="5">
        <f t="shared" si="118"/>
        <v>15.059999999999999</v>
      </c>
      <c r="O536" s="5">
        <f t="shared" si="114"/>
        <v>15.059999999999999</v>
      </c>
      <c r="P536" s="2339"/>
      <c r="R536" s="2392"/>
      <c r="S536" s="253">
        <f t="shared" si="108"/>
        <v>3.63</v>
      </c>
      <c r="T536" s="253">
        <f t="shared" si="109"/>
        <v>29.04</v>
      </c>
      <c r="U536" s="253">
        <f t="shared" si="110"/>
        <v>2.9039999999999999</v>
      </c>
      <c r="V536" s="2339"/>
    </row>
    <row r="537" spans="1:22">
      <c r="A537" s="2336"/>
      <c r="B537" s="2325"/>
      <c r="C537" s="189">
        <v>62</v>
      </c>
      <c r="D537" s="2325"/>
      <c r="E537" s="2321"/>
      <c r="F537" s="5">
        <v>3.71</v>
      </c>
      <c r="G537" s="394">
        <f t="shared" si="115"/>
        <v>12.9108</v>
      </c>
      <c r="H537" s="5">
        <f t="shared" si="116"/>
        <v>4.3035999999999994</v>
      </c>
      <c r="I537" s="189">
        <f t="shared" si="107"/>
        <v>8.6072000000000006</v>
      </c>
      <c r="J537" s="2339"/>
      <c r="L537" s="145">
        <f t="shared" si="117"/>
        <v>3</v>
      </c>
      <c r="M537" s="2325"/>
      <c r="N537" s="5">
        <f t="shared" si="118"/>
        <v>15.059999999999999</v>
      </c>
      <c r="O537" s="5">
        <f t="shared" si="114"/>
        <v>15.059999999999999</v>
      </c>
      <c r="P537" s="2339"/>
      <c r="R537" s="2392"/>
      <c r="S537" s="253">
        <f t="shared" si="108"/>
        <v>3.71</v>
      </c>
      <c r="T537" s="253">
        <f t="shared" si="109"/>
        <v>29.68</v>
      </c>
      <c r="U537" s="253">
        <f t="shared" si="110"/>
        <v>2.968</v>
      </c>
      <c r="V537" s="2339"/>
    </row>
    <row r="538" spans="1:22">
      <c r="A538" s="2336"/>
      <c r="B538" s="2325"/>
      <c r="C538" s="189">
        <v>63</v>
      </c>
      <c r="D538" s="2325"/>
      <c r="E538" s="2321"/>
      <c r="F538" s="5">
        <v>3.63</v>
      </c>
      <c r="G538" s="394">
        <f t="shared" si="115"/>
        <v>12.632399999999999</v>
      </c>
      <c r="H538" s="5">
        <f t="shared" si="116"/>
        <v>4.210799999999999</v>
      </c>
      <c r="I538" s="189">
        <f t="shared" si="107"/>
        <v>8.4215999999999998</v>
      </c>
      <c r="J538" s="2339"/>
      <c r="L538" s="145">
        <f t="shared" si="117"/>
        <v>3</v>
      </c>
      <c r="M538" s="2325"/>
      <c r="N538" s="5">
        <f t="shared" si="118"/>
        <v>15.059999999999999</v>
      </c>
      <c r="O538" s="5">
        <f t="shared" si="114"/>
        <v>15.059999999999999</v>
      </c>
      <c r="P538" s="2339"/>
      <c r="R538" s="2392"/>
      <c r="S538" s="253">
        <f t="shared" si="108"/>
        <v>3.63</v>
      </c>
      <c r="T538" s="253">
        <f t="shared" si="109"/>
        <v>29.04</v>
      </c>
      <c r="U538" s="253">
        <f t="shared" si="110"/>
        <v>2.9039999999999999</v>
      </c>
      <c r="V538" s="2339"/>
    </row>
    <row r="539" spans="1:22">
      <c r="A539" s="2336"/>
      <c r="B539" s="2325"/>
      <c r="C539" s="189">
        <v>64</v>
      </c>
      <c r="D539" s="2325"/>
      <c r="E539" s="2321"/>
      <c r="F539" s="5">
        <v>3.71</v>
      </c>
      <c r="G539" s="394">
        <f t="shared" si="115"/>
        <v>12.9108</v>
      </c>
      <c r="H539" s="5">
        <f t="shared" si="116"/>
        <v>4.3035999999999994</v>
      </c>
      <c r="I539" s="189">
        <f t="shared" si="107"/>
        <v>8.6072000000000006</v>
      </c>
      <c r="J539" s="2339"/>
      <c r="L539" s="145">
        <f t="shared" si="117"/>
        <v>3</v>
      </c>
      <c r="M539" s="2325"/>
      <c r="N539" s="5">
        <f t="shared" si="118"/>
        <v>15.059999999999999</v>
      </c>
      <c r="O539" s="5">
        <f t="shared" si="114"/>
        <v>15.059999999999999</v>
      </c>
      <c r="P539" s="2339"/>
      <c r="R539" s="2392"/>
      <c r="S539" s="253">
        <f t="shared" si="108"/>
        <v>3.71</v>
      </c>
      <c r="T539" s="253">
        <f t="shared" si="109"/>
        <v>29.68</v>
      </c>
      <c r="U539" s="253">
        <f t="shared" si="110"/>
        <v>2.968</v>
      </c>
      <c r="V539" s="2339"/>
    </row>
    <row r="540" spans="1:22">
      <c r="A540" s="2336"/>
      <c r="B540" s="2325"/>
      <c r="C540" s="189">
        <v>65</v>
      </c>
      <c r="D540" s="2325"/>
      <c r="E540" s="2321"/>
      <c r="F540" s="5">
        <v>3.63</v>
      </c>
      <c r="G540" s="394">
        <f t="shared" si="115"/>
        <v>12.632399999999999</v>
      </c>
      <c r="H540" s="5">
        <f t="shared" si="116"/>
        <v>4.210799999999999</v>
      </c>
      <c r="I540" s="189">
        <f t="shared" si="107"/>
        <v>8.4215999999999998</v>
      </c>
      <c r="J540" s="2339"/>
      <c r="L540" s="145">
        <f t="shared" si="117"/>
        <v>3</v>
      </c>
      <c r="M540" s="2325"/>
      <c r="N540" s="5">
        <f t="shared" si="118"/>
        <v>15.059999999999999</v>
      </c>
      <c r="O540" s="5">
        <f t="shared" si="114"/>
        <v>15.059999999999999</v>
      </c>
      <c r="P540" s="2339"/>
      <c r="R540" s="2392"/>
      <c r="S540" s="253">
        <f t="shared" si="108"/>
        <v>3.63</v>
      </c>
      <c r="T540" s="253">
        <f t="shared" si="109"/>
        <v>29.04</v>
      </c>
      <c r="U540" s="253">
        <f t="shared" si="110"/>
        <v>2.9039999999999999</v>
      </c>
      <c r="V540" s="2339"/>
    </row>
    <row r="541" spans="1:22">
      <c r="A541" s="2336"/>
      <c r="B541" s="2325"/>
      <c r="C541" s="189">
        <v>66</v>
      </c>
      <c r="D541" s="2325"/>
      <c r="E541" s="2321"/>
      <c r="F541" s="5">
        <v>3.72</v>
      </c>
      <c r="G541" s="394">
        <f t="shared" si="115"/>
        <v>12.945600000000001</v>
      </c>
      <c r="H541" s="5">
        <f t="shared" si="116"/>
        <v>4.3151999999999999</v>
      </c>
      <c r="I541" s="189">
        <f t="shared" ref="I541:I560" si="119">G541-H541</f>
        <v>8.6304000000000016</v>
      </c>
      <c r="J541" s="2339"/>
      <c r="L541" s="145">
        <f t="shared" si="117"/>
        <v>3</v>
      </c>
      <c r="M541" s="2325"/>
      <c r="N541" s="5">
        <f t="shared" si="118"/>
        <v>15.059999999999999</v>
      </c>
      <c r="O541" s="5">
        <f t="shared" si="114"/>
        <v>15.059999999999999</v>
      </c>
      <c r="P541" s="2339"/>
      <c r="R541" s="2392"/>
      <c r="S541" s="253">
        <f t="shared" ref="S541:S560" si="120">F541</f>
        <v>3.72</v>
      </c>
      <c r="T541" s="253">
        <f t="shared" ref="T541:T560" si="121">$R$476*S541</f>
        <v>29.76</v>
      </c>
      <c r="U541" s="253">
        <f t="shared" ref="U541:U560" si="122">T541*0.1</f>
        <v>2.9760000000000004</v>
      </c>
      <c r="V541" s="2339"/>
    </row>
    <row r="542" spans="1:22">
      <c r="A542" s="2336"/>
      <c r="B542" s="2325" t="s">
        <v>550</v>
      </c>
      <c r="C542" s="189">
        <v>67</v>
      </c>
      <c r="D542" s="1918">
        <v>0.12</v>
      </c>
      <c r="E542" s="2321"/>
      <c r="F542" s="5">
        <v>5.35</v>
      </c>
      <c r="G542" s="394">
        <f t="shared" si="115"/>
        <v>18.617999999999999</v>
      </c>
      <c r="H542" s="5"/>
      <c r="I542" s="189">
        <f t="shared" si="119"/>
        <v>18.617999999999999</v>
      </c>
      <c r="J542" s="2339"/>
      <c r="L542" s="145">
        <f t="shared" si="117"/>
        <v>3</v>
      </c>
      <c r="M542" s="2325"/>
      <c r="N542" s="5">
        <f t="shared" si="118"/>
        <v>15.059999999999999</v>
      </c>
      <c r="O542" s="5">
        <f t="shared" si="114"/>
        <v>15.059999999999999</v>
      </c>
      <c r="P542" s="2339"/>
      <c r="R542" s="2392"/>
      <c r="S542" s="253">
        <f t="shared" si="120"/>
        <v>5.35</v>
      </c>
      <c r="T542" s="253">
        <f t="shared" si="121"/>
        <v>42.8</v>
      </c>
      <c r="U542" s="253">
        <f t="shared" si="122"/>
        <v>4.28</v>
      </c>
      <c r="V542" s="2339"/>
    </row>
    <row r="543" spans="1:22">
      <c r="A543" s="2336"/>
      <c r="B543" s="2325"/>
      <c r="C543" s="189">
        <v>68</v>
      </c>
      <c r="D543" s="1918"/>
      <c r="E543" s="2321"/>
      <c r="F543" s="5">
        <v>34.39</v>
      </c>
      <c r="G543" s="394">
        <f t="shared" si="115"/>
        <v>119.6772</v>
      </c>
      <c r="H543" s="5"/>
      <c r="I543" s="189">
        <f t="shared" si="119"/>
        <v>119.6772</v>
      </c>
      <c r="J543" s="2339"/>
      <c r="L543" s="145">
        <f t="shared" si="117"/>
        <v>20</v>
      </c>
      <c r="M543" s="2325"/>
      <c r="N543" s="5">
        <f t="shared" si="118"/>
        <v>100.39999999999999</v>
      </c>
      <c r="O543" s="5">
        <f t="shared" si="114"/>
        <v>100.39999999999999</v>
      </c>
      <c r="P543" s="2339"/>
      <c r="R543" s="2392"/>
      <c r="S543" s="253">
        <f t="shared" si="120"/>
        <v>34.39</v>
      </c>
      <c r="T543" s="253">
        <f t="shared" si="121"/>
        <v>275.12</v>
      </c>
      <c r="U543" s="253">
        <f t="shared" si="122"/>
        <v>27.512</v>
      </c>
      <c r="V543" s="2339"/>
    </row>
    <row r="544" spans="1:22">
      <c r="A544" s="2336"/>
      <c r="B544" s="2325"/>
      <c r="C544" s="189">
        <v>69</v>
      </c>
      <c r="D544" s="1918"/>
      <c r="E544" s="2321"/>
      <c r="F544" s="5">
        <v>2.02</v>
      </c>
      <c r="G544" s="394">
        <f t="shared" si="115"/>
        <v>7.0296000000000003</v>
      </c>
      <c r="H544" s="5"/>
      <c r="I544" s="189">
        <f t="shared" si="119"/>
        <v>7.0296000000000003</v>
      </c>
      <c r="J544" s="2339"/>
      <c r="L544" s="145">
        <f t="shared" si="117"/>
        <v>2</v>
      </c>
      <c r="M544" s="2325"/>
      <c r="N544" s="5">
        <f t="shared" si="118"/>
        <v>10.039999999999999</v>
      </c>
      <c r="O544" s="5">
        <f t="shared" si="114"/>
        <v>10.039999999999999</v>
      </c>
      <c r="P544" s="2339"/>
      <c r="R544" s="2392"/>
      <c r="S544" s="253">
        <f t="shared" si="120"/>
        <v>2.02</v>
      </c>
      <c r="T544" s="253">
        <f t="shared" si="121"/>
        <v>16.16</v>
      </c>
      <c r="U544" s="253">
        <f t="shared" si="122"/>
        <v>1.6160000000000001</v>
      </c>
      <c r="V544" s="2339"/>
    </row>
    <row r="545" spans="1:22">
      <c r="A545" s="2336"/>
      <c r="B545" s="2325"/>
      <c r="C545" s="189">
        <v>70</v>
      </c>
      <c r="D545" s="1918"/>
      <c r="E545" s="2321"/>
      <c r="F545" s="5">
        <v>4.24</v>
      </c>
      <c r="G545" s="394">
        <f t="shared" si="115"/>
        <v>14.7552</v>
      </c>
      <c r="H545" s="5"/>
      <c r="I545" s="189">
        <f t="shared" si="119"/>
        <v>14.7552</v>
      </c>
      <c r="J545" s="2339"/>
      <c r="L545" s="145">
        <f t="shared" si="117"/>
        <v>3</v>
      </c>
      <c r="M545" s="2325"/>
      <c r="N545" s="5">
        <f t="shared" si="118"/>
        <v>15.059999999999999</v>
      </c>
      <c r="O545" s="5">
        <f t="shared" si="114"/>
        <v>15.059999999999999</v>
      </c>
      <c r="P545" s="2339"/>
      <c r="R545" s="2392"/>
      <c r="S545" s="253">
        <f t="shared" si="120"/>
        <v>4.24</v>
      </c>
      <c r="T545" s="253">
        <f t="shared" si="121"/>
        <v>33.92</v>
      </c>
      <c r="U545" s="253">
        <f t="shared" si="122"/>
        <v>3.3920000000000003</v>
      </c>
      <c r="V545" s="2339"/>
    </row>
    <row r="546" spans="1:22">
      <c r="A546" s="2336"/>
      <c r="B546" s="2325"/>
      <c r="C546" s="189">
        <v>71</v>
      </c>
      <c r="D546" s="1918"/>
      <c r="E546" s="2321"/>
      <c r="F546" s="5">
        <v>0.76</v>
      </c>
      <c r="G546" s="394">
        <f t="shared" si="115"/>
        <v>2.6448</v>
      </c>
      <c r="H546" s="5"/>
      <c r="I546" s="189">
        <f t="shared" si="119"/>
        <v>2.6448</v>
      </c>
      <c r="J546" s="2339"/>
      <c r="L546" s="145">
        <f t="shared" si="117"/>
        <v>1</v>
      </c>
      <c r="M546" s="2325"/>
      <c r="N546" s="5">
        <f t="shared" si="118"/>
        <v>5.0199999999999996</v>
      </c>
      <c r="O546" s="5">
        <f t="shared" si="114"/>
        <v>5.0199999999999996</v>
      </c>
      <c r="P546" s="2339"/>
      <c r="R546" s="2392"/>
      <c r="S546" s="253">
        <f t="shared" si="120"/>
        <v>0.76</v>
      </c>
      <c r="T546" s="253">
        <f t="shared" si="121"/>
        <v>6.08</v>
      </c>
      <c r="U546" s="253">
        <f t="shared" si="122"/>
        <v>0.6080000000000001</v>
      </c>
      <c r="V546" s="2339"/>
    </row>
    <row r="547" spans="1:22">
      <c r="A547" s="2336"/>
      <c r="B547" s="2325"/>
      <c r="C547" s="189">
        <v>72</v>
      </c>
      <c r="D547" s="1918"/>
      <c r="E547" s="2321"/>
      <c r="F547" s="5">
        <v>10</v>
      </c>
      <c r="G547" s="394">
        <f t="shared" si="115"/>
        <v>34.799999999999997</v>
      </c>
      <c r="H547" s="5"/>
      <c r="I547" s="189">
        <f t="shared" si="119"/>
        <v>34.799999999999997</v>
      </c>
      <c r="J547" s="2339"/>
      <c r="L547" s="145">
        <f t="shared" si="117"/>
        <v>6</v>
      </c>
      <c r="M547" s="2325"/>
      <c r="N547" s="5">
        <f t="shared" si="118"/>
        <v>30.119999999999997</v>
      </c>
      <c r="O547" s="5">
        <f t="shared" si="114"/>
        <v>30.119999999999997</v>
      </c>
      <c r="P547" s="2339"/>
      <c r="R547" s="2392"/>
      <c r="S547" s="253">
        <f t="shared" si="120"/>
        <v>10</v>
      </c>
      <c r="T547" s="253">
        <f t="shared" si="121"/>
        <v>80</v>
      </c>
      <c r="U547" s="253">
        <f t="shared" si="122"/>
        <v>8</v>
      </c>
      <c r="V547" s="2339"/>
    </row>
    <row r="548" spans="1:22">
      <c r="A548" s="2336"/>
      <c r="B548" s="2325"/>
      <c r="C548" s="189">
        <v>73</v>
      </c>
      <c r="D548" s="1918"/>
      <c r="E548" s="2321"/>
      <c r="F548" s="5">
        <v>0.28999999999999998</v>
      </c>
      <c r="G548" s="394">
        <f t="shared" si="115"/>
        <v>1.0091999999999999</v>
      </c>
      <c r="H548" s="5"/>
      <c r="I548" s="189">
        <f t="shared" si="119"/>
        <v>1.0091999999999999</v>
      </c>
      <c r="J548" s="2339"/>
      <c r="L548" s="145">
        <f t="shared" si="117"/>
        <v>1</v>
      </c>
      <c r="M548" s="2325"/>
      <c r="N548" s="5">
        <f t="shared" si="118"/>
        <v>5.0199999999999996</v>
      </c>
      <c r="O548" s="5">
        <f t="shared" si="114"/>
        <v>5.0199999999999996</v>
      </c>
      <c r="P548" s="2339"/>
      <c r="R548" s="2392"/>
      <c r="S548" s="253">
        <f t="shared" si="120"/>
        <v>0.28999999999999998</v>
      </c>
      <c r="T548" s="253">
        <f t="shared" si="121"/>
        <v>2.3199999999999998</v>
      </c>
      <c r="U548" s="253">
        <f t="shared" si="122"/>
        <v>0.23199999999999998</v>
      </c>
      <c r="V548" s="2339"/>
    </row>
    <row r="549" spans="1:22">
      <c r="A549" s="2336"/>
      <c r="B549" s="2325"/>
      <c r="C549" s="189">
        <v>74</v>
      </c>
      <c r="D549" s="1918"/>
      <c r="E549" s="2321"/>
      <c r="F549" s="5">
        <v>6.12</v>
      </c>
      <c r="G549" s="394">
        <f t="shared" si="115"/>
        <v>21.297599999999999</v>
      </c>
      <c r="H549" s="5"/>
      <c r="I549" s="189">
        <f t="shared" si="119"/>
        <v>21.297599999999999</v>
      </c>
      <c r="J549" s="2339"/>
      <c r="L549" s="145">
        <f t="shared" si="117"/>
        <v>4</v>
      </c>
      <c r="M549" s="2325"/>
      <c r="N549" s="5">
        <f t="shared" si="118"/>
        <v>20.079999999999998</v>
      </c>
      <c r="O549" s="5">
        <f t="shared" si="114"/>
        <v>20.079999999999998</v>
      </c>
      <c r="P549" s="2339"/>
      <c r="R549" s="2392"/>
      <c r="S549" s="253">
        <f t="shared" si="120"/>
        <v>6.12</v>
      </c>
      <c r="T549" s="253">
        <f t="shared" si="121"/>
        <v>48.96</v>
      </c>
      <c r="U549" s="253">
        <f t="shared" si="122"/>
        <v>4.8960000000000008</v>
      </c>
      <c r="V549" s="2339"/>
    </row>
    <row r="550" spans="1:22">
      <c r="A550" s="2336"/>
      <c r="B550" s="2325"/>
      <c r="C550" s="189">
        <v>75</v>
      </c>
      <c r="D550" s="1918"/>
      <c r="E550" s="2321"/>
      <c r="F550" s="5">
        <v>2.06</v>
      </c>
      <c r="G550" s="394">
        <f t="shared" si="115"/>
        <v>7.1688000000000001</v>
      </c>
      <c r="H550" s="5"/>
      <c r="I550" s="189">
        <f t="shared" si="119"/>
        <v>7.1688000000000001</v>
      </c>
      <c r="J550" s="2339"/>
      <c r="L550" s="145">
        <f t="shared" si="117"/>
        <v>2</v>
      </c>
      <c r="M550" s="2325"/>
      <c r="N550" s="5">
        <f t="shared" si="118"/>
        <v>10.039999999999999</v>
      </c>
      <c r="O550" s="5">
        <f t="shared" si="114"/>
        <v>10.039999999999999</v>
      </c>
      <c r="P550" s="2339"/>
      <c r="R550" s="2392"/>
      <c r="S550" s="253">
        <f t="shared" si="120"/>
        <v>2.06</v>
      </c>
      <c r="T550" s="253">
        <f t="shared" si="121"/>
        <v>16.48</v>
      </c>
      <c r="U550" s="253">
        <f t="shared" si="122"/>
        <v>1.6480000000000001</v>
      </c>
      <c r="V550" s="2339"/>
    </row>
    <row r="551" spans="1:22">
      <c r="A551" s="2336"/>
      <c r="B551" s="2325"/>
      <c r="C551" s="189">
        <v>76</v>
      </c>
      <c r="D551" s="1918"/>
      <c r="E551" s="2321"/>
      <c r="F551" s="5">
        <v>1</v>
      </c>
      <c r="G551" s="394">
        <f t="shared" si="115"/>
        <v>3.48</v>
      </c>
      <c r="H551" s="5"/>
      <c r="I551" s="189">
        <f t="shared" si="119"/>
        <v>3.48</v>
      </c>
      <c r="J551" s="2339"/>
      <c r="L551" s="145">
        <f t="shared" si="117"/>
        <v>1</v>
      </c>
      <c r="M551" s="2325"/>
      <c r="N551" s="5">
        <f t="shared" si="118"/>
        <v>5.0199999999999996</v>
      </c>
      <c r="O551" s="5">
        <f t="shared" si="114"/>
        <v>5.0199999999999996</v>
      </c>
      <c r="P551" s="2339"/>
      <c r="R551" s="2392"/>
      <c r="S551" s="253">
        <f t="shared" si="120"/>
        <v>1</v>
      </c>
      <c r="T551" s="253">
        <f t="shared" si="121"/>
        <v>8</v>
      </c>
      <c r="U551" s="253">
        <f t="shared" si="122"/>
        <v>0.8</v>
      </c>
      <c r="V551" s="2339"/>
    </row>
    <row r="552" spans="1:22">
      <c r="A552" s="2336"/>
      <c r="B552" s="2325"/>
      <c r="C552" s="189">
        <v>77</v>
      </c>
      <c r="D552" s="1918"/>
      <c r="E552" s="2321"/>
      <c r="F552" s="5">
        <v>10</v>
      </c>
      <c r="G552" s="394">
        <f t="shared" si="115"/>
        <v>34.799999999999997</v>
      </c>
      <c r="H552" s="5"/>
      <c r="I552" s="189">
        <f t="shared" si="119"/>
        <v>34.799999999999997</v>
      </c>
      <c r="J552" s="2339"/>
      <c r="L552" s="145">
        <f t="shared" si="117"/>
        <v>6</v>
      </c>
      <c r="M552" s="2325"/>
      <c r="N552" s="5">
        <f t="shared" si="118"/>
        <v>30.119999999999997</v>
      </c>
      <c r="O552" s="5">
        <f t="shared" si="114"/>
        <v>30.119999999999997</v>
      </c>
      <c r="P552" s="2339"/>
      <c r="R552" s="2392"/>
      <c r="S552" s="253">
        <f t="shared" si="120"/>
        <v>10</v>
      </c>
      <c r="T552" s="253">
        <f t="shared" si="121"/>
        <v>80</v>
      </c>
      <c r="U552" s="253">
        <f t="shared" si="122"/>
        <v>8</v>
      </c>
      <c r="V552" s="2339"/>
    </row>
    <row r="553" spans="1:22">
      <c r="A553" s="2336"/>
      <c r="B553" s="2325"/>
      <c r="C553" s="189">
        <v>78</v>
      </c>
      <c r="D553" s="1918"/>
      <c r="E553" s="2321"/>
      <c r="F553" s="5">
        <v>10</v>
      </c>
      <c r="G553" s="394">
        <f t="shared" si="115"/>
        <v>34.799999999999997</v>
      </c>
      <c r="H553" s="5"/>
      <c r="I553" s="189">
        <f t="shared" si="119"/>
        <v>34.799999999999997</v>
      </c>
      <c r="J553" s="2339"/>
      <c r="L553" s="145">
        <f t="shared" si="117"/>
        <v>6</v>
      </c>
      <c r="M553" s="2325"/>
      <c r="N553" s="5">
        <f t="shared" si="118"/>
        <v>30.119999999999997</v>
      </c>
      <c r="O553" s="5">
        <f t="shared" si="114"/>
        <v>30.119999999999997</v>
      </c>
      <c r="P553" s="2339"/>
      <c r="R553" s="2392"/>
      <c r="S553" s="253">
        <f t="shared" si="120"/>
        <v>10</v>
      </c>
      <c r="T553" s="253">
        <f t="shared" si="121"/>
        <v>80</v>
      </c>
      <c r="U553" s="253">
        <f t="shared" si="122"/>
        <v>8</v>
      </c>
      <c r="V553" s="2339"/>
    </row>
    <row r="554" spans="1:22">
      <c r="A554" s="2336"/>
      <c r="B554" s="2325"/>
      <c r="C554" s="189">
        <v>79</v>
      </c>
      <c r="D554" s="1918"/>
      <c r="E554" s="2321"/>
      <c r="F554" s="5">
        <v>2.06</v>
      </c>
      <c r="G554" s="394">
        <f t="shared" si="115"/>
        <v>7.1688000000000001</v>
      </c>
      <c r="H554" s="5"/>
      <c r="I554" s="189">
        <f t="shared" si="119"/>
        <v>7.1688000000000001</v>
      </c>
      <c r="J554" s="2339"/>
      <c r="L554" s="145">
        <f t="shared" si="117"/>
        <v>2</v>
      </c>
      <c r="M554" s="2325"/>
      <c r="N554" s="5">
        <f t="shared" si="118"/>
        <v>10.039999999999999</v>
      </c>
      <c r="O554" s="5">
        <f t="shared" si="114"/>
        <v>10.039999999999999</v>
      </c>
      <c r="P554" s="2339"/>
      <c r="R554" s="2392"/>
      <c r="S554" s="253">
        <f t="shared" si="120"/>
        <v>2.06</v>
      </c>
      <c r="T554" s="253">
        <f t="shared" si="121"/>
        <v>16.48</v>
      </c>
      <c r="U554" s="253">
        <f t="shared" si="122"/>
        <v>1.6480000000000001</v>
      </c>
      <c r="V554" s="2339"/>
    </row>
    <row r="555" spans="1:22">
      <c r="A555" s="2336"/>
      <c r="B555" s="2325"/>
      <c r="C555" s="189">
        <v>80</v>
      </c>
      <c r="D555" s="1918"/>
      <c r="E555" s="2321"/>
      <c r="F555" s="5">
        <v>6.12</v>
      </c>
      <c r="G555" s="394">
        <f t="shared" si="115"/>
        <v>21.297599999999999</v>
      </c>
      <c r="H555" s="5"/>
      <c r="I555" s="189">
        <f t="shared" si="119"/>
        <v>21.297599999999999</v>
      </c>
      <c r="J555" s="2339"/>
      <c r="L555" s="145">
        <f t="shared" si="117"/>
        <v>4</v>
      </c>
      <c r="M555" s="2325"/>
      <c r="N555" s="5">
        <f t="shared" si="118"/>
        <v>20.079999999999998</v>
      </c>
      <c r="O555" s="5">
        <f t="shared" si="114"/>
        <v>20.079999999999998</v>
      </c>
      <c r="P555" s="2339"/>
      <c r="R555" s="2392"/>
      <c r="S555" s="253">
        <f t="shared" si="120"/>
        <v>6.12</v>
      </c>
      <c r="T555" s="253">
        <f t="shared" si="121"/>
        <v>48.96</v>
      </c>
      <c r="U555" s="253">
        <f t="shared" si="122"/>
        <v>4.8960000000000008</v>
      </c>
      <c r="V555" s="2339"/>
    </row>
    <row r="556" spans="1:22">
      <c r="A556" s="2336"/>
      <c r="B556" s="2325"/>
      <c r="C556" s="189">
        <v>81</v>
      </c>
      <c r="D556" s="1918"/>
      <c r="E556" s="2321"/>
      <c r="F556" s="5">
        <v>2.0499999999999998</v>
      </c>
      <c r="G556" s="394">
        <f t="shared" si="115"/>
        <v>7.1339999999999995</v>
      </c>
      <c r="H556" s="5"/>
      <c r="I556" s="189">
        <f t="shared" si="119"/>
        <v>7.1339999999999995</v>
      </c>
      <c r="J556" s="2339"/>
      <c r="L556" s="145">
        <f t="shared" si="117"/>
        <v>2</v>
      </c>
      <c r="M556" s="2325"/>
      <c r="N556" s="5">
        <f t="shared" si="118"/>
        <v>10.039999999999999</v>
      </c>
      <c r="O556" s="5">
        <f t="shared" si="114"/>
        <v>10.039999999999999</v>
      </c>
      <c r="P556" s="2339"/>
      <c r="R556" s="2392"/>
      <c r="S556" s="253">
        <f t="shared" si="120"/>
        <v>2.0499999999999998</v>
      </c>
      <c r="T556" s="253">
        <f t="shared" si="121"/>
        <v>16.399999999999999</v>
      </c>
      <c r="U556" s="253">
        <f t="shared" si="122"/>
        <v>1.64</v>
      </c>
      <c r="V556" s="2339"/>
    </row>
    <row r="557" spans="1:22">
      <c r="A557" s="2336"/>
      <c r="B557" s="2325"/>
      <c r="C557" s="189">
        <v>82</v>
      </c>
      <c r="D557" s="1918"/>
      <c r="E557" s="2321"/>
      <c r="F557" s="5">
        <v>6.22</v>
      </c>
      <c r="G557" s="394">
        <f t="shared" si="115"/>
        <v>21.645599999999998</v>
      </c>
      <c r="H557" s="5"/>
      <c r="I557" s="189">
        <f t="shared" si="119"/>
        <v>21.645599999999998</v>
      </c>
      <c r="J557" s="2339"/>
      <c r="L557" s="145">
        <f t="shared" si="117"/>
        <v>4</v>
      </c>
      <c r="M557" s="2325"/>
      <c r="N557" s="5">
        <f t="shared" si="118"/>
        <v>20.079999999999998</v>
      </c>
      <c r="O557" s="5">
        <f t="shared" si="114"/>
        <v>20.079999999999998</v>
      </c>
      <c r="P557" s="2339"/>
      <c r="R557" s="2392"/>
      <c r="S557" s="253">
        <f t="shared" si="120"/>
        <v>6.22</v>
      </c>
      <c r="T557" s="253">
        <f t="shared" si="121"/>
        <v>49.76</v>
      </c>
      <c r="U557" s="253">
        <f t="shared" si="122"/>
        <v>4.976</v>
      </c>
      <c r="V557" s="2339"/>
    </row>
    <row r="558" spans="1:22">
      <c r="A558" s="2336"/>
      <c r="B558" s="2325"/>
      <c r="C558" s="189">
        <v>83</v>
      </c>
      <c r="D558" s="1918"/>
      <c r="E558" s="2321"/>
      <c r="F558" s="5">
        <v>5.48</v>
      </c>
      <c r="G558" s="394">
        <f t="shared" si="115"/>
        <v>19.070400000000003</v>
      </c>
      <c r="H558" s="5"/>
      <c r="I558" s="189">
        <f t="shared" si="119"/>
        <v>19.070400000000003</v>
      </c>
      <c r="J558" s="2339"/>
      <c r="L558" s="145">
        <f t="shared" si="117"/>
        <v>4</v>
      </c>
      <c r="M558" s="2325"/>
      <c r="N558" s="5">
        <f t="shared" si="118"/>
        <v>20.079999999999998</v>
      </c>
      <c r="O558" s="5">
        <f t="shared" si="114"/>
        <v>20.079999999999998</v>
      </c>
      <c r="P558" s="2339"/>
      <c r="R558" s="2392"/>
      <c r="S558" s="253">
        <f t="shared" si="120"/>
        <v>5.48</v>
      </c>
      <c r="T558" s="253">
        <f t="shared" si="121"/>
        <v>43.84</v>
      </c>
      <c r="U558" s="253">
        <f t="shared" si="122"/>
        <v>4.3840000000000003</v>
      </c>
      <c r="V558" s="2339"/>
    </row>
    <row r="559" spans="1:22">
      <c r="A559" s="2336"/>
      <c r="B559" s="2325"/>
      <c r="C559" s="189">
        <v>84</v>
      </c>
      <c r="D559" s="1918"/>
      <c r="E559" s="2321"/>
      <c r="F559" s="5">
        <v>2.31</v>
      </c>
      <c r="G559" s="394">
        <f t="shared" si="115"/>
        <v>8.0388000000000002</v>
      </c>
      <c r="H559" s="5"/>
      <c r="I559" s="189">
        <f t="shared" si="119"/>
        <v>8.0388000000000002</v>
      </c>
      <c r="J559" s="2339"/>
      <c r="L559" s="145">
        <f t="shared" si="117"/>
        <v>2</v>
      </c>
      <c r="M559" s="2325"/>
      <c r="N559" s="5">
        <f t="shared" si="118"/>
        <v>10.039999999999999</v>
      </c>
      <c r="O559" s="5">
        <f t="shared" si="114"/>
        <v>10.039999999999999</v>
      </c>
      <c r="P559" s="2339"/>
      <c r="R559" s="2392"/>
      <c r="S559" s="253">
        <f t="shared" si="120"/>
        <v>2.31</v>
      </c>
      <c r="T559" s="253">
        <f t="shared" si="121"/>
        <v>18.48</v>
      </c>
      <c r="U559" s="253">
        <f t="shared" si="122"/>
        <v>1.8480000000000001</v>
      </c>
      <c r="V559" s="2339"/>
    </row>
    <row r="560" spans="1:22" ht="13.5" thickBot="1">
      <c r="A560" s="2337"/>
      <c r="B560" s="2326"/>
      <c r="C560" s="399">
        <v>85</v>
      </c>
      <c r="D560" s="2341"/>
      <c r="E560" s="2324"/>
      <c r="F560" s="167">
        <v>1.95</v>
      </c>
      <c r="G560" s="401">
        <f t="shared" si="115"/>
        <v>6.7859999999999996</v>
      </c>
      <c r="H560" s="167"/>
      <c r="I560" s="399">
        <f t="shared" si="119"/>
        <v>6.7859999999999996</v>
      </c>
      <c r="J560" s="2340"/>
      <c r="L560" s="402">
        <f t="shared" si="117"/>
        <v>2</v>
      </c>
      <c r="M560" s="2323"/>
      <c r="N560" s="230">
        <f t="shared" si="118"/>
        <v>10.039999999999999</v>
      </c>
      <c r="O560" s="230">
        <f t="shared" si="114"/>
        <v>10.039999999999999</v>
      </c>
      <c r="P560" s="2375"/>
      <c r="R560" s="2393"/>
      <c r="S560" s="253">
        <f t="shared" si="120"/>
        <v>1.95</v>
      </c>
      <c r="T560" s="253">
        <f t="shared" si="121"/>
        <v>15.6</v>
      </c>
      <c r="U560" s="253">
        <f t="shared" si="122"/>
        <v>1.56</v>
      </c>
      <c r="V560" s="2375"/>
    </row>
    <row r="561" spans="1:22" ht="13.5" thickBot="1">
      <c r="A561" s="2307" t="s">
        <v>551</v>
      </c>
      <c r="B561" s="2308"/>
      <c r="C561" s="2308"/>
      <c r="D561" s="2308"/>
      <c r="E561" s="2308"/>
      <c r="F561" s="2308"/>
      <c r="G561" s="2308"/>
      <c r="H561" s="2309"/>
      <c r="I561" s="392">
        <f>SUM(I476:I541)</f>
        <v>713.41850000000011</v>
      </c>
      <c r="J561" s="2305" t="s">
        <v>55</v>
      </c>
      <c r="L561" s="2366" t="s">
        <v>558</v>
      </c>
      <c r="M561" s="2367"/>
      <c r="N561" s="2367"/>
      <c r="O561" s="2370">
        <f>SUM(O476:O560)</f>
        <v>1402.2799999999982</v>
      </c>
      <c r="P561" s="2376" t="s">
        <v>39</v>
      </c>
      <c r="R561" s="2366" t="s">
        <v>558</v>
      </c>
      <c r="S561" s="2367"/>
      <c r="T561" s="2367"/>
      <c r="U561" s="2370">
        <f>SUM(U476:U560)</f>
        <v>300.80800000000011</v>
      </c>
      <c r="V561" s="2376" t="s">
        <v>39</v>
      </c>
    </row>
    <row r="562" spans="1:22" ht="13.5" thickBot="1">
      <c r="A562" s="2331" t="s">
        <v>552</v>
      </c>
      <c r="B562" s="2332"/>
      <c r="C562" s="2332"/>
      <c r="D562" s="2332"/>
      <c r="E562" s="2332"/>
      <c r="F562" s="2332"/>
      <c r="G562" s="2332"/>
      <c r="H562" s="2333"/>
      <c r="I562" s="393">
        <f>SUM(I542:I560)</f>
        <v>391.22159999999991</v>
      </c>
      <c r="J562" s="2330"/>
      <c r="L562" s="2368"/>
      <c r="M562" s="2369"/>
      <c r="N562" s="2369"/>
      <c r="O562" s="2371"/>
      <c r="P562" s="2377"/>
      <c r="R562" s="2368"/>
      <c r="S562" s="2369"/>
      <c r="T562" s="2369"/>
      <c r="U562" s="2371"/>
      <c r="V562" s="2377"/>
    </row>
    <row r="563" spans="1:22">
      <c r="A563" s="2327">
        <v>9</v>
      </c>
      <c r="B563" s="2334" t="s">
        <v>549</v>
      </c>
      <c r="C563" s="165">
        <v>1</v>
      </c>
      <c r="D563" s="2334">
        <v>0.15</v>
      </c>
      <c r="E563" s="385">
        <v>3</v>
      </c>
      <c r="F563" s="165">
        <v>11.12</v>
      </c>
      <c r="G563" s="165">
        <f>$E$563*F563</f>
        <v>33.36</v>
      </c>
      <c r="H563" s="165"/>
      <c r="I563" s="165">
        <f>G563-H563</f>
        <v>33.36</v>
      </c>
      <c r="J563" s="2310" t="s">
        <v>55</v>
      </c>
      <c r="L563" s="154">
        <f>TRUNC((F563/1.2))+1</f>
        <v>10</v>
      </c>
      <c r="M563" s="391">
        <f>($E$563)+(0.12+0.56+0.9)</f>
        <v>4.58</v>
      </c>
      <c r="N563" s="253">
        <f>M563*L563</f>
        <v>45.8</v>
      </c>
      <c r="O563" s="253">
        <f t="shared" si="114"/>
        <v>45.8</v>
      </c>
      <c r="P563" s="2378" t="s">
        <v>39</v>
      </c>
      <c r="R563" s="2391">
        <v>8</v>
      </c>
      <c r="S563" s="391">
        <f>F563</f>
        <v>11.12</v>
      </c>
      <c r="T563" s="253">
        <f>$R$563*S563</f>
        <v>88.96</v>
      </c>
      <c r="U563" s="253">
        <f>T563*0.1</f>
        <v>8.895999999999999</v>
      </c>
      <c r="V563" s="2378" t="s">
        <v>39</v>
      </c>
    </row>
    <row r="564" spans="1:22">
      <c r="A564" s="2328"/>
      <c r="B564" s="2325"/>
      <c r="C564" s="5">
        <v>2</v>
      </c>
      <c r="D564" s="2325"/>
      <c r="E564" s="2323">
        <v>3.48</v>
      </c>
      <c r="F564" s="5">
        <v>1.46</v>
      </c>
      <c r="G564" s="5">
        <f>$E$564*F564</f>
        <v>5.0808</v>
      </c>
      <c r="H564" s="5"/>
      <c r="I564" s="5">
        <f t="shared" ref="I564:I627" si="123">G564-H564</f>
        <v>5.0808</v>
      </c>
      <c r="J564" s="2005"/>
      <c r="L564" s="145">
        <f>TRUNC((F564/1.8))+1</f>
        <v>1</v>
      </c>
      <c r="M564" s="2325">
        <f>($E$564)+(0.66+0.88)</f>
        <v>5.0199999999999996</v>
      </c>
      <c r="N564" s="5">
        <f>$M$564*L564</f>
        <v>5.0199999999999996</v>
      </c>
      <c r="O564" s="5">
        <f t="shared" si="114"/>
        <v>5.0199999999999996</v>
      </c>
      <c r="P564" s="2005"/>
      <c r="R564" s="2392"/>
      <c r="S564" s="391">
        <f t="shared" ref="S564:S627" si="124">F564</f>
        <v>1.46</v>
      </c>
      <c r="T564" s="253">
        <f t="shared" ref="T564:T627" si="125">$R$563*S564</f>
        <v>11.68</v>
      </c>
      <c r="U564" s="253">
        <f t="shared" ref="U564:U627" si="126">T564*0.1</f>
        <v>1.1679999999999999</v>
      </c>
      <c r="V564" s="2005"/>
    </row>
    <row r="565" spans="1:22">
      <c r="A565" s="2328"/>
      <c r="B565" s="2325"/>
      <c r="C565" s="5">
        <v>3</v>
      </c>
      <c r="D565" s="2325"/>
      <c r="E565" s="2321"/>
      <c r="F565" s="5">
        <v>1.47</v>
      </c>
      <c r="G565" s="5">
        <f t="shared" ref="G565:G606" si="127">$E$564*F565</f>
        <v>5.1155999999999997</v>
      </c>
      <c r="H565" s="5"/>
      <c r="I565" s="5">
        <f t="shared" si="123"/>
        <v>5.1155999999999997</v>
      </c>
      <c r="J565" s="2005"/>
      <c r="L565" s="145">
        <f t="shared" ref="L565:L606" si="128">TRUNC((F565/1.8))+1</f>
        <v>1</v>
      </c>
      <c r="M565" s="2325"/>
      <c r="N565" s="5">
        <f t="shared" ref="N565:N606" si="129">$M$564*L565</f>
        <v>5.0199999999999996</v>
      </c>
      <c r="O565" s="5">
        <f t="shared" si="114"/>
        <v>5.0199999999999996</v>
      </c>
      <c r="P565" s="2005"/>
      <c r="R565" s="2392"/>
      <c r="S565" s="391">
        <f t="shared" si="124"/>
        <v>1.47</v>
      </c>
      <c r="T565" s="253">
        <f t="shared" si="125"/>
        <v>11.76</v>
      </c>
      <c r="U565" s="253">
        <f t="shared" si="126"/>
        <v>1.1759999999999999</v>
      </c>
      <c r="V565" s="2005"/>
    </row>
    <row r="566" spans="1:22">
      <c r="A566" s="2328"/>
      <c r="B566" s="2325"/>
      <c r="C566" s="5">
        <v>4</v>
      </c>
      <c r="D566" s="2325"/>
      <c r="E566" s="2321"/>
      <c r="F566" s="5">
        <v>1.5</v>
      </c>
      <c r="G566" s="5">
        <f t="shared" si="127"/>
        <v>5.22</v>
      </c>
      <c r="H566" s="5"/>
      <c r="I566" s="5">
        <f t="shared" si="123"/>
        <v>5.22</v>
      </c>
      <c r="J566" s="2005"/>
      <c r="L566" s="145">
        <f t="shared" si="128"/>
        <v>1</v>
      </c>
      <c r="M566" s="2325"/>
      <c r="N566" s="5">
        <f t="shared" si="129"/>
        <v>5.0199999999999996</v>
      </c>
      <c r="O566" s="5">
        <f t="shared" si="114"/>
        <v>5.0199999999999996</v>
      </c>
      <c r="P566" s="2005"/>
      <c r="R566" s="2392"/>
      <c r="S566" s="391">
        <f t="shared" si="124"/>
        <v>1.5</v>
      </c>
      <c r="T566" s="253">
        <f t="shared" si="125"/>
        <v>12</v>
      </c>
      <c r="U566" s="253">
        <f t="shared" si="126"/>
        <v>1.2000000000000002</v>
      </c>
      <c r="V566" s="2005"/>
    </row>
    <row r="567" spans="1:22">
      <c r="A567" s="2328"/>
      <c r="B567" s="2325"/>
      <c r="C567" s="5">
        <v>5</v>
      </c>
      <c r="D567" s="2325"/>
      <c r="E567" s="2321"/>
      <c r="F567" s="5">
        <v>1.84</v>
      </c>
      <c r="G567" s="5">
        <f t="shared" si="127"/>
        <v>6.4032</v>
      </c>
      <c r="H567" s="5"/>
      <c r="I567" s="5">
        <f t="shared" si="123"/>
        <v>6.4032</v>
      </c>
      <c r="J567" s="2005"/>
      <c r="L567" s="145">
        <f t="shared" si="128"/>
        <v>2</v>
      </c>
      <c r="M567" s="2325"/>
      <c r="N567" s="5">
        <f t="shared" si="129"/>
        <v>10.039999999999999</v>
      </c>
      <c r="O567" s="5">
        <f t="shared" si="114"/>
        <v>10.039999999999999</v>
      </c>
      <c r="P567" s="2005"/>
      <c r="R567" s="2392"/>
      <c r="S567" s="391">
        <f t="shared" si="124"/>
        <v>1.84</v>
      </c>
      <c r="T567" s="253">
        <f t="shared" si="125"/>
        <v>14.72</v>
      </c>
      <c r="U567" s="253">
        <f t="shared" si="126"/>
        <v>1.4720000000000002</v>
      </c>
      <c r="V567" s="2005"/>
    </row>
    <row r="568" spans="1:22">
      <c r="A568" s="2328"/>
      <c r="B568" s="2325"/>
      <c r="C568" s="5">
        <v>6</v>
      </c>
      <c r="D568" s="2325"/>
      <c r="E568" s="2321"/>
      <c r="F568" s="5">
        <v>0.65</v>
      </c>
      <c r="G568" s="5">
        <f t="shared" si="127"/>
        <v>2.262</v>
      </c>
      <c r="H568" s="5"/>
      <c r="I568" s="5">
        <f t="shared" si="123"/>
        <v>2.262</v>
      </c>
      <c r="J568" s="2005"/>
      <c r="L568" s="145">
        <f t="shared" si="128"/>
        <v>1</v>
      </c>
      <c r="M568" s="2325"/>
      <c r="N568" s="5">
        <f t="shared" si="129"/>
        <v>5.0199999999999996</v>
      </c>
      <c r="O568" s="5">
        <f t="shared" si="114"/>
        <v>5.0199999999999996</v>
      </c>
      <c r="P568" s="2005"/>
      <c r="R568" s="2392"/>
      <c r="S568" s="391">
        <f t="shared" si="124"/>
        <v>0.65</v>
      </c>
      <c r="T568" s="253">
        <f t="shared" si="125"/>
        <v>5.2</v>
      </c>
      <c r="U568" s="253">
        <f t="shared" si="126"/>
        <v>0.52</v>
      </c>
      <c r="V568" s="2005"/>
    </row>
    <row r="569" spans="1:22">
      <c r="A569" s="2328"/>
      <c r="B569" s="2325"/>
      <c r="C569" s="5">
        <v>7</v>
      </c>
      <c r="D569" s="2325"/>
      <c r="E569" s="2321"/>
      <c r="F569" s="5">
        <v>0.56999999999999995</v>
      </c>
      <c r="G569" s="5">
        <f t="shared" si="127"/>
        <v>1.9835999999999998</v>
      </c>
      <c r="H569" s="5"/>
      <c r="I569" s="5">
        <f t="shared" si="123"/>
        <v>1.9835999999999998</v>
      </c>
      <c r="J569" s="2005"/>
      <c r="L569" s="145">
        <f t="shared" si="128"/>
        <v>1</v>
      </c>
      <c r="M569" s="2325"/>
      <c r="N569" s="5">
        <f t="shared" si="129"/>
        <v>5.0199999999999996</v>
      </c>
      <c r="O569" s="5">
        <f t="shared" si="114"/>
        <v>5.0199999999999996</v>
      </c>
      <c r="P569" s="2005"/>
      <c r="R569" s="2392"/>
      <c r="S569" s="391">
        <f t="shared" si="124"/>
        <v>0.56999999999999995</v>
      </c>
      <c r="T569" s="253">
        <f t="shared" si="125"/>
        <v>4.5599999999999996</v>
      </c>
      <c r="U569" s="253">
        <f t="shared" si="126"/>
        <v>0.45599999999999996</v>
      </c>
      <c r="V569" s="2005"/>
    </row>
    <row r="570" spans="1:22">
      <c r="A570" s="2328"/>
      <c r="B570" s="2325"/>
      <c r="C570" s="5">
        <v>8</v>
      </c>
      <c r="D570" s="2325"/>
      <c r="E570" s="2321"/>
      <c r="F570" s="5">
        <v>3.55</v>
      </c>
      <c r="G570" s="5">
        <f t="shared" si="127"/>
        <v>12.353999999999999</v>
      </c>
      <c r="H570" s="5"/>
      <c r="I570" s="5">
        <f t="shared" si="123"/>
        <v>12.353999999999999</v>
      </c>
      <c r="J570" s="2005"/>
      <c r="L570" s="145">
        <f t="shared" si="128"/>
        <v>2</v>
      </c>
      <c r="M570" s="2325"/>
      <c r="N570" s="5">
        <f t="shared" si="129"/>
        <v>10.039999999999999</v>
      </c>
      <c r="O570" s="5">
        <f t="shared" si="114"/>
        <v>10.039999999999999</v>
      </c>
      <c r="P570" s="2005"/>
      <c r="R570" s="2392"/>
      <c r="S570" s="391">
        <f t="shared" si="124"/>
        <v>3.55</v>
      </c>
      <c r="T570" s="253">
        <f t="shared" si="125"/>
        <v>28.4</v>
      </c>
      <c r="U570" s="253">
        <f t="shared" si="126"/>
        <v>2.84</v>
      </c>
      <c r="V570" s="2005"/>
    </row>
    <row r="571" spans="1:22">
      <c r="A571" s="2328"/>
      <c r="B571" s="2325"/>
      <c r="C571" s="5">
        <v>9</v>
      </c>
      <c r="D571" s="2325"/>
      <c r="E571" s="2321"/>
      <c r="F571" s="5">
        <v>0.8</v>
      </c>
      <c r="G571" s="5">
        <f t="shared" si="127"/>
        <v>2.7840000000000003</v>
      </c>
      <c r="H571" s="5"/>
      <c r="I571" s="5">
        <f t="shared" si="123"/>
        <v>2.7840000000000003</v>
      </c>
      <c r="J571" s="2005"/>
      <c r="L571" s="145">
        <f t="shared" si="128"/>
        <v>1</v>
      </c>
      <c r="M571" s="2325"/>
      <c r="N571" s="5">
        <f t="shared" si="129"/>
        <v>5.0199999999999996</v>
      </c>
      <c r="O571" s="5">
        <f t="shared" si="114"/>
        <v>5.0199999999999996</v>
      </c>
      <c r="P571" s="2005"/>
      <c r="R571" s="2392"/>
      <c r="S571" s="391">
        <f t="shared" si="124"/>
        <v>0.8</v>
      </c>
      <c r="T571" s="253">
        <f t="shared" si="125"/>
        <v>6.4</v>
      </c>
      <c r="U571" s="253">
        <f t="shared" si="126"/>
        <v>0.64000000000000012</v>
      </c>
      <c r="V571" s="2005"/>
    </row>
    <row r="572" spans="1:22">
      <c r="A572" s="2328"/>
      <c r="B572" s="2325"/>
      <c r="C572" s="5">
        <v>10</v>
      </c>
      <c r="D572" s="2325"/>
      <c r="E572" s="2321"/>
      <c r="F572" s="5">
        <v>4.47</v>
      </c>
      <c r="G572" s="5">
        <f t="shared" si="127"/>
        <v>15.555599999999998</v>
      </c>
      <c r="H572" s="5"/>
      <c r="I572" s="5">
        <f t="shared" si="123"/>
        <v>15.555599999999998</v>
      </c>
      <c r="J572" s="2005"/>
      <c r="L572" s="145">
        <f t="shared" si="128"/>
        <v>3</v>
      </c>
      <c r="M572" s="2325"/>
      <c r="N572" s="5">
        <f t="shared" si="129"/>
        <v>15.059999999999999</v>
      </c>
      <c r="O572" s="5">
        <f t="shared" si="114"/>
        <v>15.059999999999999</v>
      </c>
      <c r="P572" s="2005"/>
      <c r="R572" s="2392"/>
      <c r="S572" s="391">
        <f t="shared" si="124"/>
        <v>4.47</v>
      </c>
      <c r="T572" s="253">
        <f t="shared" si="125"/>
        <v>35.76</v>
      </c>
      <c r="U572" s="253">
        <f t="shared" si="126"/>
        <v>3.5760000000000001</v>
      </c>
      <c r="V572" s="2005"/>
    </row>
    <row r="573" spans="1:22">
      <c r="A573" s="2328"/>
      <c r="B573" s="2325"/>
      <c r="C573" s="5">
        <v>11</v>
      </c>
      <c r="D573" s="2325"/>
      <c r="E573" s="2321"/>
      <c r="F573" s="5">
        <v>0.81</v>
      </c>
      <c r="G573" s="5">
        <f t="shared" si="127"/>
        <v>2.8188</v>
      </c>
      <c r="H573" s="5"/>
      <c r="I573" s="5">
        <f t="shared" si="123"/>
        <v>2.8188</v>
      </c>
      <c r="J573" s="2005"/>
      <c r="L573" s="145">
        <f t="shared" si="128"/>
        <v>1</v>
      </c>
      <c r="M573" s="2325"/>
      <c r="N573" s="5">
        <f t="shared" si="129"/>
        <v>5.0199999999999996</v>
      </c>
      <c r="O573" s="5">
        <f t="shared" si="114"/>
        <v>5.0199999999999996</v>
      </c>
      <c r="P573" s="2005"/>
      <c r="R573" s="2392"/>
      <c r="S573" s="391">
        <f t="shared" si="124"/>
        <v>0.81</v>
      </c>
      <c r="T573" s="253">
        <f t="shared" si="125"/>
        <v>6.48</v>
      </c>
      <c r="U573" s="253">
        <f t="shared" si="126"/>
        <v>0.64800000000000013</v>
      </c>
      <c r="V573" s="2005"/>
    </row>
    <row r="574" spans="1:22">
      <c r="A574" s="2328"/>
      <c r="B574" s="2325"/>
      <c r="C574" s="5">
        <v>12</v>
      </c>
      <c r="D574" s="2325"/>
      <c r="E574" s="2321"/>
      <c r="F574" s="5">
        <v>1.7</v>
      </c>
      <c r="G574" s="5">
        <f t="shared" si="127"/>
        <v>5.9159999999999995</v>
      </c>
      <c r="H574" s="5"/>
      <c r="I574" s="5">
        <f t="shared" si="123"/>
        <v>5.9159999999999995</v>
      </c>
      <c r="J574" s="2005"/>
      <c r="L574" s="145">
        <f t="shared" si="128"/>
        <v>1</v>
      </c>
      <c r="M574" s="2325"/>
      <c r="N574" s="5">
        <f t="shared" si="129"/>
        <v>5.0199999999999996</v>
      </c>
      <c r="O574" s="5">
        <f t="shared" si="114"/>
        <v>5.0199999999999996</v>
      </c>
      <c r="P574" s="2005"/>
      <c r="R574" s="2392"/>
      <c r="S574" s="391">
        <f t="shared" si="124"/>
        <v>1.7</v>
      </c>
      <c r="T574" s="253">
        <f t="shared" si="125"/>
        <v>13.6</v>
      </c>
      <c r="U574" s="253">
        <f t="shared" si="126"/>
        <v>1.36</v>
      </c>
      <c r="V574" s="2005"/>
    </row>
    <row r="575" spans="1:22">
      <c r="A575" s="2328"/>
      <c r="B575" s="2325"/>
      <c r="C575" s="5">
        <v>13</v>
      </c>
      <c r="D575" s="2325"/>
      <c r="E575" s="2321"/>
      <c r="F575" s="5">
        <v>2.31</v>
      </c>
      <c r="G575" s="5">
        <f t="shared" si="127"/>
        <v>8.0388000000000002</v>
      </c>
      <c r="H575" s="5"/>
      <c r="I575" s="5">
        <f t="shared" si="123"/>
        <v>8.0388000000000002</v>
      </c>
      <c r="J575" s="2005"/>
      <c r="L575" s="145">
        <f t="shared" si="128"/>
        <v>2</v>
      </c>
      <c r="M575" s="2325"/>
      <c r="N575" s="5">
        <f t="shared" si="129"/>
        <v>10.039999999999999</v>
      </c>
      <c r="O575" s="5">
        <f t="shared" si="114"/>
        <v>10.039999999999999</v>
      </c>
      <c r="P575" s="2005"/>
      <c r="R575" s="2392"/>
      <c r="S575" s="391">
        <f t="shared" si="124"/>
        <v>2.31</v>
      </c>
      <c r="T575" s="253">
        <f t="shared" si="125"/>
        <v>18.48</v>
      </c>
      <c r="U575" s="253">
        <f t="shared" si="126"/>
        <v>1.8480000000000001</v>
      </c>
      <c r="V575" s="2005"/>
    </row>
    <row r="576" spans="1:22">
      <c r="A576" s="2328"/>
      <c r="B576" s="2325"/>
      <c r="C576" s="5">
        <v>14</v>
      </c>
      <c r="D576" s="2325"/>
      <c r="E576" s="2321"/>
      <c r="F576" s="5">
        <v>1.94</v>
      </c>
      <c r="G576" s="5">
        <f t="shared" si="127"/>
        <v>6.7511999999999999</v>
      </c>
      <c r="H576" s="5"/>
      <c r="I576" s="5">
        <f t="shared" si="123"/>
        <v>6.7511999999999999</v>
      </c>
      <c r="J576" s="2005"/>
      <c r="L576" s="145">
        <f t="shared" si="128"/>
        <v>2</v>
      </c>
      <c r="M576" s="2325"/>
      <c r="N576" s="5">
        <f t="shared" si="129"/>
        <v>10.039999999999999</v>
      </c>
      <c r="O576" s="5">
        <f t="shared" si="114"/>
        <v>10.039999999999999</v>
      </c>
      <c r="P576" s="2005"/>
      <c r="R576" s="2392"/>
      <c r="S576" s="391">
        <f t="shared" si="124"/>
        <v>1.94</v>
      </c>
      <c r="T576" s="253">
        <f t="shared" si="125"/>
        <v>15.52</v>
      </c>
      <c r="U576" s="253">
        <f t="shared" si="126"/>
        <v>1.552</v>
      </c>
      <c r="V576" s="2005"/>
    </row>
    <row r="577" spans="1:22">
      <c r="A577" s="2328"/>
      <c r="B577" s="2325"/>
      <c r="C577" s="5">
        <v>15</v>
      </c>
      <c r="D577" s="2325"/>
      <c r="E577" s="2321"/>
      <c r="F577" s="5">
        <v>2.5499999999999998</v>
      </c>
      <c r="G577" s="5">
        <f t="shared" si="127"/>
        <v>8.8739999999999988</v>
      </c>
      <c r="H577" s="5"/>
      <c r="I577" s="5">
        <f t="shared" si="123"/>
        <v>8.8739999999999988</v>
      </c>
      <c r="J577" s="2005"/>
      <c r="L577" s="145">
        <f t="shared" si="128"/>
        <v>2</v>
      </c>
      <c r="M577" s="2325"/>
      <c r="N577" s="5">
        <f t="shared" si="129"/>
        <v>10.039999999999999</v>
      </c>
      <c r="O577" s="5">
        <f t="shared" si="114"/>
        <v>10.039999999999999</v>
      </c>
      <c r="P577" s="2005"/>
      <c r="R577" s="2392"/>
      <c r="S577" s="391">
        <f t="shared" si="124"/>
        <v>2.5499999999999998</v>
      </c>
      <c r="T577" s="253">
        <f t="shared" si="125"/>
        <v>20.399999999999999</v>
      </c>
      <c r="U577" s="253">
        <f t="shared" si="126"/>
        <v>2.04</v>
      </c>
      <c r="V577" s="2005"/>
    </row>
    <row r="578" spans="1:22">
      <c r="A578" s="2328"/>
      <c r="B578" s="2325"/>
      <c r="C578" s="5">
        <v>16</v>
      </c>
      <c r="D578" s="2325"/>
      <c r="E578" s="2321"/>
      <c r="F578" s="5">
        <v>4.24</v>
      </c>
      <c r="G578" s="5">
        <f t="shared" si="127"/>
        <v>14.7552</v>
      </c>
      <c r="H578" s="5"/>
      <c r="I578" s="5">
        <f t="shared" si="123"/>
        <v>14.7552</v>
      </c>
      <c r="J578" s="2005"/>
      <c r="L578" s="145">
        <f t="shared" si="128"/>
        <v>3</v>
      </c>
      <c r="M578" s="2325"/>
      <c r="N578" s="5">
        <f t="shared" si="129"/>
        <v>15.059999999999999</v>
      </c>
      <c r="O578" s="5">
        <f t="shared" si="114"/>
        <v>15.059999999999999</v>
      </c>
      <c r="P578" s="2005"/>
      <c r="R578" s="2392"/>
      <c r="S578" s="391">
        <f t="shared" si="124"/>
        <v>4.24</v>
      </c>
      <c r="T578" s="253">
        <f t="shared" si="125"/>
        <v>33.92</v>
      </c>
      <c r="U578" s="253">
        <f t="shared" si="126"/>
        <v>3.3920000000000003</v>
      </c>
      <c r="V578" s="2005"/>
    </row>
    <row r="579" spans="1:22">
      <c r="A579" s="2328"/>
      <c r="B579" s="2325"/>
      <c r="C579" s="5">
        <v>17</v>
      </c>
      <c r="D579" s="2325"/>
      <c r="E579" s="2321"/>
      <c r="F579" s="5">
        <v>8.09</v>
      </c>
      <c r="G579" s="5">
        <f t="shared" si="127"/>
        <v>28.153199999999998</v>
      </c>
      <c r="H579" s="5"/>
      <c r="I579" s="5">
        <f t="shared" si="123"/>
        <v>28.153199999999998</v>
      </c>
      <c r="J579" s="2005"/>
      <c r="L579" s="145">
        <f t="shared" si="128"/>
        <v>5</v>
      </c>
      <c r="M579" s="2325"/>
      <c r="N579" s="5">
        <f t="shared" si="129"/>
        <v>25.099999999999998</v>
      </c>
      <c r="O579" s="5">
        <f t="shared" si="114"/>
        <v>25.099999999999998</v>
      </c>
      <c r="P579" s="2005"/>
      <c r="R579" s="2392"/>
      <c r="S579" s="391">
        <f t="shared" si="124"/>
        <v>8.09</v>
      </c>
      <c r="T579" s="253">
        <f t="shared" si="125"/>
        <v>64.72</v>
      </c>
      <c r="U579" s="253">
        <f t="shared" si="126"/>
        <v>6.4720000000000004</v>
      </c>
      <c r="V579" s="2005"/>
    </row>
    <row r="580" spans="1:22">
      <c r="A580" s="2328"/>
      <c r="B580" s="2325"/>
      <c r="C580" s="5">
        <v>18</v>
      </c>
      <c r="D580" s="2325"/>
      <c r="E580" s="2321"/>
      <c r="F580" s="5">
        <v>2.5</v>
      </c>
      <c r="G580" s="5">
        <f t="shared" si="127"/>
        <v>8.6999999999999993</v>
      </c>
      <c r="H580" s="5"/>
      <c r="I580" s="5">
        <f t="shared" si="123"/>
        <v>8.6999999999999993</v>
      </c>
      <c r="J580" s="2005"/>
      <c r="L580" s="145">
        <f t="shared" si="128"/>
        <v>2</v>
      </c>
      <c r="M580" s="2325"/>
      <c r="N580" s="5">
        <f t="shared" si="129"/>
        <v>10.039999999999999</v>
      </c>
      <c r="O580" s="5">
        <f t="shared" si="114"/>
        <v>10.039999999999999</v>
      </c>
      <c r="P580" s="2005"/>
      <c r="R580" s="2392"/>
      <c r="S580" s="391">
        <f t="shared" si="124"/>
        <v>2.5</v>
      </c>
      <c r="T580" s="253">
        <f t="shared" si="125"/>
        <v>20</v>
      </c>
      <c r="U580" s="253">
        <f t="shared" si="126"/>
        <v>2</v>
      </c>
      <c r="V580" s="2005"/>
    </row>
    <row r="581" spans="1:22">
      <c r="A581" s="2328"/>
      <c r="B581" s="2325"/>
      <c r="C581" s="5">
        <v>19</v>
      </c>
      <c r="D581" s="2325"/>
      <c r="E581" s="2321"/>
      <c r="F581" s="5">
        <v>2.5</v>
      </c>
      <c r="G581" s="5">
        <f t="shared" si="127"/>
        <v>8.6999999999999993</v>
      </c>
      <c r="H581" s="5"/>
      <c r="I581" s="5">
        <f t="shared" si="123"/>
        <v>8.6999999999999993</v>
      </c>
      <c r="J581" s="2005"/>
      <c r="L581" s="145">
        <f t="shared" si="128"/>
        <v>2</v>
      </c>
      <c r="M581" s="2325"/>
      <c r="N581" s="5">
        <f t="shared" si="129"/>
        <v>10.039999999999999</v>
      </c>
      <c r="O581" s="5">
        <f t="shared" si="114"/>
        <v>10.039999999999999</v>
      </c>
      <c r="P581" s="2005"/>
      <c r="R581" s="2392"/>
      <c r="S581" s="391">
        <f t="shared" si="124"/>
        <v>2.5</v>
      </c>
      <c r="T581" s="253">
        <f t="shared" si="125"/>
        <v>20</v>
      </c>
      <c r="U581" s="253">
        <f t="shared" si="126"/>
        <v>2</v>
      </c>
      <c r="V581" s="2005"/>
    </row>
    <row r="582" spans="1:22">
      <c r="A582" s="2328"/>
      <c r="B582" s="2325"/>
      <c r="C582" s="5">
        <v>20</v>
      </c>
      <c r="D582" s="2325"/>
      <c r="E582" s="2321"/>
      <c r="F582" s="5">
        <v>4.1500000000000004</v>
      </c>
      <c r="G582" s="5">
        <f t="shared" si="127"/>
        <v>14.442000000000002</v>
      </c>
      <c r="H582" s="5"/>
      <c r="I582" s="5">
        <f t="shared" si="123"/>
        <v>14.442000000000002</v>
      </c>
      <c r="J582" s="2005"/>
      <c r="L582" s="145">
        <f t="shared" si="128"/>
        <v>3</v>
      </c>
      <c r="M582" s="2325"/>
      <c r="N582" s="5">
        <f t="shared" si="129"/>
        <v>15.059999999999999</v>
      </c>
      <c r="O582" s="5">
        <f t="shared" si="114"/>
        <v>15.059999999999999</v>
      </c>
      <c r="P582" s="2005"/>
      <c r="R582" s="2392"/>
      <c r="S582" s="391">
        <f t="shared" si="124"/>
        <v>4.1500000000000004</v>
      </c>
      <c r="T582" s="253">
        <f t="shared" si="125"/>
        <v>33.200000000000003</v>
      </c>
      <c r="U582" s="253">
        <f t="shared" si="126"/>
        <v>3.3200000000000003</v>
      </c>
      <c r="V582" s="2005"/>
    </row>
    <row r="583" spans="1:22">
      <c r="A583" s="2328"/>
      <c r="B583" s="2325"/>
      <c r="C583" s="5">
        <v>21</v>
      </c>
      <c r="D583" s="2325"/>
      <c r="E583" s="2321"/>
      <c r="F583" s="5">
        <v>2.14</v>
      </c>
      <c r="G583" s="5">
        <f t="shared" si="127"/>
        <v>7.4472000000000005</v>
      </c>
      <c r="H583" s="5"/>
      <c r="I583" s="5">
        <f t="shared" si="123"/>
        <v>7.4472000000000005</v>
      </c>
      <c r="J583" s="2005"/>
      <c r="L583" s="145">
        <f t="shared" si="128"/>
        <v>2</v>
      </c>
      <c r="M583" s="2325"/>
      <c r="N583" s="5">
        <f t="shared" si="129"/>
        <v>10.039999999999999</v>
      </c>
      <c r="O583" s="5">
        <f t="shared" si="114"/>
        <v>10.039999999999999</v>
      </c>
      <c r="P583" s="2005"/>
      <c r="R583" s="2392"/>
      <c r="S583" s="391">
        <f t="shared" si="124"/>
        <v>2.14</v>
      </c>
      <c r="T583" s="253">
        <f t="shared" si="125"/>
        <v>17.12</v>
      </c>
      <c r="U583" s="253">
        <f t="shared" si="126"/>
        <v>1.7120000000000002</v>
      </c>
      <c r="V583" s="2005"/>
    </row>
    <row r="584" spans="1:22">
      <c r="A584" s="2328"/>
      <c r="B584" s="2325"/>
      <c r="C584" s="5">
        <v>22</v>
      </c>
      <c r="D584" s="2325"/>
      <c r="E584" s="2321"/>
      <c r="F584" s="5">
        <v>2.15</v>
      </c>
      <c r="G584" s="5">
        <f t="shared" si="127"/>
        <v>7.4819999999999993</v>
      </c>
      <c r="H584" s="5"/>
      <c r="I584" s="5">
        <f t="shared" si="123"/>
        <v>7.4819999999999993</v>
      </c>
      <c r="J584" s="2005"/>
      <c r="L584" s="145">
        <f t="shared" si="128"/>
        <v>2</v>
      </c>
      <c r="M584" s="2325"/>
      <c r="N584" s="5">
        <f t="shared" si="129"/>
        <v>10.039999999999999</v>
      </c>
      <c r="O584" s="5">
        <f t="shared" si="114"/>
        <v>10.039999999999999</v>
      </c>
      <c r="P584" s="2005"/>
      <c r="R584" s="2392"/>
      <c r="S584" s="391">
        <f t="shared" si="124"/>
        <v>2.15</v>
      </c>
      <c r="T584" s="253">
        <f t="shared" si="125"/>
        <v>17.2</v>
      </c>
      <c r="U584" s="253">
        <f t="shared" si="126"/>
        <v>1.72</v>
      </c>
      <c r="V584" s="2005"/>
    </row>
    <row r="585" spans="1:22">
      <c r="A585" s="2328"/>
      <c r="B585" s="2325"/>
      <c r="C585" s="5">
        <v>23</v>
      </c>
      <c r="D585" s="2325"/>
      <c r="E585" s="2321"/>
      <c r="F585" s="5">
        <v>4.1500000000000004</v>
      </c>
      <c r="G585" s="5">
        <f t="shared" si="127"/>
        <v>14.442000000000002</v>
      </c>
      <c r="H585" s="5"/>
      <c r="I585" s="5">
        <f t="shared" si="123"/>
        <v>14.442000000000002</v>
      </c>
      <c r="J585" s="2005"/>
      <c r="L585" s="145">
        <f t="shared" si="128"/>
        <v>3</v>
      </c>
      <c r="M585" s="2325"/>
      <c r="N585" s="5">
        <f t="shared" si="129"/>
        <v>15.059999999999999</v>
      </c>
      <c r="O585" s="5">
        <f t="shared" ref="O585:O633" si="130">N585*1</f>
        <v>15.059999999999999</v>
      </c>
      <c r="P585" s="2005"/>
      <c r="R585" s="2392"/>
      <c r="S585" s="391">
        <f t="shared" si="124"/>
        <v>4.1500000000000004</v>
      </c>
      <c r="T585" s="253">
        <f t="shared" si="125"/>
        <v>33.200000000000003</v>
      </c>
      <c r="U585" s="253">
        <f t="shared" si="126"/>
        <v>3.3200000000000003</v>
      </c>
      <c r="V585" s="2005"/>
    </row>
    <row r="586" spans="1:22">
      <c r="A586" s="2328"/>
      <c r="B586" s="2325"/>
      <c r="C586" s="5">
        <v>24</v>
      </c>
      <c r="D586" s="2325"/>
      <c r="E586" s="2321"/>
      <c r="F586" s="5">
        <v>0.71</v>
      </c>
      <c r="G586" s="5">
        <f t="shared" si="127"/>
        <v>2.4707999999999997</v>
      </c>
      <c r="H586" s="5"/>
      <c r="I586" s="5">
        <f t="shared" si="123"/>
        <v>2.4707999999999997</v>
      </c>
      <c r="J586" s="2005"/>
      <c r="L586" s="145">
        <f t="shared" si="128"/>
        <v>1</v>
      </c>
      <c r="M586" s="2325"/>
      <c r="N586" s="5">
        <f t="shared" si="129"/>
        <v>5.0199999999999996</v>
      </c>
      <c r="O586" s="5">
        <f t="shared" si="130"/>
        <v>5.0199999999999996</v>
      </c>
      <c r="P586" s="2005"/>
      <c r="R586" s="2392"/>
      <c r="S586" s="391">
        <f t="shared" si="124"/>
        <v>0.71</v>
      </c>
      <c r="T586" s="253">
        <f t="shared" si="125"/>
        <v>5.68</v>
      </c>
      <c r="U586" s="253">
        <f t="shared" si="126"/>
        <v>0.56799999999999995</v>
      </c>
      <c r="V586" s="2005"/>
    </row>
    <row r="587" spans="1:22">
      <c r="A587" s="2328"/>
      <c r="B587" s="2325"/>
      <c r="C587" s="5">
        <v>25</v>
      </c>
      <c r="D587" s="2325"/>
      <c r="E587" s="2321"/>
      <c r="F587" s="5">
        <v>3.04</v>
      </c>
      <c r="G587" s="5">
        <f t="shared" si="127"/>
        <v>10.5792</v>
      </c>
      <c r="H587" s="5"/>
      <c r="I587" s="5">
        <f t="shared" si="123"/>
        <v>10.5792</v>
      </c>
      <c r="J587" s="2005"/>
      <c r="L587" s="145">
        <f t="shared" si="128"/>
        <v>2</v>
      </c>
      <c r="M587" s="2325"/>
      <c r="N587" s="5">
        <f t="shared" si="129"/>
        <v>10.039999999999999</v>
      </c>
      <c r="O587" s="5">
        <f t="shared" si="130"/>
        <v>10.039999999999999</v>
      </c>
      <c r="P587" s="2005"/>
      <c r="R587" s="2392"/>
      <c r="S587" s="391">
        <f t="shared" si="124"/>
        <v>3.04</v>
      </c>
      <c r="T587" s="253">
        <f t="shared" si="125"/>
        <v>24.32</v>
      </c>
      <c r="U587" s="253">
        <f t="shared" si="126"/>
        <v>2.4320000000000004</v>
      </c>
      <c r="V587" s="2005"/>
    </row>
    <row r="588" spans="1:22">
      <c r="A588" s="2328"/>
      <c r="B588" s="2325"/>
      <c r="C588" s="5">
        <v>26</v>
      </c>
      <c r="D588" s="2325"/>
      <c r="E588" s="2321"/>
      <c r="F588" s="5">
        <v>4.12</v>
      </c>
      <c r="G588" s="5">
        <f t="shared" si="127"/>
        <v>14.3376</v>
      </c>
      <c r="H588" s="5"/>
      <c r="I588" s="5">
        <f t="shared" si="123"/>
        <v>14.3376</v>
      </c>
      <c r="J588" s="2005"/>
      <c r="L588" s="145">
        <f t="shared" si="128"/>
        <v>3</v>
      </c>
      <c r="M588" s="2325"/>
      <c r="N588" s="5">
        <f t="shared" si="129"/>
        <v>15.059999999999999</v>
      </c>
      <c r="O588" s="5">
        <f t="shared" si="130"/>
        <v>15.059999999999999</v>
      </c>
      <c r="P588" s="2005"/>
      <c r="R588" s="2392"/>
      <c r="S588" s="391">
        <f t="shared" si="124"/>
        <v>4.12</v>
      </c>
      <c r="T588" s="253">
        <f t="shared" si="125"/>
        <v>32.96</v>
      </c>
      <c r="U588" s="253">
        <f t="shared" si="126"/>
        <v>3.2960000000000003</v>
      </c>
      <c r="V588" s="2005"/>
    </row>
    <row r="589" spans="1:22">
      <c r="A589" s="2328"/>
      <c r="B589" s="2325"/>
      <c r="C589" s="5">
        <v>27</v>
      </c>
      <c r="D589" s="2325"/>
      <c r="E589" s="2321"/>
      <c r="F589" s="5">
        <v>4.72</v>
      </c>
      <c r="G589" s="5">
        <f t="shared" si="127"/>
        <v>16.425599999999999</v>
      </c>
      <c r="H589" s="5"/>
      <c r="I589" s="5">
        <f t="shared" si="123"/>
        <v>16.425599999999999</v>
      </c>
      <c r="J589" s="2005"/>
      <c r="L589" s="145">
        <f t="shared" si="128"/>
        <v>3</v>
      </c>
      <c r="M589" s="2325"/>
      <c r="N589" s="5">
        <f t="shared" si="129"/>
        <v>15.059999999999999</v>
      </c>
      <c r="O589" s="5">
        <f t="shared" si="130"/>
        <v>15.059999999999999</v>
      </c>
      <c r="P589" s="2005"/>
      <c r="R589" s="2392"/>
      <c r="S589" s="391">
        <f t="shared" si="124"/>
        <v>4.72</v>
      </c>
      <c r="T589" s="253">
        <f t="shared" si="125"/>
        <v>37.76</v>
      </c>
      <c r="U589" s="253">
        <f t="shared" si="126"/>
        <v>3.7759999999999998</v>
      </c>
      <c r="V589" s="2005"/>
    </row>
    <row r="590" spans="1:22">
      <c r="A590" s="2328"/>
      <c r="B590" s="2325"/>
      <c r="C590" s="5">
        <v>28</v>
      </c>
      <c r="D590" s="2325"/>
      <c r="E590" s="2321"/>
      <c r="F590" s="5">
        <v>2.71</v>
      </c>
      <c r="G590" s="5">
        <f t="shared" si="127"/>
        <v>9.4307999999999996</v>
      </c>
      <c r="H590" s="5"/>
      <c r="I590" s="5">
        <f t="shared" si="123"/>
        <v>9.4307999999999996</v>
      </c>
      <c r="J590" s="2005"/>
      <c r="L590" s="145">
        <f t="shared" si="128"/>
        <v>2</v>
      </c>
      <c r="M590" s="2325"/>
      <c r="N590" s="5">
        <f t="shared" si="129"/>
        <v>10.039999999999999</v>
      </c>
      <c r="O590" s="5">
        <f t="shared" si="130"/>
        <v>10.039999999999999</v>
      </c>
      <c r="P590" s="2005"/>
      <c r="R590" s="2392"/>
      <c r="S590" s="391">
        <f t="shared" si="124"/>
        <v>2.71</v>
      </c>
      <c r="T590" s="253">
        <f t="shared" si="125"/>
        <v>21.68</v>
      </c>
      <c r="U590" s="253">
        <f t="shared" si="126"/>
        <v>2.1680000000000001</v>
      </c>
      <c r="V590" s="2005"/>
    </row>
    <row r="591" spans="1:22">
      <c r="A591" s="2328"/>
      <c r="B591" s="2325"/>
      <c r="C591" s="5">
        <v>29</v>
      </c>
      <c r="D591" s="2325"/>
      <c r="E591" s="2321"/>
      <c r="F591" s="5">
        <v>2.39</v>
      </c>
      <c r="G591" s="5">
        <f t="shared" si="127"/>
        <v>8.3171999999999997</v>
      </c>
      <c r="H591" s="5"/>
      <c r="I591" s="5">
        <f t="shared" si="123"/>
        <v>8.3171999999999997</v>
      </c>
      <c r="J591" s="2005"/>
      <c r="L591" s="145">
        <f t="shared" si="128"/>
        <v>2</v>
      </c>
      <c r="M591" s="2325"/>
      <c r="N591" s="5">
        <f t="shared" si="129"/>
        <v>10.039999999999999</v>
      </c>
      <c r="O591" s="5">
        <f t="shared" si="130"/>
        <v>10.039999999999999</v>
      </c>
      <c r="P591" s="2005"/>
      <c r="R591" s="2392"/>
      <c r="S591" s="391">
        <f t="shared" si="124"/>
        <v>2.39</v>
      </c>
      <c r="T591" s="253">
        <f t="shared" si="125"/>
        <v>19.12</v>
      </c>
      <c r="U591" s="253">
        <f t="shared" si="126"/>
        <v>1.9120000000000001</v>
      </c>
      <c r="V591" s="2005"/>
    </row>
    <row r="592" spans="1:22">
      <c r="A592" s="2328"/>
      <c r="B592" s="2325"/>
      <c r="C592" s="5">
        <v>30</v>
      </c>
      <c r="D592" s="2325"/>
      <c r="E592" s="2321"/>
      <c r="F592" s="5">
        <v>1.1000000000000001</v>
      </c>
      <c r="G592" s="5">
        <f t="shared" si="127"/>
        <v>3.8280000000000003</v>
      </c>
      <c r="H592" s="5"/>
      <c r="I592" s="5">
        <f t="shared" si="123"/>
        <v>3.8280000000000003</v>
      </c>
      <c r="J592" s="2005"/>
      <c r="L592" s="145">
        <f t="shared" si="128"/>
        <v>1</v>
      </c>
      <c r="M592" s="2325"/>
      <c r="N592" s="5">
        <f t="shared" si="129"/>
        <v>5.0199999999999996</v>
      </c>
      <c r="O592" s="5">
        <f t="shared" si="130"/>
        <v>5.0199999999999996</v>
      </c>
      <c r="P592" s="2005"/>
      <c r="R592" s="2392"/>
      <c r="S592" s="391">
        <f t="shared" si="124"/>
        <v>1.1000000000000001</v>
      </c>
      <c r="T592" s="253">
        <f t="shared" si="125"/>
        <v>8.8000000000000007</v>
      </c>
      <c r="U592" s="253">
        <f t="shared" si="126"/>
        <v>0.88000000000000012</v>
      </c>
      <c r="V592" s="2005"/>
    </row>
    <row r="593" spans="1:22">
      <c r="A593" s="2328"/>
      <c r="B593" s="2325"/>
      <c r="C593" s="5">
        <v>31</v>
      </c>
      <c r="D593" s="2325"/>
      <c r="E593" s="2321"/>
      <c r="F593" s="5">
        <v>2.0299999999999998</v>
      </c>
      <c r="G593" s="5">
        <f t="shared" si="127"/>
        <v>7.0643999999999991</v>
      </c>
      <c r="H593" s="5"/>
      <c r="I593" s="5">
        <f t="shared" si="123"/>
        <v>7.0643999999999991</v>
      </c>
      <c r="J593" s="2005"/>
      <c r="L593" s="145">
        <f t="shared" si="128"/>
        <v>2</v>
      </c>
      <c r="M593" s="2325"/>
      <c r="N593" s="5">
        <f t="shared" si="129"/>
        <v>10.039999999999999</v>
      </c>
      <c r="O593" s="5">
        <f t="shared" si="130"/>
        <v>10.039999999999999</v>
      </c>
      <c r="P593" s="2005"/>
      <c r="R593" s="2392"/>
      <c r="S593" s="391">
        <f t="shared" si="124"/>
        <v>2.0299999999999998</v>
      </c>
      <c r="T593" s="253">
        <f t="shared" si="125"/>
        <v>16.239999999999998</v>
      </c>
      <c r="U593" s="253">
        <f t="shared" si="126"/>
        <v>1.6239999999999999</v>
      </c>
      <c r="V593" s="2005"/>
    </row>
    <row r="594" spans="1:22">
      <c r="A594" s="2328"/>
      <c r="B594" s="2325"/>
      <c r="C594" s="5">
        <v>32</v>
      </c>
      <c r="D594" s="2325"/>
      <c r="E594" s="2321"/>
      <c r="F594" s="5">
        <v>2.31</v>
      </c>
      <c r="G594" s="5">
        <f t="shared" si="127"/>
        <v>8.0388000000000002</v>
      </c>
      <c r="H594" s="5"/>
      <c r="I594" s="5">
        <f t="shared" si="123"/>
        <v>8.0388000000000002</v>
      </c>
      <c r="J594" s="2005"/>
      <c r="L594" s="145">
        <f t="shared" si="128"/>
        <v>2</v>
      </c>
      <c r="M594" s="2325"/>
      <c r="N594" s="5">
        <f t="shared" si="129"/>
        <v>10.039999999999999</v>
      </c>
      <c r="O594" s="5">
        <f t="shared" si="130"/>
        <v>10.039999999999999</v>
      </c>
      <c r="P594" s="2005"/>
      <c r="R594" s="2392"/>
      <c r="S594" s="391">
        <f t="shared" si="124"/>
        <v>2.31</v>
      </c>
      <c r="T594" s="253">
        <f t="shared" si="125"/>
        <v>18.48</v>
      </c>
      <c r="U594" s="253">
        <f t="shared" si="126"/>
        <v>1.8480000000000001</v>
      </c>
      <c r="V594" s="2005"/>
    </row>
    <row r="595" spans="1:22">
      <c r="A595" s="2328"/>
      <c r="B595" s="2325"/>
      <c r="C595" s="5">
        <v>33</v>
      </c>
      <c r="D595" s="2325"/>
      <c r="E595" s="2321"/>
      <c r="F595" s="5">
        <v>1.44</v>
      </c>
      <c r="G595" s="5">
        <f t="shared" si="127"/>
        <v>5.0111999999999997</v>
      </c>
      <c r="H595" s="5"/>
      <c r="I595" s="5">
        <f t="shared" si="123"/>
        <v>5.0111999999999997</v>
      </c>
      <c r="J595" s="2005"/>
      <c r="L595" s="145">
        <f t="shared" si="128"/>
        <v>1</v>
      </c>
      <c r="M595" s="2325"/>
      <c r="N595" s="5">
        <f t="shared" si="129"/>
        <v>5.0199999999999996</v>
      </c>
      <c r="O595" s="5">
        <f t="shared" si="130"/>
        <v>5.0199999999999996</v>
      </c>
      <c r="P595" s="2005"/>
      <c r="R595" s="2392"/>
      <c r="S595" s="391">
        <f t="shared" si="124"/>
        <v>1.44</v>
      </c>
      <c r="T595" s="253">
        <f t="shared" si="125"/>
        <v>11.52</v>
      </c>
      <c r="U595" s="253">
        <f t="shared" si="126"/>
        <v>1.1519999999999999</v>
      </c>
      <c r="V595" s="2005"/>
    </row>
    <row r="596" spans="1:22">
      <c r="A596" s="2328"/>
      <c r="B596" s="2325"/>
      <c r="C596" s="5">
        <v>34</v>
      </c>
      <c r="D596" s="2325"/>
      <c r="E596" s="2321"/>
      <c r="F596" s="5">
        <v>2.31</v>
      </c>
      <c r="G596" s="5">
        <f t="shared" si="127"/>
        <v>8.0388000000000002</v>
      </c>
      <c r="H596" s="5"/>
      <c r="I596" s="5">
        <f t="shared" si="123"/>
        <v>8.0388000000000002</v>
      </c>
      <c r="J596" s="2005"/>
      <c r="L596" s="145">
        <f t="shared" si="128"/>
        <v>2</v>
      </c>
      <c r="M596" s="2325"/>
      <c r="N596" s="5">
        <f t="shared" si="129"/>
        <v>10.039999999999999</v>
      </c>
      <c r="O596" s="5">
        <f t="shared" si="130"/>
        <v>10.039999999999999</v>
      </c>
      <c r="P596" s="2005"/>
      <c r="R596" s="2392"/>
      <c r="S596" s="391">
        <f t="shared" si="124"/>
        <v>2.31</v>
      </c>
      <c r="T596" s="253">
        <f t="shared" si="125"/>
        <v>18.48</v>
      </c>
      <c r="U596" s="253">
        <f t="shared" si="126"/>
        <v>1.8480000000000001</v>
      </c>
      <c r="V596" s="2005"/>
    </row>
    <row r="597" spans="1:22">
      <c r="A597" s="2328"/>
      <c r="B597" s="2325"/>
      <c r="C597" s="5">
        <v>35</v>
      </c>
      <c r="D597" s="2325"/>
      <c r="E597" s="2321"/>
      <c r="F597" s="5">
        <v>2.0699999999999998</v>
      </c>
      <c r="G597" s="5">
        <f t="shared" si="127"/>
        <v>7.2035999999999998</v>
      </c>
      <c r="H597" s="5"/>
      <c r="I597" s="5">
        <f t="shared" si="123"/>
        <v>7.2035999999999998</v>
      </c>
      <c r="J597" s="2005"/>
      <c r="L597" s="145">
        <f t="shared" si="128"/>
        <v>2</v>
      </c>
      <c r="M597" s="2325"/>
      <c r="N597" s="5">
        <f t="shared" si="129"/>
        <v>10.039999999999999</v>
      </c>
      <c r="O597" s="5">
        <f t="shared" si="130"/>
        <v>10.039999999999999</v>
      </c>
      <c r="P597" s="2005"/>
      <c r="R597" s="2392"/>
      <c r="S597" s="391">
        <f t="shared" si="124"/>
        <v>2.0699999999999998</v>
      </c>
      <c r="T597" s="253">
        <f t="shared" si="125"/>
        <v>16.559999999999999</v>
      </c>
      <c r="U597" s="253">
        <f t="shared" si="126"/>
        <v>1.6559999999999999</v>
      </c>
      <c r="V597" s="2005"/>
    </row>
    <row r="598" spans="1:22">
      <c r="A598" s="2328"/>
      <c r="B598" s="2325"/>
      <c r="C598" s="5">
        <v>36</v>
      </c>
      <c r="D598" s="2325"/>
      <c r="E598" s="2321"/>
      <c r="F598" s="5">
        <v>2.31</v>
      </c>
      <c r="G598" s="5">
        <f t="shared" si="127"/>
        <v>8.0388000000000002</v>
      </c>
      <c r="H598" s="5"/>
      <c r="I598" s="5">
        <f t="shared" si="123"/>
        <v>8.0388000000000002</v>
      </c>
      <c r="J598" s="2005"/>
      <c r="L598" s="145">
        <f t="shared" si="128"/>
        <v>2</v>
      </c>
      <c r="M598" s="2325"/>
      <c r="N598" s="5">
        <f t="shared" si="129"/>
        <v>10.039999999999999</v>
      </c>
      <c r="O598" s="5">
        <f t="shared" si="130"/>
        <v>10.039999999999999</v>
      </c>
      <c r="P598" s="2005"/>
      <c r="R598" s="2392"/>
      <c r="S598" s="391">
        <f t="shared" si="124"/>
        <v>2.31</v>
      </c>
      <c r="T598" s="253">
        <f t="shared" si="125"/>
        <v>18.48</v>
      </c>
      <c r="U598" s="253">
        <f t="shared" si="126"/>
        <v>1.8480000000000001</v>
      </c>
      <c r="V598" s="2005"/>
    </row>
    <row r="599" spans="1:22">
      <c r="A599" s="2328"/>
      <c r="B599" s="2325"/>
      <c r="C599" s="5">
        <v>37</v>
      </c>
      <c r="D599" s="2325"/>
      <c r="E599" s="2321"/>
      <c r="F599" s="5">
        <v>1.71</v>
      </c>
      <c r="G599" s="5">
        <f t="shared" si="127"/>
        <v>5.9508000000000001</v>
      </c>
      <c r="H599" s="5"/>
      <c r="I599" s="5">
        <f t="shared" si="123"/>
        <v>5.9508000000000001</v>
      </c>
      <c r="J599" s="2005"/>
      <c r="L599" s="145">
        <f t="shared" si="128"/>
        <v>1</v>
      </c>
      <c r="M599" s="2325"/>
      <c r="N599" s="5">
        <f t="shared" si="129"/>
        <v>5.0199999999999996</v>
      </c>
      <c r="O599" s="5">
        <f t="shared" si="130"/>
        <v>5.0199999999999996</v>
      </c>
      <c r="P599" s="2005"/>
      <c r="R599" s="2392"/>
      <c r="S599" s="391">
        <f t="shared" si="124"/>
        <v>1.71</v>
      </c>
      <c r="T599" s="253">
        <f t="shared" si="125"/>
        <v>13.68</v>
      </c>
      <c r="U599" s="253">
        <f t="shared" si="126"/>
        <v>1.3680000000000001</v>
      </c>
      <c r="V599" s="2005"/>
    </row>
    <row r="600" spans="1:22">
      <c r="A600" s="2328"/>
      <c r="B600" s="2325"/>
      <c r="C600" s="5">
        <v>38</v>
      </c>
      <c r="D600" s="2325"/>
      <c r="E600" s="2321"/>
      <c r="F600" s="5">
        <v>3.75</v>
      </c>
      <c r="G600" s="5">
        <f t="shared" si="127"/>
        <v>13.05</v>
      </c>
      <c r="H600" s="5"/>
      <c r="I600" s="5">
        <f t="shared" si="123"/>
        <v>13.05</v>
      </c>
      <c r="J600" s="2005"/>
      <c r="L600" s="145">
        <f t="shared" si="128"/>
        <v>3</v>
      </c>
      <c r="M600" s="2325"/>
      <c r="N600" s="5">
        <f t="shared" si="129"/>
        <v>15.059999999999999</v>
      </c>
      <c r="O600" s="5">
        <f t="shared" si="130"/>
        <v>15.059999999999999</v>
      </c>
      <c r="P600" s="2005"/>
      <c r="R600" s="2392"/>
      <c r="S600" s="391">
        <f t="shared" si="124"/>
        <v>3.75</v>
      </c>
      <c r="T600" s="253">
        <f t="shared" si="125"/>
        <v>30</v>
      </c>
      <c r="U600" s="253">
        <f t="shared" si="126"/>
        <v>3</v>
      </c>
      <c r="V600" s="2005"/>
    </row>
    <row r="601" spans="1:22">
      <c r="A601" s="2328"/>
      <c r="B601" s="2325"/>
      <c r="C601" s="5">
        <v>39</v>
      </c>
      <c r="D601" s="2325"/>
      <c r="E601" s="2321"/>
      <c r="F601" s="5">
        <v>3.75</v>
      </c>
      <c r="G601" s="5">
        <f t="shared" si="127"/>
        <v>13.05</v>
      </c>
      <c r="H601" s="5"/>
      <c r="I601" s="5">
        <f t="shared" si="123"/>
        <v>13.05</v>
      </c>
      <c r="J601" s="2005"/>
      <c r="L601" s="145">
        <f t="shared" si="128"/>
        <v>3</v>
      </c>
      <c r="M601" s="2325"/>
      <c r="N601" s="5">
        <f t="shared" si="129"/>
        <v>15.059999999999999</v>
      </c>
      <c r="O601" s="5">
        <f t="shared" si="130"/>
        <v>15.059999999999999</v>
      </c>
      <c r="P601" s="2005"/>
      <c r="R601" s="2392"/>
      <c r="S601" s="391">
        <f t="shared" si="124"/>
        <v>3.75</v>
      </c>
      <c r="T601" s="253">
        <f t="shared" si="125"/>
        <v>30</v>
      </c>
      <c r="U601" s="253">
        <f t="shared" si="126"/>
        <v>3</v>
      </c>
      <c r="V601" s="2005"/>
    </row>
    <row r="602" spans="1:22">
      <c r="A602" s="2328"/>
      <c r="B602" s="2325"/>
      <c r="C602" s="5">
        <v>40</v>
      </c>
      <c r="D602" s="2325"/>
      <c r="E602" s="2321"/>
      <c r="F602" s="5">
        <v>7.11</v>
      </c>
      <c r="G602" s="5">
        <f t="shared" si="127"/>
        <v>24.742800000000003</v>
      </c>
      <c r="H602" s="5"/>
      <c r="I602" s="5">
        <f t="shared" si="123"/>
        <v>24.742800000000003</v>
      </c>
      <c r="J602" s="2005"/>
      <c r="L602" s="145">
        <f t="shared" si="128"/>
        <v>4</v>
      </c>
      <c r="M602" s="2325"/>
      <c r="N602" s="5">
        <f t="shared" si="129"/>
        <v>20.079999999999998</v>
      </c>
      <c r="O602" s="5">
        <f t="shared" si="130"/>
        <v>20.079999999999998</v>
      </c>
      <c r="P602" s="2005"/>
      <c r="R602" s="2392"/>
      <c r="S602" s="391">
        <f t="shared" si="124"/>
        <v>7.11</v>
      </c>
      <c r="T602" s="253">
        <f t="shared" si="125"/>
        <v>56.88</v>
      </c>
      <c r="U602" s="253">
        <f t="shared" si="126"/>
        <v>5.6880000000000006</v>
      </c>
      <c r="V602" s="2005"/>
    </row>
    <row r="603" spans="1:22">
      <c r="A603" s="2328"/>
      <c r="B603" s="2325"/>
      <c r="C603" s="5">
        <v>41</v>
      </c>
      <c r="D603" s="2325"/>
      <c r="E603" s="2321"/>
      <c r="F603" s="5">
        <v>5.12</v>
      </c>
      <c r="G603" s="5">
        <f t="shared" si="127"/>
        <v>17.817599999999999</v>
      </c>
      <c r="H603" s="5"/>
      <c r="I603" s="5">
        <f t="shared" si="123"/>
        <v>17.817599999999999</v>
      </c>
      <c r="J603" s="2005"/>
      <c r="L603" s="145">
        <f t="shared" si="128"/>
        <v>3</v>
      </c>
      <c r="M603" s="2325"/>
      <c r="N603" s="5">
        <f t="shared" si="129"/>
        <v>15.059999999999999</v>
      </c>
      <c r="O603" s="5">
        <f t="shared" si="130"/>
        <v>15.059999999999999</v>
      </c>
      <c r="P603" s="2005"/>
      <c r="R603" s="2392"/>
      <c r="S603" s="391">
        <f t="shared" si="124"/>
        <v>5.12</v>
      </c>
      <c r="T603" s="253">
        <f t="shared" si="125"/>
        <v>40.96</v>
      </c>
      <c r="U603" s="253">
        <f t="shared" si="126"/>
        <v>4.0960000000000001</v>
      </c>
      <c r="V603" s="2005"/>
    </row>
    <row r="604" spans="1:22">
      <c r="A604" s="2328"/>
      <c r="B604" s="2325"/>
      <c r="C604" s="5">
        <v>42</v>
      </c>
      <c r="D604" s="2325"/>
      <c r="E604" s="2321"/>
      <c r="F604" s="5">
        <v>2.15</v>
      </c>
      <c r="G604" s="5">
        <f t="shared" si="127"/>
        <v>7.4819999999999993</v>
      </c>
      <c r="H604" s="5"/>
      <c r="I604" s="5">
        <f t="shared" si="123"/>
        <v>7.4819999999999993</v>
      </c>
      <c r="J604" s="2005"/>
      <c r="L604" s="145">
        <f t="shared" si="128"/>
        <v>2</v>
      </c>
      <c r="M604" s="2325"/>
      <c r="N604" s="5">
        <f t="shared" si="129"/>
        <v>10.039999999999999</v>
      </c>
      <c r="O604" s="5">
        <f t="shared" si="130"/>
        <v>10.039999999999999</v>
      </c>
      <c r="P604" s="2005"/>
      <c r="R604" s="2392"/>
      <c r="S604" s="391">
        <f t="shared" si="124"/>
        <v>2.15</v>
      </c>
      <c r="T604" s="253">
        <f t="shared" si="125"/>
        <v>17.2</v>
      </c>
      <c r="U604" s="253">
        <f t="shared" si="126"/>
        <v>1.72</v>
      </c>
      <c r="V604" s="2005"/>
    </row>
    <row r="605" spans="1:22">
      <c r="A605" s="2328"/>
      <c r="B605" s="2325"/>
      <c r="C605" s="5">
        <v>43</v>
      </c>
      <c r="D605" s="2325"/>
      <c r="E605" s="2321"/>
      <c r="F605" s="5">
        <v>0.64</v>
      </c>
      <c r="G605" s="5">
        <f t="shared" si="127"/>
        <v>2.2271999999999998</v>
      </c>
      <c r="H605" s="5"/>
      <c r="I605" s="5">
        <f t="shared" si="123"/>
        <v>2.2271999999999998</v>
      </c>
      <c r="J605" s="2005"/>
      <c r="L605" s="145">
        <f t="shared" si="128"/>
        <v>1</v>
      </c>
      <c r="M605" s="2325"/>
      <c r="N605" s="5">
        <f t="shared" si="129"/>
        <v>5.0199999999999996</v>
      </c>
      <c r="O605" s="5">
        <f t="shared" si="130"/>
        <v>5.0199999999999996</v>
      </c>
      <c r="P605" s="2005"/>
      <c r="R605" s="2392"/>
      <c r="S605" s="391">
        <f t="shared" si="124"/>
        <v>0.64</v>
      </c>
      <c r="T605" s="253">
        <f t="shared" si="125"/>
        <v>5.12</v>
      </c>
      <c r="U605" s="253">
        <f t="shared" si="126"/>
        <v>0.51200000000000001</v>
      </c>
      <c r="V605" s="2005"/>
    </row>
    <row r="606" spans="1:22">
      <c r="A606" s="2328"/>
      <c r="B606" s="2325"/>
      <c r="C606" s="5">
        <v>44</v>
      </c>
      <c r="D606" s="2325"/>
      <c r="E606" s="2322"/>
      <c r="F606" s="5">
        <v>1.05</v>
      </c>
      <c r="G606" s="5">
        <f t="shared" si="127"/>
        <v>3.6539999999999999</v>
      </c>
      <c r="H606" s="5"/>
      <c r="I606" s="5">
        <f t="shared" si="123"/>
        <v>3.6539999999999999</v>
      </c>
      <c r="J606" s="2005"/>
      <c r="L606" s="145">
        <f t="shared" si="128"/>
        <v>1</v>
      </c>
      <c r="M606" s="2325"/>
      <c r="N606" s="5">
        <f t="shared" si="129"/>
        <v>5.0199999999999996</v>
      </c>
      <c r="O606" s="5">
        <f t="shared" si="130"/>
        <v>5.0199999999999996</v>
      </c>
      <c r="P606" s="2005"/>
      <c r="R606" s="2392"/>
      <c r="S606" s="391">
        <f t="shared" si="124"/>
        <v>1.05</v>
      </c>
      <c r="T606" s="253">
        <f t="shared" si="125"/>
        <v>8.4</v>
      </c>
      <c r="U606" s="253">
        <f t="shared" si="126"/>
        <v>0.84000000000000008</v>
      </c>
      <c r="V606" s="2005"/>
    </row>
    <row r="607" spans="1:22">
      <c r="A607" s="2328"/>
      <c r="B607" s="2325"/>
      <c r="C607" s="5">
        <v>45</v>
      </c>
      <c r="D607" s="2325"/>
      <c r="E607" s="387">
        <v>3</v>
      </c>
      <c r="F607" s="5">
        <v>6.32</v>
      </c>
      <c r="G607" s="5">
        <f>$E$607*F607</f>
        <v>18.96</v>
      </c>
      <c r="H607" s="5"/>
      <c r="I607" s="5">
        <f t="shared" si="123"/>
        <v>18.96</v>
      </c>
      <c r="J607" s="2005"/>
      <c r="L607" s="145">
        <f>TRUNC((F607/1.2))+1</f>
        <v>6</v>
      </c>
      <c r="M607" s="384">
        <f>($E$607)+(0.12+0.56+0.9)</f>
        <v>4.58</v>
      </c>
      <c r="N607" s="5">
        <f>M607*L607</f>
        <v>27.48</v>
      </c>
      <c r="O607" s="5">
        <f t="shared" si="130"/>
        <v>27.48</v>
      </c>
      <c r="P607" s="2005"/>
      <c r="R607" s="2392"/>
      <c r="S607" s="391">
        <f t="shared" si="124"/>
        <v>6.32</v>
      </c>
      <c r="T607" s="253">
        <f t="shared" si="125"/>
        <v>50.56</v>
      </c>
      <c r="U607" s="253">
        <f t="shared" si="126"/>
        <v>5.0560000000000009</v>
      </c>
      <c r="V607" s="2005"/>
    </row>
    <row r="608" spans="1:22">
      <c r="A608" s="2328"/>
      <c r="B608" s="2325"/>
      <c r="C608" s="5">
        <v>46</v>
      </c>
      <c r="D608" s="2325"/>
      <c r="E608" s="2323">
        <v>3.48</v>
      </c>
      <c r="F608" s="5">
        <v>2.2599999999999998</v>
      </c>
      <c r="G608" s="5">
        <f>$E$608*F608</f>
        <v>7.8647999999999989</v>
      </c>
      <c r="H608" s="5"/>
      <c r="I608" s="5">
        <f t="shared" si="123"/>
        <v>7.8647999999999989</v>
      </c>
      <c r="J608" s="2005"/>
      <c r="L608" s="145">
        <f>TRUNC((F608/1.8))+1</f>
        <v>2</v>
      </c>
      <c r="M608" s="2325">
        <f>($E$608)+(0.66+0.88)</f>
        <v>5.0199999999999996</v>
      </c>
      <c r="N608" s="5">
        <f>$M$608*L608</f>
        <v>10.039999999999999</v>
      </c>
      <c r="O608" s="5">
        <f t="shared" si="130"/>
        <v>10.039999999999999</v>
      </c>
      <c r="P608" s="2005"/>
      <c r="R608" s="2392"/>
      <c r="S608" s="391">
        <f t="shared" si="124"/>
        <v>2.2599999999999998</v>
      </c>
      <c r="T608" s="253">
        <f t="shared" si="125"/>
        <v>18.079999999999998</v>
      </c>
      <c r="U608" s="253">
        <f t="shared" si="126"/>
        <v>1.8079999999999998</v>
      </c>
      <c r="V608" s="2005"/>
    </row>
    <row r="609" spans="1:22">
      <c r="A609" s="2328"/>
      <c r="B609" s="2325"/>
      <c r="C609" s="5">
        <v>47</v>
      </c>
      <c r="D609" s="2325"/>
      <c r="E609" s="2322"/>
      <c r="F609" s="5">
        <v>2.65</v>
      </c>
      <c r="G609" s="5">
        <f>$E$608*F609</f>
        <v>9.2219999999999995</v>
      </c>
      <c r="H609" s="5"/>
      <c r="I609" s="5">
        <f t="shared" si="123"/>
        <v>9.2219999999999995</v>
      </c>
      <c r="J609" s="2005"/>
      <c r="L609" s="145">
        <f>TRUNC((F609/1.8))+1</f>
        <v>2</v>
      </c>
      <c r="M609" s="2325"/>
      <c r="N609" s="5">
        <f>$M$608*L609</f>
        <v>10.039999999999999</v>
      </c>
      <c r="O609" s="5">
        <f t="shared" si="130"/>
        <v>10.039999999999999</v>
      </c>
      <c r="P609" s="2005"/>
      <c r="R609" s="2392"/>
      <c r="S609" s="391">
        <f t="shared" si="124"/>
        <v>2.65</v>
      </c>
      <c r="T609" s="253">
        <f t="shared" si="125"/>
        <v>21.2</v>
      </c>
      <c r="U609" s="253">
        <f t="shared" si="126"/>
        <v>2.12</v>
      </c>
      <c r="V609" s="2005"/>
    </row>
    <row r="610" spans="1:22">
      <c r="A610" s="2328"/>
      <c r="B610" s="2325"/>
      <c r="C610" s="5">
        <v>48</v>
      </c>
      <c r="D610" s="2325"/>
      <c r="E610" s="2323">
        <v>3</v>
      </c>
      <c r="F610" s="5">
        <v>5.33</v>
      </c>
      <c r="G610" s="5">
        <f>$E$610*F610</f>
        <v>15.99</v>
      </c>
      <c r="H610" s="5"/>
      <c r="I610" s="5">
        <f t="shared" si="123"/>
        <v>15.99</v>
      </c>
      <c r="J610" s="2005"/>
      <c r="L610" s="145">
        <f>TRUNC((F610/1.2))+1</f>
        <v>5</v>
      </c>
      <c r="M610" s="2325">
        <f>($E$610)+(0.12+0.56+0.9)</f>
        <v>4.58</v>
      </c>
      <c r="N610" s="5">
        <f>$M$610*L610</f>
        <v>22.9</v>
      </c>
      <c r="O610" s="5">
        <f t="shared" si="130"/>
        <v>22.9</v>
      </c>
      <c r="P610" s="2005"/>
      <c r="R610" s="2392"/>
      <c r="S610" s="391">
        <f t="shared" si="124"/>
        <v>5.33</v>
      </c>
      <c r="T610" s="253">
        <f t="shared" si="125"/>
        <v>42.64</v>
      </c>
      <c r="U610" s="253">
        <f t="shared" si="126"/>
        <v>4.2640000000000002</v>
      </c>
      <c r="V610" s="2005"/>
    </row>
    <row r="611" spans="1:22">
      <c r="A611" s="2328"/>
      <c r="B611" s="2325"/>
      <c r="C611" s="5">
        <v>49</v>
      </c>
      <c r="D611" s="2325"/>
      <c r="E611" s="2321"/>
      <c r="F611" s="5">
        <v>13.33</v>
      </c>
      <c r="G611" s="5">
        <f>$E$610*F611</f>
        <v>39.99</v>
      </c>
      <c r="H611" s="5">
        <f>2*((0.968+1.22+1.22+1.698)*1.1)</f>
        <v>11.2332</v>
      </c>
      <c r="I611" s="5">
        <f t="shared" si="123"/>
        <v>28.756800000000002</v>
      </c>
      <c r="J611" s="2005"/>
      <c r="L611" s="145">
        <f>TRUNC((F611/1.2))+1</f>
        <v>12</v>
      </c>
      <c r="M611" s="2325"/>
      <c r="N611" s="5">
        <f>$M$610*L611</f>
        <v>54.96</v>
      </c>
      <c r="O611" s="5">
        <f t="shared" si="130"/>
        <v>54.96</v>
      </c>
      <c r="P611" s="2005"/>
      <c r="R611" s="2392"/>
      <c r="S611" s="391">
        <f t="shared" si="124"/>
        <v>13.33</v>
      </c>
      <c r="T611" s="253">
        <f t="shared" si="125"/>
        <v>106.64</v>
      </c>
      <c r="U611" s="253">
        <f t="shared" si="126"/>
        <v>10.664000000000001</v>
      </c>
      <c r="V611" s="2005"/>
    </row>
    <row r="612" spans="1:22">
      <c r="A612" s="2328"/>
      <c r="B612" s="2325"/>
      <c r="C612" s="5">
        <v>50</v>
      </c>
      <c r="D612" s="2325"/>
      <c r="E612" s="2322"/>
      <c r="F612" s="5">
        <v>48.4</v>
      </c>
      <c r="G612" s="5">
        <f>$E$610*F612</f>
        <v>145.19999999999999</v>
      </c>
      <c r="H612" s="5">
        <f>1.1*(1.573+1.22+1.22+0.855+0.904+(6*1.22)+0.757+0.884+0.733)+3*9.245+((3*1.22+0.906+0.886)*1.1)+(1.1*(1.344+1.213+1.227+1.213+1.169+1.22+1.22+1.175))</f>
        <v>61.503900000000009</v>
      </c>
      <c r="I612" s="5">
        <f t="shared" si="123"/>
        <v>83.696099999999973</v>
      </c>
      <c r="J612" s="2005"/>
      <c r="L612" s="145">
        <f>TRUNC((F612/1.2))+1</f>
        <v>41</v>
      </c>
      <c r="M612" s="2325"/>
      <c r="N612" s="5">
        <f>$M$610*L612</f>
        <v>187.78</v>
      </c>
      <c r="O612" s="5">
        <f t="shared" si="130"/>
        <v>187.78</v>
      </c>
      <c r="P612" s="2005"/>
      <c r="R612" s="2392"/>
      <c r="S612" s="391">
        <f t="shared" si="124"/>
        <v>48.4</v>
      </c>
      <c r="T612" s="253">
        <f t="shared" si="125"/>
        <v>387.2</v>
      </c>
      <c r="U612" s="253">
        <f t="shared" si="126"/>
        <v>38.72</v>
      </c>
      <c r="V612" s="2005"/>
    </row>
    <row r="613" spans="1:22">
      <c r="A613" s="2328"/>
      <c r="B613" s="2325" t="s">
        <v>550</v>
      </c>
      <c r="C613" s="5">
        <v>51</v>
      </c>
      <c r="D613" s="2325">
        <v>0.12</v>
      </c>
      <c r="E613" s="2323">
        <v>3.48</v>
      </c>
      <c r="F613" s="5">
        <v>4.55</v>
      </c>
      <c r="G613" s="5">
        <f>$E$613*F613</f>
        <v>15.834</v>
      </c>
      <c r="H613" s="5"/>
      <c r="I613" s="5">
        <f t="shared" si="123"/>
        <v>15.834</v>
      </c>
      <c r="J613" s="2005"/>
      <c r="L613" s="145">
        <f>TRUNC((F613/1.8))+1</f>
        <v>3</v>
      </c>
      <c r="M613" s="2325">
        <f>($E$613)+(0.66+0.88)</f>
        <v>5.0199999999999996</v>
      </c>
      <c r="N613" s="5">
        <f>$M$613*L613</f>
        <v>15.059999999999999</v>
      </c>
      <c r="O613" s="5">
        <f t="shared" si="130"/>
        <v>15.059999999999999</v>
      </c>
      <c r="P613" s="2005"/>
      <c r="R613" s="2392"/>
      <c r="S613" s="391">
        <f t="shared" si="124"/>
        <v>4.55</v>
      </c>
      <c r="T613" s="253">
        <f t="shared" si="125"/>
        <v>36.4</v>
      </c>
      <c r="U613" s="253">
        <f t="shared" si="126"/>
        <v>3.64</v>
      </c>
      <c r="V613" s="2005"/>
    </row>
    <row r="614" spans="1:22">
      <c r="A614" s="2328"/>
      <c r="B614" s="2325"/>
      <c r="C614" s="5">
        <v>52</v>
      </c>
      <c r="D614" s="2325"/>
      <c r="E614" s="2321"/>
      <c r="F614" s="5">
        <v>4.08</v>
      </c>
      <c r="G614" s="5">
        <f t="shared" ref="G614:G633" si="131">$E$613*F614</f>
        <v>14.198399999999999</v>
      </c>
      <c r="H614" s="5"/>
      <c r="I614" s="5">
        <f t="shared" si="123"/>
        <v>14.198399999999999</v>
      </c>
      <c r="J614" s="2005"/>
      <c r="L614" s="145">
        <f t="shared" ref="L614:L632" si="132">TRUNC((F614/1.8))+1</f>
        <v>3</v>
      </c>
      <c r="M614" s="2325"/>
      <c r="N614" s="5">
        <f t="shared" ref="N614:N632" si="133">$M$613*L614</f>
        <v>15.059999999999999</v>
      </c>
      <c r="O614" s="5">
        <f t="shared" si="130"/>
        <v>15.059999999999999</v>
      </c>
      <c r="P614" s="2005"/>
      <c r="R614" s="2392"/>
      <c r="S614" s="391">
        <f t="shared" si="124"/>
        <v>4.08</v>
      </c>
      <c r="T614" s="253">
        <f t="shared" si="125"/>
        <v>32.64</v>
      </c>
      <c r="U614" s="253">
        <f t="shared" si="126"/>
        <v>3.2640000000000002</v>
      </c>
      <c r="V614" s="2005"/>
    </row>
    <row r="615" spans="1:22">
      <c r="A615" s="2328"/>
      <c r="B615" s="2325"/>
      <c r="C615" s="5">
        <v>53</v>
      </c>
      <c r="D615" s="2325"/>
      <c r="E615" s="2321"/>
      <c r="F615" s="5">
        <v>0.9</v>
      </c>
      <c r="G615" s="5">
        <f t="shared" si="131"/>
        <v>3.1320000000000001</v>
      </c>
      <c r="H615" s="5"/>
      <c r="I615" s="5">
        <f t="shared" si="123"/>
        <v>3.1320000000000001</v>
      </c>
      <c r="J615" s="2005"/>
      <c r="L615" s="145">
        <f t="shared" si="132"/>
        <v>1</v>
      </c>
      <c r="M615" s="2325"/>
      <c r="N615" s="5">
        <f t="shared" si="133"/>
        <v>5.0199999999999996</v>
      </c>
      <c r="O615" s="5">
        <f t="shared" si="130"/>
        <v>5.0199999999999996</v>
      </c>
      <c r="P615" s="2005"/>
      <c r="R615" s="2392"/>
      <c r="S615" s="391">
        <f t="shared" si="124"/>
        <v>0.9</v>
      </c>
      <c r="T615" s="253">
        <f t="shared" si="125"/>
        <v>7.2</v>
      </c>
      <c r="U615" s="253">
        <f t="shared" si="126"/>
        <v>0.72000000000000008</v>
      </c>
      <c r="V615" s="2005"/>
    </row>
    <row r="616" spans="1:22">
      <c r="A616" s="2328"/>
      <c r="B616" s="2325"/>
      <c r="C616" s="5">
        <v>54</v>
      </c>
      <c r="D616" s="2325"/>
      <c r="E616" s="2321"/>
      <c r="F616" s="5">
        <v>3.35</v>
      </c>
      <c r="G616" s="5">
        <f t="shared" si="131"/>
        <v>11.657999999999999</v>
      </c>
      <c r="H616" s="5"/>
      <c r="I616" s="5">
        <f t="shared" si="123"/>
        <v>11.657999999999999</v>
      </c>
      <c r="J616" s="2005"/>
      <c r="L616" s="145">
        <f t="shared" si="132"/>
        <v>2</v>
      </c>
      <c r="M616" s="2325"/>
      <c r="N616" s="5">
        <f t="shared" si="133"/>
        <v>10.039999999999999</v>
      </c>
      <c r="O616" s="5">
        <f t="shared" si="130"/>
        <v>10.039999999999999</v>
      </c>
      <c r="P616" s="2005"/>
      <c r="R616" s="2392"/>
      <c r="S616" s="391">
        <f t="shared" si="124"/>
        <v>3.35</v>
      </c>
      <c r="T616" s="253">
        <f t="shared" si="125"/>
        <v>26.8</v>
      </c>
      <c r="U616" s="253">
        <f t="shared" si="126"/>
        <v>2.68</v>
      </c>
      <c r="V616" s="2005"/>
    </row>
    <row r="617" spans="1:22">
      <c r="A617" s="2328"/>
      <c r="B617" s="2325"/>
      <c r="C617" s="5">
        <v>55</v>
      </c>
      <c r="D617" s="2325"/>
      <c r="E617" s="2321"/>
      <c r="F617" s="5">
        <v>10.89</v>
      </c>
      <c r="G617" s="5">
        <f t="shared" si="131"/>
        <v>37.897200000000005</v>
      </c>
      <c r="H617" s="5"/>
      <c r="I617" s="5">
        <f t="shared" si="123"/>
        <v>37.897200000000005</v>
      </c>
      <c r="J617" s="2005"/>
      <c r="L617" s="145">
        <f t="shared" si="132"/>
        <v>7</v>
      </c>
      <c r="M617" s="2325"/>
      <c r="N617" s="5">
        <f t="shared" si="133"/>
        <v>35.14</v>
      </c>
      <c r="O617" s="5">
        <f t="shared" si="130"/>
        <v>35.14</v>
      </c>
      <c r="P617" s="2005"/>
      <c r="R617" s="2392"/>
      <c r="S617" s="391">
        <f t="shared" si="124"/>
        <v>10.89</v>
      </c>
      <c r="T617" s="253">
        <f t="shared" si="125"/>
        <v>87.12</v>
      </c>
      <c r="U617" s="253">
        <f t="shared" si="126"/>
        <v>8.7120000000000015</v>
      </c>
      <c r="V617" s="2005"/>
    </row>
    <row r="618" spans="1:22">
      <c r="A618" s="2328"/>
      <c r="B618" s="2325"/>
      <c r="C618" s="5">
        <v>56</v>
      </c>
      <c r="D618" s="2325"/>
      <c r="E618" s="2321"/>
      <c r="F618" s="5">
        <v>2.75</v>
      </c>
      <c r="G618" s="5">
        <f t="shared" si="131"/>
        <v>9.57</v>
      </c>
      <c r="H618" s="5"/>
      <c r="I618" s="5">
        <f t="shared" si="123"/>
        <v>9.57</v>
      </c>
      <c r="J618" s="2005"/>
      <c r="L618" s="145">
        <f t="shared" si="132"/>
        <v>2</v>
      </c>
      <c r="M618" s="2325"/>
      <c r="N618" s="5">
        <f t="shared" si="133"/>
        <v>10.039999999999999</v>
      </c>
      <c r="O618" s="5">
        <f t="shared" si="130"/>
        <v>10.039999999999999</v>
      </c>
      <c r="P618" s="2005"/>
      <c r="R618" s="2392"/>
      <c r="S618" s="391">
        <f t="shared" si="124"/>
        <v>2.75</v>
      </c>
      <c r="T618" s="253">
        <f t="shared" si="125"/>
        <v>22</v>
      </c>
      <c r="U618" s="253">
        <f t="shared" si="126"/>
        <v>2.2000000000000002</v>
      </c>
      <c r="V618" s="2005"/>
    </row>
    <row r="619" spans="1:22">
      <c r="A619" s="2328"/>
      <c r="B619" s="2325"/>
      <c r="C619" s="5">
        <v>57</v>
      </c>
      <c r="D619" s="2325"/>
      <c r="E619" s="2321"/>
      <c r="F619" s="5">
        <v>2.75</v>
      </c>
      <c r="G619" s="5">
        <f t="shared" si="131"/>
        <v>9.57</v>
      </c>
      <c r="H619" s="5"/>
      <c r="I619" s="5">
        <f t="shared" si="123"/>
        <v>9.57</v>
      </c>
      <c r="J619" s="2005"/>
      <c r="L619" s="145">
        <f t="shared" si="132"/>
        <v>2</v>
      </c>
      <c r="M619" s="2325"/>
      <c r="N619" s="5">
        <f t="shared" si="133"/>
        <v>10.039999999999999</v>
      </c>
      <c r="O619" s="5">
        <f t="shared" si="130"/>
        <v>10.039999999999999</v>
      </c>
      <c r="P619" s="2005"/>
      <c r="R619" s="2392"/>
      <c r="S619" s="391">
        <f t="shared" si="124"/>
        <v>2.75</v>
      </c>
      <c r="T619" s="253">
        <f t="shared" si="125"/>
        <v>22</v>
      </c>
      <c r="U619" s="253">
        <f t="shared" si="126"/>
        <v>2.2000000000000002</v>
      </c>
      <c r="V619" s="2005"/>
    </row>
    <row r="620" spans="1:22">
      <c r="A620" s="2328"/>
      <c r="B620" s="2325"/>
      <c r="C620" s="5">
        <v>58</v>
      </c>
      <c r="D620" s="2325"/>
      <c r="E620" s="2321"/>
      <c r="F620" s="5">
        <v>3.35</v>
      </c>
      <c r="G620" s="5">
        <f t="shared" si="131"/>
        <v>11.657999999999999</v>
      </c>
      <c r="H620" s="5"/>
      <c r="I620" s="5">
        <f t="shared" si="123"/>
        <v>11.657999999999999</v>
      </c>
      <c r="J620" s="2005"/>
      <c r="L620" s="145">
        <f t="shared" si="132"/>
        <v>2</v>
      </c>
      <c r="M620" s="2325"/>
      <c r="N620" s="5">
        <f t="shared" si="133"/>
        <v>10.039999999999999</v>
      </c>
      <c r="O620" s="5">
        <f t="shared" si="130"/>
        <v>10.039999999999999</v>
      </c>
      <c r="P620" s="2005"/>
      <c r="R620" s="2392"/>
      <c r="S620" s="391">
        <f t="shared" si="124"/>
        <v>3.35</v>
      </c>
      <c r="T620" s="253">
        <f t="shared" si="125"/>
        <v>26.8</v>
      </c>
      <c r="U620" s="253">
        <f t="shared" si="126"/>
        <v>2.68</v>
      </c>
      <c r="V620" s="2005"/>
    </row>
    <row r="621" spans="1:22">
      <c r="A621" s="2328"/>
      <c r="B621" s="2325"/>
      <c r="C621" s="5">
        <v>59</v>
      </c>
      <c r="D621" s="2325"/>
      <c r="E621" s="2321"/>
      <c r="F621" s="5">
        <v>3.1</v>
      </c>
      <c r="G621" s="5">
        <f t="shared" si="131"/>
        <v>10.788</v>
      </c>
      <c r="H621" s="5"/>
      <c r="I621" s="5">
        <f t="shared" si="123"/>
        <v>10.788</v>
      </c>
      <c r="J621" s="2005"/>
      <c r="L621" s="145">
        <f t="shared" si="132"/>
        <v>2</v>
      </c>
      <c r="M621" s="2325"/>
      <c r="N621" s="5">
        <f t="shared" si="133"/>
        <v>10.039999999999999</v>
      </c>
      <c r="O621" s="5">
        <f t="shared" si="130"/>
        <v>10.039999999999999</v>
      </c>
      <c r="P621" s="2005"/>
      <c r="R621" s="2392"/>
      <c r="S621" s="391">
        <f t="shared" si="124"/>
        <v>3.1</v>
      </c>
      <c r="T621" s="253">
        <f t="shared" si="125"/>
        <v>24.8</v>
      </c>
      <c r="U621" s="253">
        <f t="shared" si="126"/>
        <v>2.4800000000000004</v>
      </c>
      <c r="V621" s="2005"/>
    </row>
    <row r="622" spans="1:22">
      <c r="A622" s="2328"/>
      <c r="B622" s="2325"/>
      <c r="C622" s="5">
        <v>60</v>
      </c>
      <c r="D622" s="2325"/>
      <c r="E622" s="2321"/>
      <c r="F622" s="5">
        <v>3.61</v>
      </c>
      <c r="G622" s="5">
        <f t="shared" si="131"/>
        <v>12.562799999999999</v>
      </c>
      <c r="H622" s="5"/>
      <c r="I622" s="5">
        <f t="shared" si="123"/>
        <v>12.562799999999999</v>
      </c>
      <c r="J622" s="2005"/>
      <c r="L622" s="145">
        <f t="shared" si="132"/>
        <v>3</v>
      </c>
      <c r="M622" s="2325"/>
      <c r="N622" s="5">
        <f t="shared" si="133"/>
        <v>15.059999999999999</v>
      </c>
      <c r="O622" s="5">
        <f t="shared" si="130"/>
        <v>15.059999999999999</v>
      </c>
      <c r="P622" s="2005"/>
      <c r="R622" s="2392"/>
      <c r="S622" s="391">
        <f t="shared" si="124"/>
        <v>3.61</v>
      </c>
      <c r="T622" s="253">
        <f t="shared" si="125"/>
        <v>28.88</v>
      </c>
      <c r="U622" s="253">
        <f t="shared" si="126"/>
        <v>2.8879999999999999</v>
      </c>
      <c r="V622" s="2005"/>
    </row>
    <row r="623" spans="1:22">
      <c r="A623" s="2328"/>
      <c r="B623" s="2325"/>
      <c r="C623" s="5">
        <v>61</v>
      </c>
      <c r="D623" s="2325"/>
      <c r="E623" s="2321"/>
      <c r="F623" s="5">
        <v>7.15</v>
      </c>
      <c r="G623" s="5">
        <f t="shared" si="131"/>
        <v>24.882000000000001</v>
      </c>
      <c r="H623" s="5"/>
      <c r="I623" s="5">
        <f t="shared" si="123"/>
        <v>24.882000000000001</v>
      </c>
      <c r="J623" s="2005"/>
      <c r="L623" s="145">
        <f t="shared" si="132"/>
        <v>4</v>
      </c>
      <c r="M623" s="2325"/>
      <c r="N623" s="5">
        <f t="shared" si="133"/>
        <v>20.079999999999998</v>
      </c>
      <c r="O623" s="5">
        <f t="shared" si="130"/>
        <v>20.079999999999998</v>
      </c>
      <c r="P623" s="2005"/>
      <c r="R623" s="2392"/>
      <c r="S623" s="391">
        <f t="shared" si="124"/>
        <v>7.15</v>
      </c>
      <c r="T623" s="253">
        <f t="shared" si="125"/>
        <v>57.2</v>
      </c>
      <c r="U623" s="253">
        <f t="shared" si="126"/>
        <v>5.7200000000000006</v>
      </c>
      <c r="V623" s="2005"/>
    </row>
    <row r="624" spans="1:22">
      <c r="A624" s="2328"/>
      <c r="B624" s="2325"/>
      <c r="C624" s="5">
        <v>62</v>
      </c>
      <c r="D624" s="2325"/>
      <c r="E624" s="2321"/>
      <c r="F624" s="5">
        <v>7.15</v>
      </c>
      <c r="G624" s="5">
        <f t="shared" si="131"/>
        <v>24.882000000000001</v>
      </c>
      <c r="H624" s="5"/>
      <c r="I624" s="5">
        <f t="shared" si="123"/>
        <v>24.882000000000001</v>
      </c>
      <c r="J624" s="2005"/>
      <c r="L624" s="145">
        <f t="shared" si="132"/>
        <v>4</v>
      </c>
      <c r="M624" s="2325"/>
      <c r="N624" s="5">
        <f t="shared" si="133"/>
        <v>20.079999999999998</v>
      </c>
      <c r="O624" s="5">
        <f t="shared" si="130"/>
        <v>20.079999999999998</v>
      </c>
      <c r="P624" s="2005"/>
      <c r="R624" s="2392"/>
      <c r="S624" s="391">
        <f t="shared" si="124"/>
        <v>7.15</v>
      </c>
      <c r="T624" s="253">
        <f t="shared" si="125"/>
        <v>57.2</v>
      </c>
      <c r="U624" s="253">
        <f t="shared" si="126"/>
        <v>5.7200000000000006</v>
      </c>
      <c r="V624" s="2005"/>
    </row>
    <row r="625" spans="1:22">
      <c r="A625" s="2328"/>
      <c r="B625" s="2325"/>
      <c r="C625" s="5">
        <v>63</v>
      </c>
      <c r="D625" s="2325"/>
      <c r="E625" s="2321"/>
      <c r="F625" s="5">
        <v>6.32</v>
      </c>
      <c r="G625" s="5">
        <f t="shared" si="131"/>
        <v>21.993600000000001</v>
      </c>
      <c r="H625" s="5"/>
      <c r="I625" s="5">
        <f t="shared" si="123"/>
        <v>21.993600000000001</v>
      </c>
      <c r="J625" s="2005"/>
      <c r="L625" s="145">
        <f t="shared" si="132"/>
        <v>4</v>
      </c>
      <c r="M625" s="2325"/>
      <c r="N625" s="5">
        <f t="shared" si="133"/>
        <v>20.079999999999998</v>
      </c>
      <c r="O625" s="5">
        <f t="shared" si="130"/>
        <v>20.079999999999998</v>
      </c>
      <c r="P625" s="2005"/>
      <c r="R625" s="2392"/>
      <c r="S625" s="391">
        <f t="shared" si="124"/>
        <v>6.32</v>
      </c>
      <c r="T625" s="253">
        <f t="shared" si="125"/>
        <v>50.56</v>
      </c>
      <c r="U625" s="253">
        <f t="shared" si="126"/>
        <v>5.0560000000000009</v>
      </c>
      <c r="V625" s="2005"/>
    </row>
    <row r="626" spans="1:22">
      <c r="A626" s="2328"/>
      <c r="B626" s="2325"/>
      <c r="C626" s="5">
        <v>64</v>
      </c>
      <c r="D626" s="2325"/>
      <c r="E626" s="2321"/>
      <c r="F626" s="5">
        <v>11.39</v>
      </c>
      <c r="G626" s="5">
        <f t="shared" si="131"/>
        <v>39.6372</v>
      </c>
      <c r="H626" s="5"/>
      <c r="I626" s="5">
        <f t="shared" si="123"/>
        <v>39.6372</v>
      </c>
      <c r="J626" s="2005"/>
      <c r="L626" s="145">
        <f t="shared" si="132"/>
        <v>7</v>
      </c>
      <c r="M626" s="2325"/>
      <c r="N626" s="5">
        <f t="shared" si="133"/>
        <v>35.14</v>
      </c>
      <c r="O626" s="5">
        <f t="shared" si="130"/>
        <v>35.14</v>
      </c>
      <c r="P626" s="2005"/>
      <c r="R626" s="2392"/>
      <c r="S626" s="391">
        <f t="shared" si="124"/>
        <v>11.39</v>
      </c>
      <c r="T626" s="253">
        <f t="shared" si="125"/>
        <v>91.12</v>
      </c>
      <c r="U626" s="253">
        <f t="shared" si="126"/>
        <v>9.1120000000000001</v>
      </c>
      <c r="V626" s="2005"/>
    </row>
    <row r="627" spans="1:22">
      <c r="A627" s="2328"/>
      <c r="B627" s="2325"/>
      <c r="C627" s="5">
        <v>65</v>
      </c>
      <c r="D627" s="2325"/>
      <c r="E627" s="2321"/>
      <c r="F627" s="5">
        <v>9.9700000000000006</v>
      </c>
      <c r="G627" s="5">
        <f t="shared" si="131"/>
        <v>34.695599999999999</v>
      </c>
      <c r="H627" s="5"/>
      <c r="I627" s="5">
        <f t="shared" si="123"/>
        <v>34.695599999999999</v>
      </c>
      <c r="J627" s="2005"/>
      <c r="L627" s="145">
        <f t="shared" si="132"/>
        <v>6</v>
      </c>
      <c r="M627" s="2325"/>
      <c r="N627" s="5">
        <f t="shared" si="133"/>
        <v>30.119999999999997</v>
      </c>
      <c r="O627" s="5">
        <f t="shared" si="130"/>
        <v>30.119999999999997</v>
      </c>
      <c r="P627" s="2005"/>
      <c r="R627" s="2392"/>
      <c r="S627" s="391">
        <f t="shared" si="124"/>
        <v>9.9700000000000006</v>
      </c>
      <c r="T627" s="253">
        <f t="shared" si="125"/>
        <v>79.760000000000005</v>
      </c>
      <c r="U627" s="253">
        <f t="shared" si="126"/>
        <v>7.9760000000000009</v>
      </c>
      <c r="V627" s="2005"/>
    </row>
    <row r="628" spans="1:22">
      <c r="A628" s="2328"/>
      <c r="B628" s="2325"/>
      <c r="C628" s="5">
        <v>66</v>
      </c>
      <c r="D628" s="2325"/>
      <c r="E628" s="2321"/>
      <c r="F628" s="5">
        <v>8.9600000000000009</v>
      </c>
      <c r="G628" s="5">
        <f t="shared" si="131"/>
        <v>31.180800000000001</v>
      </c>
      <c r="H628" s="5"/>
      <c r="I628" s="5">
        <f t="shared" ref="I628:I633" si="134">G628-H628</f>
        <v>31.180800000000001</v>
      </c>
      <c r="J628" s="2005"/>
      <c r="L628" s="145">
        <f t="shared" si="132"/>
        <v>5</v>
      </c>
      <c r="M628" s="2325"/>
      <c r="N628" s="5">
        <f t="shared" si="133"/>
        <v>25.099999999999998</v>
      </c>
      <c r="O628" s="5">
        <f t="shared" si="130"/>
        <v>25.099999999999998</v>
      </c>
      <c r="P628" s="2005"/>
      <c r="R628" s="2392"/>
      <c r="S628" s="391">
        <f t="shared" ref="S628:S633" si="135">F628</f>
        <v>8.9600000000000009</v>
      </c>
      <c r="T628" s="253">
        <f t="shared" ref="T628:T633" si="136">$R$563*S628</f>
        <v>71.680000000000007</v>
      </c>
      <c r="U628" s="253">
        <f t="shared" ref="U628:U633" si="137">T628*0.1</f>
        <v>7.168000000000001</v>
      </c>
      <c r="V628" s="2005"/>
    </row>
    <row r="629" spans="1:22">
      <c r="A629" s="2328"/>
      <c r="B629" s="2325"/>
      <c r="C629" s="5">
        <v>67</v>
      </c>
      <c r="D629" s="2325"/>
      <c r="E629" s="2321"/>
      <c r="F629" s="5">
        <v>11.44</v>
      </c>
      <c r="G629" s="5">
        <f t="shared" si="131"/>
        <v>39.811199999999999</v>
      </c>
      <c r="H629" s="5"/>
      <c r="I629" s="5">
        <f t="shared" si="134"/>
        <v>39.811199999999999</v>
      </c>
      <c r="J629" s="2005"/>
      <c r="L629" s="145">
        <f t="shared" si="132"/>
        <v>7</v>
      </c>
      <c r="M629" s="2325"/>
      <c r="N629" s="5">
        <f t="shared" si="133"/>
        <v>35.14</v>
      </c>
      <c r="O629" s="5">
        <f t="shared" si="130"/>
        <v>35.14</v>
      </c>
      <c r="P629" s="2005"/>
      <c r="R629" s="2392"/>
      <c r="S629" s="391">
        <f t="shared" si="135"/>
        <v>11.44</v>
      </c>
      <c r="T629" s="253">
        <f t="shared" si="136"/>
        <v>91.52</v>
      </c>
      <c r="U629" s="253">
        <f t="shared" si="137"/>
        <v>9.1519999999999992</v>
      </c>
      <c r="V629" s="2005"/>
    </row>
    <row r="630" spans="1:22">
      <c r="A630" s="2328"/>
      <c r="B630" s="2325"/>
      <c r="C630" s="5">
        <v>68</v>
      </c>
      <c r="D630" s="2325"/>
      <c r="E630" s="2321"/>
      <c r="F630" s="5">
        <v>1</v>
      </c>
      <c r="G630" s="5">
        <f t="shared" si="131"/>
        <v>3.48</v>
      </c>
      <c r="H630" s="5"/>
      <c r="I630" s="5">
        <f t="shared" si="134"/>
        <v>3.48</v>
      </c>
      <c r="J630" s="2005"/>
      <c r="L630" s="145">
        <f t="shared" si="132"/>
        <v>1</v>
      </c>
      <c r="M630" s="2325"/>
      <c r="N630" s="5">
        <f t="shared" si="133"/>
        <v>5.0199999999999996</v>
      </c>
      <c r="O630" s="5">
        <f t="shared" si="130"/>
        <v>5.0199999999999996</v>
      </c>
      <c r="P630" s="2005"/>
      <c r="R630" s="2392"/>
      <c r="S630" s="391">
        <f t="shared" si="135"/>
        <v>1</v>
      </c>
      <c r="T630" s="253">
        <f t="shared" si="136"/>
        <v>8</v>
      </c>
      <c r="U630" s="253">
        <f t="shared" si="137"/>
        <v>0.8</v>
      </c>
      <c r="V630" s="2005"/>
    </row>
    <row r="631" spans="1:22">
      <c r="A631" s="2328"/>
      <c r="B631" s="2325"/>
      <c r="C631" s="5">
        <v>69</v>
      </c>
      <c r="D631" s="2325"/>
      <c r="E631" s="2321"/>
      <c r="F631" s="5">
        <v>5.12</v>
      </c>
      <c r="G631" s="5">
        <f t="shared" si="131"/>
        <v>17.817599999999999</v>
      </c>
      <c r="H631" s="5"/>
      <c r="I631" s="5">
        <f t="shared" si="134"/>
        <v>17.817599999999999</v>
      </c>
      <c r="J631" s="2005"/>
      <c r="L631" s="145">
        <f>TRUNC((F631/1.8))+1</f>
        <v>3</v>
      </c>
      <c r="M631" s="2325"/>
      <c r="N631" s="5">
        <f t="shared" si="133"/>
        <v>15.059999999999999</v>
      </c>
      <c r="O631" s="5">
        <f t="shared" si="130"/>
        <v>15.059999999999999</v>
      </c>
      <c r="P631" s="2005"/>
      <c r="R631" s="2392"/>
      <c r="S631" s="391">
        <f t="shared" si="135"/>
        <v>5.12</v>
      </c>
      <c r="T631" s="253">
        <f t="shared" si="136"/>
        <v>40.96</v>
      </c>
      <c r="U631" s="253">
        <f t="shared" si="137"/>
        <v>4.0960000000000001</v>
      </c>
      <c r="V631" s="2005"/>
    </row>
    <row r="632" spans="1:22">
      <c r="A632" s="2328"/>
      <c r="B632" s="2325"/>
      <c r="C632" s="5">
        <v>70</v>
      </c>
      <c r="D632" s="2325"/>
      <c r="E632" s="2321"/>
      <c r="F632" s="5">
        <v>2.29</v>
      </c>
      <c r="G632" s="5">
        <f t="shared" si="131"/>
        <v>7.9691999999999998</v>
      </c>
      <c r="H632" s="5"/>
      <c r="I632" s="5">
        <f t="shared" si="134"/>
        <v>7.9691999999999998</v>
      </c>
      <c r="J632" s="2005"/>
      <c r="L632" s="145">
        <f t="shared" si="132"/>
        <v>2</v>
      </c>
      <c r="M632" s="2325"/>
      <c r="N632" s="5">
        <f t="shared" si="133"/>
        <v>10.039999999999999</v>
      </c>
      <c r="O632" s="5">
        <f t="shared" si="130"/>
        <v>10.039999999999999</v>
      </c>
      <c r="P632" s="2005"/>
      <c r="R632" s="2392"/>
      <c r="S632" s="391">
        <f t="shared" si="135"/>
        <v>2.29</v>
      </c>
      <c r="T632" s="253">
        <f t="shared" si="136"/>
        <v>18.32</v>
      </c>
      <c r="U632" s="253">
        <f t="shared" si="137"/>
        <v>1.8320000000000001</v>
      </c>
      <c r="V632" s="2005"/>
    </row>
    <row r="633" spans="1:22" ht="13.5" thickBot="1">
      <c r="A633" s="2329"/>
      <c r="B633" s="2326"/>
      <c r="C633" s="167">
        <v>71</v>
      </c>
      <c r="D633" s="2326"/>
      <c r="E633" s="2324"/>
      <c r="F633" s="167">
        <v>1.33</v>
      </c>
      <c r="G633" s="167">
        <f t="shared" si="131"/>
        <v>4.6284000000000001</v>
      </c>
      <c r="H633" s="167"/>
      <c r="I633" s="167">
        <f t="shared" si="134"/>
        <v>4.6284000000000001</v>
      </c>
      <c r="J633" s="2311"/>
      <c r="L633" s="402">
        <f>TRUNC((F633/1.8))+1</f>
        <v>1</v>
      </c>
      <c r="M633" s="2323"/>
      <c r="N633" s="230">
        <f>$M$613*L633</f>
        <v>5.0199999999999996</v>
      </c>
      <c r="O633" s="230">
        <f t="shared" si="130"/>
        <v>5.0199999999999996</v>
      </c>
      <c r="P633" s="2006"/>
      <c r="R633" s="2393"/>
      <c r="S633" s="391">
        <f t="shared" si="135"/>
        <v>1.33</v>
      </c>
      <c r="T633" s="253">
        <f t="shared" si="136"/>
        <v>10.64</v>
      </c>
      <c r="U633" s="253">
        <f t="shared" si="137"/>
        <v>1.0640000000000001</v>
      </c>
      <c r="V633" s="2006"/>
    </row>
    <row r="634" spans="1:22" ht="13.5" thickBot="1">
      <c r="A634" s="2307" t="s">
        <v>551</v>
      </c>
      <c r="B634" s="2308"/>
      <c r="C634" s="2308"/>
      <c r="D634" s="2308"/>
      <c r="E634" s="2308"/>
      <c r="F634" s="2308"/>
      <c r="G634" s="2308"/>
      <c r="H634" s="2309"/>
      <c r="I634" s="392">
        <f>SUM(I563:I612)</f>
        <v>587.88809999999967</v>
      </c>
      <c r="J634" s="2305" t="s">
        <v>55</v>
      </c>
      <c r="L634" s="2366" t="s">
        <v>557</v>
      </c>
      <c r="M634" s="2367"/>
      <c r="N634" s="2367"/>
      <c r="O634" s="2370">
        <f>SUM(O563:O633)</f>
        <v>1147.1399999999994</v>
      </c>
      <c r="P634" s="2376" t="s">
        <v>39</v>
      </c>
      <c r="R634" s="2366" t="s">
        <v>557</v>
      </c>
      <c r="S634" s="2367"/>
      <c r="T634" s="2367"/>
      <c r="U634" s="2370">
        <f>SUM(U563:U633)</f>
        <v>250.35199999999998</v>
      </c>
      <c r="V634" s="2376" t="s">
        <v>39</v>
      </c>
    </row>
    <row r="635" spans="1:22" ht="13.5" thickBot="1">
      <c r="A635" s="2307" t="s">
        <v>552</v>
      </c>
      <c r="B635" s="2308"/>
      <c r="C635" s="2308"/>
      <c r="D635" s="2308"/>
      <c r="E635" s="2308"/>
      <c r="F635" s="2308"/>
      <c r="G635" s="2308"/>
      <c r="H635" s="2309"/>
      <c r="I635" s="392">
        <f>SUM(I613:I633)</f>
        <v>387.84600000000006</v>
      </c>
      <c r="J635" s="2306"/>
      <c r="L635" s="2368"/>
      <c r="M635" s="2369"/>
      <c r="N635" s="2369"/>
      <c r="O635" s="2371"/>
      <c r="P635" s="2377"/>
      <c r="R635" s="2368"/>
      <c r="S635" s="2369"/>
      <c r="T635" s="2369"/>
      <c r="U635" s="2371"/>
      <c r="V635" s="2377"/>
    </row>
    <row r="637" spans="1:22" ht="13.5" thickBot="1"/>
    <row r="638" spans="1:22" ht="13.5" thickBot="1">
      <c r="A638" s="2315" t="s">
        <v>551</v>
      </c>
      <c r="B638" s="2316"/>
      <c r="C638" s="2316"/>
      <c r="D638" s="2316"/>
      <c r="E638" s="2316"/>
      <c r="F638" s="2316"/>
      <c r="G638" s="2316"/>
      <c r="H638" s="2317"/>
      <c r="I638" s="396">
        <f>I634+I561+I474+I387+I301+I259+I180+I105+I48</f>
        <v>4937.9292449999994</v>
      </c>
      <c r="J638" s="2318" t="s">
        <v>55</v>
      </c>
      <c r="L638" s="2384" t="s">
        <v>566</v>
      </c>
      <c r="M638" s="2385"/>
      <c r="N638" s="2386"/>
      <c r="O638" s="2318">
        <f>O634+O561+O474+O387+O301+O259+O180+O105+O48</f>
        <v>8622.0399999999936</v>
      </c>
      <c r="P638" s="2318" t="s">
        <v>39</v>
      </c>
      <c r="R638" s="2384" t="s">
        <v>566</v>
      </c>
      <c r="S638" s="2385"/>
      <c r="T638" s="2386"/>
      <c r="U638" s="2318">
        <f>U634+U561+U474+U387+U301+U259+U180+U105+U48</f>
        <v>1846.84</v>
      </c>
      <c r="V638" s="2318" t="s">
        <v>39</v>
      </c>
    </row>
    <row r="639" spans="1:22" ht="13.5" thickBot="1">
      <c r="A639" s="2315" t="s">
        <v>552</v>
      </c>
      <c r="B639" s="2316"/>
      <c r="C639" s="2316"/>
      <c r="D639" s="2316"/>
      <c r="E639" s="2316"/>
      <c r="F639" s="2316"/>
      <c r="G639" s="2316"/>
      <c r="H639" s="2317"/>
      <c r="I639" s="396">
        <f>I635+I562+I475+I388+I260+I181+I106+I49</f>
        <v>1704.5063999999998</v>
      </c>
      <c r="J639" s="2319"/>
      <c r="L639" s="2387"/>
      <c r="M639" s="2388"/>
      <c r="N639" s="2389"/>
      <c r="O639" s="2319"/>
      <c r="P639" s="2319"/>
      <c r="R639" s="2387"/>
      <c r="S639" s="2388"/>
      <c r="T639" s="2389"/>
      <c r="U639" s="2319"/>
      <c r="V639" s="2319"/>
    </row>
  </sheetData>
  <mergeCells count="240">
    <mergeCell ref="R634:T635"/>
    <mergeCell ref="U634:U635"/>
    <mergeCell ref="V634:V635"/>
    <mergeCell ref="R638:T639"/>
    <mergeCell ref="U638:U639"/>
    <mergeCell ref="V638:V639"/>
    <mergeCell ref="R50:R104"/>
    <mergeCell ref="R107:R179"/>
    <mergeCell ref="R182:R258"/>
    <mergeCell ref="R261:R300"/>
    <mergeCell ref="R302:R386"/>
    <mergeCell ref="R389:R473"/>
    <mergeCell ref="R476:R560"/>
    <mergeCell ref="R563:R633"/>
    <mergeCell ref="V476:V560"/>
    <mergeCell ref="R561:T562"/>
    <mergeCell ref="U561:U562"/>
    <mergeCell ref="V561:V562"/>
    <mergeCell ref="V563:V633"/>
    <mergeCell ref="R387:T388"/>
    <mergeCell ref="U387:U388"/>
    <mergeCell ref="V387:V388"/>
    <mergeCell ref="V389:V473"/>
    <mergeCell ref="R474:T475"/>
    <mergeCell ref="U474:U475"/>
    <mergeCell ref="V474:V475"/>
    <mergeCell ref="R259:T260"/>
    <mergeCell ref="U259:U260"/>
    <mergeCell ref="V259:V260"/>
    <mergeCell ref="V261:V300"/>
    <mergeCell ref="R301:T301"/>
    <mergeCell ref="V302:V386"/>
    <mergeCell ref="R180:T181"/>
    <mergeCell ref="U180:U181"/>
    <mergeCell ref="V180:V181"/>
    <mergeCell ref="V182:V258"/>
    <mergeCell ref="V50:V104"/>
    <mergeCell ref="R105:T106"/>
    <mergeCell ref="U105:U106"/>
    <mergeCell ref="V105:V106"/>
    <mergeCell ref="V107:V179"/>
    <mergeCell ref="U4:U7"/>
    <mergeCell ref="V4:V7"/>
    <mergeCell ref="R8:R47"/>
    <mergeCell ref="V8:V47"/>
    <mergeCell ref="R48:T49"/>
    <mergeCell ref="U48:U49"/>
    <mergeCell ref="V48:V49"/>
    <mergeCell ref="L4:L7"/>
    <mergeCell ref="M4:M7"/>
    <mergeCell ref="N4:N7"/>
    <mergeCell ref="O4:O7"/>
    <mergeCell ref="P4:P7"/>
    <mergeCell ref="T4:T7"/>
    <mergeCell ref="R4:R7"/>
    <mergeCell ref="S4:S7"/>
    <mergeCell ref="L638:N639"/>
    <mergeCell ref="O638:O639"/>
    <mergeCell ref="P638:P639"/>
    <mergeCell ref="P8:P47"/>
    <mergeCell ref="P48:P49"/>
    <mergeCell ref="P50:P104"/>
    <mergeCell ref="P105:P106"/>
    <mergeCell ref="P107:P179"/>
    <mergeCell ref="P180:P181"/>
    <mergeCell ref="P182:P258"/>
    <mergeCell ref="P259:P260"/>
    <mergeCell ref="P261:P300"/>
    <mergeCell ref="P302:P386"/>
    <mergeCell ref="P387:P388"/>
    <mergeCell ref="P389:P473"/>
    <mergeCell ref="P474:P475"/>
    <mergeCell ref="P476:P560"/>
    <mergeCell ref="P561:P562"/>
    <mergeCell ref="P563:P633"/>
    <mergeCell ref="P634:P635"/>
    <mergeCell ref="L634:N635"/>
    <mergeCell ref="O634:O635"/>
    <mergeCell ref="L561:N562"/>
    <mergeCell ref="O561:O562"/>
    <mergeCell ref="L474:N475"/>
    <mergeCell ref="O474:O475"/>
    <mergeCell ref="M613:M633"/>
    <mergeCell ref="L387:N388"/>
    <mergeCell ref="O387:O388"/>
    <mergeCell ref="L301:N301"/>
    <mergeCell ref="L259:N260"/>
    <mergeCell ref="O259:O260"/>
    <mergeCell ref="L180:N181"/>
    <mergeCell ref="O180:O181"/>
    <mergeCell ref="L105:N106"/>
    <mergeCell ref="O105:O106"/>
    <mergeCell ref="L48:N49"/>
    <mergeCell ref="O48:O49"/>
    <mergeCell ref="M610:M612"/>
    <mergeCell ref="M390:M430"/>
    <mergeCell ref="M435:M473"/>
    <mergeCell ref="M477:M517"/>
    <mergeCell ref="M522:M560"/>
    <mergeCell ref="M564:M606"/>
    <mergeCell ref="M608:M609"/>
    <mergeCell ref="M235:M240"/>
    <mergeCell ref="M241:M258"/>
    <mergeCell ref="M261:M300"/>
    <mergeCell ref="M303:M343"/>
    <mergeCell ref="M344:M347"/>
    <mergeCell ref="M348:M386"/>
    <mergeCell ref="M431:M434"/>
    <mergeCell ref="M518:M521"/>
    <mergeCell ref="M182:M189"/>
    <mergeCell ref="M191:M196"/>
    <mergeCell ref="M197:M215"/>
    <mergeCell ref="M216:M224"/>
    <mergeCell ref="M226:M227"/>
    <mergeCell ref="M228:M230"/>
    <mergeCell ref="M231:M233"/>
    <mergeCell ref="M8:M28"/>
    <mergeCell ref="M29:M47"/>
    <mergeCell ref="M50:M81"/>
    <mergeCell ref="M82:M104"/>
    <mergeCell ref="M107:M129"/>
    <mergeCell ref="M130:M179"/>
    <mergeCell ref="H6:H7"/>
    <mergeCell ref="I6:I7"/>
    <mergeCell ref="A5:J5"/>
    <mergeCell ref="A6:A7"/>
    <mergeCell ref="B6:B7"/>
    <mergeCell ref="C6:C7"/>
    <mergeCell ref="D6:D7"/>
    <mergeCell ref="E6:E7"/>
    <mergeCell ref="F6:F7"/>
    <mergeCell ref="G6:G7"/>
    <mergeCell ref="J6:J7"/>
    <mergeCell ref="J48:J49"/>
    <mergeCell ref="B8:B46"/>
    <mergeCell ref="B50:B101"/>
    <mergeCell ref="J105:J106"/>
    <mergeCell ref="B107:B165"/>
    <mergeCell ref="J107:J179"/>
    <mergeCell ref="A50:A104"/>
    <mergeCell ref="J50:J104"/>
    <mergeCell ref="B102:B104"/>
    <mergeCell ref="D103:D104"/>
    <mergeCell ref="D50:D102"/>
    <mergeCell ref="A48:H48"/>
    <mergeCell ref="A49:H49"/>
    <mergeCell ref="A8:A47"/>
    <mergeCell ref="J8:J47"/>
    <mergeCell ref="J182:J258"/>
    <mergeCell ref="A180:H180"/>
    <mergeCell ref="A181:H181"/>
    <mergeCell ref="J180:J181"/>
    <mergeCell ref="D166:D179"/>
    <mergeCell ref="B166:B179"/>
    <mergeCell ref="A107:A179"/>
    <mergeCell ref="A105:H105"/>
    <mergeCell ref="D107:D165"/>
    <mergeCell ref="A106:H106"/>
    <mergeCell ref="A259:H259"/>
    <mergeCell ref="J259:J260"/>
    <mergeCell ref="A260:H260"/>
    <mergeCell ref="E226:E227"/>
    <mergeCell ref="E231:E233"/>
    <mergeCell ref="E235:E240"/>
    <mergeCell ref="E197:E215"/>
    <mergeCell ref="E228:E230"/>
    <mergeCell ref="E241:E258"/>
    <mergeCell ref="B182:B243"/>
    <mergeCell ref="D182:D243"/>
    <mergeCell ref="A182:A258"/>
    <mergeCell ref="B244:B258"/>
    <mergeCell ref="D244:D258"/>
    <mergeCell ref="B368:B386"/>
    <mergeCell ref="D302:D367"/>
    <mergeCell ref="D368:D386"/>
    <mergeCell ref="J302:J386"/>
    <mergeCell ref="E344:E347"/>
    <mergeCell ref="E348:E386"/>
    <mergeCell ref="E303:E343"/>
    <mergeCell ref="D261:D300"/>
    <mergeCell ref="E261:E300"/>
    <mergeCell ref="J261:J300"/>
    <mergeCell ref="A301:H301"/>
    <mergeCell ref="A261:A300"/>
    <mergeCell ref="B261:B300"/>
    <mergeCell ref="B302:B367"/>
    <mergeCell ref="A302:A386"/>
    <mergeCell ref="A387:H387"/>
    <mergeCell ref="J387:J388"/>
    <mergeCell ref="A388:H388"/>
    <mergeCell ref="A389:A473"/>
    <mergeCell ref="B389:B454"/>
    <mergeCell ref="D389:D454"/>
    <mergeCell ref="J389:J473"/>
    <mergeCell ref="B455:B473"/>
    <mergeCell ref="D455:D473"/>
    <mergeCell ref="E390:E430"/>
    <mergeCell ref="E431:E434"/>
    <mergeCell ref="E435:E473"/>
    <mergeCell ref="A561:H561"/>
    <mergeCell ref="J561:J562"/>
    <mergeCell ref="A562:H562"/>
    <mergeCell ref="B563:B612"/>
    <mergeCell ref="D563:D612"/>
    <mergeCell ref="A474:H474"/>
    <mergeCell ref="J474:J475"/>
    <mergeCell ref="A475:H475"/>
    <mergeCell ref="A476:A560"/>
    <mergeCell ref="B476:B541"/>
    <mergeCell ref="D476:D541"/>
    <mergeCell ref="J476:J560"/>
    <mergeCell ref="B542:B560"/>
    <mergeCell ref="D542:D560"/>
    <mergeCell ref="E477:E517"/>
    <mergeCell ref="E518:E521"/>
    <mergeCell ref="E522:E560"/>
    <mergeCell ref="J634:J635"/>
    <mergeCell ref="A635:H635"/>
    <mergeCell ref="J563:J633"/>
    <mergeCell ref="D8:D46"/>
    <mergeCell ref="A638:H638"/>
    <mergeCell ref="J638:J639"/>
    <mergeCell ref="A639:H639"/>
    <mergeCell ref="E8:E28"/>
    <mergeCell ref="E29:E47"/>
    <mergeCell ref="E50:E81"/>
    <mergeCell ref="E82:E104"/>
    <mergeCell ref="E107:E129"/>
    <mergeCell ref="E130:E179"/>
    <mergeCell ref="E182:E189"/>
    <mergeCell ref="E191:E196"/>
    <mergeCell ref="E216:E224"/>
    <mergeCell ref="B613:B633"/>
    <mergeCell ref="D613:D633"/>
    <mergeCell ref="A563:A633"/>
    <mergeCell ref="A634:H634"/>
    <mergeCell ref="E610:E612"/>
    <mergeCell ref="E608:E609"/>
    <mergeCell ref="E564:E606"/>
    <mergeCell ref="E613:E633"/>
  </mergeCells>
  <pageMargins left="0.7" right="0.7" top="0.75" bottom="0.75" header="0.3" footer="0.3"/>
  <pageSetup orientation="portrait" horizontalDpi="300" verticalDpi="0" copies="0" r:id="rId1"/>
  <ignoredErrors>
    <ignoredError sqref="L607" formula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"/>
  <sheetViews>
    <sheetView topLeftCell="A19" zoomScale="70" zoomScaleNormal="70" workbookViewId="0">
      <selection activeCell="B50" sqref="B50"/>
    </sheetView>
  </sheetViews>
  <sheetFormatPr baseColWidth="10" defaultRowHeight="12.75"/>
  <cols>
    <col min="1" max="1" width="20.42578125" bestFit="1" customWidth="1"/>
    <col min="2" max="2" width="12.7109375" customWidth="1"/>
    <col min="8" max="8" width="18.7109375" customWidth="1"/>
    <col min="13" max="13" width="12" customWidth="1"/>
    <col min="14" max="14" width="15.5703125" customWidth="1"/>
    <col min="15" max="15" width="12.42578125" customWidth="1"/>
  </cols>
  <sheetData>
    <row r="1" spans="1:16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4"/>
    </row>
    <row r="2" spans="1:16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31"/>
    </row>
    <row r="4" spans="1:16">
      <c r="A4" s="2414" t="s">
        <v>1676</v>
      </c>
      <c r="B4" s="2415"/>
      <c r="C4" s="2415"/>
      <c r="D4" s="2415"/>
      <c r="E4" s="2415"/>
      <c r="F4" s="2415"/>
      <c r="G4" s="2415"/>
      <c r="H4" s="2415"/>
      <c r="I4" s="2415"/>
      <c r="J4" s="2415"/>
      <c r="K4" s="2415"/>
      <c r="L4" s="2415"/>
      <c r="M4" s="2415"/>
      <c r="N4" s="2415"/>
      <c r="O4" s="2415"/>
      <c r="P4" s="2415"/>
    </row>
    <row r="5" spans="1:16">
      <c r="A5" s="2411" t="s">
        <v>1262</v>
      </c>
      <c r="B5" s="2412"/>
      <c r="C5" s="2412"/>
      <c r="D5" s="2412"/>
      <c r="E5" s="2412"/>
      <c r="F5" s="2412"/>
      <c r="G5" s="2413"/>
      <c r="H5" s="2410" t="s">
        <v>1673</v>
      </c>
      <c r="I5" s="2410"/>
      <c r="J5" s="2410"/>
      <c r="K5" s="2410"/>
      <c r="L5" s="2410"/>
      <c r="M5" s="2410"/>
      <c r="N5" s="2410"/>
      <c r="O5" s="2410"/>
      <c r="P5" s="2410"/>
    </row>
    <row r="6" spans="1:16" ht="25.5">
      <c r="A6" s="485" t="s">
        <v>742</v>
      </c>
      <c r="B6" s="421" t="s">
        <v>478</v>
      </c>
      <c r="C6" s="485" t="s">
        <v>858</v>
      </c>
      <c r="D6" s="495" t="s">
        <v>907</v>
      </c>
      <c r="E6" s="495" t="s">
        <v>908</v>
      </c>
      <c r="F6" s="485" t="s">
        <v>52</v>
      </c>
      <c r="G6" s="485" t="s">
        <v>42</v>
      </c>
      <c r="H6" s="485" t="s">
        <v>742</v>
      </c>
      <c r="I6" s="421" t="s">
        <v>478</v>
      </c>
      <c r="J6" s="485" t="s">
        <v>858</v>
      </c>
      <c r="K6" s="495" t="s">
        <v>918</v>
      </c>
      <c r="L6" s="495" t="s">
        <v>544</v>
      </c>
      <c r="M6" s="495" t="s">
        <v>919</v>
      </c>
      <c r="N6" s="800" t="s">
        <v>920</v>
      </c>
      <c r="O6" s="801" t="s">
        <v>921</v>
      </c>
      <c r="P6" s="485" t="s">
        <v>42</v>
      </c>
    </row>
    <row r="7" spans="1:16" ht="12.75" customHeight="1">
      <c r="A7" s="2397" t="s">
        <v>913</v>
      </c>
      <c r="B7" s="420" t="s">
        <v>910</v>
      </c>
      <c r="C7" s="2323">
        <v>1</v>
      </c>
      <c r="D7" s="416">
        <v>61.195</v>
      </c>
      <c r="E7" s="416">
        <v>2.35</v>
      </c>
      <c r="F7" s="416">
        <f>D7*E7</f>
        <v>143.80825000000002</v>
      </c>
      <c r="G7" s="420" t="s">
        <v>55</v>
      </c>
      <c r="H7" s="2325" t="s">
        <v>913</v>
      </c>
      <c r="I7" s="420" t="s">
        <v>922</v>
      </c>
      <c r="J7" s="2004">
        <v>1</v>
      </c>
      <c r="K7" s="415">
        <v>3.1349999999999998</v>
      </c>
      <c r="L7" s="417">
        <v>2.35</v>
      </c>
      <c r="M7" s="417">
        <f>K7*L7</f>
        <v>7.3672499999999994</v>
      </c>
      <c r="N7" s="415">
        <v>4.429125</v>
      </c>
      <c r="O7" s="415">
        <f>M7-N7</f>
        <v>2.9381249999999994</v>
      </c>
      <c r="P7" s="423" t="s">
        <v>55</v>
      </c>
    </row>
    <row r="8" spans="1:16">
      <c r="A8" s="2398"/>
      <c r="B8" s="420" t="s">
        <v>911</v>
      </c>
      <c r="C8" s="2321"/>
      <c r="D8" s="416">
        <v>35.68</v>
      </c>
      <c r="E8" s="416">
        <v>2.35</v>
      </c>
      <c r="F8" s="416">
        <f>D8*E8</f>
        <v>83.847999999999999</v>
      </c>
      <c r="G8" s="420" t="s">
        <v>55</v>
      </c>
      <c r="H8" s="2325"/>
      <c r="I8" s="420" t="s">
        <v>924</v>
      </c>
      <c r="J8" s="2313"/>
      <c r="K8" s="415">
        <v>1.5</v>
      </c>
      <c r="L8" s="415">
        <v>2.35</v>
      </c>
      <c r="M8" s="415">
        <f>K8*L8</f>
        <v>3.5250000000000004</v>
      </c>
      <c r="N8" s="415">
        <f>1.5*1.395</f>
        <v>2.0925000000000002</v>
      </c>
      <c r="O8" s="415">
        <f>(M8-N8)*6</f>
        <v>8.5950000000000006</v>
      </c>
      <c r="P8" s="423" t="s">
        <v>55</v>
      </c>
    </row>
    <row r="9" spans="1:16">
      <c r="A9" s="2399"/>
      <c r="B9" s="420" t="s">
        <v>912</v>
      </c>
      <c r="C9" s="2322"/>
      <c r="D9" s="416">
        <v>34.615000000000002</v>
      </c>
      <c r="E9" s="416">
        <v>2.35</v>
      </c>
      <c r="F9" s="416">
        <f>D9*E9</f>
        <v>81.345250000000007</v>
      </c>
      <c r="G9" s="420" t="s">
        <v>55</v>
      </c>
      <c r="H9" s="2325"/>
      <c r="I9" s="420" t="s">
        <v>925</v>
      </c>
      <c r="J9" s="2313"/>
      <c r="K9" s="415">
        <v>0.75</v>
      </c>
      <c r="L9" s="415">
        <v>2.35</v>
      </c>
      <c r="M9" s="415">
        <f>K9*L9</f>
        <v>1.7625000000000002</v>
      </c>
      <c r="N9" s="415">
        <v>0.47250000000000003</v>
      </c>
      <c r="O9" s="415">
        <f>(M9-N9)*5</f>
        <v>6.45</v>
      </c>
      <c r="P9" s="423" t="s">
        <v>55</v>
      </c>
    </row>
    <row r="10" spans="1:16">
      <c r="A10" s="2395" t="s">
        <v>914</v>
      </c>
      <c r="B10" s="2395"/>
      <c r="C10" s="2395"/>
      <c r="D10" s="2395"/>
      <c r="E10" s="2396"/>
      <c r="F10" s="503">
        <f>SUM(F7:F9)</f>
        <v>309.00150000000002</v>
      </c>
      <c r="G10" s="503" t="s">
        <v>55</v>
      </c>
      <c r="H10" s="2325"/>
      <c r="I10" s="420" t="s">
        <v>927</v>
      </c>
      <c r="J10" s="2313"/>
      <c r="K10" s="415">
        <v>0.75</v>
      </c>
      <c r="L10" s="415">
        <v>2.35</v>
      </c>
      <c r="M10" s="415">
        <f>K10*L10</f>
        <v>1.7625000000000002</v>
      </c>
      <c r="N10" s="416">
        <f>0.75*0.875</f>
        <v>0.65625</v>
      </c>
      <c r="O10" s="415">
        <f>(M10-N10)</f>
        <v>1.1062500000000002</v>
      </c>
      <c r="P10" s="423" t="s">
        <v>55</v>
      </c>
    </row>
    <row r="11" spans="1:16" ht="12.75" customHeight="1">
      <c r="A11" s="2397" t="s">
        <v>913</v>
      </c>
      <c r="B11" s="420" t="s">
        <v>910</v>
      </c>
      <c r="C11" s="2004">
        <v>2</v>
      </c>
      <c r="D11" s="416">
        <v>84.14</v>
      </c>
      <c r="E11" s="416">
        <v>2.35</v>
      </c>
      <c r="F11" s="416">
        <f>D11*E11</f>
        <v>197.72900000000001</v>
      </c>
      <c r="G11" s="420" t="s">
        <v>55</v>
      </c>
      <c r="H11" s="2325"/>
      <c r="I11" s="420" t="s">
        <v>928</v>
      </c>
      <c r="J11" s="2314"/>
      <c r="K11" s="416">
        <v>2.3220000000000001</v>
      </c>
      <c r="L11" s="415">
        <v>2.35</v>
      </c>
      <c r="M11" s="415">
        <f>K11*L11</f>
        <v>5.4567000000000005</v>
      </c>
      <c r="N11" s="416">
        <f>2.322*1.395</f>
        <v>3.2391900000000002</v>
      </c>
      <c r="O11" s="415">
        <f>(M11-N11)</f>
        <v>2.2175100000000003</v>
      </c>
      <c r="P11" s="423" t="s">
        <v>55</v>
      </c>
    </row>
    <row r="12" spans="1:16">
      <c r="A12" s="2398"/>
      <c r="B12" s="420" t="s">
        <v>911</v>
      </c>
      <c r="C12" s="2313"/>
      <c r="D12" s="504">
        <v>58.338000000000001</v>
      </c>
      <c r="E12" s="416">
        <v>2.35</v>
      </c>
      <c r="F12" s="416">
        <f>D12*E12</f>
        <v>137.0943</v>
      </c>
      <c r="G12" s="420" t="s">
        <v>55</v>
      </c>
      <c r="H12" s="2394" t="s">
        <v>914</v>
      </c>
      <c r="I12" s="2395"/>
      <c r="J12" s="2395"/>
      <c r="K12" s="2395"/>
      <c r="L12" s="2395"/>
      <c r="M12" s="2395"/>
      <c r="N12" s="2396"/>
      <c r="O12" s="503">
        <f>SUM(O7:O11)</f>
        <v>21.306885000000001</v>
      </c>
      <c r="P12" s="503" t="s">
        <v>55</v>
      </c>
    </row>
    <row r="13" spans="1:16">
      <c r="A13" s="2399"/>
      <c r="B13" s="420" t="s">
        <v>912</v>
      </c>
      <c r="C13" s="2314"/>
      <c r="D13" s="416">
        <v>28.42</v>
      </c>
      <c r="E13" s="416">
        <v>2.35</v>
      </c>
      <c r="F13" s="416">
        <f>D13*E13</f>
        <v>66.787000000000006</v>
      </c>
      <c r="G13" s="420" t="s">
        <v>55</v>
      </c>
      <c r="H13" s="2325" t="s">
        <v>913</v>
      </c>
      <c r="I13" s="418" t="s">
        <v>924</v>
      </c>
      <c r="J13" s="2004">
        <v>2</v>
      </c>
      <c r="K13" s="415">
        <v>1.5</v>
      </c>
      <c r="L13" s="415">
        <v>2.35</v>
      </c>
      <c r="M13" s="415">
        <f t="shared" ref="M13:M18" si="0">K13*L13</f>
        <v>3.5250000000000004</v>
      </c>
      <c r="N13" s="415">
        <f>1.5*1.395</f>
        <v>2.0925000000000002</v>
      </c>
      <c r="O13" s="415">
        <f>(M13-N13)*11</f>
        <v>15.7575</v>
      </c>
      <c r="P13" s="418" t="s">
        <v>55</v>
      </c>
    </row>
    <row r="14" spans="1:16" ht="14.25" customHeight="1">
      <c r="A14" s="2395" t="s">
        <v>917</v>
      </c>
      <c r="B14" s="2395"/>
      <c r="C14" s="2395"/>
      <c r="D14" s="2395"/>
      <c r="E14" s="2396"/>
      <c r="F14" s="503">
        <f>SUM(F11:F13)</f>
        <v>401.61030000000005</v>
      </c>
      <c r="G14" s="503" t="s">
        <v>55</v>
      </c>
      <c r="H14" s="2325"/>
      <c r="I14" s="418" t="s">
        <v>925</v>
      </c>
      <c r="J14" s="2313"/>
      <c r="K14" s="415">
        <v>0.75</v>
      </c>
      <c r="L14" s="415">
        <v>2.35</v>
      </c>
      <c r="M14" s="415">
        <f t="shared" si="0"/>
        <v>1.7625000000000002</v>
      </c>
      <c r="N14" s="415">
        <v>0.47250000000000003</v>
      </c>
      <c r="O14" s="415">
        <f>(M14-N14)*3</f>
        <v>3.87</v>
      </c>
      <c r="P14" s="418" t="s">
        <v>55</v>
      </c>
    </row>
    <row r="15" spans="1:16" ht="12.75" customHeight="1">
      <c r="A15" s="2397" t="s">
        <v>913</v>
      </c>
      <c r="B15" s="420" t="s">
        <v>910</v>
      </c>
      <c r="C15" s="2004">
        <v>3</v>
      </c>
      <c r="D15" s="420">
        <v>91.251999999999995</v>
      </c>
      <c r="E15" s="416">
        <v>2.35</v>
      </c>
      <c r="F15" s="416">
        <f>D15*E15</f>
        <v>214.44219999999999</v>
      </c>
      <c r="G15" s="420" t="s">
        <v>55</v>
      </c>
      <c r="H15" s="2325"/>
      <c r="I15" s="418" t="s">
        <v>930</v>
      </c>
      <c r="J15" s="2313"/>
      <c r="K15" s="254">
        <v>1.7330000000000001</v>
      </c>
      <c r="L15" s="415">
        <v>2.35</v>
      </c>
      <c r="M15" s="415">
        <f t="shared" si="0"/>
        <v>4.0725500000000006</v>
      </c>
      <c r="N15" s="415">
        <f>1.733*1.395</f>
        <v>2.417535</v>
      </c>
      <c r="O15" s="415">
        <f>(M15-N15)</f>
        <v>1.6550150000000006</v>
      </c>
      <c r="P15" s="418" t="s">
        <v>55</v>
      </c>
    </row>
    <row r="16" spans="1:16">
      <c r="A16" s="2398"/>
      <c r="B16" s="420" t="s">
        <v>911</v>
      </c>
      <c r="C16" s="2313"/>
      <c r="D16" s="416">
        <v>113.26300000000001</v>
      </c>
      <c r="E16" s="416">
        <v>2.35</v>
      </c>
      <c r="F16" s="416">
        <f>D16*E16</f>
        <v>266.16805000000005</v>
      </c>
      <c r="G16" s="420" t="s">
        <v>55</v>
      </c>
      <c r="H16" s="2325"/>
      <c r="I16" s="418" t="s">
        <v>931</v>
      </c>
      <c r="J16" s="2313"/>
      <c r="K16" s="254">
        <v>2.3879999999999999</v>
      </c>
      <c r="L16" s="415">
        <v>2.35</v>
      </c>
      <c r="M16" s="254">
        <f t="shared" si="0"/>
        <v>5.6117999999999997</v>
      </c>
      <c r="N16" s="415">
        <f>2.388*1.395</f>
        <v>3.3312599999999999</v>
      </c>
      <c r="O16" s="415">
        <f>(M16-N16)</f>
        <v>2.2805399999999998</v>
      </c>
      <c r="P16" s="418" t="s">
        <v>55</v>
      </c>
    </row>
    <row r="17" spans="1:17">
      <c r="A17" s="2399"/>
      <c r="B17" s="420" t="s">
        <v>912</v>
      </c>
      <c r="C17" s="2314"/>
      <c r="D17" s="416">
        <v>37.454000000000001</v>
      </c>
      <c r="E17" s="416">
        <v>2.35</v>
      </c>
      <c r="F17" s="416">
        <f>D17*E17</f>
        <v>88.016900000000007</v>
      </c>
      <c r="G17" s="420" t="s">
        <v>55</v>
      </c>
      <c r="H17" s="2325"/>
      <c r="I17" s="418" t="s">
        <v>932</v>
      </c>
      <c r="J17" s="2313"/>
      <c r="K17" s="254">
        <v>1.179</v>
      </c>
      <c r="L17" s="415">
        <v>2.35</v>
      </c>
      <c r="M17" s="254">
        <f t="shared" si="0"/>
        <v>2.7706500000000003</v>
      </c>
      <c r="N17" s="416">
        <f>1.179*1.395</f>
        <v>1.6447050000000001</v>
      </c>
      <c r="O17" s="415">
        <f>(M17-N17)</f>
        <v>1.1259450000000002</v>
      </c>
      <c r="P17" s="418" t="s">
        <v>55</v>
      </c>
    </row>
    <row r="18" spans="1:17">
      <c r="A18" s="2395" t="s">
        <v>926</v>
      </c>
      <c r="B18" s="2395"/>
      <c r="C18" s="2395"/>
      <c r="D18" s="2395"/>
      <c r="E18" s="2396"/>
      <c r="F18" s="503">
        <f>SUM(F15:F17)</f>
        <v>568.62715000000003</v>
      </c>
      <c r="G18" s="503" t="s">
        <v>55</v>
      </c>
      <c r="H18" s="2325"/>
      <c r="I18" s="418" t="s">
        <v>934</v>
      </c>
      <c r="J18" s="2314"/>
      <c r="K18" s="254">
        <v>2.6019999999999999</v>
      </c>
      <c r="L18" s="415">
        <v>2.35</v>
      </c>
      <c r="M18" s="254">
        <f t="shared" si="0"/>
        <v>6.1147</v>
      </c>
      <c r="N18" s="416">
        <f>2.602*1.395</f>
        <v>3.6297899999999998</v>
      </c>
      <c r="O18" s="415">
        <f>(M18-N18)*2</f>
        <v>4.9698200000000003</v>
      </c>
      <c r="P18" s="418" t="s">
        <v>55</v>
      </c>
    </row>
    <row r="19" spans="1:17" ht="12.75" customHeight="1">
      <c r="A19" s="2397" t="s">
        <v>913</v>
      </c>
      <c r="B19" s="420" t="s">
        <v>910</v>
      </c>
      <c r="C19" s="2004">
        <v>4</v>
      </c>
      <c r="D19" s="416">
        <v>122.59699999999999</v>
      </c>
      <c r="E19" s="416">
        <v>2.35</v>
      </c>
      <c r="F19" s="416">
        <f>D19*E19</f>
        <v>288.10295000000002</v>
      </c>
      <c r="G19" s="491" t="s">
        <v>55</v>
      </c>
      <c r="H19" s="2394" t="s">
        <v>917</v>
      </c>
      <c r="I19" s="2395"/>
      <c r="J19" s="2395"/>
      <c r="K19" s="2395"/>
      <c r="L19" s="2395"/>
      <c r="M19" s="2395"/>
      <c r="N19" s="2396"/>
      <c r="O19" s="503">
        <f>SUM(O13:O18)</f>
        <v>29.658820000000006</v>
      </c>
      <c r="P19" s="503" t="s">
        <v>55</v>
      </c>
    </row>
    <row r="20" spans="1:17" ht="12.75" customHeight="1">
      <c r="A20" s="2398"/>
      <c r="B20" s="420" t="s">
        <v>911</v>
      </c>
      <c r="C20" s="2313"/>
      <c r="D20" s="416">
        <v>78.421999999999997</v>
      </c>
      <c r="E20" s="416">
        <v>2.35</v>
      </c>
      <c r="F20" s="416">
        <f>D20*E20</f>
        <v>184.29169999999999</v>
      </c>
      <c r="G20" s="420" t="s">
        <v>55</v>
      </c>
      <c r="H20" s="2325" t="s">
        <v>913</v>
      </c>
      <c r="I20" s="418" t="s">
        <v>924</v>
      </c>
      <c r="J20" s="2004">
        <v>3</v>
      </c>
      <c r="K20" s="415">
        <v>1.5</v>
      </c>
      <c r="L20" s="415">
        <v>2.35</v>
      </c>
      <c r="M20" s="415">
        <f t="shared" ref="M20:M28" si="1">K20*L20</f>
        <v>3.5250000000000004</v>
      </c>
      <c r="N20" s="415">
        <f>1.5*1.395</f>
        <v>2.0925000000000002</v>
      </c>
      <c r="O20" s="415">
        <f>(M20-N20)*12</f>
        <v>17.190000000000001</v>
      </c>
      <c r="P20" s="418" t="s">
        <v>55</v>
      </c>
    </row>
    <row r="21" spans="1:17" ht="12.75" customHeight="1">
      <c r="A21" s="2399"/>
      <c r="B21" s="420" t="s">
        <v>912</v>
      </c>
      <c r="C21" s="2314"/>
      <c r="D21" s="226">
        <v>41.68</v>
      </c>
      <c r="E21" s="416">
        <v>2.35</v>
      </c>
      <c r="F21" s="416">
        <f>D21*E21</f>
        <v>97.948000000000008</v>
      </c>
      <c r="G21" s="491" t="s">
        <v>55</v>
      </c>
      <c r="H21" s="2325"/>
      <c r="I21" s="418" t="s">
        <v>925</v>
      </c>
      <c r="J21" s="2313"/>
      <c r="K21" s="415">
        <v>0.75</v>
      </c>
      <c r="L21" s="415">
        <v>2.35</v>
      </c>
      <c r="M21" s="415">
        <f t="shared" si="1"/>
        <v>1.7625000000000002</v>
      </c>
      <c r="N21" s="415">
        <v>0.47250000000000003</v>
      </c>
      <c r="O21" s="415">
        <f>(M21-N21)*3</f>
        <v>3.87</v>
      </c>
      <c r="P21" s="418" t="s">
        <v>55</v>
      </c>
    </row>
    <row r="22" spans="1:17">
      <c r="A22" s="2395" t="s">
        <v>929</v>
      </c>
      <c r="B22" s="2395"/>
      <c r="C22" s="2395"/>
      <c r="D22" s="2395"/>
      <c r="E22" s="2396"/>
      <c r="F22" s="503">
        <f>SUM(F19:F21)</f>
        <v>570.34265000000005</v>
      </c>
      <c r="G22" s="503" t="s">
        <v>55</v>
      </c>
      <c r="H22" s="2325"/>
      <c r="I22" s="418" t="s">
        <v>934</v>
      </c>
      <c r="J22" s="2313"/>
      <c r="K22" s="254">
        <v>2.6019999999999999</v>
      </c>
      <c r="L22" s="415">
        <v>2.35</v>
      </c>
      <c r="M22" s="254">
        <f t="shared" si="1"/>
        <v>6.1147</v>
      </c>
      <c r="N22" s="416">
        <f>2.602*1.395</f>
        <v>3.6297899999999998</v>
      </c>
      <c r="O22" s="415">
        <f>(M22-N22)*2</f>
        <v>4.9698200000000003</v>
      </c>
      <c r="P22" s="418" t="s">
        <v>55</v>
      </c>
    </row>
    <row r="23" spans="1:17" ht="12.75" customHeight="1">
      <c r="A23" s="2402" t="s">
        <v>913</v>
      </c>
      <c r="B23" s="420" t="s">
        <v>910</v>
      </c>
      <c r="C23" s="2004">
        <v>5</v>
      </c>
      <c r="D23" s="489">
        <v>0</v>
      </c>
      <c r="E23" s="416">
        <v>2.71</v>
      </c>
      <c r="F23" s="416">
        <f>D23*E23</f>
        <v>0</v>
      </c>
      <c r="G23" s="491" t="s">
        <v>55</v>
      </c>
      <c r="H23" s="2325"/>
      <c r="I23" s="418" t="s">
        <v>938</v>
      </c>
      <c r="J23" s="2313"/>
      <c r="K23" s="254">
        <v>2.044</v>
      </c>
      <c r="L23" s="415">
        <v>2.35</v>
      </c>
      <c r="M23" s="254">
        <f t="shared" si="1"/>
        <v>4.8033999999999999</v>
      </c>
      <c r="N23" s="416">
        <f>2.044*1.395</f>
        <v>2.8513800000000002</v>
      </c>
      <c r="O23" s="415">
        <f>(M23-N23)</f>
        <v>1.9520199999999996</v>
      </c>
      <c r="P23" s="418" t="s">
        <v>55</v>
      </c>
    </row>
    <row r="24" spans="1:17" ht="12.75" customHeight="1">
      <c r="A24" s="2398"/>
      <c r="B24" s="420" t="s">
        <v>911</v>
      </c>
      <c r="C24" s="2313"/>
      <c r="D24" s="489">
        <v>147.30500000000001</v>
      </c>
      <c r="E24" s="416">
        <v>2.71</v>
      </c>
      <c r="F24" s="416">
        <f>D24*E24</f>
        <v>399.19655</v>
      </c>
      <c r="G24" s="420" t="s">
        <v>55</v>
      </c>
      <c r="H24" s="2325"/>
      <c r="I24" s="418" t="s">
        <v>939</v>
      </c>
      <c r="J24" s="2313"/>
      <c r="K24" s="254">
        <v>2.968</v>
      </c>
      <c r="L24" s="415">
        <v>2.35</v>
      </c>
      <c r="M24" s="254">
        <f t="shared" si="1"/>
        <v>6.9748000000000001</v>
      </c>
      <c r="N24" s="416">
        <f>2.968*1.395</f>
        <v>4.1403600000000003</v>
      </c>
      <c r="O24" s="415">
        <f>(M24-N24)</f>
        <v>2.8344399999999998</v>
      </c>
      <c r="P24" s="418" t="s">
        <v>55</v>
      </c>
    </row>
    <row r="25" spans="1:17">
      <c r="A25" s="2399"/>
      <c r="B25" s="420" t="s">
        <v>912</v>
      </c>
      <c r="C25" s="2314"/>
      <c r="D25" s="489">
        <v>30.187000000000001</v>
      </c>
      <c r="E25" s="416">
        <v>2.71</v>
      </c>
      <c r="F25" s="416">
        <f>D25*E25</f>
        <v>81.80677</v>
      </c>
      <c r="G25" s="491" t="s">
        <v>55</v>
      </c>
      <c r="H25" s="2325"/>
      <c r="I25" s="418" t="s">
        <v>940</v>
      </c>
      <c r="J25" s="2313"/>
      <c r="K25" s="254">
        <v>1.81</v>
      </c>
      <c r="L25" s="415">
        <v>2.35</v>
      </c>
      <c r="M25" s="254">
        <f t="shared" si="1"/>
        <v>4.2535000000000007</v>
      </c>
      <c r="N25" s="416">
        <f>1.81*2.02</f>
        <v>3.6562000000000001</v>
      </c>
      <c r="O25" s="415">
        <f>(M25-N25)</f>
        <v>0.59730000000000061</v>
      </c>
      <c r="P25" s="418" t="s">
        <v>55</v>
      </c>
    </row>
    <row r="26" spans="1:17" ht="12.75" customHeight="1">
      <c r="A26" s="2395" t="s">
        <v>933</v>
      </c>
      <c r="B26" s="2395"/>
      <c r="C26" s="2395"/>
      <c r="D26" s="2395"/>
      <c r="E26" s="2396"/>
      <c r="F26" s="503">
        <f>SUM(F23:F25)</f>
        <v>481.00332000000003</v>
      </c>
      <c r="G26" s="503" t="s">
        <v>55</v>
      </c>
      <c r="H26" s="2325"/>
      <c r="I26" s="418" t="s">
        <v>941</v>
      </c>
      <c r="J26" s="2313"/>
      <c r="K26" s="415">
        <v>1.5</v>
      </c>
      <c r="L26" s="415">
        <v>2.35</v>
      </c>
      <c r="M26" s="415">
        <f t="shared" si="1"/>
        <v>3.5250000000000004</v>
      </c>
      <c r="N26" s="415">
        <v>2.25</v>
      </c>
      <c r="O26" s="415">
        <f>(M26-N26)*2</f>
        <v>2.5500000000000007</v>
      </c>
      <c r="P26" s="418" t="s">
        <v>55</v>
      </c>
    </row>
    <row r="27" spans="1:17" ht="12.75" customHeight="1">
      <c r="A27" s="2402" t="s">
        <v>913</v>
      </c>
      <c r="B27" s="420" t="s">
        <v>910</v>
      </c>
      <c r="C27" s="2004">
        <v>6</v>
      </c>
      <c r="D27" s="416">
        <v>67.63</v>
      </c>
      <c r="E27" s="416">
        <v>2.71</v>
      </c>
      <c r="F27" s="416">
        <f>D27*E27</f>
        <v>183.2773</v>
      </c>
      <c r="G27" s="491" t="s">
        <v>55</v>
      </c>
      <c r="H27" s="2325"/>
      <c r="I27" s="418" t="s">
        <v>942</v>
      </c>
      <c r="J27" s="2313"/>
      <c r="K27" s="415">
        <v>1.5</v>
      </c>
      <c r="L27" s="415">
        <v>2.35</v>
      </c>
      <c r="M27" s="415">
        <f t="shared" si="1"/>
        <v>3.5250000000000004</v>
      </c>
      <c r="N27" s="415">
        <v>0.75</v>
      </c>
      <c r="O27" s="415">
        <f>(M27-N27)*3</f>
        <v>8.3250000000000011</v>
      </c>
      <c r="P27" s="418" t="s">
        <v>55</v>
      </c>
    </row>
    <row r="28" spans="1:17" ht="12.75" customHeight="1">
      <c r="A28" s="2398"/>
      <c r="B28" s="420" t="s">
        <v>911</v>
      </c>
      <c r="C28" s="2313"/>
      <c r="D28" s="416">
        <v>57.5199</v>
      </c>
      <c r="E28" s="416">
        <v>2.71</v>
      </c>
      <c r="F28" s="416">
        <f>D28*E28</f>
        <v>155.878929</v>
      </c>
      <c r="G28" s="420" t="s">
        <v>55</v>
      </c>
      <c r="H28" s="2325"/>
      <c r="I28" s="418" t="s">
        <v>944</v>
      </c>
      <c r="J28" s="2314"/>
      <c r="K28" s="415">
        <v>1.5</v>
      </c>
      <c r="L28" s="415">
        <v>2.35</v>
      </c>
      <c r="M28" s="415">
        <f t="shared" si="1"/>
        <v>3.5250000000000004</v>
      </c>
      <c r="N28" s="415">
        <f>3.525/3</f>
        <v>1.175</v>
      </c>
      <c r="O28" s="415">
        <f>(M28-N28)</f>
        <v>2.3500000000000005</v>
      </c>
      <c r="P28" s="418" t="s">
        <v>55</v>
      </c>
    </row>
    <row r="29" spans="1:17" ht="13.5" customHeight="1">
      <c r="A29" s="2399"/>
      <c r="B29" s="420" t="s">
        <v>912</v>
      </c>
      <c r="C29" s="2314"/>
      <c r="D29" s="416">
        <v>40.978999999999999</v>
      </c>
      <c r="E29" s="416">
        <v>2.71</v>
      </c>
      <c r="F29" s="416">
        <f>D29*E29</f>
        <v>111.05309</v>
      </c>
      <c r="G29" s="491" t="s">
        <v>55</v>
      </c>
      <c r="H29" s="2394" t="s">
        <v>926</v>
      </c>
      <c r="I29" s="2395"/>
      <c r="J29" s="2395"/>
      <c r="K29" s="2395"/>
      <c r="L29" s="2395"/>
      <c r="M29" s="2395"/>
      <c r="N29" s="2396"/>
      <c r="O29" s="503">
        <f>SUM(O20:O28)</f>
        <v>44.638580000000012</v>
      </c>
      <c r="P29" s="503" t="s">
        <v>55</v>
      </c>
      <c r="Q29" s="223"/>
    </row>
    <row r="30" spans="1:17" ht="12.75" customHeight="1">
      <c r="A30" s="2395" t="s">
        <v>943</v>
      </c>
      <c r="B30" s="2395"/>
      <c r="C30" s="2395"/>
      <c r="D30" s="2395"/>
      <c r="E30" s="2396"/>
      <c r="F30" s="503">
        <f>SUM(F27:F29)</f>
        <v>450.20931899999999</v>
      </c>
      <c r="G30" s="503" t="s">
        <v>55</v>
      </c>
      <c r="H30" s="2323" t="s">
        <v>913</v>
      </c>
      <c r="I30" s="418" t="s">
        <v>924</v>
      </c>
      <c r="J30" s="2004">
        <v>4</v>
      </c>
      <c r="K30" s="415">
        <v>1.5</v>
      </c>
      <c r="L30" s="415">
        <v>2.35</v>
      </c>
      <c r="M30" s="415">
        <f t="shared" ref="M30:M36" si="2">K30*L30</f>
        <v>3.5250000000000004</v>
      </c>
      <c r="N30" s="415">
        <f>1.5*1.395</f>
        <v>2.0925000000000002</v>
      </c>
      <c r="O30" s="415">
        <f>(M30-N30)*13</f>
        <v>18.622500000000002</v>
      </c>
      <c r="P30" s="418" t="s">
        <v>55</v>
      </c>
      <c r="Q30" s="223"/>
    </row>
    <row r="31" spans="1:17">
      <c r="A31" s="2402" t="s">
        <v>913</v>
      </c>
      <c r="B31" s="420" t="s">
        <v>910</v>
      </c>
      <c r="C31" s="2004">
        <v>7</v>
      </c>
      <c r="D31" s="416">
        <v>67.63</v>
      </c>
      <c r="E31" s="416">
        <v>2.71</v>
      </c>
      <c r="F31" s="416">
        <f>D31*E31</f>
        <v>183.2773</v>
      </c>
      <c r="G31" s="491" t="s">
        <v>55</v>
      </c>
      <c r="H31" s="2321"/>
      <c r="I31" s="418" t="s">
        <v>925</v>
      </c>
      <c r="J31" s="2313"/>
      <c r="K31" s="415">
        <v>0.75</v>
      </c>
      <c r="L31" s="415">
        <v>2.35</v>
      </c>
      <c r="M31" s="415">
        <f t="shared" si="2"/>
        <v>1.7625000000000002</v>
      </c>
      <c r="N31" s="415">
        <v>0.47250000000000003</v>
      </c>
      <c r="O31" s="415">
        <f>(M31-N31)</f>
        <v>1.29</v>
      </c>
      <c r="P31" s="418" t="s">
        <v>55</v>
      </c>
      <c r="Q31" s="223"/>
    </row>
    <row r="32" spans="1:17" ht="12.75" customHeight="1">
      <c r="A32" s="2398"/>
      <c r="B32" s="420" t="s">
        <v>911</v>
      </c>
      <c r="C32" s="2313"/>
      <c r="D32" s="416">
        <v>57.5199</v>
      </c>
      <c r="E32" s="416">
        <v>2.71</v>
      </c>
      <c r="F32" s="416">
        <f>D32*E32</f>
        <v>155.878929</v>
      </c>
      <c r="G32" s="420" t="s">
        <v>55</v>
      </c>
      <c r="H32" s="2321"/>
      <c r="I32" s="418" t="s">
        <v>934</v>
      </c>
      <c r="J32" s="2313"/>
      <c r="K32" s="254">
        <v>2.6019999999999999</v>
      </c>
      <c r="L32" s="415">
        <v>2.35</v>
      </c>
      <c r="M32" s="254">
        <f t="shared" si="2"/>
        <v>6.1147</v>
      </c>
      <c r="N32" s="416">
        <f>2.602*1.395</f>
        <v>3.6297899999999998</v>
      </c>
      <c r="O32" s="415">
        <f>(M32-N32)*4</f>
        <v>9.9396400000000007</v>
      </c>
      <c r="P32" s="418" t="s">
        <v>55</v>
      </c>
      <c r="Q32" s="223"/>
    </row>
    <row r="33" spans="1:17">
      <c r="A33" s="2399"/>
      <c r="B33" s="420" t="s">
        <v>912</v>
      </c>
      <c r="C33" s="2314"/>
      <c r="D33" s="416">
        <v>40.978999999999999</v>
      </c>
      <c r="E33" s="416">
        <v>2.71</v>
      </c>
      <c r="F33" s="416">
        <f>D33*E33</f>
        <v>111.05309</v>
      </c>
      <c r="G33" s="491" t="s">
        <v>55</v>
      </c>
      <c r="H33" s="2321"/>
      <c r="I33" s="418" t="s">
        <v>940</v>
      </c>
      <c r="J33" s="2313"/>
      <c r="K33" s="254">
        <v>1.81</v>
      </c>
      <c r="L33" s="415">
        <v>2.35</v>
      </c>
      <c r="M33" s="254">
        <f t="shared" si="2"/>
        <v>4.2535000000000007</v>
      </c>
      <c r="N33" s="416">
        <f>1.81*2.02</f>
        <v>3.6562000000000001</v>
      </c>
      <c r="O33" s="415">
        <f>(M33-N33)</f>
        <v>0.59730000000000061</v>
      </c>
      <c r="P33" s="418" t="s">
        <v>55</v>
      </c>
      <c r="Q33" s="223"/>
    </row>
    <row r="34" spans="1:17">
      <c r="A34" s="2395" t="s">
        <v>945</v>
      </c>
      <c r="B34" s="2395"/>
      <c r="C34" s="2395"/>
      <c r="D34" s="2395"/>
      <c r="E34" s="2396"/>
      <c r="F34" s="503">
        <f>SUM(F31:F33)</f>
        <v>450.20931899999999</v>
      </c>
      <c r="G34" s="503" t="s">
        <v>55</v>
      </c>
      <c r="H34" s="2321"/>
      <c r="I34" s="418" t="s">
        <v>941</v>
      </c>
      <c r="J34" s="2313"/>
      <c r="K34" s="415">
        <v>1.5</v>
      </c>
      <c r="L34" s="415">
        <v>2.35</v>
      </c>
      <c r="M34" s="415">
        <f t="shared" si="2"/>
        <v>3.5250000000000004</v>
      </c>
      <c r="N34" s="415">
        <v>2.25</v>
      </c>
      <c r="O34" s="415">
        <f>(M34-N34)*3</f>
        <v>3.8250000000000011</v>
      </c>
      <c r="P34" s="418" t="s">
        <v>55</v>
      </c>
      <c r="Q34" s="487"/>
    </row>
    <row r="35" spans="1:17">
      <c r="A35" s="2402" t="s">
        <v>913</v>
      </c>
      <c r="B35" s="420" t="s">
        <v>910</v>
      </c>
      <c r="C35" s="2004">
        <v>8</v>
      </c>
      <c r="D35" s="416">
        <v>67.63</v>
      </c>
      <c r="E35" s="416">
        <v>2.71</v>
      </c>
      <c r="F35" s="416">
        <f>D35*E35</f>
        <v>183.2773</v>
      </c>
      <c r="G35" s="491" t="s">
        <v>55</v>
      </c>
      <c r="H35" s="2321"/>
      <c r="I35" s="418" t="s">
        <v>942</v>
      </c>
      <c r="J35" s="2313"/>
      <c r="K35" s="415">
        <v>1.5</v>
      </c>
      <c r="L35" s="415">
        <v>2.35</v>
      </c>
      <c r="M35" s="415">
        <f t="shared" si="2"/>
        <v>3.5250000000000004</v>
      </c>
      <c r="N35" s="415">
        <v>0.75</v>
      </c>
      <c r="O35" s="415">
        <f>(M35-N35)</f>
        <v>2.7750000000000004</v>
      </c>
      <c r="P35" s="418" t="s">
        <v>55</v>
      </c>
      <c r="Q35" s="223"/>
    </row>
    <row r="36" spans="1:17">
      <c r="A36" s="2403"/>
      <c r="B36" s="420" t="s">
        <v>911</v>
      </c>
      <c r="C36" s="2313"/>
      <c r="D36" s="416">
        <v>57.5199</v>
      </c>
      <c r="E36" s="416">
        <v>2.71</v>
      </c>
      <c r="F36" s="416">
        <f>D36*E36</f>
        <v>155.878929</v>
      </c>
      <c r="G36" s="420" t="s">
        <v>55</v>
      </c>
      <c r="H36" s="2322"/>
      <c r="I36" s="418" t="s">
        <v>944</v>
      </c>
      <c r="J36" s="2314"/>
      <c r="K36" s="415">
        <v>1.5</v>
      </c>
      <c r="L36" s="415">
        <v>2.35</v>
      </c>
      <c r="M36" s="415">
        <f t="shared" si="2"/>
        <v>3.5250000000000004</v>
      </c>
      <c r="N36" s="415">
        <f>3.525/3</f>
        <v>1.175</v>
      </c>
      <c r="O36" s="415">
        <f>(M36-N36)</f>
        <v>2.3500000000000005</v>
      </c>
      <c r="P36" s="418" t="s">
        <v>55</v>
      </c>
      <c r="Q36" s="223"/>
    </row>
    <row r="37" spans="1:17">
      <c r="A37" s="2404"/>
      <c r="B37" s="420" t="s">
        <v>912</v>
      </c>
      <c r="C37" s="2314"/>
      <c r="D37" s="416">
        <v>40.978999999999999</v>
      </c>
      <c r="E37" s="416">
        <v>2.71</v>
      </c>
      <c r="F37" s="416">
        <f>D37*E37</f>
        <v>111.05309</v>
      </c>
      <c r="G37" s="491" t="s">
        <v>55</v>
      </c>
      <c r="H37" s="2394" t="s">
        <v>929</v>
      </c>
      <c r="I37" s="2395"/>
      <c r="J37" s="2395"/>
      <c r="K37" s="2395"/>
      <c r="L37" s="2395"/>
      <c r="M37" s="2395"/>
      <c r="N37" s="2396"/>
      <c r="O37" s="503">
        <f>SUM(O30:O36)</f>
        <v>39.399440000000006</v>
      </c>
      <c r="P37" s="503" t="s">
        <v>55</v>
      </c>
    </row>
    <row r="38" spans="1:17" ht="12.75" customHeight="1">
      <c r="A38" s="2395" t="s">
        <v>955</v>
      </c>
      <c r="B38" s="2395"/>
      <c r="C38" s="2395"/>
      <c r="D38" s="2395"/>
      <c r="E38" s="2396"/>
      <c r="F38" s="503">
        <f>SUM(F35:F37)</f>
        <v>450.20931899999999</v>
      </c>
      <c r="G38" s="503" t="s">
        <v>55</v>
      </c>
      <c r="H38" s="2323" t="s">
        <v>913</v>
      </c>
      <c r="I38" s="420" t="s">
        <v>946</v>
      </c>
      <c r="J38" s="2407" t="s">
        <v>947</v>
      </c>
      <c r="K38" s="254">
        <v>5.1059999999999999</v>
      </c>
      <c r="L38" s="415">
        <v>2.71</v>
      </c>
      <c r="M38" s="415">
        <f>K38*L38</f>
        <v>13.837259999999999</v>
      </c>
      <c r="N38" s="416">
        <f>5.106*1.1</f>
        <v>5.6166</v>
      </c>
      <c r="O38" s="415">
        <f>(M38-N38)*2</f>
        <v>16.441319999999997</v>
      </c>
      <c r="P38" s="418" t="s">
        <v>55</v>
      </c>
    </row>
    <row r="39" spans="1:17" ht="12.75" customHeight="1">
      <c r="A39" s="2402" t="s">
        <v>913</v>
      </c>
      <c r="B39" s="420" t="s">
        <v>910</v>
      </c>
      <c r="C39" s="523"/>
      <c r="D39" s="416">
        <v>67.63</v>
      </c>
      <c r="E39" s="416">
        <v>2.71</v>
      </c>
      <c r="F39" s="416">
        <f>D39*E39</f>
        <v>183.2773</v>
      </c>
      <c r="G39" s="420" t="s">
        <v>55</v>
      </c>
      <c r="H39" s="2321"/>
      <c r="I39" s="420" t="s">
        <v>948</v>
      </c>
      <c r="J39" s="2408"/>
      <c r="K39" s="254">
        <v>1</v>
      </c>
      <c r="L39" s="415">
        <v>2.71</v>
      </c>
      <c r="M39" s="415">
        <f t="shared" ref="M39:M44" si="3">K39*L39</f>
        <v>2.71</v>
      </c>
      <c r="N39" s="416">
        <v>1.1000000000000001</v>
      </c>
      <c r="O39" s="415">
        <f>(M39-N39)</f>
        <v>1.6099999999999999</v>
      </c>
      <c r="P39" s="418" t="s">
        <v>55</v>
      </c>
    </row>
    <row r="40" spans="1:17">
      <c r="A40" s="2403"/>
      <c r="B40" s="420" t="s">
        <v>911</v>
      </c>
      <c r="C40" s="523"/>
      <c r="D40" s="504">
        <v>94.311999999999998</v>
      </c>
      <c r="E40" s="416">
        <v>2.71</v>
      </c>
      <c r="F40" s="416">
        <f>D40*E40</f>
        <v>255.58552</v>
      </c>
      <c r="G40" s="420" t="s">
        <v>55</v>
      </c>
      <c r="H40" s="2321"/>
      <c r="I40" s="420" t="s">
        <v>949</v>
      </c>
      <c r="J40" s="2408"/>
      <c r="K40" s="254">
        <v>4.88</v>
      </c>
      <c r="L40" s="415">
        <v>2.71</v>
      </c>
      <c r="M40" s="415">
        <f t="shared" si="3"/>
        <v>13.2248</v>
      </c>
      <c r="N40" s="226">
        <v>4.0015999999999998</v>
      </c>
      <c r="O40" s="415">
        <f>(M40-N40)</f>
        <v>9.2232000000000003</v>
      </c>
      <c r="P40" s="418" t="s">
        <v>55</v>
      </c>
    </row>
    <row r="41" spans="1:17">
      <c r="A41" s="2404"/>
      <c r="B41" s="420" t="s">
        <v>912</v>
      </c>
      <c r="C41" s="524"/>
      <c r="D41" s="416">
        <v>40.978999999999999</v>
      </c>
      <c r="E41" s="416">
        <v>2.71</v>
      </c>
      <c r="F41" s="416">
        <f>D41*E41</f>
        <v>111.05309</v>
      </c>
      <c r="G41" s="420" t="s">
        <v>55</v>
      </c>
      <c r="H41" s="2321"/>
      <c r="I41" s="420" t="s">
        <v>950</v>
      </c>
      <c r="J41" s="2408"/>
      <c r="K41" s="254">
        <v>9.2449999999999992</v>
      </c>
      <c r="L41" s="415">
        <v>2.71</v>
      </c>
      <c r="M41" s="415">
        <f t="shared" si="3"/>
        <v>25.053949999999997</v>
      </c>
      <c r="N41" s="416">
        <v>5.5469999999999997</v>
      </c>
      <c r="O41" s="415">
        <f>(M41-N41)</f>
        <v>19.506949999999996</v>
      </c>
      <c r="P41" s="418" t="s">
        <v>55</v>
      </c>
    </row>
    <row r="42" spans="1:17" ht="12.75" customHeight="1">
      <c r="A42" s="2395" t="s">
        <v>957</v>
      </c>
      <c r="B42" s="2395"/>
      <c r="C42" s="2395"/>
      <c r="D42" s="2395"/>
      <c r="E42" s="2396"/>
      <c r="F42" s="503">
        <f>SUM(F39:F41)</f>
        <v>549.91590999999994</v>
      </c>
      <c r="G42" s="503" t="s">
        <v>55</v>
      </c>
      <c r="H42" s="2321"/>
      <c r="I42" s="420" t="s">
        <v>951</v>
      </c>
      <c r="J42" s="2408"/>
      <c r="K42" s="254">
        <v>3.66</v>
      </c>
      <c r="L42" s="415">
        <v>2.71</v>
      </c>
      <c r="M42" s="415">
        <f t="shared" si="3"/>
        <v>9.9185999999999996</v>
      </c>
      <c r="N42" s="416">
        <v>4.0260000000000007</v>
      </c>
      <c r="O42" s="415">
        <f>(M42-N42)</f>
        <v>5.8925999999999989</v>
      </c>
      <c r="P42" s="418" t="s">
        <v>55</v>
      </c>
    </row>
    <row r="43" spans="1:17">
      <c r="A43" s="2405" t="s">
        <v>1671</v>
      </c>
      <c r="B43" s="2405"/>
      <c r="C43" s="2405"/>
      <c r="D43" s="2405"/>
      <c r="E43" s="2406"/>
      <c r="F43" s="476">
        <f>F10+F14+F18+F22+F26+F30+F34+F38+F42</f>
        <v>4231.1287870000006</v>
      </c>
      <c r="G43" s="476" t="s">
        <v>55</v>
      </c>
      <c r="H43" s="2321"/>
      <c r="I43" s="420" t="s">
        <v>952</v>
      </c>
      <c r="J43" s="2408"/>
      <c r="K43" s="254">
        <v>9.2200000000000006</v>
      </c>
      <c r="L43" s="415">
        <v>2.71</v>
      </c>
      <c r="M43" s="415">
        <f t="shared" si="3"/>
        <v>24.9862</v>
      </c>
      <c r="N43" s="416">
        <v>10.142000000000001</v>
      </c>
      <c r="O43" s="415">
        <f>(M43-N43)*2</f>
        <v>29.688399999999998</v>
      </c>
      <c r="P43" s="418" t="s">
        <v>55</v>
      </c>
    </row>
    <row r="44" spans="1:17">
      <c r="H44" s="2322"/>
      <c r="I44" s="420" t="s">
        <v>953</v>
      </c>
      <c r="J44" s="2409"/>
      <c r="K44" s="254">
        <v>3.601</v>
      </c>
      <c r="L44" s="415">
        <v>2.71</v>
      </c>
      <c r="M44" s="415">
        <f t="shared" si="3"/>
        <v>9.7587100000000007</v>
      </c>
      <c r="N44" s="416">
        <v>3.9611000000000005</v>
      </c>
      <c r="O44" s="415">
        <f>(M44-N44)*2</f>
        <v>11.595220000000001</v>
      </c>
      <c r="P44" s="418" t="s">
        <v>55</v>
      </c>
    </row>
    <row r="45" spans="1:17" ht="12.75" customHeight="1">
      <c r="H45" s="2394" t="s">
        <v>954</v>
      </c>
      <c r="I45" s="2395"/>
      <c r="J45" s="2395"/>
      <c r="K45" s="2395"/>
      <c r="L45" s="2395"/>
      <c r="M45" s="2395"/>
      <c r="N45" s="2396"/>
      <c r="O45" s="503">
        <f>(SUM(O38:O44))*3</f>
        <v>281.87306999999998</v>
      </c>
      <c r="P45" s="503" t="s">
        <v>55</v>
      </c>
      <c r="Q45">
        <f>O45/3</f>
        <v>93.957689999999999</v>
      </c>
    </row>
    <row r="46" spans="1:17" ht="12.75" customHeight="1">
      <c r="H46" s="2325" t="s">
        <v>913</v>
      </c>
      <c r="I46" s="420" t="s">
        <v>946</v>
      </c>
      <c r="J46" s="2004">
        <v>9</v>
      </c>
      <c r="K46" s="254">
        <v>5.1059999999999999</v>
      </c>
      <c r="L46" s="415">
        <v>2.71</v>
      </c>
      <c r="M46" s="415">
        <f>K46*L46</f>
        <v>13.837259999999999</v>
      </c>
      <c r="N46" s="416">
        <f>5.106*1.1</f>
        <v>5.6166</v>
      </c>
      <c r="O46" s="415">
        <f>(M46-N46)*2</f>
        <v>16.441319999999997</v>
      </c>
      <c r="P46" s="418" t="s">
        <v>55</v>
      </c>
    </row>
    <row r="47" spans="1:17" ht="14.25" customHeight="1">
      <c r="H47" s="2325"/>
      <c r="I47" s="420" t="s">
        <v>948</v>
      </c>
      <c r="J47" s="2313"/>
      <c r="K47" s="254">
        <v>1</v>
      </c>
      <c r="L47" s="415">
        <v>2.71</v>
      </c>
      <c r="M47" s="415">
        <f t="shared" ref="M47:M53" si="4">K47*L47</f>
        <v>2.71</v>
      </c>
      <c r="N47" s="416">
        <v>1.1000000000000001</v>
      </c>
      <c r="O47" s="415">
        <f>(M47-N47)</f>
        <v>1.6099999999999999</v>
      </c>
      <c r="P47" s="418" t="s">
        <v>55</v>
      </c>
    </row>
    <row r="48" spans="1:17" ht="13.5" customHeight="1" thickBot="1">
      <c r="H48" s="2325"/>
      <c r="I48" s="420" t="s">
        <v>949</v>
      </c>
      <c r="J48" s="2313"/>
      <c r="K48" s="254">
        <v>4.88</v>
      </c>
      <c r="L48" s="415">
        <v>2.71</v>
      </c>
      <c r="M48" s="415">
        <f t="shared" si="4"/>
        <v>13.2248</v>
      </c>
      <c r="N48" s="226">
        <v>4.0015999999999998</v>
      </c>
      <c r="O48" s="415">
        <f>(M48-N48)</f>
        <v>9.2232000000000003</v>
      </c>
      <c r="P48" s="418" t="s">
        <v>55</v>
      </c>
    </row>
    <row r="49" spans="1:16" ht="13.5" thickBot="1">
      <c r="A49" s="717" t="s">
        <v>527</v>
      </c>
      <c r="B49" s="718" t="s">
        <v>46</v>
      </c>
      <c r="C49" s="719" t="s">
        <v>42</v>
      </c>
      <c r="H49" s="2325"/>
      <c r="I49" s="420" t="s">
        <v>951</v>
      </c>
      <c r="J49" s="2313"/>
      <c r="K49" s="254">
        <v>3.66</v>
      </c>
      <c r="L49" s="415">
        <v>2.71</v>
      </c>
      <c r="M49" s="415">
        <f t="shared" si="4"/>
        <v>9.9185999999999996</v>
      </c>
      <c r="N49" s="416">
        <v>4.0260000000000007</v>
      </c>
      <c r="O49" s="415">
        <f>(M49-N49)</f>
        <v>5.8925999999999989</v>
      </c>
      <c r="P49" s="418" t="s">
        <v>55</v>
      </c>
    </row>
    <row r="50" spans="1:16">
      <c r="A50" s="723" t="s">
        <v>1262</v>
      </c>
      <c r="B50" s="724">
        <f>O55+F43</f>
        <v>4742.8357020000003</v>
      </c>
      <c r="C50" s="725" t="s">
        <v>1263</v>
      </c>
      <c r="H50" s="2325"/>
      <c r="I50" s="420" t="s">
        <v>952</v>
      </c>
      <c r="J50" s="2313"/>
      <c r="K50" s="254">
        <v>9.2200000000000006</v>
      </c>
      <c r="L50" s="415">
        <v>2.71</v>
      </c>
      <c r="M50" s="415">
        <f t="shared" si="4"/>
        <v>24.9862</v>
      </c>
      <c r="N50" s="416">
        <v>10.142000000000001</v>
      </c>
      <c r="O50" s="415">
        <f>(M50-N50)*2</f>
        <v>29.688399999999998</v>
      </c>
      <c r="P50" s="418" t="s">
        <v>55</v>
      </c>
    </row>
    <row r="51" spans="1:16">
      <c r="H51" s="2325"/>
      <c r="I51" s="420" t="s">
        <v>956</v>
      </c>
      <c r="J51" s="2313"/>
      <c r="K51" s="254">
        <v>1.46</v>
      </c>
      <c r="L51" s="415">
        <v>2.71</v>
      </c>
      <c r="M51" s="254">
        <f t="shared" si="4"/>
        <v>3.9565999999999999</v>
      </c>
      <c r="N51" s="416">
        <v>1.6060000000000001</v>
      </c>
      <c r="O51" s="415">
        <f>(M51-N51)*2</f>
        <v>4.7012</v>
      </c>
      <c r="P51" s="418" t="s">
        <v>55</v>
      </c>
    </row>
    <row r="52" spans="1:16" ht="13.5" thickBot="1">
      <c r="A52" s="736"/>
      <c r="B52" s="803"/>
      <c r="C52" s="804"/>
      <c r="H52" s="2325"/>
      <c r="I52" s="420" t="s">
        <v>958</v>
      </c>
      <c r="J52" s="2313"/>
      <c r="K52" s="254">
        <v>3.63</v>
      </c>
      <c r="L52" s="415">
        <v>2.71</v>
      </c>
      <c r="M52" s="254">
        <f t="shared" si="4"/>
        <v>9.837299999999999</v>
      </c>
      <c r="N52" s="416">
        <f>3.63*1.1</f>
        <v>3.9930000000000003</v>
      </c>
      <c r="O52" s="415">
        <f>(M52-N52)*2</f>
        <v>11.688599999999997</v>
      </c>
      <c r="P52" s="418" t="s">
        <v>55</v>
      </c>
    </row>
    <row r="53" spans="1:16">
      <c r="H53" s="2325"/>
      <c r="I53" s="420" t="s">
        <v>960</v>
      </c>
      <c r="J53" s="2314"/>
      <c r="K53" s="254">
        <v>4.84</v>
      </c>
      <c r="L53" s="415">
        <v>2.71</v>
      </c>
      <c r="M53" s="254">
        <f t="shared" si="4"/>
        <v>13.116399999999999</v>
      </c>
      <c r="N53" s="416">
        <f>4.84*1.1</f>
        <v>5.3239999999999998</v>
      </c>
      <c r="O53" s="415">
        <f>(M53-N53)*2</f>
        <v>15.584799999999998</v>
      </c>
      <c r="P53" s="418" t="s">
        <v>55</v>
      </c>
    </row>
    <row r="54" spans="1:16" ht="12.75" customHeight="1">
      <c r="H54" s="2394" t="s">
        <v>957</v>
      </c>
      <c r="I54" s="2395"/>
      <c r="J54" s="2395"/>
      <c r="K54" s="2395"/>
      <c r="L54" s="2395"/>
      <c r="M54" s="2395"/>
      <c r="N54" s="2396"/>
      <c r="O54" s="503">
        <f>(SUM(O46:O53))</f>
        <v>94.830119999999994</v>
      </c>
      <c r="P54" s="503" t="s">
        <v>55</v>
      </c>
    </row>
    <row r="55" spans="1:16">
      <c r="H55" s="1985" t="s">
        <v>1675</v>
      </c>
      <c r="I55" s="1985"/>
      <c r="J55" s="1985"/>
      <c r="K55" s="1985"/>
      <c r="L55" s="1985"/>
      <c r="M55" s="1985"/>
      <c r="N55" s="1985"/>
      <c r="O55" s="499">
        <f>O12+O19+O29+O37+O45+O54</f>
        <v>511.70691499999998</v>
      </c>
      <c r="P55" s="476" t="s">
        <v>55</v>
      </c>
    </row>
    <row r="58" spans="1:16" ht="12.75" customHeight="1"/>
    <row r="65" spans="17:17" ht="12.75" customHeight="1"/>
    <row r="72" spans="17:17">
      <c r="Q72" s="802"/>
    </row>
    <row r="81" ht="12.75" customHeight="1"/>
    <row r="96" ht="12.75" customHeight="1"/>
    <row r="112" spans="8:11">
      <c r="H112" s="8"/>
      <c r="I112" s="8"/>
      <c r="J112" s="8"/>
      <c r="K112" s="8"/>
    </row>
    <row r="113" spans="8:11">
      <c r="H113" s="2400"/>
      <c r="I113" s="134"/>
      <c r="J113" s="2401"/>
      <c r="K113" s="8"/>
    </row>
    <row r="114" spans="8:11">
      <c r="H114" s="2400"/>
      <c r="I114" s="134"/>
      <c r="J114" s="2401"/>
      <c r="K114" s="8"/>
    </row>
    <row r="115" spans="8:11">
      <c r="H115" s="2400"/>
      <c r="I115" s="134"/>
      <c r="J115" s="2401"/>
      <c r="K115" s="8"/>
    </row>
    <row r="116" spans="8:11">
      <c r="H116" s="2400"/>
      <c r="I116" s="134"/>
      <c r="J116" s="2401"/>
      <c r="K116" s="8"/>
    </row>
    <row r="117" spans="8:11">
      <c r="H117" s="2400"/>
      <c r="I117" s="134"/>
      <c r="J117" s="2401"/>
      <c r="K117" s="8"/>
    </row>
    <row r="118" spans="8:11">
      <c r="H118" s="2400"/>
      <c r="I118" s="134"/>
      <c r="J118" s="2401"/>
      <c r="K118" s="8"/>
    </row>
    <row r="119" spans="8:11">
      <c r="H119" s="2400"/>
      <c r="I119" s="134"/>
      <c r="J119" s="2401"/>
      <c r="K119" s="8"/>
    </row>
    <row r="120" spans="8:11">
      <c r="H120" s="2400"/>
      <c r="I120" s="134"/>
      <c r="J120" s="2401"/>
      <c r="K120" s="8"/>
    </row>
  </sheetData>
  <mergeCells count="52">
    <mergeCell ref="H5:P5"/>
    <mergeCell ref="B1:G1"/>
    <mergeCell ref="A5:G5"/>
    <mergeCell ref="A4:P4"/>
    <mergeCell ref="A27:A29"/>
    <mergeCell ref="A23:A25"/>
    <mergeCell ref="H19:N19"/>
    <mergeCell ref="A26:E26"/>
    <mergeCell ref="H13:H18"/>
    <mergeCell ref="A22:E22"/>
    <mergeCell ref="A19:A21"/>
    <mergeCell ref="C27:C29"/>
    <mergeCell ref="A15:A17"/>
    <mergeCell ref="A18:E18"/>
    <mergeCell ref="A11:A13"/>
    <mergeCell ref="H7:H11"/>
    <mergeCell ref="H37:N37"/>
    <mergeCell ref="H38:H44"/>
    <mergeCell ref="H30:H36"/>
    <mergeCell ref="A39:A41"/>
    <mergeCell ref="A42:E42"/>
    <mergeCell ref="A43:E43"/>
    <mergeCell ref="A35:A37"/>
    <mergeCell ref="A38:E38"/>
    <mergeCell ref="A34:E34"/>
    <mergeCell ref="C35:C37"/>
    <mergeCell ref="A30:E30"/>
    <mergeCell ref="A31:A33"/>
    <mergeCell ref="C31:C33"/>
    <mergeCell ref="J38:J44"/>
    <mergeCell ref="J46:J53"/>
    <mergeCell ref="H55:N55"/>
    <mergeCell ref="H113:H120"/>
    <mergeCell ref="J113:J120"/>
    <mergeCell ref="H45:N45"/>
    <mergeCell ref="H46:H53"/>
    <mergeCell ref="H54:N54"/>
    <mergeCell ref="C23:C25"/>
    <mergeCell ref="J7:J11"/>
    <mergeCell ref="J13:J18"/>
    <mergeCell ref="J20:J28"/>
    <mergeCell ref="J30:J36"/>
    <mergeCell ref="H29:N29"/>
    <mergeCell ref="H20:H28"/>
    <mergeCell ref="H12:N12"/>
    <mergeCell ref="C7:C9"/>
    <mergeCell ref="A14:E14"/>
    <mergeCell ref="C11:C13"/>
    <mergeCell ref="C15:C17"/>
    <mergeCell ref="C19:C21"/>
    <mergeCell ref="A7:A9"/>
    <mergeCell ref="A10:E10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0"/>
  <sheetViews>
    <sheetView topLeftCell="C16" workbookViewId="0">
      <selection activeCell="AF54" sqref="AF54"/>
    </sheetView>
  </sheetViews>
  <sheetFormatPr baseColWidth="10" defaultRowHeight="12.75"/>
  <cols>
    <col min="1" max="1" width="17.140625" customWidth="1"/>
    <col min="8" max="8" width="46.42578125" customWidth="1"/>
    <col min="15" max="15" width="35" bestFit="1" customWidth="1"/>
    <col min="20" max="20" width="20.7109375" bestFit="1" customWidth="1"/>
    <col min="25" max="25" width="16.7109375" bestFit="1" customWidth="1"/>
    <col min="31" max="31" width="12.28515625" customWidth="1"/>
  </cols>
  <sheetData>
    <row r="1" spans="1:33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33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7</v>
      </c>
      <c r="O2" s="331"/>
    </row>
    <row r="4" spans="1:33">
      <c r="A4" s="2411" t="s">
        <v>1261</v>
      </c>
      <c r="B4" s="2412"/>
      <c r="C4" s="2412"/>
      <c r="D4" s="2412"/>
      <c r="E4" s="2412"/>
      <c r="F4" s="2412"/>
      <c r="G4" s="2413"/>
      <c r="H4" s="1984" t="s">
        <v>906</v>
      </c>
      <c r="I4" s="1984"/>
      <c r="J4" s="1984"/>
      <c r="K4" s="1984"/>
      <c r="L4" s="1984"/>
      <c r="M4" s="1984"/>
      <c r="N4" s="1984"/>
      <c r="O4" s="1984" t="s">
        <v>916</v>
      </c>
      <c r="P4" s="1984"/>
      <c r="Q4" s="1984"/>
      <c r="R4" s="1984"/>
      <c r="S4" s="1984"/>
      <c r="T4" s="1984" t="s">
        <v>962</v>
      </c>
      <c r="U4" s="1984"/>
      <c r="V4" s="1984"/>
      <c r="W4" s="1984"/>
      <c r="Y4" s="2410" t="s">
        <v>1672</v>
      </c>
      <c r="Z4" s="2410"/>
      <c r="AA4" s="2410"/>
      <c r="AB4" s="2410"/>
      <c r="AC4" s="2410"/>
      <c r="AD4" s="2410"/>
      <c r="AE4" s="2410"/>
      <c r="AF4" s="2410"/>
      <c r="AG4" s="2410"/>
    </row>
    <row r="5" spans="1:33" ht="25.5">
      <c r="A5" s="485" t="s">
        <v>742</v>
      </c>
      <c r="B5" s="783" t="s">
        <v>478</v>
      </c>
      <c r="C5" s="485" t="s">
        <v>858</v>
      </c>
      <c r="D5" s="495" t="s">
        <v>907</v>
      </c>
      <c r="E5" s="495" t="s">
        <v>908</v>
      </c>
      <c r="F5" s="485" t="s">
        <v>52</v>
      </c>
      <c r="G5" s="485" t="s">
        <v>42</v>
      </c>
      <c r="H5" s="485" t="s">
        <v>742</v>
      </c>
      <c r="I5" s="783" t="s">
        <v>478</v>
      </c>
      <c r="J5" s="485" t="s">
        <v>858</v>
      </c>
      <c r="K5" s="495" t="s">
        <v>907</v>
      </c>
      <c r="L5" s="495" t="s">
        <v>908</v>
      </c>
      <c r="M5" s="485" t="s">
        <v>52</v>
      </c>
      <c r="N5" s="485" t="s">
        <v>42</v>
      </c>
      <c r="O5" s="485" t="s">
        <v>742</v>
      </c>
      <c r="P5" s="783" t="s">
        <v>478</v>
      </c>
      <c r="Q5" s="485" t="s">
        <v>858</v>
      </c>
      <c r="R5" s="485" t="s">
        <v>52</v>
      </c>
      <c r="S5" s="485" t="s">
        <v>42</v>
      </c>
      <c r="T5" s="485" t="s">
        <v>742</v>
      </c>
      <c r="U5" s="485" t="s">
        <v>858</v>
      </c>
      <c r="V5" s="485" t="s">
        <v>52</v>
      </c>
      <c r="W5" s="485" t="s">
        <v>42</v>
      </c>
      <c r="Y5" s="485" t="s">
        <v>742</v>
      </c>
      <c r="Z5" s="783" t="s">
        <v>478</v>
      </c>
      <c r="AA5" s="485" t="s">
        <v>858</v>
      </c>
      <c r="AB5" s="495" t="s">
        <v>918</v>
      </c>
      <c r="AC5" s="495" t="s">
        <v>544</v>
      </c>
      <c r="AD5" s="485" t="s">
        <v>919</v>
      </c>
      <c r="AE5" s="800" t="s">
        <v>920</v>
      </c>
      <c r="AF5" s="801" t="s">
        <v>921</v>
      </c>
      <c r="AG5" s="485" t="s">
        <v>42</v>
      </c>
    </row>
    <row r="6" spans="1:33">
      <c r="A6" s="2397" t="s">
        <v>909</v>
      </c>
      <c r="B6" s="784" t="s">
        <v>910</v>
      </c>
      <c r="C6" s="2323">
        <v>1</v>
      </c>
      <c r="D6" s="787">
        <v>61.195</v>
      </c>
      <c r="E6" s="787">
        <v>2.35</v>
      </c>
      <c r="F6" s="787">
        <f>D6*E6</f>
        <v>143.80825000000002</v>
      </c>
      <c r="G6" s="784" t="s">
        <v>55</v>
      </c>
      <c r="H6" s="2418" t="s">
        <v>915</v>
      </c>
      <c r="I6" s="784" t="s">
        <v>910</v>
      </c>
      <c r="J6" s="2325">
        <v>1</v>
      </c>
      <c r="K6" s="787">
        <v>61.195</v>
      </c>
      <c r="L6" s="787">
        <v>2.35</v>
      </c>
      <c r="M6" s="787">
        <f>K6*L6</f>
        <v>143.80825000000002</v>
      </c>
      <c r="N6" s="784" t="s">
        <v>55</v>
      </c>
      <c r="O6" s="2422" t="s">
        <v>923</v>
      </c>
      <c r="P6" s="784" t="s">
        <v>922</v>
      </c>
      <c r="Q6" s="2424">
        <v>1</v>
      </c>
      <c r="R6" s="790">
        <v>2.9381249999999994</v>
      </c>
      <c r="S6" s="786" t="s">
        <v>55</v>
      </c>
      <c r="T6" s="788" t="s">
        <v>963</v>
      </c>
      <c r="U6" s="788" t="s">
        <v>964</v>
      </c>
      <c r="V6" s="788">
        <v>2265.1909999999993</v>
      </c>
      <c r="W6" s="788" t="s">
        <v>55</v>
      </c>
      <c r="X6">
        <f>V6/5</f>
        <v>453.03819999999985</v>
      </c>
      <c r="Y6" s="2325" t="s">
        <v>909</v>
      </c>
      <c r="Z6" s="420" t="s">
        <v>922</v>
      </c>
      <c r="AA6" s="2004">
        <v>1</v>
      </c>
      <c r="AB6" s="415">
        <v>3.1349999999999998</v>
      </c>
      <c r="AC6" s="417">
        <v>2.35</v>
      </c>
      <c r="AD6" s="417">
        <f>AB6*AC6</f>
        <v>7.3672499999999994</v>
      </c>
      <c r="AE6" s="417">
        <v>4.429125</v>
      </c>
      <c r="AF6" s="415">
        <f>AD6-AE6</f>
        <v>2.9381249999999994</v>
      </c>
      <c r="AG6" s="423" t="s">
        <v>55</v>
      </c>
    </row>
    <row r="7" spans="1:33" ht="12.75" customHeight="1">
      <c r="A7" s="2398"/>
      <c r="B7" s="784" t="s">
        <v>911</v>
      </c>
      <c r="C7" s="2321"/>
      <c r="D7" s="787">
        <v>35.68</v>
      </c>
      <c r="E7" s="787">
        <v>2.35</v>
      </c>
      <c r="F7" s="787">
        <f>D7*E7</f>
        <v>83.847999999999999</v>
      </c>
      <c r="G7" s="784" t="s">
        <v>55</v>
      </c>
      <c r="H7" s="2325"/>
      <c r="I7" s="784" t="s">
        <v>911</v>
      </c>
      <c r="J7" s="2325"/>
      <c r="K7" s="787">
        <v>35.68</v>
      </c>
      <c r="L7" s="787">
        <v>2.35</v>
      </c>
      <c r="M7" s="787">
        <f>K7*L7</f>
        <v>83.847999999999999</v>
      </c>
      <c r="N7" s="784" t="s">
        <v>55</v>
      </c>
      <c r="O7" s="2423"/>
      <c r="P7" s="784" t="s">
        <v>924</v>
      </c>
      <c r="Q7" s="2425"/>
      <c r="R7" s="790">
        <v>8.5950000000000006</v>
      </c>
      <c r="S7" s="786" t="s">
        <v>55</v>
      </c>
      <c r="Y7" s="2325"/>
      <c r="Z7" s="420" t="s">
        <v>924</v>
      </c>
      <c r="AA7" s="2313"/>
      <c r="AB7" s="415">
        <v>1.5</v>
      </c>
      <c r="AC7" s="415">
        <v>2.35</v>
      </c>
      <c r="AD7" s="415">
        <f>AB7*AC7</f>
        <v>3.5250000000000004</v>
      </c>
      <c r="AE7" s="415">
        <f>1.5*1.395</f>
        <v>2.0925000000000002</v>
      </c>
      <c r="AF7" s="415">
        <f>(AD7-AE7)*6</f>
        <v>8.5950000000000006</v>
      </c>
      <c r="AG7" s="423" t="s">
        <v>55</v>
      </c>
    </row>
    <row r="8" spans="1:33">
      <c r="A8" s="2399"/>
      <c r="B8" s="784" t="s">
        <v>912</v>
      </c>
      <c r="C8" s="2321"/>
      <c r="D8" s="787">
        <v>34.615000000000002</v>
      </c>
      <c r="E8" s="787">
        <v>2.35</v>
      </c>
      <c r="F8" s="787">
        <f>D8*E8</f>
        <v>81.345250000000007</v>
      </c>
      <c r="G8" s="784" t="s">
        <v>55</v>
      </c>
      <c r="H8" s="2325"/>
      <c r="I8" s="784" t="s">
        <v>912</v>
      </c>
      <c r="J8" s="2325"/>
      <c r="K8" s="787">
        <v>34.615000000000002</v>
      </c>
      <c r="L8" s="787">
        <v>2.35</v>
      </c>
      <c r="M8" s="787">
        <f>K8*L8</f>
        <v>81.345250000000007</v>
      </c>
      <c r="N8" s="784" t="s">
        <v>55</v>
      </c>
      <c r="O8" s="2423"/>
      <c r="P8" s="784" t="s">
        <v>925</v>
      </c>
      <c r="Q8" s="2425"/>
      <c r="R8" s="790">
        <v>6.45</v>
      </c>
      <c r="S8" s="786" t="s">
        <v>55</v>
      </c>
      <c r="T8" s="1984" t="s">
        <v>966</v>
      </c>
      <c r="U8" s="1984"/>
      <c r="V8" s="1984"/>
      <c r="W8" s="1984"/>
      <c r="X8" s="1984"/>
      <c r="Y8" s="2325"/>
      <c r="Z8" s="420" t="s">
        <v>925</v>
      </c>
      <c r="AA8" s="2313"/>
      <c r="AB8" s="415">
        <v>0.75</v>
      </c>
      <c r="AC8" s="415">
        <v>2.35</v>
      </c>
      <c r="AD8" s="415">
        <f>AB8*AC8</f>
        <v>1.7625000000000002</v>
      </c>
      <c r="AE8" s="415">
        <v>0.47250000000000003</v>
      </c>
      <c r="AF8" s="415">
        <f>(AD8-AE8)*5</f>
        <v>6.45</v>
      </c>
      <c r="AG8" s="423" t="s">
        <v>55</v>
      </c>
    </row>
    <row r="9" spans="1:33" ht="25.5">
      <c r="A9" s="2395" t="s">
        <v>914</v>
      </c>
      <c r="B9" s="2395"/>
      <c r="C9" s="2395"/>
      <c r="D9" s="2395"/>
      <c r="E9" s="2396"/>
      <c r="F9" s="791">
        <f>SUM(F6:F8)</f>
        <v>309.00150000000002</v>
      </c>
      <c r="G9" s="791" t="s">
        <v>55</v>
      </c>
      <c r="H9" s="2416" t="s">
        <v>914</v>
      </c>
      <c r="I9" s="2416"/>
      <c r="J9" s="2416"/>
      <c r="K9" s="2416"/>
      <c r="L9" s="2416"/>
      <c r="M9" s="502">
        <f>SUM(M6:M8)</f>
        <v>309.00150000000002</v>
      </c>
      <c r="N9" s="791" t="s">
        <v>55</v>
      </c>
      <c r="O9" s="2423"/>
      <c r="P9" s="784" t="s">
        <v>927</v>
      </c>
      <c r="Q9" s="2425"/>
      <c r="R9" s="787">
        <v>1.1062500000000002</v>
      </c>
      <c r="S9" s="787" t="s">
        <v>55</v>
      </c>
      <c r="T9" s="485" t="s">
        <v>858</v>
      </c>
      <c r="U9" s="495" t="s">
        <v>907</v>
      </c>
      <c r="V9" s="495" t="s">
        <v>908</v>
      </c>
      <c r="W9" s="485" t="s">
        <v>52</v>
      </c>
      <c r="X9" s="485" t="s">
        <v>42</v>
      </c>
      <c r="Y9" s="2325"/>
      <c r="Z9" s="420" t="s">
        <v>927</v>
      </c>
      <c r="AA9" s="2313"/>
      <c r="AB9" s="415">
        <v>0.75</v>
      </c>
      <c r="AC9" s="415">
        <v>2.35</v>
      </c>
      <c r="AD9" s="415">
        <f>AB9*AC9</f>
        <v>1.7625000000000002</v>
      </c>
      <c r="AE9" s="416">
        <f>0.75*0.875</f>
        <v>0.65625</v>
      </c>
      <c r="AF9" s="415">
        <f>(AD9-AE9)</f>
        <v>1.1062500000000002</v>
      </c>
      <c r="AG9" s="423" t="s">
        <v>55</v>
      </c>
    </row>
    <row r="10" spans="1:33">
      <c r="A10" s="2397" t="s">
        <v>909</v>
      </c>
      <c r="B10" s="784" t="s">
        <v>910</v>
      </c>
      <c r="C10" s="2004">
        <v>2</v>
      </c>
      <c r="D10" s="787">
        <v>82.47</v>
      </c>
      <c r="E10" s="787">
        <v>2.35</v>
      </c>
      <c r="F10" s="787">
        <f>D10*E10</f>
        <v>193.80450000000002</v>
      </c>
      <c r="G10" s="784" t="s">
        <v>55</v>
      </c>
      <c r="H10" s="2418" t="s">
        <v>915</v>
      </c>
      <c r="I10" s="784" t="s">
        <v>910</v>
      </c>
      <c r="J10" s="2325">
        <v>2</v>
      </c>
      <c r="K10" s="787">
        <v>82.47</v>
      </c>
      <c r="L10" s="787">
        <v>2.35</v>
      </c>
      <c r="M10" s="787">
        <f>K10*L10</f>
        <v>193.80450000000002</v>
      </c>
      <c r="N10" s="784" t="s">
        <v>55</v>
      </c>
      <c r="O10" s="2417"/>
      <c r="P10" s="784" t="s">
        <v>928</v>
      </c>
      <c r="Q10" s="2426"/>
      <c r="R10" s="790">
        <v>2.2175100000000003</v>
      </c>
      <c r="S10" s="786" t="s">
        <v>55</v>
      </c>
      <c r="T10" s="787">
        <v>1</v>
      </c>
      <c r="U10" s="787">
        <f>6.171*2</f>
        <v>12.342000000000001</v>
      </c>
      <c r="V10" s="787">
        <v>2.35</v>
      </c>
      <c r="W10" s="787">
        <f>U10*V10</f>
        <v>29.003700000000002</v>
      </c>
      <c r="X10" s="784" t="s">
        <v>55</v>
      </c>
      <c r="Y10" s="2325"/>
      <c r="Z10" s="420" t="s">
        <v>928</v>
      </c>
      <c r="AA10" s="2314"/>
      <c r="AB10" s="416">
        <v>2.3220000000000001</v>
      </c>
      <c r="AC10" s="415">
        <v>2.35</v>
      </c>
      <c r="AD10" s="415">
        <f>AB10*AC10</f>
        <v>5.4567000000000005</v>
      </c>
      <c r="AE10" s="416">
        <f>2.322*1.395</f>
        <v>3.2391900000000002</v>
      </c>
      <c r="AF10" s="415">
        <f>(AD10-AE10)</f>
        <v>2.2175100000000003</v>
      </c>
      <c r="AG10" s="423" t="s">
        <v>55</v>
      </c>
    </row>
    <row r="11" spans="1:33">
      <c r="A11" s="2398"/>
      <c r="B11" s="784" t="s">
        <v>911</v>
      </c>
      <c r="C11" s="2313"/>
      <c r="D11" s="504">
        <v>58.338000000000001</v>
      </c>
      <c r="E11" s="787">
        <v>2.35</v>
      </c>
      <c r="F11" s="787">
        <f>D11*E11</f>
        <v>137.0943</v>
      </c>
      <c r="G11" s="784" t="s">
        <v>55</v>
      </c>
      <c r="H11" s="2325"/>
      <c r="I11" s="784" t="s">
        <v>911</v>
      </c>
      <c r="J11" s="2325"/>
      <c r="K11" s="504">
        <v>58.338000000000001</v>
      </c>
      <c r="L11" s="787">
        <v>2.35</v>
      </c>
      <c r="M11" s="787">
        <f>K11*L11</f>
        <v>137.0943</v>
      </c>
      <c r="N11" s="784" t="s">
        <v>55</v>
      </c>
      <c r="O11" s="2394" t="s">
        <v>914</v>
      </c>
      <c r="P11" s="2395"/>
      <c r="Q11" s="2396"/>
      <c r="R11" s="505">
        <f>SUM(R6:R10)</f>
        <v>21.306885000000001</v>
      </c>
      <c r="S11" s="506" t="s">
        <v>55</v>
      </c>
      <c r="T11" s="787">
        <v>2</v>
      </c>
      <c r="U11" s="787">
        <f>19.237*2</f>
        <v>38.473999999999997</v>
      </c>
      <c r="V11" s="787">
        <v>2.35</v>
      </c>
      <c r="W11" s="787">
        <f>U11*V11</f>
        <v>90.413899999999998</v>
      </c>
      <c r="X11" s="784" t="s">
        <v>55</v>
      </c>
      <c r="Y11" s="2394" t="s">
        <v>914</v>
      </c>
      <c r="Z11" s="2395"/>
      <c r="AA11" s="2395"/>
      <c r="AB11" s="2395"/>
      <c r="AC11" s="2395"/>
      <c r="AD11" s="2395"/>
      <c r="AE11" s="2396"/>
      <c r="AF11" s="791">
        <f>SUM(AF6:AF10)</f>
        <v>21.306885000000001</v>
      </c>
      <c r="AG11" s="791" t="s">
        <v>55</v>
      </c>
    </row>
    <row r="12" spans="1:33">
      <c r="A12" s="2399"/>
      <c r="B12" s="784" t="s">
        <v>912</v>
      </c>
      <c r="C12" s="2313"/>
      <c r="D12" s="787">
        <v>28.42</v>
      </c>
      <c r="E12" s="787">
        <v>2.35</v>
      </c>
      <c r="F12" s="787">
        <f>D12*E12</f>
        <v>66.787000000000006</v>
      </c>
      <c r="G12" s="784" t="s">
        <v>55</v>
      </c>
      <c r="H12" s="2325"/>
      <c r="I12" s="784" t="s">
        <v>912</v>
      </c>
      <c r="J12" s="2325"/>
      <c r="K12" s="787">
        <v>28.42</v>
      </c>
      <c r="L12" s="787">
        <v>2.35</v>
      </c>
      <c r="M12" s="787">
        <f>K12*L12</f>
        <v>66.787000000000006</v>
      </c>
      <c r="N12" s="784" t="s">
        <v>55</v>
      </c>
      <c r="O12" s="2418" t="s">
        <v>923</v>
      </c>
      <c r="P12" s="786" t="s">
        <v>924</v>
      </c>
      <c r="Q12" s="1918">
        <v>2</v>
      </c>
      <c r="R12" s="790">
        <v>15.7575</v>
      </c>
      <c r="S12" s="786" t="s">
        <v>55</v>
      </c>
      <c r="T12" s="787">
        <v>3</v>
      </c>
      <c r="U12" s="787">
        <f>(30.2878+34.209)*2</f>
        <v>128.99360000000001</v>
      </c>
      <c r="V12" s="787">
        <v>2.35</v>
      </c>
      <c r="W12" s="787">
        <f>U12*V12</f>
        <v>303.13496000000004</v>
      </c>
      <c r="X12" s="784" t="s">
        <v>55</v>
      </c>
      <c r="Y12" s="2325" t="s">
        <v>909</v>
      </c>
      <c r="Z12" s="418" t="s">
        <v>924</v>
      </c>
      <c r="AA12" s="2004">
        <v>2</v>
      </c>
      <c r="AB12" s="415">
        <v>1.5</v>
      </c>
      <c r="AC12" s="415">
        <v>2.35</v>
      </c>
      <c r="AD12" s="415">
        <f t="shared" ref="AD12:AD17" si="0">AB12*AC12</f>
        <v>3.5250000000000004</v>
      </c>
      <c r="AE12" s="415">
        <f>1.5*1.395</f>
        <v>2.0925000000000002</v>
      </c>
      <c r="AF12" s="415">
        <f>(AD12-AE12)*11</f>
        <v>15.7575</v>
      </c>
      <c r="AG12" s="418" t="s">
        <v>55</v>
      </c>
    </row>
    <row r="13" spans="1:33">
      <c r="A13" s="2395" t="s">
        <v>917</v>
      </c>
      <c r="B13" s="2395"/>
      <c r="C13" s="2395"/>
      <c r="D13" s="2395"/>
      <c r="E13" s="2396"/>
      <c r="F13" s="791">
        <f>SUM(F10:F12)</f>
        <v>397.68580000000009</v>
      </c>
      <c r="G13" s="791" t="s">
        <v>55</v>
      </c>
      <c r="H13" s="2416" t="s">
        <v>917</v>
      </c>
      <c r="I13" s="2416"/>
      <c r="J13" s="2416"/>
      <c r="K13" s="2416"/>
      <c r="L13" s="2416"/>
      <c r="M13" s="502">
        <f>SUM(M10:M12)</f>
        <v>397.68580000000009</v>
      </c>
      <c r="N13" s="791" t="s">
        <v>55</v>
      </c>
      <c r="O13" s="2418"/>
      <c r="P13" s="786" t="s">
        <v>925</v>
      </c>
      <c r="Q13" s="1918"/>
      <c r="R13" s="790">
        <v>3.87</v>
      </c>
      <c r="S13" s="786" t="s">
        <v>55</v>
      </c>
      <c r="T13" s="787">
        <v>4</v>
      </c>
      <c r="U13" s="787">
        <f>(24.284+38.489)*2</f>
        <v>125.54599999999999</v>
      </c>
      <c r="V13" s="787">
        <v>2.35</v>
      </c>
      <c r="W13" s="787">
        <f>U13*V13</f>
        <v>295.03309999999999</v>
      </c>
      <c r="X13" s="784" t="s">
        <v>55</v>
      </c>
      <c r="Y13" s="2325"/>
      <c r="Z13" s="418" t="s">
        <v>925</v>
      </c>
      <c r="AA13" s="2313"/>
      <c r="AB13" s="415">
        <v>0.75</v>
      </c>
      <c r="AC13" s="415">
        <v>2.35</v>
      </c>
      <c r="AD13" s="415">
        <f t="shared" si="0"/>
        <v>1.7625000000000002</v>
      </c>
      <c r="AE13" s="415">
        <v>0.47250000000000003</v>
      </c>
      <c r="AF13" s="415">
        <f>(AD13-AE13)*3</f>
        <v>3.87</v>
      </c>
      <c r="AG13" s="418" t="s">
        <v>55</v>
      </c>
    </row>
    <row r="14" spans="1:33">
      <c r="A14" s="2397" t="s">
        <v>909</v>
      </c>
      <c r="B14" s="420" t="s">
        <v>910</v>
      </c>
      <c r="C14" s="2004">
        <v>3</v>
      </c>
      <c r="D14" s="420">
        <v>90.451999999999998</v>
      </c>
      <c r="E14" s="416">
        <v>2.35</v>
      </c>
      <c r="F14" s="416">
        <f>D14*E14</f>
        <v>212.56219999999999</v>
      </c>
      <c r="G14" s="420" t="s">
        <v>55</v>
      </c>
      <c r="H14" s="2418" t="s">
        <v>915</v>
      </c>
      <c r="I14" s="784" t="s">
        <v>910</v>
      </c>
      <c r="J14" s="2325">
        <v>3</v>
      </c>
      <c r="K14" s="784">
        <v>90.451999999999998</v>
      </c>
      <c r="L14" s="787">
        <v>2.35</v>
      </c>
      <c r="M14" s="5">
        <f>K14*L14</f>
        <v>212.56219999999999</v>
      </c>
      <c r="N14" s="491" t="s">
        <v>55</v>
      </c>
      <c r="O14" s="2418"/>
      <c r="P14" s="786" t="s">
        <v>930</v>
      </c>
      <c r="Q14" s="1918"/>
      <c r="R14" s="787">
        <v>1.6550150000000006</v>
      </c>
      <c r="S14" s="786" t="s">
        <v>55</v>
      </c>
      <c r="T14" s="787">
        <v>6</v>
      </c>
      <c r="U14" s="787">
        <f>(5.083+76.95)*2</f>
        <v>164.066</v>
      </c>
      <c r="V14" s="787">
        <v>2.71</v>
      </c>
      <c r="W14" s="787">
        <f>(U14*V14)*3</f>
        <v>1333.8565799999999</v>
      </c>
      <c r="X14" s="784" t="s">
        <v>55</v>
      </c>
      <c r="Y14" s="2325"/>
      <c r="Z14" s="418" t="s">
        <v>930</v>
      </c>
      <c r="AA14" s="2313"/>
      <c r="AB14" s="254">
        <v>1.7330000000000001</v>
      </c>
      <c r="AC14" s="415">
        <v>2.35</v>
      </c>
      <c r="AD14" s="415">
        <f t="shared" si="0"/>
        <v>4.0725500000000006</v>
      </c>
      <c r="AE14" s="415">
        <f>1.733*1.395</f>
        <v>2.417535</v>
      </c>
      <c r="AF14" s="415">
        <f>(AD14-AE14)</f>
        <v>1.6550150000000006</v>
      </c>
      <c r="AG14" s="418" t="s">
        <v>55</v>
      </c>
    </row>
    <row r="15" spans="1:33">
      <c r="A15" s="2398"/>
      <c r="B15" s="420" t="s">
        <v>911</v>
      </c>
      <c r="C15" s="2313"/>
      <c r="D15" s="416">
        <v>113.26300000000001</v>
      </c>
      <c r="E15" s="416">
        <v>2.35</v>
      </c>
      <c r="F15" s="416">
        <f>D15*E15</f>
        <v>266.16805000000005</v>
      </c>
      <c r="G15" s="420" t="s">
        <v>55</v>
      </c>
      <c r="H15" s="2325"/>
      <c r="I15" s="784" t="s">
        <v>911</v>
      </c>
      <c r="J15" s="2325"/>
      <c r="K15" s="787">
        <v>113.26300000000001</v>
      </c>
      <c r="L15" s="787">
        <v>2.35</v>
      </c>
      <c r="M15" s="5">
        <f>K15*L15</f>
        <v>266.16805000000005</v>
      </c>
      <c r="N15" s="784" t="s">
        <v>55</v>
      </c>
      <c r="O15" s="2418"/>
      <c r="P15" s="786" t="s">
        <v>931</v>
      </c>
      <c r="Q15" s="1918"/>
      <c r="R15" s="787">
        <v>2.2805399999999998</v>
      </c>
      <c r="S15" s="786" t="s">
        <v>55</v>
      </c>
      <c r="T15" s="787">
        <v>9</v>
      </c>
      <c r="U15" s="787">
        <f>(5.819+109.76)*2</f>
        <v>231.15800000000002</v>
      </c>
      <c r="V15" s="787">
        <v>2.71</v>
      </c>
      <c r="W15" s="787">
        <f>U15*V15</f>
        <v>626.43817999999999</v>
      </c>
      <c r="X15" s="784" t="s">
        <v>55</v>
      </c>
      <c r="Y15" s="2325"/>
      <c r="Z15" s="418" t="s">
        <v>931</v>
      </c>
      <c r="AA15" s="2313"/>
      <c r="AB15" s="254">
        <v>2.3879999999999999</v>
      </c>
      <c r="AC15" s="415">
        <v>2.35</v>
      </c>
      <c r="AD15" s="254">
        <f t="shared" si="0"/>
        <v>5.6117999999999997</v>
      </c>
      <c r="AE15" s="415">
        <f>2.388*1.395</f>
        <v>3.3312599999999999</v>
      </c>
      <c r="AF15" s="415">
        <f>(AD15-AE15)</f>
        <v>2.2805399999999998</v>
      </c>
      <c r="AG15" s="418" t="s">
        <v>55</v>
      </c>
    </row>
    <row r="16" spans="1:33">
      <c r="A16" s="2399"/>
      <c r="B16" s="420" t="s">
        <v>912</v>
      </c>
      <c r="C16" s="2313"/>
      <c r="D16" s="416">
        <v>37.454000000000001</v>
      </c>
      <c r="E16" s="416">
        <v>2.35</v>
      </c>
      <c r="F16" s="416">
        <f>D16*E16</f>
        <v>88.016900000000007</v>
      </c>
      <c r="G16" s="420" t="s">
        <v>55</v>
      </c>
      <c r="H16" s="2325"/>
      <c r="I16" s="784" t="s">
        <v>912</v>
      </c>
      <c r="J16" s="2325"/>
      <c r="K16" s="787">
        <v>37.454000000000001</v>
      </c>
      <c r="L16" s="787">
        <v>2.35</v>
      </c>
      <c r="M16" s="5">
        <f>K16*L16</f>
        <v>88.016900000000007</v>
      </c>
      <c r="N16" s="491" t="s">
        <v>55</v>
      </c>
      <c r="O16" s="2418"/>
      <c r="P16" s="786" t="s">
        <v>932</v>
      </c>
      <c r="Q16" s="1918"/>
      <c r="R16" s="787">
        <v>1.1259450000000002</v>
      </c>
      <c r="S16" s="786" t="s">
        <v>55</v>
      </c>
      <c r="T16" s="1985" t="s">
        <v>967</v>
      </c>
      <c r="U16" s="1985"/>
      <c r="V16" s="1985"/>
      <c r="W16" s="788">
        <f>SUM(W10:W15)</f>
        <v>2677.88042</v>
      </c>
      <c r="X16" s="788" t="s">
        <v>55</v>
      </c>
      <c r="Y16" s="2325"/>
      <c r="Z16" s="418" t="s">
        <v>932</v>
      </c>
      <c r="AA16" s="2313"/>
      <c r="AB16" s="254">
        <v>1.179</v>
      </c>
      <c r="AC16" s="415">
        <v>2.35</v>
      </c>
      <c r="AD16" s="254">
        <f t="shared" si="0"/>
        <v>2.7706500000000003</v>
      </c>
      <c r="AE16" s="416">
        <f>1.179*1.395</f>
        <v>1.6447050000000001</v>
      </c>
      <c r="AF16" s="415">
        <f>(AD16-AE16)</f>
        <v>1.1259450000000002</v>
      </c>
      <c r="AG16" s="418" t="s">
        <v>55</v>
      </c>
    </row>
    <row r="17" spans="1:33">
      <c r="A17" s="2395" t="s">
        <v>926</v>
      </c>
      <c r="B17" s="2395"/>
      <c r="C17" s="2395"/>
      <c r="D17" s="2395"/>
      <c r="E17" s="2396"/>
      <c r="F17" s="791">
        <f>SUM(F14:F16)</f>
        <v>566.74715000000003</v>
      </c>
      <c r="G17" s="791" t="s">
        <v>55</v>
      </c>
      <c r="H17" s="2416" t="s">
        <v>926</v>
      </c>
      <c r="I17" s="2416"/>
      <c r="J17" s="2416"/>
      <c r="K17" s="2416"/>
      <c r="L17" s="2416"/>
      <c r="M17" s="502">
        <f>SUM(M14:M16)</f>
        <v>566.74715000000003</v>
      </c>
      <c r="N17" s="791" t="s">
        <v>55</v>
      </c>
      <c r="O17" s="2418"/>
      <c r="P17" s="786" t="s">
        <v>934</v>
      </c>
      <c r="Q17" s="1918"/>
      <c r="R17" s="787">
        <v>4.9698200000000003</v>
      </c>
      <c r="S17" s="786" t="s">
        <v>55</v>
      </c>
      <c r="Y17" s="2325"/>
      <c r="Z17" s="418" t="s">
        <v>934</v>
      </c>
      <c r="AA17" s="2314"/>
      <c r="AB17" s="254">
        <v>2.6019999999999999</v>
      </c>
      <c r="AC17" s="415">
        <v>2.35</v>
      </c>
      <c r="AD17" s="254">
        <f t="shared" si="0"/>
        <v>6.1147</v>
      </c>
      <c r="AE17" s="416">
        <f>2.602*1.395</f>
        <v>3.6297899999999998</v>
      </c>
      <c r="AF17" s="415">
        <f>(AD17-AE17)*2</f>
        <v>4.9698200000000003</v>
      </c>
      <c r="AG17" s="418" t="s">
        <v>55</v>
      </c>
    </row>
    <row r="18" spans="1:33">
      <c r="A18" s="2397" t="s">
        <v>909</v>
      </c>
      <c r="B18" s="420" t="s">
        <v>910</v>
      </c>
      <c r="C18" s="2004">
        <v>4</v>
      </c>
      <c r="D18" s="416">
        <v>122.59699999999999</v>
      </c>
      <c r="E18" s="416">
        <v>2.35</v>
      </c>
      <c r="F18" s="416">
        <f>D18*E18</f>
        <v>288.10295000000002</v>
      </c>
      <c r="G18" s="420" t="s">
        <v>55</v>
      </c>
      <c r="H18" s="2418" t="s">
        <v>915</v>
      </c>
      <c r="I18" s="784" t="s">
        <v>910</v>
      </c>
      <c r="J18" s="2325">
        <v>4</v>
      </c>
      <c r="K18" s="787">
        <v>122.59699999999999</v>
      </c>
      <c r="L18" s="787">
        <v>2.35</v>
      </c>
      <c r="M18" s="787">
        <f>K18*L18</f>
        <v>288.10295000000002</v>
      </c>
      <c r="N18" s="491" t="s">
        <v>55</v>
      </c>
      <c r="O18" s="2394" t="s">
        <v>917</v>
      </c>
      <c r="P18" s="2395"/>
      <c r="Q18" s="2396"/>
      <c r="R18" s="505">
        <f>SUM(R12:R17)</f>
        <v>29.658820000000006</v>
      </c>
      <c r="S18" s="506" t="s">
        <v>55</v>
      </c>
      <c r="Y18" s="2394" t="s">
        <v>917</v>
      </c>
      <c r="Z18" s="2395"/>
      <c r="AA18" s="2395"/>
      <c r="AB18" s="2395"/>
      <c r="AC18" s="2395"/>
      <c r="AD18" s="2395"/>
      <c r="AE18" s="2396"/>
      <c r="AF18" s="791">
        <f>SUM(AF12:AF17)</f>
        <v>29.658820000000006</v>
      </c>
      <c r="AG18" s="791" t="s">
        <v>55</v>
      </c>
    </row>
    <row r="19" spans="1:33">
      <c r="A19" s="2398"/>
      <c r="B19" s="420" t="s">
        <v>911</v>
      </c>
      <c r="C19" s="2313"/>
      <c r="D19" s="416">
        <v>78.421999999999997</v>
      </c>
      <c r="E19" s="416">
        <v>2.35</v>
      </c>
      <c r="F19" s="416">
        <f>D19*E19</f>
        <v>184.29169999999999</v>
      </c>
      <c r="G19" s="491" t="s">
        <v>55</v>
      </c>
      <c r="H19" s="2325"/>
      <c r="I19" s="784" t="s">
        <v>911</v>
      </c>
      <c r="J19" s="2325"/>
      <c r="K19" s="787">
        <v>78.421999999999997</v>
      </c>
      <c r="L19" s="787">
        <v>2.35</v>
      </c>
      <c r="M19" s="787">
        <f>K19*L19</f>
        <v>184.29169999999999</v>
      </c>
      <c r="N19" s="784" t="s">
        <v>55</v>
      </c>
      <c r="O19" s="2418" t="s">
        <v>923</v>
      </c>
      <c r="P19" s="786" t="s">
        <v>924</v>
      </c>
      <c r="Q19" s="1918">
        <v>3</v>
      </c>
      <c r="R19" s="787">
        <v>17.190000000000001</v>
      </c>
      <c r="S19" s="786" t="s">
        <v>55</v>
      </c>
      <c r="Y19" s="2325" t="s">
        <v>909</v>
      </c>
      <c r="Z19" s="418" t="s">
        <v>924</v>
      </c>
      <c r="AA19" s="2004">
        <v>3</v>
      </c>
      <c r="AB19" s="415">
        <v>1.5</v>
      </c>
      <c r="AC19" s="415">
        <v>2.35</v>
      </c>
      <c r="AD19" s="415">
        <f t="shared" ref="AD19:AD27" si="1">AB19*AC19</f>
        <v>3.5250000000000004</v>
      </c>
      <c r="AE19" s="415">
        <f>1.5*1.395</f>
        <v>2.0925000000000002</v>
      </c>
      <c r="AF19" s="415">
        <f>(AD19-AE19)*12</f>
        <v>17.190000000000001</v>
      </c>
      <c r="AG19" s="418" t="s">
        <v>55</v>
      </c>
    </row>
    <row r="20" spans="1:33">
      <c r="A20" s="2399"/>
      <c r="B20" s="420" t="s">
        <v>912</v>
      </c>
      <c r="C20" s="2313"/>
      <c r="D20" s="226">
        <v>41.68</v>
      </c>
      <c r="E20" s="416">
        <v>2.35</v>
      </c>
      <c r="F20" s="416">
        <f>D20*E20</f>
        <v>97.948000000000008</v>
      </c>
      <c r="G20" s="420" t="s">
        <v>55</v>
      </c>
      <c r="H20" s="2325"/>
      <c r="I20" s="784" t="s">
        <v>912</v>
      </c>
      <c r="J20" s="2325"/>
      <c r="K20" s="226">
        <v>41.68</v>
      </c>
      <c r="L20" s="787">
        <v>2.35</v>
      </c>
      <c r="M20" s="787">
        <f>K20*L20</f>
        <v>97.948000000000008</v>
      </c>
      <c r="N20" s="491" t="s">
        <v>55</v>
      </c>
      <c r="O20" s="2418"/>
      <c r="P20" s="786" t="s">
        <v>925</v>
      </c>
      <c r="Q20" s="1918"/>
      <c r="R20" s="787">
        <v>3.87</v>
      </c>
      <c r="S20" s="786" t="s">
        <v>55</v>
      </c>
      <c r="Y20" s="2325"/>
      <c r="Z20" s="418" t="s">
        <v>925</v>
      </c>
      <c r="AA20" s="2313"/>
      <c r="AB20" s="415">
        <v>0.75</v>
      </c>
      <c r="AC20" s="415">
        <v>2.35</v>
      </c>
      <c r="AD20" s="415">
        <f t="shared" si="1"/>
        <v>1.7625000000000002</v>
      </c>
      <c r="AE20" s="415">
        <v>0.47250000000000003</v>
      </c>
      <c r="AF20" s="415">
        <f>(AD20-AE20)*3</f>
        <v>3.87</v>
      </c>
      <c r="AG20" s="418" t="s">
        <v>55</v>
      </c>
    </row>
    <row r="21" spans="1:33">
      <c r="A21" s="2395" t="s">
        <v>929</v>
      </c>
      <c r="B21" s="2395"/>
      <c r="C21" s="2395"/>
      <c r="D21" s="2395"/>
      <c r="E21" s="2396"/>
      <c r="F21" s="791">
        <f>SUM(F18:F20)</f>
        <v>570.34265000000005</v>
      </c>
      <c r="G21" s="791" t="s">
        <v>55</v>
      </c>
      <c r="H21" s="2416" t="s">
        <v>929</v>
      </c>
      <c r="I21" s="2416"/>
      <c r="J21" s="2416"/>
      <c r="K21" s="2416"/>
      <c r="L21" s="2416"/>
      <c r="M21" s="791">
        <f>SUM(M18:M20)</f>
        <v>570.34265000000005</v>
      </c>
      <c r="N21" s="791" t="s">
        <v>55</v>
      </c>
      <c r="O21" s="2418"/>
      <c r="P21" s="786" t="s">
        <v>934</v>
      </c>
      <c r="Q21" s="1918"/>
      <c r="R21" s="787">
        <v>4.9698200000000003</v>
      </c>
      <c r="S21" s="786" t="s">
        <v>55</v>
      </c>
      <c r="Y21" s="2325"/>
      <c r="Z21" s="418" t="s">
        <v>934</v>
      </c>
      <c r="AA21" s="2313"/>
      <c r="AB21" s="254">
        <v>2.6019999999999999</v>
      </c>
      <c r="AC21" s="415">
        <v>2.35</v>
      </c>
      <c r="AD21" s="254">
        <f t="shared" si="1"/>
        <v>6.1147</v>
      </c>
      <c r="AE21" s="416">
        <f>2.602*1.395</f>
        <v>3.6297899999999998</v>
      </c>
      <c r="AF21" s="415">
        <f>(AD21-AE21)*2</f>
        <v>4.9698200000000003</v>
      </c>
      <c r="AG21" s="418" t="s">
        <v>55</v>
      </c>
    </row>
    <row r="22" spans="1:33">
      <c r="A22" s="2397" t="s">
        <v>909</v>
      </c>
      <c r="B22" s="420" t="s">
        <v>910</v>
      </c>
      <c r="C22" s="2004">
        <v>5</v>
      </c>
      <c r="D22" s="489">
        <v>0</v>
      </c>
      <c r="E22" s="416">
        <v>2.71</v>
      </c>
      <c r="F22" s="416">
        <f>D22*E22</f>
        <v>0</v>
      </c>
      <c r="G22" s="420" t="s">
        <v>55</v>
      </c>
      <c r="H22" s="2418" t="s">
        <v>915</v>
      </c>
      <c r="I22" s="784" t="s">
        <v>910</v>
      </c>
      <c r="J22" s="2325">
        <v>5</v>
      </c>
      <c r="K22" s="489">
        <v>0</v>
      </c>
      <c r="L22" s="787">
        <v>2.71</v>
      </c>
      <c r="M22" s="787">
        <f>K22*L22</f>
        <v>0</v>
      </c>
      <c r="N22" s="491" t="s">
        <v>55</v>
      </c>
      <c r="O22" s="2418"/>
      <c r="P22" s="786" t="s">
        <v>938</v>
      </c>
      <c r="Q22" s="1918"/>
      <c r="R22" s="787">
        <v>1.9520199999999996</v>
      </c>
      <c r="S22" s="786" t="s">
        <v>55</v>
      </c>
      <c r="Y22" s="2325"/>
      <c r="Z22" s="418" t="s">
        <v>938</v>
      </c>
      <c r="AA22" s="2313"/>
      <c r="AB22" s="254">
        <v>2.044</v>
      </c>
      <c r="AC22" s="415">
        <v>2.35</v>
      </c>
      <c r="AD22" s="254">
        <f t="shared" si="1"/>
        <v>4.8033999999999999</v>
      </c>
      <c r="AE22" s="416">
        <f>2.044*1.395</f>
        <v>2.8513800000000002</v>
      </c>
      <c r="AF22" s="415">
        <f>(AD22-AE22)</f>
        <v>1.9520199999999996</v>
      </c>
      <c r="AG22" s="418" t="s">
        <v>55</v>
      </c>
    </row>
    <row r="23" spans="1:33">
      <c r="A23" s="2398"/>
      <c r="B23" s="420" t="s">
        <v>911</v>
      </c>
      <c r="C23" s="2313"/>
      <c r="D23" s="489">
        <v>147.30500000000001</v>
      </c>
      <c r="E23" s="416">
        <v>2.71</v>
      </c>
      <c r="F23" s="416">
        <f>D23*E23</f>
        <v>399.19655</v>
      </c>
      <c r="G23" s="491" t="s">
        <v>55</v>
      </c>
      <c r="H23" s="2325"/>
      <c r="I23" s="784" t="s">
        <v>911</v>
      </c>
      <c r="J23" s="2325"/>
      <c r="K23" s="489">
        <v>147.30500000000001</v>
      </c>
      <c r="L23" s="787">
        <v>2.71</v>
      </c>
      <c r="M23" s="787">
        <f>K23*L23</f>
        <v>399.19655</v>
      </c>
      <c r="N23" s="784" t="s">
        <v>55</v>
      </c>
      <c r="O23" s="2418"/>
      <c r="P23" s="786" t="s">
        <v>939</v>
      </c>
      <c r="Q23" s="1918"/>
      <c r="R23" s="787">
        <v>2.8344399999999998</v>
      </c>
      <c r="S23" s="786" t="s">
        <v>55</v>
      </c>
      <c r="Y23" s="2325"/>
      <c r="Z23" s="418" t="s">
        <v>939</v>
      </c>
      <c r="AA23" s="2313"/>
      <c r="AB23" s="254">
        <v>2.968</v>
      </c>
      <c r="AC23" s="415">
        <v>2.35</v>
      </c>
      <c r="AD23" s="254">
        <f t="shared" si="1"/>
        <v>6.9748000000000001</v>
      </c>
      <c r="AE23" s="416">
        <f>2.968*1.395</f>
        <v>4.1403600000000003</v>
      </c>
      <c r="AF23" s="415">
        <f>(AD23-AE23)</f>
        <v>2.8344399999999998</v>
      </c>
      <c r="AG23" s="418" t="s">
        <v>55</v>
      </c>
    </row>
    <row r="24" spans="1:33">
      <c r="A24" s="2399"/>
      <c r="B24" s="420" t="s">
        <v>912</v>
      </c>
      <c r="C24" s="2313"/>
      <c r="D24" s="489">
        <v>30.187000000000001</v>
      </c>
      <c r="E24" s="416">
        <v>2.71</v>
      </c>
      <c r="F24" s="416">
        <f>D24*E24</f>
        <v>81.80677</v>
      </c>
      <c r="G24" s="420" t="s">
        <v>55</v>
      </c>
      <c r="H24" s="2325"/>
      <c r="I24" s="784" t="s">
        <v>912</v>
      </c>
      <c r="J24" s="2325"/>
      <c r="K24" s="489">
        <v>30.187000000000001</v>
      </c>
      <c r="L24" s="787">
        <v>2.71</v>
      </c>
      <c r="M24" s="787">
        <f>K24*L24</f>
        <v>81.80677</v>
      </c>
      <c r="N24" s="491" t="s">
        <v>55</v>
      </c>
      <c r="O24" s="2418"/>
      <c r="P24" s="786" t="s">
        <v>940</v>
      </c>
      <c r="Q24" s="1918"/>
      <c r="R24" s="787">
        <v>0.59730000000000061</v>
      </c>
      <c r="S24" s="786" t="s">
        <v>55</v>
      </c>
      <c r="Y24" s="2325"/>
      <c r="Z24" s="418" t="s">
        <v>940</v>
      </c>
      <c r="AA24" s="2313"/>
      <c r="AB24" s="254">
        <v>1.81</v>
      </c>
      <c r="AC24" s="415">
        <v>2.35</v>
      </c>
      <c r="AD24" s="254">
        <f t="shared" si="1"/>
        <v>4.2535000000000007</v>
      </c>
      <c r="AE24" s="416">
        <f>1.81*2.02</f>
        <v>3.6562000000000001</v>
      </c>
      <c r="AF24" s="415">
        <f>(AD24-AE24)</f>
        <v>0.59730000000000061</v>
      </c>
      <c r="AG24" s="418" t="s">
        <v>55</v>
      </c>
    </row>
    <row r="25" spans="1:33">
      <c r="A25" s="2395" t="s">
        <v>933</v>
      </c>
      <c r="B25" s="2395"/>
      <c r="C25" s="2395"/>
      <c r="D25" s="2395"/>
      <c r="E25" s="2396"/>
      <c r="F25" s="791">
        <f>SUM(F22:F24)</f>
        <v>481.00332000000003</v>
      </c>
      <c r="G25" s="791" t="s">
        <v>55</v>
      </c>
      <c r="H25" s="2416" t="s">
        <v>933</v>
      </c>
      <c r="I25" s="2416"/>
      <c r="J25" s="2416"/>
      <c r="K25" s="2416"/>
      <c r="L25" s="2416"/>
      <c r="M25" s="791">
        <f>SUM(M22:M24)</f>
        <v>481.00332000000003</v>
      </c>
      <c r="N25" s="791" t="s">
        <v>55</v>
      </c>
      <c r="O25" s="2418"/>
      <c r="P25" s="786" t="s">
        <v>941</v>
      </c>
      <c r="Q25" s="1918"/>
      <c r="R25" s="785">
        <v>4.7000000000000011</v>
      </c>
      <c r="S25" s="786" t="s">
        <v>55</v>
      </c>
      <c r="Y25" s="2325"/>
      <c r="Z25" s="418" t="s">
        <v>941</v>
      </c>
      <c r="AA25" s="2313"/>
      <c r="AB25" s="415">
        <v>1.5</v>
      </c>
      <c r="AC25" s="415">
        <v>2.35</v>
      </c>
      <c r="AD25" s="415">
        <f t="shared" si="1"/>
        <v>3.5250000000000004</v>
      </c>
      <c r="AE25" s="415">
        <v>2.25</v>
      </c>
      <c r="AF25" s="415">
        <f>(AD25-AE25)*2</f>
        <v>2.5500000000000007</v>
      </c>
      <c r="AG25" s="418" t="s">
        <v>55</v>
      </c>
    </row>
    <row r="26" spans="1:33" ht="12.75" customHeight="1">
      <c r="A26" s="2397" t="s">
        <v>909</v>
      </c>
      <c r="B26" s="420" t="s">
        <v>910</v>
      </c>
      <c r="C26" s="2004">
        <v>6</v>
      </c>
      <c r="D26" s="416">
        <v>67.63</v>
      </c>
      <c r="E26" s="416">
        <v>2.71</v>
      </c>
      <c r="F26" s="416">
        <f>D26*E26</f>
        <v>183.2773</v>
      </c>
      <c r="G26" s="420" t="s">
        <v>55</v>
      </c>
      <c r="H26" s="2418" t="s">
        <v>915</v>
      </c>
      <c r="I26" s="2418" t="s">
        <v>936</v>
      </c>
      <c r="J26" s="1918">
        <v>6</v>
      </c>
      <c r="K26" s="2004">
        <v>57.5199</v>
      </c>
      <c r="L26" s="2004">
        <v>1.71</v>
      </c>
      <c r="M26" s="2004">
        <f>K26*L26</f>
        <v>98.359028999999992</v>
      </c>
      <c r="N26" s="785" t="s">
        <v>55</v>
      </c>
      <c r="O26" s="2418"/>
      <c r="P26" s="786" t="s">
        <v>942</v>
      </c>
      <c r="Q26" s="1918"/>
      <c r="R26" s="787">
        <v>7.0500000000000016</v>
      </c>
      <c r="S26" s="786" t="s">
        <v>55</v>
      </c>
      <c r="Y26" s="2325"/>
      <c r="Z26" s="418" t="s">
        <v>942</v>
      </c>
      <c r="AA26" s="2313"/>
      <c r="AB26" s="415">
        <v>1.5</v>
      </c>
      <c r="AC26" s="415">
        <v>2.35</v>
      </c>
      <c r="AD26" s="415">
        <f t="shared" si="1"/>
        <v>3.5250000000000004</v>
      </c>
      <c r="AE26" s="415">
        <v>0.75</v>
      </c>
      <c r="AF26" s="415">
        <f>(AD26-AE26)*3</f>
        <v>8.3250000000000011</v>
      </c>
      <c r="AG26" s="418" t="s">
        <v>55</v>
      </c>
    </row>
    <row r="27" spans="1:33">
      <c r="A27" s="2398"/>
      <c r="B27" s="420" t="s">
        <v>911</v>
      </c>
      <c r="C27" s="2313"/>
      <c r="D27" s="416">
        <v>57.5199</v>
      </c>
      <c r="E27" s="416">
        <v>2.71</v>
      </c>
      <c r="F27" s="416">
        <f>D27*E27</f>
        <v>155.878929</v>
      </c>
      <c r="G27" s="491" t="s">
        <v>55</v>
      </c>
      <c r="H27" s="2325"/>
      <c r="I27" s="2418"/>
      <c r="J27" s="1918"/>
      <c r="K27" s="2313"/>
      <c r="L27" s="2313"/>
      <c r="M27" s="2313"/>
      <c r="N27" s="784" t="s">
        <v>55</v>
      </c>
      <c r="O27" s="2418"/>
      <c r="P27" s="786" t="s">
        <v>944</v>
      </c>
      <c r="Q27" s="1918"/>
      <c r="R27" s="787">
        <v>2.3500000000000005</v>
      </c>
      <c r="S27" s="786" t="s">
        <v>55</v>
      </c>
      <c r="Y27" s="2325"/>
      <c r="Z27" s="418" t="s">
        <v>944</v>
      </c>
      <c r="AA27" s="2314"/>
      <c r="AB27" s="415">
        <v>1.5</v>
      </c>
      <c r="AC27" s="415">
        <v>2.35</v>
      </c>
      <c r="AD27" s="415">
        <f t="shared" si="1"/>
        <v>3.5250000000000004</v>
      </c>
      <c r="AE27" s="415">
        <f>3.525/3</f>
        <v>1.175</v>
      </c>
      <c r="AF27" s="415">
        <f>(AD27-AE27)</f>
        <v>2.3500000000000005</v>
      </c>
      <c r="AG27" s="418" t="s">
        <v>55</v>
      </c>
    </row>
    <row r="28" spans="1:33">
      <c r="A28" s="2399"/>
      <c r="B28" s="420" t="s">
        <v>912</v>
      </c>
      <c r="C28" s="2313"/>
      <c r="D28" s="416">
        <v>40.978999999999999</v>
      </c>
      <c r="E28" s="416">
        <v>2.71</v>
      </c>
      <c r="F28" s="416">
        <f>D28*E28</f>
        <v>111.05309</v>
      </c>
      <c r="G28" s="420" t="s">
        <v>55</v>
      </c>
      <c r="H28" s="2325"/>
      <c r="I28" s="2418"/>
      <c r="J28" s="1918"/>
      <c r="K28" s="2314"/>
      <c r="L28" s="2314"/>
      <c r="M28" s="2314"/>
      <c r="N28" s="785" t="s">
        <v>55</v>
      </c>
      <c r="O28" s="2419" t="s">
        <v>926</v>
      </c>
      <c r="P28" s="2420"/>
      <c r="Q28" s="2421"/>
      <c r="R28" s="507">
        <f>SUM(R19:R27)</f>
        <v>45.513580000000012</v>
      </c>
      <c r="S28" s="506" t="s">
        <v>55</v>
      </c>
      <c r="Y28" s="2394" t="s">
        <v>926</v>
      </c>
      <c r="Z28" s="2395"/>
      <c r="AA28" s="2395"/>
      <c r="AB28" s="2395"/>
      <c r="AC28" s="2395"/>
      <c r="AD28" s="2395"/>
      <c r="AE28" s="2396"/>
      <c r="AF28" s="791">
        <f>SUM(AF19:AF27)</f>
        <v>44.638580000000012</v>
      </c>
      <c r="AG28" s="791" t="s">
        <v>55</v>
      </c>
    </row>
    <row r="29" spans="1:33">
      <c r="A29" s="2395" t="s">
        <v>943</v>
      </c>
      <c r="B29" s="2395"/>
      <c r="C29" s="2395"/>
      <c r="D29" s="2395"/>
      <c r="E29" s="2396"/>
      <c r="F29" s="791">
        <f>SUM(F26:F28)</f>
        <v>450.20931899999999</v>
      </c>
      <c r="G29" s="791" t="s">
        <v>55</v>
      </c>
      <c r="H29" s="2418" t="s">
        <v>915</v>
      </c>
      <c r="I29" s="786" t="s">
        <v>856</v>
      </c>
      <c r="J29" s="1918"/>
      <c r="K29" s="787">
        <v>40.978999999999999</v>
      </c>
      <c r="L29" s="787">
        <v>2.71</v>
      </c>
      <c r="M29" s="787">
        <f>K29*L29</f>
        <v>111.05309</v>
      </c>
      <c r="N29" s="784" t="s">
        <v>55</v>
      </c>
      <c r="O29" s="2418" t="s">
        <v>923</v>
      </c>
      <c r="P29" s="786" t="s">
        <v>924</v>
      </c>
      <c r="Q29" s="1918">
        <v>4</v>
      </c>
      <c r="R29" s="790">
        <v>18.622500000000002</v>
      </c>
      <c r="S29" s="790" t="s">
        <v>55</v>
      </c>
      <c r="Y29" s="2323" t="s">
        <v>909</v>
      </c>
      <c r="Z29" s="418" t="s">
        <v>924</v>
      </c>
      <c r="AA29" s="2004">
        <v>4</v>
      </c>
      <c r="AB29" s="415">
        <v>1.5</v>
      </c>
      <c r="AC29" s="415">
        <v>2.35</v>
      </c>
      <c r="AD29" s="415">
        <f t="shared" ref="AD29:AD35" si="2">AB29*AC29</f>
        <v>3.5250000000000004</v>
      </c>
      <c r="AE29" s="415">
        <f>1.5*1.395</f>
        <v>2.0925000000000002</v>
      </c>
      <c r="AF29" s="415">
        <f>(AD29-AE29)*13</f>
        <v>18.622500000000002</v>
      </c>
      <c r="AG29" s="418" t="s">
        <v>55</v>
      </c>
    </row>
    <row r="30" spans="1:33">
      <c r="A30" s="2397" t="s">
        <v>909</v>
      </c>
      <c r="B30" s="420" t="s">
        <v>910</v>
      </c>
      <c r="C30" s="2004">
        <v>7</v>
      </c>
      <c r="D30" s="416">
        <v>67.63</v>
      </c>
      <c r="E30" s="416">
        <v>2.71</v>
      </c>
      <c r="F30" s="416">
        <f>D30*E30</f>
        <v>183.2773</v>
      </c>
      <c r="G30" s="420" t="s">
        <v>55</v>
      </c>
      <c r="H30" s="2418"/>
      <c r="I30" s="2418" t="s">
        <v>937</v>
      </c>
      <c r="J30" s="1918"/>
      <c r="K30" s="2004">
        <v>21.79</v>
      </c>
      <c r="L30" s="787">
        <v>2.71</v>
      </c>
      <c r="M30" s="2004">
        <f>K30*L30</f>
        <v>59.050899999999999</v>
      </c>
      <c r="N30" s="785" t="s">
        <v>55</v>
      </c>
      <c r="O30" s="2418"/>
      <c r="P30" s="786" t="s">
        <v>925</v>
      </c>
      <c r="Q30" s="1918"/>
      <c r="R30" s="790">
        <v>1.29</v>
      </c>
      <c r="S30" s="790" t="s">
        <v>55</v>
      </c>
      <c r="Y30" s="2321"/>
      <c r="Z30" s="418" t="s">
        <v>925</v>
      </c>
      <c r="AA30" s="2313"/>
      <c r="AB30" s="415">
        <v>0.75</v>
      </c>
      <c r="AC30" s="415">
        <v>2.35</v>
      </c>
      <c r="AD30" s="415">
        <f t="shared" si="2"/>
        <v>1.7625000000000002</v>
      </c>
      <c r="AE30" s="415">
        <v>0.47250000000000003</v>
      </c>
      <c r="AF30" s="415">
        <f>(AD30-AE30)</f>
        <v>1.29</v>
      </c>
      <c r="AG30" s="418" t="s">
        <v>55</v>
      </c>
    </row>
    <row r="31" spans="1:33">
      <c r="A31" s="2398"/>
      <c r="B31" s="420" t="s">
        <v>911</v>
      </c>
      <c r="C31" s="2313"/>
      <c r="D31" s="416">
        <v>57.5199</v>
      </c>
      <c r="E31" s="416">
        <v>2.71</v>
      </c>
      <c r="F31" s="416">
        <f>D31*E31</f>
        <v>155.878929</v>
      </c>
      <c r="G31" s="491" t="s">
        <v>55</v>
      </c>
      <c r="H31" s="2418"/>
      <c r="I31" s="2418"/>
      <c r="J31" s="1918"/>
      <c r="K31" s="2314"/>
      <c r="L31" s="787">
        <v>2.71</v>
      </c>
      <c r="M31" s="2314"/>
      <c r="N31" s="784" t="s">
        <v>55</v>
      </c>
      <c r="O31" s="2418"/>
      <c r="P31" s="786" t="s">
        <v>934</v>
      </c>
      <c r="Q31" s="1918"/>
      <c r="R31" s="790">
        <v>9.9396400000000007</v>
      </c>
      <c r="S31" s="790" t="s">
        <v>55</v>
      </c>
      <c r="Y31" s="2321"/>
      <c r="Z31" s="418" t="s">
        <v>934</v>
      </c>
      <c r="AA31" s="2313"/>
      <c r="AB31" s="254">
        <v>2.6019999999999999</v>
      </c>
      <c r="AC31" s="415">
        <v>2.35</v>
      </c>
      <c r="AD31" s="254">
        <f t="shared" si="2"/>
        <v>6.1147</v>
      </c>
      <c r="AE31" s="416">
        <f>2.602*1.395</f>
        <v>3.6297899999999998</v>
      </c>
      <c r="AF31" s="415">
        <f>(AD31-AE31)*4</f>
        <v>9.9396400000000007</v>
      </c>
      <c r="AG31" s="418" t="s">
        <v>55</v>
      </c>
    </row>
    <row r="32" spans="1:33">
      <c r="A32" s="2399"/>
      <c r="B32" s="420" t="s">
        <v>912</v>
      </c>
      <c r="C32" s="2313"/>
      <c r="D32" s="416">
        <v>40.978999999999999</v>
      </c>
      <c r="E32" s="416">
        <v>2.71</v>
      </c>
      <c r="F32" s="416">
        <f>D32*E32</f>
        <v>111.05309</v>
      </c>
      <c r="G32" s="420" t="s">
        <v>55</v>
      </c>
      <c r="H32" s="2418"/>
      <c r="I32" s="2418" t="s">
        <v>936</v>
      </c>
      <c r="J32" s="1918"/>
      <c r="K32" s="2004">
        <v>57.5199</v>
      </c>
      <c r="L32" s="2427">
        <v>1</v>
      </c>
      <c r="M32" s="2004">
        <f>K32*L32</f>
        <v>57.5199</v>
      </c>
      <c r="N32" s="785" t="s">
        <v>55</v>
      </c>
      <c r="O32" s="2418"/>
      <c r="P32" s="786" t="s">
        <v>940</v>
      </c>
      <c r="Q32" s="1918"/>
      <c r="R32" s="790">
        <v>0.59730000000000061</v>
      </c>
      <c r="S32" s="790" t="s">
        <v>55</v>
      </c>
      <c r="Y32" s="2321"/>
      <c r="Z32" s="418" t="s">
        <v>940</v>
      </c>
      <c r="AA32" s="2313"/>
      <c r="AB32" s="254">
        <v>1.81</v>
      </c>
      <c r="AC32" s="415">
        <v>2.35</v>
      </c>
      <c r="AD32" s="254">
        <f t="shared" si="2"/>
        <v>4.2535000000000007</v>
      </c>
      <c r="AE32" s="416">
        <f>1.81*2.02</f>
        <v>3.6562000000000001</v>
      </c>
      <c r="AF32" s="415">
        <f>(AD32-AE32)</f>
        <v>0.59730000000000061</v>
      </c>
      <c r="AG32" s="418" t="s">
        <v>55</v>
      </c>
    </row>
    <row r="33" spans="1:34">
      <c r="A33" s="2395" t="s">
        <v>945</v>
      </c>
      <c r="B33" s="2395"/>
      <c r="C33" s="2395"/>
      <c r="D33" s="2395"/>
      <c r="E33" s="2396"/>
      <c r="F33" s="791">
        <f>SUM(F30:F32)</f>
        <v>450.20931899999999</v>
      </c>
      <c r="G33" s="791" t="s">
        <v>55</v>
      </c>
      <c r="H33" s="2418"/>
      <c r="I33" s="2418"/>
      <c r="J33" s="1918"/>
      <c r="K33" s="2313"/>
      <c r="L33" s="2428"/>
      <c r="M33" s="2313"/>
      <c r="N33" s="784" t="s">
        <v>55</v>
      </c>
      <c r="O33" s="2418"/>
      <c r="P33" s="786" t="s">
        <v>941</v>
      </c>
      <c r="Q33" s="1918"/>
      <c r="R33" s="790">
        <v>7.0500000000000016</v>
      </c>
      <c r="S33" s="790" t="s">
        <v>55</v>
      </c>
      <c r="Y33" s="2321"/>
      <c r="Z33" s="418" t="s">
        <v>941</v>
      </c>
      <c r="AA33" s="2313"/>
      <c r="AB33" s="415">
        <v>1.5</v>
      </c>
      <c r="AC33" s="415">
        <v>2.35</v>
      </c>
      <c r="AD33" s="415">
        <f t="shared" si="2"/>
        <v>3.5250000000000004</v>
      </c>
      <c r="AE33" s="415">
        <v>2.25</v>
      </c>
      <c r="AF33" s="415">
        <f>(AD33-AE33)*3</f>
        <v>3.8250000000000011</v>
      </c>
      <c r="AG33" s="418" t="s">
        <v>55</v>
      </c>
    </row>
    <row r="34" spans="1:34">
      <c r="A34" s="2397" t="s">
        <v>909</v>
      </c>
      <c r="B34" s="420" t="s">
        <v>910</v>
      </c>
      <c r="C34" s="2004">
        <v>8</v>
      </c>
      <c r="D34" s="416">
        <v>67.63</v>
      </c>
      <c r="E34" s="416">
        <v>2.71</v>
      </c>
      <c r="F34" s="416">
        <f>D34*E34</f>
        <v>183.2773</v>
      </c>
      <c r="G34" s="420" t="s">
        <v>55</v>
      </c>
      <c r="H34" s="2418"/>
      <c r="I34" s="2418"/>
      <c r="J34" s="1918"/>
      <c r="K34" s="2314"/>
      <c r="L34" s="2429"/>
      <c r="M34" s="2314"/>
      <c r="N34" s="785" t="s">
        <v>55</v>
      </c>
      <c r="O34" s="2418"/>
      <c r="P34" s="786" t="s">
        <v>942</v>
      </c>
      <c r="Q34" s="1918"/>
      <c r="R34" s="790">
        <v>2.3500000000000005</v>
      </c>
      <c r="S34" s="790" t="s">
        <v>55</v>
      </c>
      <c r="Y34" s="2321"/>
      <c r="Z34" s="418" t="s">
        <v>942</v>
      </c>
      <c r="AA34" s="2313"/>
      <c r="AB34" s="415">
        <v>1.5</v>
      </c>
      <c r="AC34" s="415">
        <v>2.35</v>
      </c>
      <c r="AD34" s="415">
        <f t="shared" si="2"/>
        <v>3.5250000000000004</v>
      </c>
      <c r="AE34" s="415">
        <v>0.75</v>
      </c>
      <c r="AF34" s="415">
        <f>(AD34-AE34)</f>
        <v>2.7750000000000004</v>
      </c>
      <c r="AG34" s="418" t="s">
        <v>55</v>
      </c>
    </row>
    <row r="35" spans="1:34">
      <c r="A35" s="2398"/>
      <c r="B35" s="420" t="s">
        <v>911</v>
      </c>
      <c r="C35" s="2313"/>
      <c r="D35" s="416">
        <v>57.5199</v>
      </c>
      <c r="E35" s="416">
        <v>2.71</v>
      </c>
      <c r="F35" s="416">
        <f>D35*E35</f>
        <v>155.878929</v>
      </c>
      <c r="G35" s="491" t="s">
        <v>55</v>
      </c>
      <c r="H35" s="2416" t="s">
        <v>943</v>
      </c>
      <c r="I35" s="2416"/>
      <c r="J35" s="2416"/>
      <c r="K35" s="2416"/>
      <c r="L35" s="2416"/>
      <c r="M35" s="791">
        <f>SUM(M26:M34)</f>
        <v>325.98291899999998</v>
      </c>
      <c r="N35" s="791" t="s">
        <v>55</v>
      </c>
      <c r="O35" s="2418"/>
      <c r="P35" s="786" t="s">
        <v>944</v>
      </c>
      <c r="Q35" s="1918"/>
      <c r="R35" s="790">
        <v>2.3500000000000005</v>
      </c>
      <c r="S35" s="790" t="s">
        <v>55</v>
      </c>
      <c r="Y35" s="2322"/>
      <c r="Z35" s="418" t="s">
        <v>944</v>
      </c>
      <c r="AA35" s="2313"/>
      <c r="AB35" s="415">
        <v>1.5</v>
      </c>
      <c r="AC35" s="415">
        <v>2.35</v>
      </c>
      <c r="AD35" s="415">
        <f t="shared" si="2"/>
        <v>3.5250000000000004</v>
      </c>
      <c r="AE35" s="415">
        <f>3.525/3</f>
        <v>1.175</v>
      </c>
      <c r="AF35" s="415">
        <f>(AD35-AE35)</f>
        <v>2.3500000000000005</v>
      </c>
      <c r="AG35" s="418" t="s">
        <v>55</v>
      </c>
    </row>
    <row r="36" spans="1:34">
      <c r="A36" s="2399"/>
      <c r="B36" s="420" t="s">
        <v>912</v>
      </c>
      <c r="C36" s="2313"/>
      <c r="D36" s="416">
        <v>40.978999999999999</v>
      </c>
      <c r="E36" s="416">
        <v>2.71</v>
      </c>
      <c r="F36" s="416">
        <f>D36*E36</f>
        <v>111.05309</v>
      </c>
      <c r="G36" s="420" t="s">
        <v>55</v>
      </c>
      <c r="H36" s="2418" t="s">
        <v>935</v>
      </c>
      <c r="I36" s="2418" t="s">
        <v>936</v>
      </c>
      <c r="J36" s="1918">
        <v>7</v>
      </c>
      <c r="K36" s="2004">
        <v>57.5199</v>
      </c>
      <c r="L36" s="2004">
        <v>1.71</v>
      </c>
      <c r="M36" s="2004">
        <f>K36*L36</f>
        <v>98.359028999999992</v>
      </c>
      <c r="N36" s="785" t="s">
        <v>55</v>
      </c>
      <c r="O36" s="2416" t="s">
        <v>929</v>
      </c>
      <c r="P36" s="2416"/>
      <c r="Q36" s="2416"/>
      <c r="R36" s="505">
        <f>SUM(R29:R35)</f>
        <v>42.19944000000001</v>
      </c>
      <c r="S36" s="506" t="s">
        <v>55</v>
      </c>
      <c r="Y36" s="2394" t="s">
        <v>929</v>
      </c>
      <c r="Z36" s="2395"/>
      <c r="AA36" s="2395"/>
      <c r="AB36" s="2395"/>
      <c r="AC36" s="2395"/>
      <c r="AD36" s="2395"/>
      <c r="AE36" s="2396"/>
      <c r="AF36" s="791">
        <f>SUM(AF29:AF35)</f>
        <v>39.399440000000006</v>
      </c>
      <c r="AG36" s="791" t="s">
        <v>55</v>
      </c>
    </row>
    <row r="37" spans="1:34">
      <c r="A37" s="2395" t="s">
        <v>955</v>
      </c>
      <c r="B37" s="2395"/>
      <c r="C37" s="2395"/>
      <c r="D37" s="2395"/>
      <c r="E37" s="2396"/>
      <c r="F37" s="791">
        <f>SUM(F34:F36)</f>
        <v>450.20931899999999</v>
      </c>
      <c r="G37" s="791" t="s">
        <v>55</v>
      </c>
      <c r="H37" s="2418"/>
      <c r="I37" s="2418"/>
      <c r="J37" s="1918"/>
      <c r="K37" s="2313"/>
      <c r="L37" s="2313"/>
      <c r="M37" s="2313"/>
      <c r="N37" s="784" t="s">
        <v>55</v>
      </c>
      <c r="O37" s="2417" t="s">
        <v>923</v>
      </c>
      <c r="P37" s="789" t="s">
        <v>946</v>
      </c>
      <c r="Q37" s="1861" t="s">
        <v>947</v>
      </c>
      <c r="R37" s="787">
        <v>16.441319999999997</v>
      </c>
      <c r="S37" s="790" t="s">
        <v>55</v>
      </c>
      <c r="Y37" s="2325" t="s">
        <v>909</v>
      </c>
      <c r="Z37" s="420" t="s">
        <v>946</v>
      </c>
      <c r="AA37" s="2407" t="s">
        <v>947</v>
      </c>
      <c r="AB37" s="254">
        <v>5.1059999999999999</v>
      </c>
      <c r="AC37" s="415">
        <v>2.71</v>
      </c>
      <c r="AD37" s="415">
        <f t="shared" ref="AD37:AD43" si="3">AB37*AC37</f>
        <v>13.837259999999999</v>
      </c>
      <c r="AE37" s="416">
        <f>5.106*1.1</f>
        <v>5.6166</v>
      </c>
      <c r="AF37" s="415">
        <f>(AD37-AE37)*2</f>
        <v>16.441319999999997</v>
      </c>
      <c r="AG37" s="418" t="s">
        <v>55</v>
      </c>
    </row>
    <row r="38" spans="1:34">
      <c r="A38" s="2397" t="s">
        <v>909</v>
      </c>
      <c r="B38" s="420" t="s">
        <v>910</v>
      </c>
      <c r="C38" s="2004">
        <v>9</v>
      </c>
      <c r="D38" s="416">
        <v>67.63</v>
      </c>
      <c r="E38" s="416">
        <v>2.71</v>
      </c>
      <c r="F38" s="416">
        <f>D38*E38</f>
        <v>183.2773</v>
      </c>
      <c r="G38" s="420" t="s">
        <v>55</v>
      </c>
      <c r="H38" s="2418"/>
      <c r="I38" s="2418"/>
      <c r="J38" s="1918"/>
      <c r="K38" s="2314"/>
      <c r="L38" s="2314"/>
      <c r="M38" s="2314"/>
      <c r="N38" s="785" t="s">
        <v>55</v>
      </c>
      <c r="O38" s="2418"/>
      <c r="P38" s="784" t="s">
        <v>948</v>
      </c>
      <c r="Q38" s="1861"/>
      <c r="R38" s="787">
        <v>1.6099999999999999</v>
      </c>
      <c r="S38" s="790" t="s">
        <v>55</v>
      </c>
      <c r="Y38" s="2325"/>
      <c r="Z38" s="420" t="s">
        <v>948</v>
      </c>
      <c r="AA38" s="2408"/>
      <c r="AB38" s="254">
        <v>1</v>
      </c>
      <c r="AC38" s="415">
        <v>2.71</v>
      </c>
      <c r="AD38" s="415">
        <f t="shared" si="3"/>
        <v>2.71</v>
      </c>
      <c r="AE38" s="416">
        <v>1.1000000000000001</v>
      </c>
      <c r="AF38" s="415">
        <f>(AD38-AE38)</f>
        <v>1.6099999999999999</v>
      </c>
      <c r="AG38" s="418" t="s">
        <v>55</v>
      </c>
    </row>
    <row r="39" spans="1:34">
      <c r="A39" s="2398"/>
      <c r="B39" s="420" t="s">
        <v>911</v>
      </c>
      <c r="C39" s="2313"/>
      <c r="D39" s="504">
        <v>94.311999999999998</v>
      </c>
      <c r="E39" s="416">
        <v>2.71</v>
      </c>
      <c r="F39" s="504">
        <f>D39*E39</f>
        <v>255.58552</v>
      </c>
      <c r="G39" s="420" t="s">
        <v>55</v>
      </c>
      <c r="H39" s="2418" t="s">
        <v>915</v>
      </c>
      <c r="I39" s="786" t="s">
        <v>856</v>
      </c>
      <c r="J39" s="1918"/>
      <c r="K39" s="787">
        <v>40.978999999999999</v>
      </c>
      <c r="L39" s="787">
        <v>2.71</v>
      </c>
      <c r="M39" s="787">
        <f>K39*L39</f>
        <v>111.05309</v>
      </c>
      <c r="N39" s="784" t="s">
        <v>55</v>
      </c>
      <c r="O39" s="2418"/>
      <c r="P39" s="784" t="s">
        <v>949</v>
      </c>
      <c r="Q39" s="1861"/>
      <c r="R39" s="787">
        <v>9.2232000000000003</v>
      </c>
      <c r="S39" s="790" t="s">
        <v>55</v>
      </c>
      <c r="Y39" s="2325"/>
      <c r="Z39" s="420" t="s">
        <v>949</v>
      </c>
      <c r="AA39" s="2408"/>
      <c r="AB39" s="254">
        <v>4.88</v>
      </c>
      <c r="AC39" s="415">
        <v>2.71</v>
      </c>
      <c r="AD39" s="415">
        <f t="shared" si="3"/>
        <v>13.2248</v>
      </c>
      <c r="AE39" s="226">
        <v>4.0015999999999998</v>
      </c>
      <c r="AF39" s="415">
        <f>(AD39-AE39)</f>
        <v>9.2232000000000003</v>
      </c>
      <c r="AG39" s="418" t="s">
        <v>55</v>
      </c>
    </row>
    <row r="40" spans="1:34">
      <c r="A40" s="2399"/>
      <c r="B40" s="420" t="s">
        <v>912</v>
      </c>
      <c r="C40" s="2313"/>
      <c r="D40" s="416">
        <v>40.978999999999999</v>
      </c>
      <c r="E40" s="416">
        <v>2.71</v>
      </c>
      <c r="F40" s="416">
        <f>D40*E40</f>
        <v>111.05309</v>
      </c>
      <c r="G40" s="420" t="s">
        <v>55</v>
      </c>
      <c r="H40" s="2418"/>
      <c r="I40" s="2418" t="s">
        <v>937</v>
      </c>
      <c r="J40" s="1918"/>
      <c r="K40" s="2004">
        <v>21.79</v>
      </c>
      <c r="L40" s="787">
        <v>2.71</v>
      </c>
      <c r="M40" s="2004">
        <f>K40*L40</f>
        <v>59.050899999999999</v>
      </c>
      <c r="N40" s="785" t="s">
        <v>55</v>
      </c>
      <c r="O40" s="2418"/>
      <c r="P40" s="784" t="s">
        <v>950</v>
      </c>
      <c r="Q40" s="1861"/>
      <c r="R40" s="787">
        <v>19.506949999999996</v>
      </c>
      <c r="S40" s="790" t="s">
        <v>55</v>
      </c>
      <c r="Y40" s="2325"/>
      <c r="Z40" s="420" t="s">
        <v>950</v>
      </c>
      <c r="AA40" s="2408"/>
      <c r="AB40" s="254">
        <v>9.2449999999999992</v>
      </c>
      <c r="AC40" s="415">
        <v>2.71</v>
      </c>
      <c r="AD40" s="415">
        <f t="shared" si="3"/>
        <v>25.053949999999997</v>
      </c>
      <c r="AE40" s="416">
        <v>5.5469999999999997</v>
      </c>
      <c r="AF40" s="415">
        <f>(AD40-AE40)</f>
        <v>19.506949999999996</v>
      </c>
      <c r="AG40" s="418" t="s">
        <v>55</v>
      </c>
    </row>
    <row r="41" spans="1:34">
      <c r="A41" s="2395" t="s">
        <v>957</v>
      </c>
      <c r="B41" s="2395"/>
      <c r="C41" s="2395"/>
      <c r="D41" s="2395"/>
      <c r="E41" s="2396"/>
      <c r="F41" s="791">
        <f>SUM(F38:F40)</f>
        <v>549.91590999999994</v>
      </c>
      <c r="G41" s="791" t="s">
        <v>55</v>
      </c>
      <c r="H41" s="2418"/>
      <c r="I41" s="2418"/>
      <c r="J41" s="1918"/>
      <c r="K41" s="2314"/>
      <c r="L41" s="787">
        <v>2.71</v>
      </c>
      <c r="M41" s="2314"/>
      <c r="N41" s="784" t="s">
        <v>55</v>
      </c>
      <c r="O41" s="2418"/>
      <c r="P41" s="784" t="s">
        <v>951</v>
      </c>
      <c r="Q41" s="1861"/>
      <c r="R41" s="787">
        <v>5.8925999999999989</v>
      </c>
      <c r="S41" s="790" t="s">
        <v>55</v>
      </c>
      <c r="Y41" s="2325"/>
      <c r="Z41" s="420" t="s">
        <v>951</v>
      </c>
      <c r="AA41" s="2408"/>
      <c r="AB41" s="254">
        <v>3.66</v>
      </c>
      <c r="AC41" s="415">
        <v>2.71</v>
      </c>
      <c r="AD41" s="415">
        <f t="shared" si="3"/>
        <v>9.9185999999999996</v>
      </c>
      <c r="AE41" s="416">
        <v>4.0260000000000007</v>
      </c>
      <c r="AF41" s="415">
        <f>(AD41-AE41)</f>
        <v>5.8925999999999989</v>
      </c>
      <c r="AG41" s="418" t="s">
        <v>55</v>
      </c>
    </row>
    <row r="42" spans="1:34">
      <c r="A42" s="2405" t="s">
        <v>1670</v>
      </c>
      <c r="B42" s="2405"/>
      <c r="C42" s="2405"/>
      <c r="D42" s="2405"/>
      <c r="E42" s="2406"/>
      <c r="F42" s="788">
        <f>F9+F13+F17+F21+F25+F29+F33+F37+F41</f>
        <v>4225.3242870000004</v>
      </c>
      <c r="G42" s="788" t="s">
        <v>55</v>
      </c>
      <c r="H42" s="2418"/>
      <c r="I42" s="2418" t="s">
        <v>936</v>
      </c>
      <c r="J42" s="1918"/>
      <c r="K42" s="2004">
        <v>57.5199</v>
      </c>
      <c r="L42" s="2427">
        <v>1</v>
      </c>
      <c r="M42" s="2004">
        <f>K42*L42</f>
        <v>57.5199</v>
      </c>
      <c r="N42" s="785" t="s">
        <v>55</v>
      </c>
      <c r="O42" s="2418"/>
      <c r="P42" s="784" t="s">
        <v>952</v>
      </c>
      <c r="Q42" s="1861"/>
      <c r="R42" s="787">
        <v>29.688399999999998</v>
      </c>
      <c r="S42" s="790" t="s">
        <v>55</v>
      </c>
      <c r="Y42" s="2325"/>
      <c r="Z42" s="420" t="s">
        <v>952</v>
      </c>
      <c r="AA42" s="2408"/>
      <c r="AB42" s="254">
        <v>9.2200000000000006</v>
      </c>
      <c r="AC42" s="415">
        <v>2.71</v>
      </c>
      <c r="AD42" s="415">
        <f t="shared" si="3"/>
        <v>24.9862</v>
      </c>
      <c r="AE42" s="416">
        <v>10.142000000000001</v>
      </c>
      <c r="AF42" s="415">
        <f>(AD42-AE42)*2</f>
        <v>29.688399999999998</v>
      </c>
      <c r="AG42" s="418" t="s">
        <v>55</v>
      </c>
    </row>
    <row r="43" spans="1:34" ht="13.5" thickBot="1">
      <c r="H43" s="2418"/>
      <c r="I43" s="2418"/>
      <c r="J43" s="1918"/>
      <c r="K43" s="2313"/>
      <c r="L43" s="2428"/>
      <c r="M43" s="2313"/>
      <c r="N43" s="784" t="s">
        <v>55</v>
      </c>
      <c r="O43" s="2418"/>
      <c r="P43" s="784" t="s">
        <v>953</v>
      </c>
      <c r="Q43" s="1861"/>
      <c r="R43" s="787">
        <v>11.595220000000001</v>
      </c>
      <c r="S43" s="790" t="s">
        <v>55</v>
      </c>
      <c r="Y43" s="2325"/>
      <c r="Z43" s="420" t="s">
        <v>953</v>
      </c>
      <c r="AA43" s="2409"/>
      <c r="AB43" s="254">
        <v>3.601</v>
      </c>
      <c r="AC43" s="415">
        <v>2.71</v>
      </c>
      <c r="AD43" s="415">
        <f t="shared" si="3"/>
        <v>9.7587100000000007</v>
      </c>
      <c r="AE43" s="416">
        <v>3.9611000000000005</v>
      </c>
      <c r="AF43" s="415">
        <f>(AD43-AE43)*2</f>
        <v>11.595220000000001</v>
      </c>
      <c r="AG43" s="418" t="s">
        <v>55</v>
      </c>
    </row>
    <row r="44" spans="1:34" ht="13.5" thickBot="1">
      <c r="A44" s="717" t="s">
        <v>527</v>
      </c>
      <c r="B44" s="718" t="s">
        <v>46</v>
      </c>
      <c r="C44" s="719" t="s">
        <v>42</v>
      </c>
      <c r="H44" s="2418"/>
      <c r="I44" s="2418"/>
      <c r="J44" s="1918"/>
      <c r="K44" s="2314"/>
      <c r="L44" s="2429"/>
      <c r="M44" s="2314"/>
      <c r="N44" s="785" t="s">
        <v>55</v>
      </c>
      <c r="O44" s="2419" t="s">
        <v>954</v>
      </c>
      <c r="P44" s="2420"/>
      <c r="Q44" s="2421"/>
      <c r="R44" s="507">
        <f>(SUM(R37:R43))*3</f>
        <v>281.87306999999998</v>
      </c>
      <c r="S44" s="506" t="s">
        <v>55</v>
      </c>
      <c r="T44">
        <f>R44/3</f>
        <v>93.957689999999999</v>
      </c>
      <c r="Y44" s="2394" t="s">
        <v>954</v>
      </c>
      <c r="Z44" s="2395"/>
      <c r="AA44" s="2395"/>
      <c r="AB44" s="2395"/>
      <c r="AC44" s="2395"/>
      <c r="AD44" s="2395"/>
      <c r="AE44" s="2396"/>
      <c r="AF44" s="791">
        <f>(SUM(AF37:AF43))*3</f>
        <v>281.87306999999998</v>
      </c>
      <c r="AG44" s="791" t="s">
        <v>55</v>
      </c>
      <c r="AH44">
        <f>AF44/3</f>
        <v>93.957689999999999</v>
      </c>
    </row>
    <row r="45" spans="1:34">
      <c r="A45" s="720" t="s">
        <v>1261</v>
      </c>
      <c r="B45" s="721">
        <f>SUM(F42,AF54)</f>
        <v>4737.0312020000001</v>
      </c>
      <c r="C45" s="722" t="s">
        <v>1263</v>
      </c>
      <c r="H45" s="2416" t="s">
        <v>945</v>
      </c>
      <c r="I45" s="2416"/>
      <c r="J45" s="2416"/>
      <c r="K45" s="2416"/>
      <c r="L45" s="2416"/>
      <c r="M45" s="791">
        <f>SUM(M36:M44)</f>
        <v>325.98291899999998</v>
      </c>
      <c r="N45" s="791" t="s">
        <v>55</v>
      </c>
      <c r="O45" s="2418" t="s">
        <v>923</v>
      </c>
      <c r="P45" s="784" t="s">
        <v>946</v>
      </c>
      <c r="Q45" s="1918">
        <v>9</v>
      </c>
      <c r="R45" s="790">
        <v>16.441319999999997</v>
      </c>
      <c r="S45" s="790" t="s">
        <v>55</v>
      </c>
      <c r="Y45" s="2325" t="s">
        <v>909</v>
      </c>
      <c r="Z45" s="420" t="s">
        <v>946</v>
      </c>
      <c r="AA45" s="2004">
        <v>9</v>
      </c>
      <c r="AB45" s="254">
        <v>5.1059999999999999</v>
      </c>
      <c r="AC45" s="415">
        <v>2.71</v>
      </c>
      <c r="AD45" s="415">
        <f t="shared" ref="AD45:AD52" si="4">AB45*AC45</f>
        <v>13.837259999999999</v>
      </c>
      <c r="AE45" s="416">
        <f>5.106*1.1</f>
        <v>5.6166</v>
      </c>
      <c r="AF45" s="415">
        <f>(AD45-AE45)*2</f>
        <v>16.441319999999997</v>
      </c>
      <c r="AG45" s="418" t="s">
        <v>55</v>
      </c>
    </row>
    <row r="46" spans="1:34" ht="13.5" thickBot="1">
      <c r="A46" s="726" t="s">
        <v>906</v>
      </c>
      <c r="B46" s="727">
        <f>SUM(M60,R54,V6,W16)</f>
        <v>9311.0984219999991</v>
      </c>
      <c r="C46" s="728" t="s">
        <v>1263</v>
      </c>
      <c r="H46" s="2418" t="s">
        <v>935</v>
      </c>
      <c r="I46" s="2418" t="s">
        <v>936</v>
      </c>
      <c r="J46" s="1918">
        <v>8</v>
      </c>
      <c r="K46" s="2004">
        <v>57.5199</v>
      </c>
      <c r="L46" s="2004">
        <v>1.71</v>
      </c>
      <c r="M46" s="2004">
        <f>K46*L46</f>
        <v>98.359028999999992</v>
      </c>
      <c r="N46" s="785" t="s">
        <v>55</v>
      </c>
      <c r="O46" s="2418"/>
      <c r="P46" s="784" t="s">
        <v>948</v>
      </c>
      <c r="Q46" s="1918"/>
      <c r="R46" s="790">
        <v>1.6099999999999999</v>
      </c>
      <c r="S46" s="790" t="s">
        <v>55</v>
      </c>
      <c r="Y46" s="2325"/>
      <c r="Z46" s="420" t="s">
        <v>948</v>
      </c>
      <c r="AA46" s="2313"/>
      <c r="AB46" s="254">
        <v>1</v>
      </c>
      <c r="AC46" s="415">
        <v>2.71</v>
      </c>
      <c r="AD46" s="415">
        <f t="shared" si="4"/>
        <v>2.71</v>
      </c>
      <c r="AE46" s="416">
        <v>1.1000000000000001</v>
      </c>
      <c r="AF46" s="415">
        <f>(AD46-AE46)</f>
        <v>1.6099999999999999</v>
      </c>
      <c r="AG46" s="418" t="s">
        <v>55</v>
      </c>
    </row>
    <row r="47" spans="1:34">
      <c r="H47" s="2418"/>
      <c r="I47" s="2418"/>
      <c r="J47" s="1918"/>
      <c r="K47" s="2313"/>
      <c r="L47" s="2313"/>
      <c r="M47" s="2313"/>
      <c r="N47" s="784" t="s">
        <v>55</v>
      </c>
      <c r="O47" s="2418"/>
      <c r="P47" s="784" t="s">
        <v>949</v>
      </c>
      <c r="Q47" s="1918"/>
      <c r="R47" s="790">
        <v>9.2232000000000003</v>
      </c>
      <c r="S47" s="790" t="s">
        <v>55</v>
      </c>
      <c r="Y47" s="2325"/>
      <c r="Z47" s="420" t="s">
        <v>949</v>
      </c>
      <c r="AA47" s="2313"/>
      <c r="AB47" s="254">
        <v>4.88</v>
      </c>
      <c r="AC47" s="415">
        <v>2.71</v>
      </c>
      <c r="AD47" s="415">
        <f t="shared" si="4"/>
        <v>13.2248</v>
      </c>
      <c r="AE47" s="226">
        <v>4.0015999999999998</v>
      </c>
      <c r="AF47" s="415">
        <f>(AD47-AE47)</f>
        <v>9.2232000000000003</v>
      </c>
      <c r="AG47" s="418" t="s">
        <v>55</v>
      </c>
    </row>
    <row r="48" spans="1:34">
      <c r="H48" s="2418"/>
      <c r="I48" s="2418"/>
      <c r="J48" s="1918"/>
      <c r="K48" s="2314"/>
      <c r="L48" s="2314"/>
      <c r="M48" s="2314"/>
      <c r="N48" s="785" t="s">
        <v>55</v>
      </c>
      <c r="O48" s="2418"/>
      <c r="P48" s="784" t="s">
        <v>951</v>
      </c>
      <c r="Q48" s="1918"/>
      <c r="R48" s="790">
        <v>5.8925999999999989</v>
      </c>
      <c r="S48" s="790" t="s">
        <v>55</v>
      </c>
      <c r="Y48" s="2325"/>
      <c r="Z48" s="420" t="s">
        <v>951</v>
      </c>
      <c r="AA48" s="2313"/>
      <c r="AB48" s="254">
        <v>3.66</v>
      </c>
      <c r="AC48" s="415">
        <v>2.71</v>
      </c>
      <c r="AD48" s="415">
        <f t="shared" si="4"/>
        <v>9.9185999999999996</v>
      </c>
      <c r="AE48" s="416">
        <v>4.0260000000000007</v>
      </c>
      <c r="AF48" s="415">
        <f>(AD48-AE48)</f>
        <v>5.8925999999999989</v>
      </c>
      <c r="AG48" s="418" t="s">
        <v>55</v>
      </c>
    </row>
    <row r="49" spans="8:33">
      <c r="H49" s="2418" t="s">
        <v>915</v>
      </c>
      <c r="I49" s="786" t="s">
        <v>856</v>
      </c>
      <c r="J49" s="1918"/>
      <c r="K49" s="787">
        <v>40.978999999999999</v>
      </c>
      <c r="L49" s="787">
        <v>2.71</v>
      </c>
      <c r="M49" s="787">
        <f>K49*L49</f>
        <v>111.05309</v>
      </c>
      <c r="N49" s="784" t="s">
        <v>55</v>
      </c>
      <c r="O49" s="2418"/>
      <c r="P49" s="784" t="s">
        <v>952</v>
      </c>
      <c r="Q49" s="1918"/>
      <c r="R49" s="790">
        <v>29.688399999999998</v>
      </c>
      <c r="S49" s="790" t="s">
        <v>55</v>
      </c>
      <c r="Y49" s="2325"/>
      <c r="Z49" s="420" t="s">
        <v>952</v>
      </c>
      <c r="AA49" s="2313"/>
      <c r="AB49" s="254">
        <v>9.2200000000000006</v>
      </c>
      <c r="AC49" s="415">
        <v>2.71</v>
      </c>
      <c r="AD49" s="415">
        <f t="shared" si="4"/>
        <v>24.9862</v>
      </c>
      <c r="AE49" s="416">
        <v>10.142000000000001</v>
      </c>
      <c r="AF49" s="415">
        <f>(AD49-AE49)*2</f>
        <v>29.688399999999998</v>
      </c>
      <c r="AG49" s="418" t="s">
        <v>55</v>
      </c>
    </row>
    <row r="50" spans="8:33">
      <c r="H50" s="2418"/>
      <c r="I50" s="2418" t="s">
        <v>937</v>
      </c>
      <c r="J50" s="1918"/>
      <c r="K50" s="2004">
        <v>21.79</v>
      </c>
      <c r="L50" s="787">
        <v>2.71</v>
      </c>
      <c r="M50" s="2004">
        <f>K50*L50</f>
        <v>59.050899999999999</v>
      </c>
      <c r="N50" s="785" t="s">
        <v>55</v>
      </c>
      <c r="O50" s="2418"/>
      <c r="P50" s="784" t="s">
        <v>956</v>
      </c>
      <c r="Q50" s="1918"/>
      <c r="R50" s="790">
        <v>4.7012</v>
      </c>
      <c r="S50" s="790" t="s">
        <v>55</v>
      </c>
      <c r="Y50" s="2325"/>
      <c r="Z50" s="420" t="s">
        <v>956</v>
      </c>
      <c r="AA50" s="2313"/>
      <c r="AB50" s="254">
        <v>1.46</v>
      </c>
      <c r="AC50" s="415">
        <v>2.71</v>
      </c>
      <c r="AD50" s="254">
        <f t="shared" si="4"/>
        <v>3.9565999999999999</v>
      </c>
      <c r="AE50" s="416">
        <v>1.6060000000000001</v>
      </c>
      <c r="AF50" s="415">
        <f>(AD50-AE50)*2</f>
        <v>4.7012</v>
      </c>
      <c r="AG50" s="418" t="s">
        <v>55</v>
      </c>
    </row>
    <row r="51" spans="8:33">
      <c r="H51" s="2418"/>
      <c r="I51" s="2418"/>
      <c r="J51" s="1918"/>
      <c r="K51" s="2314"/>
      <c r="L51" s="787">
        <v>2.71</v>
      </c>
      <c r="M51" s="2314"/>
      <c r="N51" s="784" t="s">
        <v>55</v>
      </c>
      <c r="O51" s="2418"/>
      <c r="P51" s="784" t="s">
        <v>958</v>
      </c>
      <c r="Q51" s="1918"/>
      <c r="R51" s="790">
        <v>11.688599999999997</v>
      </c>
      <c r="S51" s="790" t="s">
        <v>55</v>
      </c>
      <c r="Y51" s="2325"/>
      <c r="Z51" s="420" t="s">
        <v>958</v>
      </c>
      <c r="AA51" s="2313"/>
      <c r="AB51" s="254">
        <v>3.63</v>
      </c>
      <c r="AC51" s="415">
        <v>2.71</v>
      </c>
      <c r="AD51" s="254">
        <f t="shared" si="4"/>
        <v>9.837299999999999</v>
      </c>
      <c r="AE51" s="416">
        <f>3.63*1.1</f>
        <v>3.9930000000000003</v>
      </c>
      <c r="AF51" s="415">
        <f>(AD51-AE51)*2</f>
        <v>11.688599999999997</v>
      </c>
      <c r="AG51" s="418" t="s">
        <v>55</v>
      </c>
    </row>
    <row r="52" spans="8:33">
      <c r="H52" s="2418"/>
      <c r="I52" s="2418" t="s">
        <v>936</v>
      </c>
      <c r="J52" s="1918"/>
      <c r="K52" s="2004">
        <v>57.5199</v>
      </c>
      <c r="L52" s="2427">
        <v>1</v>
      </c>
      <c r="M52" s="2004">
        <f>K52*L52</f>
        <v>57.5199</v>
      </c>
      <c r="N52" s="785" t="s">
        <v>55</v>
      </c>
      <c r="O52" s="2418"/>
      <c r="P52" s="784" t="s">
        <v>960</v>
      </c>
      <c r="Q52" s="1918"/>
      <c r="R52" s="787">
        <v>15.584799999999998</v>
      </c>
      <c r="S52" s="790" t="s">
        <v>55</v>
      </c>
      <c r="Y52" s="2325"/>
      <c r="Z52" s="420" t="s">
        <v>960</v>
      </c>
      <c r="AA52" s="2313"/>
      <c r="AB52" s="254">
        <v>4.84</v>
      </c>
      <c r="AC52" s="415">
        <v>2.71</v>
      </c>
      <c r="AD52" s="254">
        <f t="shared" si="4"/>
        <v>13.116399999999999</v>
      </c>
      <c r="AE52" s="416">
        <f>4.84*1.1</f>
        <v>5.3239999999999998</v>
      </c>
      <c r="AF52" s="415">
        <f>(AD52-AE52)*2</f>
        <v>15.584799999999998</v>
      </c>
      <c r="AG52" s="418" t="s">
        <v>55</v>
      </c>
    </row>
    <row r="53" spans="8:33">
      <c r="H53" s="2418"/>
      <c r="I53" s="2418"/>
      <c r="J53" s="1918"/>
      <c r="K53" s="2313"/>
      <c r="L53" s="2428"/>
      <c r="M53" s="2313"/>
      <c r="N53" s="784" t="s">
        <v>55</v>
      </c>
      <c r="O53" s="2416" t="s">
        <v>957</v>
      </c>
      <c r="P53" s="2416"/>
      <c r="Q53" s="2416"/>
      <c r="R53" s="791">
        <f>SUM(R45:R52)</f>
        <v>94.830119999999994</v>
      </c>
      <c r="S53" s="509" t="s">
        <v>55</v>
      </c>
      <c r="Y53" s="2394" t="s">
        <v>957</v>
      </c>
      <c r="Z53" s="2395"/>
      <c r="AA53" s="2395"/>
      <c r="AB53" s="2395"/>
      <c r="AC53" s="2395"/>
      <c r="AD53" s="2395"/>
      <c r="AE53" s="2396"/>
      <c r="AF53" s="791">
        <f>(SUM(AF45:AF52))</f>
        <v>94.830119999999994</v>
      </c>
      <c r="AG53" s="791" t="s">
        <v>55</v>
      </c>
    </row>
    <row r="54" spans="8:33">
      <c r="H54" s="2418"/>
      <c r="I54" s="2418"/>
      <c r="J54" s="1918"/>
      <c r="K54" s="2314"/>
      <c r="L54" s="2429"/>
      <c r="M54" s="2314"/>
      <c r="N54" s="785" t="s">
        <v>55</v>
      </c>
      <c r="O54" s="1985" t="s">
        <v>961</v>
      </c>
      <c r="P54" s="1985"/>
      <c r="Q54" s="1985"/>
      <c r="R54" s="508">
        <f>SUM(R11+R18+R28+R36+R44+R53)</f>
        <v>515.38191500000005</v>
      </c>
      <c r="S54" s="792" t="s">
        <v>55</v>
      </c>
      <c r="Y54" s="1985" t="s">
        <v>1674</v>
      </c>
      <c r="Z54" s="1985"/>
      <c r="AA54" s="1985"/>
      <c r="AB54" s="1985"/>
      <c r="AC54" s="1985"/>
      <c r="AD54" s="1985"/>
      <c r="AE54" s="1985"/>
      <c r="AF54" s="792">
        <f>AF11+AF18+AF28+AF36+AF44+AF53</f>
        <v>511.70691499999998</v>
      </c>
      <c r="AG54" s="788" t="s">
        <v>55</v>
      </c>
    </row>
    <row r="55" spans="8:33">
      <c r="H55" s="2416" t="s">
        <v>955</v>
      </c>
      <c r="I55" s="2416"/>
      <c r="J55" s="2416"/>
      <c r="K55" s="2416"/>
      <c r="L55" s="2416"/>
      <c r="M55" s="791">
        <f>SUM(M46:M54)</f>
        <v>325.98291899999998</v>
      </c>
      <c r="N55" s="791" t="s">
        <v>55</v>
      </c>
    </row>
    <row r="56" spans="8:33">
      <c r="H56" s="2418" t="s">
        <v>915</v>
      </c>
      <c r="I56" s="784" t="s">
        <v>910</v>
      </c>
      <c r="J56" s="2325">
        <v>9</v>
      </c>
      <c r="K56" s="787">
        <v>67.63</v>
      </c>
      <c r="L56" s="787">
        <v>2.71</v>
      </c>
      <c r="M56" s="787">
        <f>K56*L56</f>
        <v>183.2773</v>
      </c>
      <c r="N56" s="785" t="s">
        <v>55</v>
      </c>
    </row>
    <row r="57" spans="8:33">
      <c r="H57" s="2325"/>
      <c r="I57" s="784" t="s">
        <v>911</v>
      </c>
      <c r="J57" s="2325"/>
      <c r="K57" s="504">
        <v>94.311999999999998</v>
      </c>
      <c r="L57" s="787">
        <v>2.71</v>
      </c>
      <c r="M57" s="787">
        <f>K57*L57</f>
        <v>255.58552</v>
      </c>
      <c r="N57" s="784" t="s">
        <v>55</v>
      </c>
    </row>
    <row r="58" spans="8:33">
      <c r="H58" s="2325"/>
      <c r="I58" s="784" t="s">
        <v>912</v>
      </c>
      <c r="J58" s="2325"/>
      <c r="K58" s="787">
        <v>40.978999999999999</v>
      </c>
      <c r="L58" s="787">
        <v>2.71</v>
      </c>
      <c r="M58" s="787">
        <f>K58*L58</f>
        <v>111.05309</v>
      </c>
      <c r="N58" s="785" t="s">
        <v>55</v>
      </c>
    </row>
    <row r="59" spans="8:33">
      <c r="H59" s="2416" t="s">
        <v>957</v>
      </c>
      <c r="I59" s="2416"/>
      <c r="J59" s="2416"/>
      <c r="K59" s="2416"/>
      <c r="L59" s="2416"/>
      <c r="M59" s="791">
        <f>SUM(M56:M58)</f>
        <v>549.91590999999994</v>
      </c>
      <c r="N59" s="791" t="s">
        <v>55</v>
      </c>
    </row>
    <row r="60" spans="8:33">
      <c r="H60" s="1985" t="s">
        <v>959</v>
      </c>
      <c r="I60" s="1985"/>
      <c r="J60" s="1985"/>
      <c r="K60" s="1985"/>
      <c r="L60" s="1985"/>
      <c r="M60" s="508">
        <f>M9+M13+M17+M21+M25+M35+M45+M55+M59</f>
        <v>3852.6450869999999</v>
      </c>
      <c r="N60" s="788" t="s">
        <v>55</v>
      </c>
    </row>
  </sheetData>
  <mergeCells count="138">
    <mergeCell ref="B1:G1"/>
    <mergeCell ref="A4:G4"/>
    <mergeCell ref="H4:N4"/>
    <mergeCell ref="H6:H8"/>
    <mergeCell ref="J6:J8"/>
    <mergeCell ref="H9:L9"/>
    <mergeCell ref="H18:H20"/>
    <mergeCell ref="J18:J20"/>
    <mergeCell ref="H21:L21"/>
    <mergeCell ref="A21:E21"/>
    <mergeCell ref="H22:H24"/>
    <mergeCell ref="J22:J24"/>
    <mergeCell ref="H25:L25"/>
    <mergeCell ref="H10:H12"/>
    <mergeCell ref="J10:J12"/>
    <mergeCell ref="H13:L13"/>
    <mergeCell ref="H14:H16"/>
    <mergeCell ref="J14:J16"/>
    <mergeCell ref="H17:L17"/>
    <mergeCell ref="H26:H28"/>
    <mergeCell ref="I26:I28"/>
    <mergeCell ref="J26:J34"/>
    <mergeCell ref="K26:K28"/>
    <mergeCell ref="L26:L28"/>
    <mergeCell ref="M26:M28"/>
    <mergeCell ref="H29:H34"/>
    <mergeCell ref="I30:I31"/>
    <mergeCell ref="K30:K31"/>
    <mergeCell ref="M30:M31"/>
    <mergeCell ref="I40:I41"/>
    <mergeCell ref="K40:K41"/>
    <mergeCell ref="M40:M41"/>
    <mergeCell ref="I42:I44"/>
    <mergeCell ref="K42:K44"/>
    <mergeCell ref="L42:L44"/>
    <mergeCell ref="M42:M44"/>
    <mergeCell ref="I32:I34"/>
    <mergeCell ref="K32:K34"/>
    <mergeCell ref="L32:L34"/>
    <mergeCell ref="M32:M34"/>
    <mergeCell ref="H35:L35"/>
    <mergeCell ref="H36:H38"/>
    <mergeCell ref="I36:I38"/>
    <mergeCell ref="J36:J44"/>
    <mergeCell ref="K36:K38"/>
    <mergeCell ref="L36:L38"/>
    <mergeCell ref="H55:L55"/>
    <mergeCell ref="H56:H58"/>
    <mergeCell ref="J56:J58"/>
    <mergeCell ref="H59:L59"/>
    <mergeCell ref="H60:L60"/>
    <mergeCell ref="O4:S4"/>
    <mergeCell ref="O6:O10"/>
    <mergeCell ref="Q6:Q10"/>
    <mergeCell ref="O11:Q11"/>
    <mergeCell ref="O12:O17"/>
    <mergeCell ref="M46:M48"/>
    <mergeCell ref="H49:H54"/>
    <mergeCell ref="I50:I51"/>
    <mergeCell ref="K50:K51"/>
    <mergeCell ref="M50:M51"/>
    <mergeCell ref="I52:I54"/>
    <mergeCell ref="K52:K54"/>
    <mergeCell ref="L52:L54"/>
    <mergeCell ref="M52:M54"/>
    <mergeCell ref="H45:L45"/>
    <mergeCell ref="H46:H48"/>
    <mergeCell ref="I46:I48"/>
    <mergeCell ref="J46:J54"/>
    <mergeCell ref="K46:K48"/>
    <mergeCell ref="O53:Q53"/>
    <mergeCell ref="O54:Q54"/>
    <mergeCell ref="T4:W4"/>
    <mergeCell ref="T8:X8"/>
    <mergeCell ref="T16:V16"/>
    <mergeCell ref="A6:A8"/>
    <mergeCell ref="C6:C8"/>
    <mergeCell ref="A9:E9"/>
    <mergeCell ref="O36:Q36"/>
    <mergeCell ref="O37:O43"/>
    <mergeCell ref="Q37:Q43"/>
    <mergeCell ref="O44:Q44"/>
    <mergeCell ref="O45:O52"/>
    <mergeCell ref="Q45:Q52"/>
    <mergeCell ref="Q12:Q17"/>
    <mergeCell ref="O18:Q18"/>
    <mergeCell ref="O19:O27"/>
    <mergeCell ref="Q19:Q27"/>
    <mergeCell ref="O28:Q28"/>
    <mergeCell ref="O29:O35"/>
    <mergeCell ref="Q29:Q35"/>
    <mergeCell ref="L46:L48"/>
    <mergeCell ref="M36:M38"/>
    <mergeCell ref="H39:H44"/>
    <mergeCell ref="A22:A24"/>
    <mergeCell ref="C22:C24"/>
    <mergeCell ref="A25:E25"/>
    <mergeCell ref="A10:A12"/>
    <mergeCell ref="C10:C12"/>
    <mergeCell ref="A13:E13"/>
    <mergeCell ref="A14:A16"/>
    <mergeCell ref="C14:C16"/>
    <mergeCell ref="A17:E17"/>
    <mergeCell ref="A42:E42"/>
    <mergeCell ref="Y4:AG4"/>
    <mergeCell ref="Y6:Y10"/>
    <mergeCell ref="Y11:AE11"/>
    <mergeCell ref="AA6:AA10"/>
    <mergeCell ref="Y12:Y17"/>
    <mergeCell ref="Y18:AE18"/>
    <mergeCell ref="Y19:Y27"/>
    <mergeCell ref="AA12:AA17"/>
    <mergeCell ref="AA19:AA27"/>
    <mergeCell ref="A34:A36"/>
    <mergeCell ref="C34:C36"/>
    <mergeCell ref="A37:E37"/>
    <mergeCell ref="A38:A40"/>
    <mergeCell ref="C38:C40"/>
    <mergeCell ref="A41:E41"/>
    <mergeCell ref="A26:A28"/>
    <mergeCell ref="C26:C28"/>
    <mergeCell ref="A29:E29"/>
    <mergeCell ref="A30:A32"/>
    <mergeCell ref="C30:C32"/>
    <mergeCell ref="A33:E33"/>
    <mergeCell ref="A18:A20"/>
    <mergeCell ref="C18:C20"/>
    <mergeCell ref="Y44:AE44"/>
    <mergeCell ref="Y45:Y52"/>
    <mergeCell ref="AA45:AA52"/>
    <mergeCell ref="Y53:AE53"/>
    <mergeCell ref="Y54:AE54"/>
    <mergeCell ref="Y28:AE28"/>
    <mergeCell ref="Y29:Y35"/>
    <mergeCell ref="AA29:AA35"/>
    <mergeCell ref="Y36:AE36"/>
    <mergeCell ref="Y37:Y43"/>
    <mergeCell ref="AA37:AA4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"/>
  <sheetViews>
    <sheetView topLeftCell="A7" zoomScale="68" zoomScaleNormal="68" workbookViewId="0">
      <selection activeCell="D22" sqref="D22"/>
    </sheetView>
  </sheetViews>
  <sheetFormatPr baseColWidth="10" defaultRowHeight="12.75"/>
  <cols>
    <col min="2" max="2" width="17.140625" customWidth="1"/>
    <col min="3" max="3" width="41.42578125" customWidth="1"/>
    <col min="7" max="7" width="14" customWidth="1"/>
    <col min="8" max="8" width="36.85546875" customWidth="1"/>
    <col min="13" max="13" width="18.42578125" customWidth="1"/>
  </cols>
  <sheetData>
    <row r="1" spans="1:17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7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8</v>
      </c>
      <c r="J2" s="18"/>
      <c r="K2" s="24"/>
    </row>
    <row r="4" spans="1:17" ht="13.5" thickBot="1"/>
    <row r="5" spans="1:17" ht="13.5" thickBot="1">
      <c r="B5" s="406" t="s">
        <v>573</v>
      </c>
      <c r="C5" s="407" t="s">
        <v>574</v>
      </c>
      <c r="D5" s="408" t="s">
        <v>524</v>
      </c>
      <c r="E5" s="409" t="s">
        <v>575</v>
      </c>
      <c r="G5" s="406" t="s">
        <v>573</v>
      </c>
      <c r="H5" s="407" t="s">
        <v>582</v>
      </c>
      <c r="I5" s="408" t="s">
        <v>524</v>
      </c>
      <c r="J5" s="409" t="s">
        <v>575</v>
      </c>
      <c r="L5" s="406" t="s">
        <v>573</v>
      </c>
      <c r="M5" s="407" t="s">
        <v>586</v>
      </c>
      <c r="N5" s="408" t="s">
        <v>524</v>
      </c>
      <c r="O5" s="409" t="s">
        <v>575</v>
      </c>
    </row>
    <row r="6" spans="1:17" ht="12.75" customHeight="1">
      <c r="B6" s="2322">
        <v>1</v>
      </c>
      <c r="C6" s="947" t="s">
        <v>579</v>
      </c>
      <c r="D6" s="1010">
        <f>101.7479+7.8603+51.7946+8.4266</f>
        <v>169.82940000000002</v>
      </c>
      <c r="E6" s="2313" t="s">
        <v>55</v>
      </c>
      <c r="G6" s="2325">
        <v>1</v>
      </c>
      <c r="H6" s="2418" t="s">
        <v>583</v>
      </c>
      <c r="I6" s="1017"/>
      <c r="J6" s="1918" t="s">
        <v>345</v>
      </c>
      <c r="L6" s="154">
        <v>3</v>
      </c>
      <c r="M6" s="2417" t="s">
        <v>587</v>
      </c>
      <c r="N6" s="253">
        <f>(1.85+0.8+0.78+0.11+1.05)*(3.24-0.12)</f>
        <v>14.320800000000002</v>
      </c>
      <c r="O6" s="2435" t="s">
        <v>55</v>
      </c>
    </row>
    <row r="7" spans="1:17">
      <c r="B7" s="2325"/>
      <c r="C7" s="1571" t="s">
        <v>576</v>
      </c>
      <c r="D7" s="1012">
        <f>48.5305</f>
        <v>48.530500000000004</v>
      </c>
      <c r="E7" s="2313"/>
      <c r="G7" s="2325"/>
      <c r="H7" s="2325"/>
      <c r="I7" s="1018">
        <f>63.6419+8.4266+40.527+11.7613</f>
        <v>124.35680000000001</v>
      </c>
      <c r="J7" s="1918"/>
      <c r="L7" s="145">
        <v>4</v>
      </c>
      <c r="M7" s="2325"/>
      <c r="N7" s="5">
        <f>(1.85+0.8+0.78+0.11+1.05)*(3.24-0.12)</f>
        <v>14.320800000000002</v>
      </c>
      <c r="O7" s="2005"/>
    </row>
    <row r="8" spans="1:17">
      <c r="B8" s="2325"/>
      <c r="C8" s="1599"/>
      <c r="D8" s="1009"/>
      <c r="E8" s="2313"/>
      <c r="G8" s="2325"/>
      <c r="H8" s="2325"/>
      <c r="I8" s="1019"/>
      <c r="J8" s="1918"/>
      <c r="L8" s="145">
        <v>5</v>
      </c>
      <c r="M8" s="2325"/>
      <c r="N8" s="5">
        <f>((3.58*2)+1.2)*(3.6-0.12)</f>
        <v>29.092799999999997</v>
      </c>
      <c r="O8" s="2005"/>
      <c r="Q8">
        <f>SUM(D6:D9)</f>
        <v>240.18550000000005</v>
      </c>
    </row>
    <row r="9" spans="1:17">
      <c r="B9" s="2325"/>
      <c r="C9" s="535" t="s">
        <v>577</v>
      </c>
      <c r="D9" s="949">
        <f>8.6761+8.6177+4.5318</f>
        <v>21.825599999999998</v>
      </c>
      <c r="E9" s="2313"/>
      <c r="G9" s="2325"/>
      <c r="H9" s="2418" t="s">
        <v>585</v>
      </c>
      <c r="I9" s="230"/>
      <c r="J9" s="1918"/>
      <c r="L9" s="145">
        <v>6</v>
      </c>
      <c r="M9" s="2325"/>
      <c r="N9" s="5">
        <f>((0.5*2)+0.9)*(3.6-0.12)</f>
        <v>6.6120000000000001</v>
      </c>
      <c r="O9" s="2005"/>
      <c r="Q9">
        <f>SUM(D10:D14)</f>
        <v>275.28460000000001</v>
      </c>
    </row>
    <row r="10" spans="1:17">
      <c r="B10" s="2325">
        <v>2</v>
      </c>
      <c r="C10" s="412" t="s">
        <v>579</v>
      </c>
      <c r="D10" s="949">
        <f>94.5164+137.1323</f>
        <v>231.64869999999999</v>
      </c>
      <c r="E10" s="2313"/>
      <c r="G10" s="2325"/>
      <c r="H10" s="2325"/>
      <c r="I10" s="1018">
        <f>14.3355+13.3857+8.695</f>
        <v>36.416200000000003</v>
      </c>
      <c r="J10" s="1918"/>
      <c r="L10" s="145">
        <v>7</v>
      </c>
      <c r="M10" s="2325"/>
      <c r="N10" s="5">
        <f>((0.5*2)+0.9)*(3.6-0.12)</f>
        <v>6.6120000000000001</v>
      </c>
      <c r="O10" s="2005"/>
      <c r="Q10">
        <f>SUM(D15:D21)</f>
        <v>915.07859999999994</v>
      </c>
    </row>
    <row r="11" spans="1:17" ht="12.75" customHeight="1">
      <c r="B11" s="2325"/>
      <c r="C11" s="412" t="s">
        <v>577</v>
      </c>
      <c r="D11" s="949">
        <f>8.4957+4.6138+9.9979</f>
        <v>23.107399999999998</v>
      </c>
      <c r="E11" s="2313"/>
      <c r="G11" s="2325"/>
      <c r="H11" s="2325"/>
      <c r="I11" s="1018"/>
      <c r="J11" s="1918"/>
      <c r="L11" s="145">
        <v>8</v>
      </c>
      <c r="M11" s="2325"/>
      <c r="N11" s="5">
        <f>((0.5*2)+0.9)*(3.6-0.12)</f>
        <v>6.6120000000000001</v>
      </c>
      <c r="O11" s="2005"/>
      <c r="Q11">
        <f>SUM(D22:D27)</f>
        <v>621.9529</v>
      </c>
    </row>
    <row r="12" spans="1:17" ht="13.5" thickBot="1">
      <c r="B12" s="2325"/>
      <c r="C12" s="1571" t="s">
        <v>578</v>
      </c>
      <c r="E12" s="2313"/>
      <c r="G12" s="1918">
        <v>2</v>
      </c>
      <c r="H12" s="2430" t="s">
        <v>583</v>
      </c>
      <c r="I12" s="1020"/>
      <c r="J12" s="2434"/>
      <c r="L12" s="402">
        <v>9</v>
      </c>
      <c r="M12" s="2323"/>
      <c r="N12" s="230">
        <f>((0.5*2)+0.9)*(3.6-0.12)</f>
        <v>6.6120000000000001</v>
      </c>
      <c r="O12" s="2006"/>
      <c r="Q12">
        <f>SUM(D28:D33)</f>
        <v>1055.6867000000002</v>
      </c>
    </row>
    <row r="13" spans="1:17" ht="13.5" thickBot="1">
      <c r="B13" s="2325"/>
      <c r="C13" s="1599"/>
      <c r="D13" s="1012">
        <f>15.3391+1.8245+3.3649</f>
        <v>20.528499999999998</v>
      </c>
      <c r="E13" s="2313"/>
      <c r="G13" s="1918"/>
      <c r="H13" s="2430"/>
      <c r="I13" s="1021">
        <f>53.6025+115.4326</f>
        <v>169.0351</v>
      </c>
      <c r="J13" s="2434"/>
      <c r="L13" s="2436" t="s">
        <v>588</v>
      </c>
      <c r="M13" s="2437"/>
      <c r="N13" s="410">
        <f>SUM(N6:N12)</f>
        <v>84.182399999999987</v>
      </c>
      <c r="O13" s="411" t="s">
        <v>55</v>
      </c>
      <c r="Q13">
        <f>+SUM(D34:D38)</f>
        <v>885.01089999999988</v>
      </c>
    </row>
    <row r="14" spans="1:17">
      <c r="B14" s="2325"/>
      <c r="C14" s="1599"/>
      <c r="D14" s="1012"/>
      <c r="E14" s="2313"/>
      <c r="G14" s="1918"/>
      <c r="H14" s="2430"/>
      <c r="I14" s="1019"/>
      <c r="J14" s="2434"/>
      <c r="Q14">
        <f>+SUM(D39:D43)</f>
        <v>848.00069999999994</v>
      </c>
    </row>
    <row r="15" spans="1:17">
      <c r="B15" s="2325">
        <v>3</v>
      </c>
      <c r="C15" s="412" t="s">
        <v>579</v>
      </c>
      <c r="D15" s="948">
        <f>126.7882+257.1605</f>
        <v>383.94870000000003</v>
      </c>
      <c r="E15" s="2313"/>
      <c r="G15" s="1918"/>
      <c r="H15" s="2325" t="s">
        <v>584</v>
      </c>
      <c r="I15" s="1013"/>
      <c r="J15" s="1918"/>
      <c r="Q15">
        <f>+SUM(D44:D48)</f>
        <v>848.00069999999994</v>
      </c>
    </row>
    <row r="16" spans="1:17">
      <c r="B16" s="2325"/>
      <c r="C16" s="2431" t="s">
        <v>576</v>
      </c>
      <c r="D16" s="1026">
        <f>161.534+189.7052+97.2688</f>
        <v>448.50799999999998</v>
      </c>
      <c r="E16" s="2425"/>
      <c r="G16" s="1918"/>
      <c r="H16" s="2325"/>
      <c r="I16" s="1014">
        <f>19.6683+5.7293</f>
        <v>25.397599999999997</v>
      </c>
      <c r="J16" s="1918"/>
      <c r="Q16">
        <f>+SUM(D49:D54)</f>
        <v>895.98019999999997</v>
      </c>
    </row>
    <row r="17" spans="2:10">
      <c r="B17" s="2325"/>
      <c r="C17" s="2431"/>
      <c r="D17" s="1019"/>
      <c r="E17" s="2425"/>
      <c r="G17" s="1918"/>
      <c r="H17" s="2325"/>
      <c r="I17" s="1016"/>
      <c r="J17" s="1918"/>
    </row>
    <row r="18" spans="2:10">
      <c r="B18" s="2325"/>
      <c r="C18" s="412" t="s">
        <v>577</v>
      </c>
      <c r="D18" s="1010">
        <f>3.888+11.7344+11.7421</f>
        <v>27.3645</v>
      </c>
      <c r="E18" s="2313"/>
      <c r="G18" s="1918"/>
      <c r="H18" s="2430" t="s">
        <v>585</v>
      </c>
      <c r="I18" s="230"/>
      <c r="J18" s="2434"/>
    </row>
    <row r="19" spans="2:10">
      <c r="B19" s="2325"/>
      <c r="C19" s="1599" t="s">
        <v>578</v>
      </c>
      <c r="D19" s="1013"/>
      <c r="E19" s="2313"/>
      <c r="G19" s="1918"/>
      <c r="H19" s="2430"/>
      <c r="I19" s="1022">
        <f>14.921+8.7549+11.9349</f>
        <v>35.610799999999998</v>
      </c>
      <c r="J19" s="2434"/>
    </row>
    <row r="20" spans="2:10">
      <c r="B20" s="2325"/>
      <c r="C20" s="1599"/>
      <c r="D20" s="1015">
        <f>20.3023+1.505+11.9239+21.5262</f>
        <v>55.257400000000004</v>
      </c>
      <c r="E20" s="2313"/>
      <c r="G20" s="1918"/>
      <c r="H20" s="2430"/>
      <c r="I20" s="1025"/>
      <c r="J20" s="2434"/>
    </row>
    <row r="21" spans="2:10">
      <c r="B21" s="2325"/>
      <c r="C21" s="1599"/>
      <c r="D21" s="1012"/>
      <c r="E21" s="2313"/>
      <c r="G21" s="1918">
        <v>3</v>
      </c>
      <c r="H21" s="2430" t="s">
        <v>583</v>
      </c>
      <c r="I21" s="1020"/>
      <c r="J21" s="2434"/>
    </row>
    <row r="22" spans="2:10">
      <c r="B22" s="1918">
        <v>4</v>
      </c>
      <c r="C22" s="412" t="s">
        <v>579</v>
      </c>
      <c r="D22" s="949">
        <f>181.7023+270.7474</f>
        <v>452.44970000000001</v>
      </c>
      <c r="E22" s="2313"/>
      <c r="G22" s="1918"/>
      <c r="H22" s="2430"/>
      <c r="I22" s="1021">
        <f>78.5145+119.8043+17.483+(2*5.8201)+(3*6.749)+5.7178+(2*6.9398)+(3*7.07)</f>
        <v>288.49639999999999</v>
      </c>
      <c r="J22" s="2434"/>
    </row>
    <row r="23" spans="2:10">
      <c r="B23" s="1918"/>
      <c r="C23" s="412" t="s">
        <v>577</v>
      </c>
      <c r="D23" s="949">
        <f>1.505+11.7421+11.7344</f>
        <v>24.9815</v>
      </c>
      <c r="E23" s="2313"/>
      <c r="G23" s="1918"/>
      <c r="H23" s="2430"/>
      <c r="I23" s="1023"/>
      <c r="J23" s="2434"/>
    </row>
    <row r="24" spans="2:10">
      <c r="B24" s="1918"/>
      <c r="C24" s="1599" t="s">
        <v>578</v>
      </c>
      <c r="E24" s="2313"/>
      <c r="G24" s="1918"/>
      <c r="H24" s="2430" t="s">
        <v>584</v>
      </c>
      <c r="I24" s="1024"/>
      <c r="J24" s="2434"/>
    </row>
    <row r="25" spans="2:10">
      <c r="B25" s="1918"/>
      <c r="C25" s="1599"/>
      <c r="D25" s="1015">
        <f>81.8579+1.505+7.9766+34.9888+6.2369</f>
        <v>132.5652</v>
      </c>
      <c r="E25" s="2313"/>
      <c r="G25" s="1918"/>
      <c r="H25" s="2430"/>
      <c r="I25" s="1021">
        <f>24.5802+5.5+15.01+35.7618</f>
        <v>80.852000000000004</v>
      </c>
      <c r="J25" s="2434"/>
    </row>
    <row r="26" spans="2:10">
      <c r="B26" s="1918"/>
      <c r="C26" s="1599"/>
      <c r="D26" s="1012"/>
      <c r="E26" s="2313"/>
      <c r="G26" s="1918"/>
      <c r="H26" s="2430"/>
      <c r="I26" s="1027"/>
      <c r="J26" s="2434"/>
    </row>
    <row r="27" spans="2:10">
      <c r="B27" s="1918"/>
      <c r="C27" s="4" t="s">
        <v>580</v>
      </c>
      <c r="D27" s="949">
        <f>11.9565</f>
        <v>11.9565</v>
      </c>
      <c r="E27" s="2313"/>
      <c r="G27" s="1918"/>
      <c r="H27" s="2430" t="s">
        <v>585</v>
      </c>
      <c r="I27" s="1024"/>
      <c r="J27" s="2434"/>
    </row>
    <row r="28" spans="2:10">
      <c r="B28" s="1918">
        <v>5</v>
      </c>
      <c r="C28" s="1599" t="s">
        <v>576</v>
      </c>
      <c r="D28" s="1016">
        <f>1030.1926-117.463-7.3758</f>
        <v>905.35380000000009</v>
      </c>
      <c r="E28" s="2313"/>
      <c r="G28" s="1918"/>
      <c r="H28" s="2430"/>
      <c r="I28" s="1021">
        <f>15.0689+15.0756+7.7</f>
        <v>37.844500000000004</v>
      </c>
      <c r="J28" s="2434"/>
    </row>
    <row r="29" spans="2:10">
      <c r="B29" s="1918"/>
      <c r="C29" s="1599"/>
      <c r="D29" s="1011"/>
      <c r="E29" s="2313"/>
      <c r="G29" s="1918"/>
      <c r="H29" s="2430"/>
      <c r="I29" s="1027"/>
      <c r="J29" s="2434"/>
    </row>
    <row r="30" spans="2:10">
      <c r="B30" s="1918"/>
      <c r="C30" s="412" t="s">
        <v>577</v>
      </c>
      <c r="D30" s="949">
        <f>4.147+22.0893</f>
        <v>26.2363</v>
      </c>
      <c r="E30" s="2313"/>
      <c r="G30" s="1918">
        <v>4</v>
      </c>
      <c r="H30" s="2430" t="s">
        <v>583</v>
      </c>
      <c r="I30" s="1024"/>
      <c r="J30" s="2434"/>
    </row>
    <row r="31" spans="2:10">
      <c r="B31" s="1918"/>
      <c r="C31" s="1599" t="s">
        <v>578</v>
      </c>
      <c r="E31" s="2313"/>
      <c r="G31" s="1918"/>
      <c r="H31" s="2430"/>
      <c r="I31" s="1021">
        <f>78.9688+128.3974+18.102+4.83+7.46+7.08+6.93+6.03+5.94+8.37+13.94</f>
        <v>286.04820000000001</v>
      </c>
      <c r="J31" s="2434"/>
    </row>
    <row r="32" spans="2:10">
      <c r="B32" s="1918"/>
      <c r="C32" s="1599"/>
      <c r="D32" s="1015">
        <f>104.4749+4.3116+1.8022+13.5079</f>
        <v>124.0966</v>
      </c>
      <c r="E32" s="2313"/>
      <c r="G32" s="1918"/>
      <c r="H32" s="2430"/>
      <c r="I32" s="1027"/>
      <c r="J32" s="2434"/>
    </row>
    <row r="33" spans="2:10">
      <c r="B33" s="1918"/>
      <c r="C33" s="1599"/>
      <c r="D33" s="1012"/>
      <c r="E33" s="2313"/>
      <c r="G33" s="1918"/>
      <c r="H33" s="2430" t="s">
        <v>584</v>
      </c>
      <c r="I33" s="1024"/>
      <c r="J33" s="2434"/>
    </row>
    <row r="34" spans="2:10">
      <c r="B34" s="2325">
        <v>6</v>
      </c>
      <c r="C34" s="412" t="s">
        <v>579</v>
      </c>
      <c r="D34" s="949">
        <f>888.0471-48.7344</f>
        <v>839.31269999999995</v>
      </c>
      <c r="E34" s="2313"/>
      <c r="G34" s="1918"/>
      <c r="H34" s="2430"/>
      <c r="I34" s="1021">
        <f>24.57+52.51+13.26+4.2+5.5+14.62</f>
        <v>114.66000000000001</v>
      </c>
      <c r="J34" s="2434"/>
    </row>
    <row r="35" spans="2:10">
      <c r="B35" s="2325"/>
      <c r="C35" s="412" t="s">
        <v>577</v>
      </c>
      <c r="D35" s="949">
        <f>19.3837+14.8959</f>
        <v>34.279600000000002</v>
      </c>
      <c r="E35" s="2313"/>
      <c r="G35" s="1918"/>
      <c r="H35" s="2430"/>
      <c r="I35" s="1027"/>
      <c r="J35" s="2434"/>
    </row>
    <row r="36" spans="2:10">
      <c r="B36" s="2325"/>
      <c r="C36" s="1599" t="s">
        <v>578</v>
      </c>
      <c r="E36" s="2313"/>
      <c r="G36" s="1918"/>
      <c r="H36" s="2430" t="s">
        <v>585</v>
      </c>
      <c r="I36" s="1024"/>
      <c r="J36" s="2434"/>
    </row>
    <row r="37" spans="2:10">
      <c r="B37" s="2325"/>
      <c r="C37" s="1599"/>
      <c r="D37" s="1014">
        <f>3.7444+7.2242+0.45</f>
        <v>11.4186</v>
      </c>
      <c r="E37" s="2313"/>
      <c r="G37" s="1918"/>
      <c r="H37" s="2430"/>
      <c r="I37" s="1021">
        <f>15+15.07</f>
        <v>30.07</v>
      </c>
      <c r="J37" s="2434"/>
    </row>
    <row r="38" spans="2:10">
      <c r="B38" s="2325"/>
      <c r="C38" s="1599"/>
      <c r="D38" s="1012"/>
      <c r="E38" s="2313"/>
      <c r="G38" s="1918"/>
      <c r="H38" s="2430"/>
      <c r="I38" s="1027"/>
      <c r="J38" s="2434"/>
    </row>
    <row r="39" spans="2:10" ht="12.75" customHeight="1">
      <c r="B39" s="2325">
        <v>7</v>
      </c>
      <c r="C39" s="412" t="s">
        <v>579</v>
      </c>
      <c r="D39" s="949">
        <f>856.2237-58.2005</f>
        <v>798.02319999999997</v>
      </c>
      <c r="E39" s="2313"/>
      <c r="G39" s="1918">
        <v>5</v>
      </c>
      <c r="H39" s="2430" t="s">
        <v>584</v>
      </c>
      <c r="I39" s="1024"/>
      <c r="J39" s="2434"/>
    </row>
    <row r="40" spans="2:10">
      <c r="B40" s="2325"/>
      <c r="C40" s="412" t="s">
        <v>577</v>
      </c>
      <c r="D40" s="949">
        <f>4.1561+14.7913+19.6165</f>
        <v>38.563900000000004</v>
      </c>
      <c r="E40" s="2313"/>
      <c r="G40" s="1918"/>
      <c r="H40" s="2430"/>
      <c r="I40" s="1021">
        <f>5.6+83.96</f>
        <v>89.559999999999988</v>
      </c>
      <c r="J40" s="2434"/>
    </row>
    <row r="41" spans="2:10">
      <c r="B41" s="2325"/>
      <c r="C41" s="1599" t="s">
        <v>578</v>
      </c>
      <c r="D41" s="1015"/>
      <c r="E41" s="2313"/>
      <c r="G41" s="1918"/>
      <c r="H41" s="2430"/>
      <c r="I41" s="1027"/>
      <c r="J41" s="2434"/>
    </row>
    <row r="42" spans="2:10">
      <c r="B42" s="2325"/>
      <c r="C42" s="1599"/>
      <c r="D42" s="1015">
        <f>0.45+3.7411+7.2225</f>
        <v>11.413599999999999</v>
      </c>
      <c r="E42" s="2313"/>
      <c r="G42" s="1918"/>
      <c r="H42" s="2430" t="s">
        <v>585</v>
      </c>
      <c r="I42" s="1024"/>
      <c r="J42" s="2434"/>
    </row>
    <row r="43" spans="2:10">
      <c r="B43" s="2325"/>
      <c r="C43" s="1599"/>
      <c r="D43" s="1016"/>
      <c r="E43" s="2313"/>
      <c r="G43" s="1918"/>
      <c r="H43" s="2430"/>
      <c r="I43" s="1021">
        <f>8.3+29+5.94+5.94</f>
        <v>49.179999999999993</v>
      </c>
      <c r="J43" s="2434"/>
    </row>
    <row r="44" spans="2:10">
      <c r="B44" s="1918">
        <v>8</v>
      </c>
      <c r="C44" s="412" t="s">
        <v>579</v>
      </c>
      <c r="D44" s="949">
        <f>856.2237-58.2005</f>
        <v>798.02319999999997</v>
      </c>
      <c r="E44" s="2313"/>
      <c r="G44" s="1918"/>
      <c r="H44" s="2430"/>
      <c r="I44" s="1027"/>
      <c r="J44" s="2434"/>
    </row>
    <row r="45" spans="2:10">
      <c r="B45" s="1918"/>
      <c r="C45" s="412" t="s">
        <v>577</v>
      </c>
      <c r="D45" s="949">
        <f>4.1561+14.7913+19.6165</f>
        <v>38.563900000000004</v>
      </c>
      <c r="E45" s="2313"/>
      <c r="G45" s="1918">
        <v>6</v>
      </c>
      <c r="H45" s="2430" t="s">
        <v>583</v>
      </c>
      <c r="I45" s="1024"/>
      <c r="J45" s="2434"/>
    </row>
    <row r="46" spans="2:10">
      <c r="B46" s="1918"/>
      <c r="C46" s="1599" t="s">
        <v>578</v>
      </c>
      <c r="D46" s="1015"/>
      <c r="E46" s="2313"/>
      <c r="G46" s="1918"/>
      <c r="H46" s="2430"/>
      <c r="I46" s="1021">
        <f>253.15+230.9+6.37+2.67+3.33+35.84</f>
        <v>532.26</v>
      </c>
      <c r="J46" s="2434"/>
    </row>
    <row r="47" spans="2:10">
      <c r="B47" s="1918"/>
      <c r="C47" s="1599"/>
      <c r="D47" s="1015">
        <f>3.7411+7.2225+0.45</f>
        <v>11.413599999999999</v>
      </c>
      <c r="E47" s="2313"/>
      <c r="G47" s="1918"/>
      <c r="H47" s="2430"/>
      <c r="I47" s="1027"/>
      <c r="J47" s="2434"/>
    </row>
    <row r="48" spans="2:10">
      <c r="B48" s="1918"/>
      <c r="C48" s="1599"/>
      <c r="D48" s="1016"/>
      <c r="E48" s="2313"/>
      <c r="G48" s="1918"/>
      <c r="H48" s="2430" t="s">
        <v>584</v>
      </c>
      <c r="I48" s="1024"/>
      <c r="J48" s="2434"/>
    </row>
    <row r="49" spans="2:10">
      <c r="B49" s="1918">
        <v>9</v>
      </c>
      <c r="C49" s="412" t="s">
        <v>579</v>
      </c>
      <c r="D49" s="949">
        <f>725.9011-129.8887-97.529-82.9626-44.4467</f>
        <v>371.07410000000004</v>
      </c>
      <c r="E49" s="2313"/>
      <c r="G49" s="1918"/>
      <c r="H49" s="2430"/>
      <c r="I49" s="1021">
        <f>10.97+8.19</f>
        <v>19.16</v>
      </c>
      <c r="J49" s="2434"/>
    </row>
    <row r="50" spans="2:10">
      <c r="B50" s="1918"/>
      <c r="C50" s="412" t="s">
        <v>577</v>
      </c>
      <c r="D50" s="949">
        <f>4.1499+14.7913+19.6165</f>
        <v>38.557699999999997</v>
      </c>
      <c r="E50" s="2313"/>
      <c r="G50" s="1918"/>
      <c r="H50" s="2430"/>
      <c r="I50" s="1027"/>
      <c r="J50" s="2434"/>
    </row>
    <row r="51" spans="2:10">
      <c r="B51" s="1918"/>
      <c r="C51" s="1599" t="s">
        <v>578</v>
      </c>
      <c r="D51" s="1015"/>
      <c r="E51" s="2313"/>
      <c r="G51" s="1918"/>
      <c r="H51" s="2430" t="s">
        <v>585</v>
      </c>
      <c r="I51" s="1024"/>
      <c r="J51" s="2434"/>
    </row>
    <row r="52" spans="2:10">
      <c r="B52" s="1918"/>
      <c r="C52" s="1599"/>
      <c r="D52" s="1015">
        <f>4.3191+0.45</f>
        <v>4.7690999999999999</v>
      </c>
      <c r="E52" s="2313"/>
      <c r="G52" s="1918"/>
      <c r="H52" s="2430"/>
      <c r="I52" s="1021">
        <f>23.1+15.72+8.3</f>
        <v>47.120000000000005</v>
      </c>
      <c r="J52" s="2434"/>
    </row>
    <row r="53" spans="2:10">
      <c r="B53" s="1918"/>
      <c r="C53" s="1599"/>
      <c r="D53" s="1016"/>
      <c r="E53" s="2313"/>
      <c r="G53" s="1918"/>
      <c r="H53" s="2430"/>
      <c r="I53" s="1027"/>
      <c r="J53" s="2434"/>
    </row>
    <row r="54" spans="2:10" ht="13.5" thickBot="1">
      <c r="B54" s="1918"/>
      <c r="C54" s="536" t="s">
        <v>581</v>
      </c>
      <c r="D54" s="949">
        <f>129.8887+97.529+82.9626+45.6617+27.1873+76.6946+21.6554</f>
        <v>481.57929999999993</v>
      </c>
      <c r="E54" s="2350"/>
      <c r="G54" s="1918">
        <v>7</v>
      </c>
      <c r="H54" s="2430" t="s">
        <v>583</v>
      </c>
      <c r="I54" s="1024"/>
      <c r="J54" s="2434"/>
    </row>
    <row r="55" spans="2:10" ht="13.5" thickBot="1">
      <c r="B55" s="2436" t="s">
        <v>592</v>
      </c>
      <c r="C55" s="2437"/>
      <c r="D55" s="410">
        <f>D49+D44+D39+D34+D22+D15+D10+D6</f>
        <v>4044.3097000000002</v>
      </c>
      <c r="E55" s="411" t="s">
        <v>55</v>
      </c>
      <c r="G55" s="1918"/>
      <c r="H55" s="2430"/>
      <c r="I55" s="1021">
        <f>250+344.88+6.37</f>
        <v>601.25</v>
      </c>
      <c r="J55" s="2434"/>
    </row>
    <row r="56" spans="2:10" ht="13.5" thickBot="1">
      <c r="B56" s="2436" t="s">
        <v>593</v>
      </c>
      <c r="C56" s="2437"/>
      <c r="D56" s="410">
        <f>D50+D45+D40+D35+D30+D23+D18+D11+D9</f>
        <v>273.48040000000003</v>
      </c>
      <c r="E56" s="411" t="s">
        <v>55</v>
      </c>
      <c r="G56" s="1918"/>
      <c r="H56" s="2430"/>
      <c r="I56" s="1027"/>
      <c r="J56" s="2434"/>
    </row>
    <row r="57" spans="2:10" ht="13.5" thickBot="1">
      <c r="B57" s="2436" t="s">
        <v>594</v>
      </c>
      <c r="C57" s="2437"/>
      <c r="D57" s="410">
        <f>D52+D47+D42+D37+D32+D25+D20+D13</f>
        <v>371.46260000000001</v>
      </c>
      <c r="E57" s="411" t="s">
        <v>55</v>
      </c>
      <c r="G57" s="1918"/>
      <c r="H57" s="2430" t="s">
        <v>584</v>
      </c>
      <c r="I57" s="1024"/>
      <c r="J57" s="2434"/>
    </row>
    <row r="58" spans="2:10" ht="13.5" thickBot="1">
      <c r="B58" s="2436" t="s">
        <v>595</v>
      </c>
      <c r="C58" s="2437"/>
      <c r="D58" s="410">
        <f>D7+D16+D28</f>
        <v>1402.3923</v>
      </c>
      <c r="E58" s="411" t="s">
        <v>55</v>
      </c>
      <c r="G58" s="1918"/>
      <c r="H58" s="2430"/>
      <c r="I58" s="1021">
        <f>10.97+8.18</f>
        <v>19.149999999999999</v>
      </c>
      <c r="J58" s="2434"/>
    </row>
    <row r="59" spans="2:10" ht="13.5" thickBot="1">
      <c r="B59" s="2436" t="s">
        <v>596</v>
      </c>
      <c r="C59" s="2437"/>
      <c r="D59" s="410">
        <f>D54</f>
        <v>481.57929999999993</v>
      </c>
      <c r="E59" s="411" t="s">
        <v>55</v>
      </c>
      <c r="G59" s="1918"/>
      <c r="H59" s="2430"/>
      <c r="I59" s="1027"/>
      <c r="J59" s="2434"/>
    </row>
    <row r="60" spans="2:10" ht="13.5" thickBot="1">
      <c r="B60" s="2436" t="s">
        <v>597</v>
      </c>
      <c r="C60" s="2437"/>
      <c r="D60" s="410">
        <f>D27</f>
        <v>11.9565</v>
      </c>
      <c r="E60" s="411" t="s">
        <v>55</v>
      </c>
      <c r="G60" s="1918"/>
      <c r="H60" s="2430" t="s">
        <v>585</v>
      </c>
      <c r="I60" s="1024"/>
      <c r="J60" s="2434"/>
    </row>
    <row r="61" spans="2:10">
      <c r="G61" s="1918"/>
      <c r="H61" s="2430"/>
      <c r="I61" s="1021">
        <f>8.31+23.1+15.43</f>
        <v>46.84</v>
      </c>
      <c r="J61" s="2434"/>
    </row>
    <row r="62" spans="2:10">
      <c r="G62" s="1918"/>
      <c r="H62" s="2430"/>
      <c r="I62" s="1027"/>
      <c r="J62" s="2434"/>
    </row>
    <row r="63" spans="2:10">
      <c r="G63" s="1918">
        <v>8</v>
      </c>
      <c r="H63" s="2430" t="s">
        <v>583</v>
      </c>
      <c r="I63" s="1024"/>
      <c r="J63" s="2434"/>
    </row>
    <row r="64" spans="2:10">
      <c r="G64" s="1918"/>
      <c r="H64" s="2430"/>
      <c r="I64" s="1021">
        <f>250+344.88+6.37</f>
        <v>601.25</v>
      </c>
      <c r="J64" s="2434"/>
    </row>
    <row r="65" spans="7:10">
      <c r="G65" s="1918"/>
      <c r="H65" s="2430"/>
      <c r="I65" s="1027"/>
      <c r="J65" s="2434"/>
    </row>
    <row r="66" spans="7:10">
      <c r="G66" s="1918"/>
      <c r="H66" s="2430" t="s">
        <v>584</v>
      </c>
      <c r="I66" s="1024"/>
      <c r="J66" s="2434"/>
    </row>
    <row r="67" spans="7:10">
      <c r="G67" s="1918"/>
      <c r="H67" s="2430"/>
      <c r="I67" s="1021">
        <f>10.97+8.18</f>
        <v>19.149999999999999</v>
      </c>
      <c r="J67" s="2434"/>
    </row>
    <row r="68" spans="7:10">
      <c r="G68" s="1918"/>
      <c r="H68" s="2430"/>
      <c r="I68" s="1027"/>
      <c r="J68" s="2434"/>
    </row>
    <row r="69" spans="7:10">
      <c r="G69" s="1918"/>
      <c r="H69" s="2430" t="s">
        <v>585</v>
      </c>
      <c r="I69" s="1024"/>
      <c r="J69" s="2434"/>
    </row>
    <row r="70" spans="7:10">
      <c r="G70" s="1918"/>
      <c r="H70" s="2430"/>
      <c r="I70" s="1021">
        <f>8.31+23.1+15.43</f>
        <v>46.84</v>
      </c>
      <c r="J70" s="2434"/>
    </row>
    <row r="71" spans="7:10">
      <c r="G71" s="1918"/>
      <c r="H71" s="2430"/>
      <c r="I71" s="1027"/>
      <c r="J71" s="2434"/>
    </row>
    <row r="72" spans="7:10">
      <c r="G72" s="1918">
        <v>9</v>
      </c>
      <c r="H72" s="2430" t="s">
        <v>583</v>
      </c>
      <c r="I72" s="1024"/>
      <c r="J72" s="2434"/>
    </row>
    <row r="73" spans="7:10">
      <c r="G73" s="1918"/>
      <c r="H73" s="2430"/>
      <c r="I73" s="1021">
        <f>9.33+8.46++(3*10.1)+62.37+60.46+60.53+4.8+9.66+21.17+63.6+20.3</f>
        <v>350.98</v>
      </c>
      <c r="J73" s="2434"/>
    </row>
    <row r="74" spans="7:10">
      <c r="G74" s="1918"/>
      <c r="H74" s="2430"/>
      <c r="I74" s="1027"/>
      <c r="J74" s="2434"/>
    </row>
    <row r="75" spans="7:10">
      <c r="G75" s="1918"/>
      <c r="H75" s="2432" t="s">
        <v>584</v>
      </c>
      <c r="I75" s="1024"/>
      <c r="J75" s="2434"/>
    </row>
    <row r="76" spans="7:10">
      <c r="G76" s="1918"/>
      <c r="H76" s="2430"/>
      <c r="I76" s="1021">
        <v>8.68</v>
      </c>
      <c r="J76" s="2434"/>
    </row>
    <row r="77" spans="7:10">
      <c r="G77" s="1918"/>
      <c r="H77" s="2430"/>
      <c r="I77" s="1027"/>
      <c r="J77" s="2434"/>
    </row>
    <row r="78" spans="7:10">
      <c r="G78" s="1918"/>
      <c r="H78" s="2430" t="s">
        <v>585</v>
      </c>
      <c r="I78" s="1024"/>
      <c r="J78" s="2434"/>
    </row>
    <row r="79" spans="7:10">
      <c r="G79" s="1918"/>
      <c r="H79" s="2430"/>
      <c r="I79" s="1021">
        <f>23.1+15.43+8.3</f>
        <v>46.83</v>
      </c>
      <c r="J79" s="2434"/>
    </row>
    <row r="80" spans="7:10" ht="13.5" thickBot="1">
      <c r="G80" s="2004"/>
      <c r="H80" s="2433"/>
      <c r="I80" s="1028"/>
      <c r="J80" s="2424"/>
    </row>
    <row r="81" spans="7:10" ht="13.5" thickBot="1">
      <c r="G81" s="2436" t="s">
        <v>589</v>
      </c>
      <c r="H81" s="2437"/>
      <c r="I81" s="410">
        <f>I73+I64+I55+I46+I31+I22+I13+I7</f>
        <v>2953.6765</v>
      </c>
      <c r="J81" s="411" t="s">
        <v>345</v>
      </c>
    </row>
    <row r="82" spans="7:10" ht="13.5" thickBot="1">
      <c r="G82" s="2436" t="s">
        <v>590</v>
      </c>
      <c r="H82" s="2437"/>
      <c r="I82" s="410">
        <f>I76+I67+I58+I49+I40+I34+I25+I16</f>
        <v>376.6096</v>
      </c>
      <c r="J82" s="411" t="s">
        <v>345</v>
      </c>
    </row>
    <row r="83" spans="7:10" ht="13.5" thickBot="1">
      <c r="G83" s="2436" t="s">
        <v>591</v>
      </c>
      <c r="H83" s="2437"/>
      <c r="I83" s="410">
        <f>I79+I70+I61+I52+I43+I37+I28+I19+I10</f>
        <v>376.75149999999996</v>
      </c>
      <c r="J83" s="411" t="s">
        <v>345</v>
      </c>
    </row>
  </sheetData>
  <mergeCells count="68">
    <mergeCell ref="B15:B21"/>
    <mergeCell ref="C7:C8"/>
    <mergeCell ref="C12:C14"/>
    <mergeCell ref="B10:B14"/>
    <mergeCell ref="C51:C53"/>
    <mergeCell ref="B49:B54"/>
    <mergeCell ref="C41:C43"/>
    <mergeCell ref="B39:B43"/>
    <mergeCell ref="C46:C48"/>
    <mergeCell ref="B44:B48"/>
    <mergeCell ref="H6:H8"/>
    <mergeCell ref="H9:H11"/>
    <mergeCell ref="B6:B9"/>
    <mergeCell ref="G21:G29"/>
    <mergeCell ref="B34:B38"/>
    <mergeCell ref="C24:C26"/>
    <mergeCell ref="B22:B27"/>
    <mergeCell ref="C28:C29"/>
    <mergeCell ref="C31:C33"/>
    <mergeCell ref="B28:B33"/>
    <mergeCell ref="C36:C38"/>
    <mergeCell ref="G12:G20"/>
    <mergeCell ref="G30:G38"/>
    <mergeCell ref="H30:H32"/>
    <mergeCell ref="H33:H35"/>
    <mergeCell ref="H36:H38"/>
    <mergeCell ref="G82:H82"/>
    <mergeCell ref="G83:H83"/>
    <mergeCell ref="B56:C56"/>
    <mergeCell ref="B57:C57"/>
    <mergeCell ref="B58:C58"/>
    <mergeCell ref="B59:C59"/>
    <mergeCell ref="B60:C60"/>
    <mergeCell ref="H63:H65"/>
    <mergeCell ref="H66:H68"/>
    <mergeCell ref="H69:H71"/>
    <mergeCell ref="G54:G62"/>
    <mergeCell ref="H54:H56"/>
    <mergeCell ref="H57:H59"/>
    <mergeCell ref="B55:C55"/>
    <mergeCell ref="E6:E54"/>
    <mergeCell ref="G72:G80"/>
    <mergeCell ref="J6:J80"/>
    <mergeCell ref="O6:O12"/>
    <mergeCell ref="M6:M12"/>
    <mergeCell ref="L13:M13"/>
    <mergeCell ref="G81:H81"/>
    <mergeCell ref="H48:H50"/>
    <mergeCell ref="H51:H53"/>
    <mergeCell ref="H39:H41"/>
    <mergeCell ref="H42:H44"/>
    <mergeCell ref="G39:G44"/>
    <mergeCell ref="G45:G53"/>
    <mergeCell ref="H45:H47"/>
    <mergeCell ref="G6:G11"/>
    <mergeCell ref="H12:H14"/>
    <mergeCell ref="H15:H17"/>
    <mergeCell ref="H18:H20"/>
    <mergeCell ref="H72:H74"/>
    <mergeCell ref="H75:H77"/>
    <mergeCell ref="H78:H80"/>
    <mergeCell ref="H60:H62"/>
    <mergeCell ref="G63:G71"/>
    <mergeCell ref="H21:H23"/>
    <mergeCell ref="H24:H26"/>
    <mergeCell ref="H27:H29"/>
    <mergeCell ref="C16:C17"/>
    <mergeCell ref="C19:C21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G7" sqref="G7"/>
    </sheetView>
  </sheetViews>
  <sheetFormatPr baseColWidth="10" defaultRowHeight="12.75"/>
  <cols>
    <col min="2" max="2" width="49.85546875" bestFit="1" customWidth="1"/>
    <col min="9" max="9" width="17.28515625" customWidth="1"/>
    <col min="10" max="11" width="11.5703125" customWidth="1"/>
  </cols>
  <sheetData>
    <row r="1" spans="1:11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9</v>
      </c>
      <c r="J2" s="18"/>
      <c r="K2" s="24"/>
    </row>
    <row r="3" spans="1:11" ht="13.5" thickBot="1"/>
    <row r="4" spans="1:11" ht="13.5" thickBot="1">
      <c r="B4" s="2454" t="s">
        <v>612</v>
      </c>
      <c r="C4" s="2455"/>
      <c r="D4" s="2455"/>
      <c r="E4" s="2455"/>
      <c r="F4" s="2455"/>
      <c r="G4" s="2455"/>
      <c r="H4" s="2456"/>
    </row>
    <row r="5" spans="1:11" ht="13.5" thickBot="1">
      <c r="B5" s="738" t="s">
        <v>598</v>
      </c>
      <c r="C5" s="2450" t="s">
        <v>599</v>
      </c>
      <c r="D5" s="2450"/>
      <c r="E5" s="2450"/>
      <c r="F5" s="739" t="s">
        <v>600</v>
      </c>
      <c r="G5" s="740" t="s">
        <v>46</v>
      </c>
      <c r="H5" s="741" t="s">
        <v>42</v>
      </c>
    </row>
    <row r="6" spans="1:11" ht="12.75" customHeight="1">
      <c r="B6" s="703" t="s">
        <v>623</v>
      </c>
      <c r="C6" s="2451" t="s">
        <v>633</v>
      </c>
      <c r="D6" s="2452"/>
      <c r="E6" s="2453"/>
      <c r="F6" s="704" t="s">
        <v>640</v>
      </c>
      <c r="G6" s="729">
        <v>6</v>
      </c>
      <c r="H6" s="742" t="s">
        <v>285</v>
      </c>
      <c r="I6" s="1167" t="s">
        <v>2893</v>
      </c>
    </row>
    <row r="7" spans="1:11" ht="12.75" customHeight="1">
      <c r="B7" s="730" t="s">
        <v>624</v>
      </c>
      <c r="C7" s="2418" t="s">
        <v>634</v>
      </c>
      <c r="D7" s="2418"/>
      <c r="E7" s="2418"/>
      <c r="F7" s="708" t="s">
        <v>607</v>
      </c>
      <c r="G7" s="707">
        <v>7</v>
      </c>
      <c r="H7" s="743" t="s">
        <v>285</v>
      </c>
      <c r="I7" s="2457" t="s">
        <v>2894</v>
      </c>
    </row>
    <row r="8" spans="1:11" ht="12.75" customHeight="1">
      <c r="B8" s="730" t="s">
        <v>625</v>
      </c>
      <c r="C8" s="2418"/>
      <c r="D8" s="2418"/>
      <c r="E8" s="2418"/>
      <c r="F8" s="708" t="s">
        <v>607</v>
      </c>
      <c r="G8" s="707">
        <v>8</v>
      </c>
      <c r="H8" s="743" t="s">
        <v>285</v>
      </c>
      <c r="I8" s="2458"/>
    </row>
    <row r="9" spans="1:11">
      <c r="B9" s="730" t="s">
        <v>626</v>
      </c>
      <c r="C9" s="2418" t="s">
        <v>633</v>
      </c>
      <c r="D9" s="2325"/>
      <c r="E9" s="2325"/>
      <c r="F9" s="708" t="s">
        <v>641</v>
      </c>
      <c r="G9" s="707">
        <v>2</v>
      </c>
      <c r="H9" s="743" t="s">
        <v>285</v>
      </c>
      <c r="I9">
        <v>4.5</v>
      </c>
    </row>
    <row r="10" spans="1:11" ht="12.75" customHeight="1">
      <c r="B10" s="730" t="s">
        <v>627</v>
      </c>
      <c r="C10" s="2418" t="s">
        <v>633</v>
      </c>
      <c r="D10" s="2325"/>
      <c r="E10" s="2325"/>
      <c r="F10" s="702" t="s">
        <v>642</v>
      </c>
      <c r="G10" s="731">
        <v>2</v>
      </c>
      <c r="H10" s="743" t="s">
        <v>285</v>
      </c>
      <c r="I10">
        <v>6.7</v>
      </c>
    </row>
    <row r="11" spans="1:11" ht="12.75" customHeight="1">
      <c r="B11" s="730" t="s">
        <v>628</v>
      </c>
      <c r="C11" s="2441" t="s">
        <v>635</v>
      </c>
      <c r="D11" s="2442"/>
      <c r="E11" s="2402"/>
      <c r="F11" s="475" t="s">
        <v>643</v>
      </c>
      <c r="G11" s="732">
        <v>6</v>
      </c>
      <c r="H11" s="743" t="s">
        <v>285</v>
      </c>
      <c r="I11" s="2457" t="s">
        <v>2895</v>
      </c>
    </row>
    <row r="12" spans="1:11" ht="12.75" customHeight="1">
      <c r="B12" s="730" t="s">
        <v>629</v>
      </c>
      <c r="C12" s="2448"/>
      <c r="D12" s="2449"/>
      <c r="E12" s="2404"/>
      <c r="F12" s="475" t="s">
        <v>644</v>
      </c>
      <c r="G12" s="732">
        <v>1</v>
      </c>
      <c r="H12" s="743" t="s">
        <v>285</v>
      </c>
      <c r="I12" s="2458"/>
    </row>
    <row r="13" spans="1:11" ht="12.75" customHeight="1">
      <c r="B13" s="733" t="s">
        <v>630</v>
      </c>
      <c r="C13" s="2441" t="s">
        <v>633</v>
      </c>
      <c r="D13" s="2442"/>
      <c r="E13" s="2402"/>
      <c r="F13" s="475" t="s">
        <v>639</v>
      </c>
      <c r="G13" s="732">
        <v>1</v>
      </c>
      <c r="H13" s="743" t="s">
        <v>285</v>
      </c>
      <c r="I13" s="2457" t="s">
        <v>2896</v>
      </c>
    </row>
    <row r="14" spans="1:11" ht="12.75" customHeight="1">
      <c r="B14" s="733" t="s">
        <v>631</v>
      </c>
      <c r="C14" s="2448"/>
      <c r="D14" s="2449"/>
      <c r="E14" s="2404"/>
      <c r="F14" s="734" t="s">
        <v>639</v>
      </c>
      <c r="G14" s="735">
        <v>4</v>
      </c>
      <c r="H14" s="743" t="s">
        <v>285</v>
      </c>
      <c r="I14" s="2458"/>
    </row>
    <row r="15" spans="1:11" ht="12.75" customHeight="1">
      <c r="B15" s="733" t="s">
        <v>636</v>
      </c>
      <c r="C15" s="2325" t="s">
        <v>634</v>
      </c>
      <c r="D15" s="2325"/>
      <c r="E15" s="2325"/>
      <c r="F15" s="475" t="s">
        <v>638</v>
      </c>
      <c r="G15" s="732">
        <v>1</v>
      </c>
      <c r="H15" s="743" t="s">
        <v>285</v>
      </c>
      <c r="I15" s="2458">
        <v>7.8</v>
      </c>
    </row>
    <row r="16" spans="1:11" ht="12.75" customHeight="1">
      <c r="B16" s="733" t="s">
        <v>632</v>
      </c>
      <c r="C16" s="2325"/>
      <c r="D16" s="2325"/>
      <c r="E16" s="2325"/>
      <c r="F16" s="475" t="s">
        <v>637</v>
      </c>
      <c r="G16" s="707">
        <v>1</v>
      </c>
      <c r="H16" s="743" t="s">
        <v>285</v>
      </c>
      <c r="I16" s="2458"/>
    </row>
    <row r="17" spans="2:9">
      <c r="B17" s="733" t="s">
        <v>645</v>
      </c>
      <c r="C17" s="2441" t="s">
        <v>646</v>
      </c>
      <c r="D17" s="2442"/>
      <c r="E17" s="2402"/>
      <c r="F17" s="708" t="s">
        <v>647</v>
      </c>
      <c r="G17" s="707">
        <v>5</v>
      </c>
      <c r="H17" s="743" t="s">
        <v>285</v>
      </c>
      <c r="I17" s="2457" t="s">
        <v>2894</v>
      </c>
    </row>
    <row r="18" spans="2:9" ht="12.75" customHeight="1">
      <c r="B18" s="733" t="s">
        <v>648</v>
      </c>
      <c r="C18" s="2443"/>
      <c r="D18" s="2444"/>
      <c r="E18" s="2403"/>
      <c r="F18" s="708" t="s">
        <v>649</v>
      </c>
      <c r="G18" s="707">
        <v>1</v>
      </c>
      <c r="H18" s="743" t="s">
        <v>285</v>
      </c>
      <c r="I18" s="2458"/>
    </row>
    <row r="19" spans="2:9" ht="13.5" thickBot="1">
      <c r="B19" s="736" t="s">
        <v>650</v>
      </c>
      <c r="C19" s="2445"/>
      <c r="D19" s="2446"/>
      <c r="E19" s="2447"/>
      <c r="F19" s="710" t="s">
        <v>651</v>
      </c>
      <c r="G19" s="737">
        <v>4</v>
      </c>
      <c r="H19" s="744" t="s">
        <v>285</v>
      </c>
      <c r="I19" s="2458"/>
    </row>
    <row r="20" spans="2:9" ht="13.5" thickBot="1">
      <c r="B20" s="2438" t="s">
        <v>1474</v>
      </c>
      <c r="C20" s="2439"/>
      <c r="D20" s="2439"/>
      <c r="E20" s="2439"/>
      <c r="F20" s="2440"/>
      <c r="G20" s="745">
        <f>SUM(G6:G19)</f>
        <v>49</v>
      </c>
      <c r="H20" s="746" t="s">
        <v>285</v>
      </c>
    </row>
  </sheetData>
  <mergeCells count="16">
    <mergeCell ref="I7:I8"/>
    <mergeCell ref="I11:I12"/>
    <mergeCell ref="I13:I14"/>
    <mergeCell ref="I15:I16"/>
    <mergeCell ref="I17:I19"/>
    <mergeCell ref="C5:E5"/>
    <mergeCell ref="C11:E12"/>
    <mergeCell ref="C6:E6"/>
    <mergeCell ref="C9:E9"/>
    <mergeCell ref="B4:H4"/>
    <mergeCell ref="B20:F20"/>
    <mergeCell ref="C17:E19"/>
    <mergeCell ref="C10:E10"/>
    <mergeCell ref="C7:E8"/>
    <mergeCell ref="C13:E14"/>
    <mergeCell ref="C15:E1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H1" workbookViewId="0">
      <selection activeCell="N6" sqref="N6"/>
    </sheetView>
  </sheetViews>
  <sheetFormatPr baseColWidth="10" defaultRowHeight="12.75"/>
  <cols>
    <col min="1" max="1" width="32.28515625" bestFit="1" customWidth="1"/>
    <col min="7" max="7" width="26.42578125" customWidth="1"/>
    <col min="12" max="12" width="23.140625" bestFit="1" customWidth="1"/>
  </cols>
  <sheetData>
    <row r="1" spans="1:17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7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12</v>
      </c>
      <c r="O2" s="331"/>
    </row>
    <row r="4" spans="1:17" ht="11.25" customHeight="1">
      <c r="A4" s="1984" t="s">
        <v>1025</v>
      </c>
      <c r="B4" s="1984"/>
      <c r="C4" s="1984"/>
      <c r="D4" s="1984"/>
      <c r="E4" s="1984"/>
      <c r="G4" s="1984" t="s">
        <v>1026</v>
      </c>
      <c r="H4" s="1984"/>
      <c r="I4" s="1984"/>
      <c r="J4" s="1984"/>
      <c r="L4" s="1984" t="s">
        <v>1027</v>
      </c>
      <c r="M4" s="1984"/>
      <c r="N4" s="1984"/>
      <c r="O4" s="1984"/>
      <c r="P4" s="1984"/>
      <c r="Q4" s="1984"/>
    </row>
    <row r="5" spans="1:17" ht="25.5">
      <c r="A5" s="485" t="s">
        <v>742</v>
      </c>
      <c r="B5" s="421" t="s">
        <v>478</v>
      </c>
      <c r="C5" s="485" t="s">
        <v>858</v>
      </c>
      <c r="D5" s="495" t="s">
        <v>3</v>
      </c>
      <c r="E5" s="485" t="s">
        <v>42</v>
      </c>
      <c r="G5" s="485" t="s">
        <v>742</v>
      </c>
      <c r="H5" s="485" t="s">
        <v>858</v>
      </c>
      <c r="I5" s="495" t="s">
        <v>1028</v>
      </c>
      <c r="J5" s="485" t="s">
        <v>42</v>
      </c>
      <c r="L5" s="485" t="s">
        <v>742</v>
      </c>
      <c r="M5" s="485" t="s">
        <v>858</v>
      </c>
      <c r="N5" s="495" t="s">
        <v>1029</v>
      </c>
      <c r="O5" s="495" t="s">
        <v>1030</v>
      </c>
      <c r="P5" s="485" t="s">
        <v>52</v>
      </c>
      <c r="Q5" s="485" t="s">
        <v>42</v>
      </c>
    </row>
    <row r="6" spans="1:17">
      <c r="A6" s="2407" t="s">
        <v>1031</v>
      </c>
      <c r="B6" s="420" t="s">
        <v>922</v>
      </c>
      <c r="C6" s="416">
        <v>1</v>
      </c>
      <c r="D6" s="416">
        <v>1</v>
      </c>
      <c r="E6" s="420" t="s">
        <v>285</v>
      </c>
      <c r="G6" s="2422" t="s">
        <v>1032</v>
      </c>
      <c r="H6" s="416">
        <v>1</v>
      </c>
      <c r="I6" s="416">
        <v>62.55</v>
      </c>
      <c r="J6" s="420" t="s">
        <v>345</v>
      </c>
      <c r="L6" s="2465" t="s">
        <v>1033</v>
      </c>
      <c r="M6" s="416">
        <v>2</v>
      </c>
      <c r="N6" s="416">
        <v>8.3251338439044442</v>
      </c>
      <c r="O6" s="416">
        <v>0.95</v>
      </c>
      <c r="P6" s="416">
        <f>N6*O6</f>
        <v>7.9088771517092216</v>
      </c>
      <c r="Q6" s="420" t="s">
        <v>55</v>
      </c>
    </row>
    <row r="7" spans="1:17">
      <c r="A7" s="2408"/>
      <c r="B7" s="420" t="s">
        <v>924</v>
      </c>
      <c r="C7" s="1772" t="s">
        <v>973</v>
      </c>
      <c r="D7" s="416">
        <f>6+11+12+13</f>
        <v>42</v>
      </c>
      <c r="E7" s="420" t="s">
        <v>285</v>
      </c>
      <c r="F7">
        <f>D7/4</f>
        <v>10.5</v>
      </c>
      <c r="G7" s="2423"/>
      <c r="H7" s="416">
        <v>2</v>
      </c>
      <c r="I7" s="416">
        <v>57.917000000000002</v>
      </c>
      <c r="J7" s="420" t="s">
        <v>345</v>
      </c>
      <c r="L7" s="2466"/>
      <c r="M7" s="416">
        <v>3</v>
      </c>
      <c r="N7" s="416">
        <v>113.176</v>
      </c>
      <c r="O7" s="416">
        <v>0.95</v>
      </c>
      <c r="P7" s="416">
        <f t="shared" ref="P7:P13" si="0">N7*O7</f>
        <v>107.5172</v>
      </c>
      <c r="Q7" s="420" t="s">
        <v>55</v>
      </c>
    </row>
    <row r="8" spans="1:17">
      <c r="A8" s="2408"/>
      <c r="B8" s="420" t="s">
        <v>925</v>
      </c>
      <c r="C8" s="1828"/>
      <c r="D8" s="416">
        <f>5+3+3+1</f>
        <v>12</v>
      </c>
      <c r="E8" s="420" t="s">
        <v>285</v>
      </c>
      <c r="F8">
        <f>D8/4</f>
        <v>3</v>
      </c>
      <c r="G8" s="2423"/>
      <c r="H8" s="416">
        <v>3</v>
      </c>
      <c r="I8" s="416">
        <v>92.311999999999998</v>
      </c>
      <c r="J8" s="420" t="s">
        <v>345</v>
      </c>
      <c r="L8" s="2466"/>
      <c r="M8" s="416">
        <v>4</v>
      </c>
      <c r="N8" s="416">
        <v>23.088999999999999</v>
      </c>
      <c r="O8" s="416">
        <v>0.95</v>
      </c>
      <c r="P8" s="416">
        <f t="shared" si="0"/>
        <v>21.934549999999998</v>
      </c>
      <c r="Q8" s="420" t="s">
        <v>55</v>
      </c>
    </row>
    <row r="9" spans="1:17">
      <c r="A9" s="2408"/>
      <c r="B9" s="420" t="s">
        <v>927</v>
      </c>
      <c r="C9" s="1828">
        <v>1</v>
      </c>
      <c r="D9" s="416">
        <v>1</v>
      </c>
      <c r="E9" s="420" t="s">
        <v>285</v>
      </c>
      <c r="G9" s="2423"/>
      <c r="H9" s="416">
        <v>4</v>
      </c>
      <c r="I9" s="416">
        <v>91.710999999999999</v>
      </c>
      <c r="J9" s="420" t="s">
        <v>345</v>
      </c>
      <c r="L9" s="2466"/>
      <c r="M9" s="416">
        <v>5</v>
      </c>
      <c r="N9" s="416">
        <v>141.976</v>
      </c>
      <c r="O9" s="416">
        <v>0.95</v>
      </c>
      <c r="P9" s="416">
        <f t="shared" si="0"/>
        <v>134.87719999999999</v>
      </c>
      <c r="Q9" s="420" t="s">
        <v>55</v>
      </c>
    </row>
    <row r="10" spans="1:17">
      <c r="A10" s="2408"/>
      <c r="B10" s="420" t="s">
        <v>928</v>
      </c>
      <c r="C10" s="1828"/>
      <c r="D10" s="416">
        <v>1</v>
      </c>
      <c r="E10" s="420" t="s">
        <v>285</v>
      </c>
      <c r="G10" s="2423"/>
      <c r="H10" s="416">
        <v>5</v>
      </c>
      <c r="I10" s="416">
        <v>24.55</v>
      </c>
      <c r="J10" s="420" t="s">
        <v>345</v>
      </c>
      <c r="L10" s="2466"/>
      <c r="M10" s="416">
        <v>6</v>
      </c>
      <c r="N10" s="416">
        <v>6.9770000000000003</v>
      </c>
      <c r="O10" s="416">
        <v>0.95</v>
      </c>
      <c r="P10" s="416">
        <f t="shared" si="0"/>
        <v>6.6281499999999998</v>
      </c>
      <c r="Q10" s="420" t="s">
        <v>55</v>
      </c>
    </row>
    <row r="11" spans="1:17">
      <c r="A11" s="2408"/>
      <c r="B11" s="420" t="s">
        <v>930</v>
      </c>
      <c r="C11" s="1692">
        <v>2</v>
      </c>
      <c r="D11" s="416">
        <v>1</v>
      </c>
      <c r="E11" s="420" t="s">
        <v>285</v>
      </c>
      <c r="G11" s="2423"/>
      <c r="H11" s="416">
        <v>6</v>
      </c>
      <c r="I11" s="416">
        <v>72.566000000000003</v>
      </c>
      <c r="J11" s="420" t="s">
        <v>345</v>
      </c>
      <c r="L11" s="2466"/>
      <c r="M11" s="416">
        <v>7</v>
      </c>
      <c r="N11" s="416">
        <v>16.923999999999999</v>
      </c>
      <c r="O11" s="416">
        <v>0.95</v>
      </c>
      <c r="P11" s="416">
        <f t="shared" si="0"/>
        <v>16.0778</v>
      </c>
      <c r="Q11" s="420" t="s">
        <v>55</v>
      </c>
    </row>
    <row r="12" spans="1:17" ht="21" customHeight="1">
      <c r="A12" s="2408"/>
      <c r="B12" s="420" t="s">
        <v>931</v>
      </c>
      <c r="C12" s="1692"/>
      <c r="D12" s="416">
        <v>1</v>
      </c>
      <c r="E12" s="420" t="s">
        <v>285</v>
      </c>
      <c r="G12" s="2417"/>
      <c r="H12" s="416">
        <v>7</v>
      </c>
      <c r="I12" s="416">
        <v>72.566000000000003</v>
      </c>
      <c r="J12" s="420" t="s">
        <v>345</v>
      </c>
      <c r="L12" s="2466"/>
      <c r="M12" s="416">
        <v>8</v>
      </c>
      <c r="N12" s="416">
        <v>16.923999999999999</v>
      </c>
      <c r="O12" s="416">
        <v>0.95</v>
      </c>
      <c r="P12" s="416">
        <f t="shared" si="0"/>
        <v>16.0778</v>
      </c>
      <c r="Q12" s="420" t="s">
        <v>55</v>
      </c>
    </row>
    <row r="13" spans="1:17" ht="30" customHeight="1">
      <c r="A13" s="2408"/>
      <c r="B13" s="420" t="s">
        <v>932</v>
      </c>
      <c r="C13" s="1692"/>
      <c r="D13" s="416">
        <v>1</v>
      </c>
      <c r="E13" s="420" t="s">
        <v>285</v>
      </c>
      <c r="G13" s="1985" t="s">
        <v>1034</v>
      </c>
      <c r="H13" s="1985"/>
      <c r="I13" s="476">
        <f>SUM(I6:I12)</f>
        <v>474.17200000000003</v>
      </c>
      <c r="J13" s="476" t="s">
        <v>345</v>
      </c>
      <c r="L13" s="2467"/>
      <c r="M13" s="416">
        <v>9</v>
      </c>
      <c r="N13" s="416">
        <v>6.734</v>
      </c>
      <c r="O13" s="416">
        <v>0.95</v>
      </c>
      <c r="P13" s="416">
        <f t="shared" si="0"/>
        <v>6.3972999999999995</v>
      </c>
      <c r="Q13" s="420" t="s">
        <v>55</v>
      </c>
    </row>
    <row r="14" spans="1:17">
      <c r="A14" s="2408"/>
      <c r="B14" s="420" t="s">
        <v>934</v>
      </c>
      <c r="C14" s="420" t="s">
        <v>982</v>
      </c>
      <c r="D14" s="416">
        <f>2+2+4</f>
        <v>8</v>
      </c>
      <c r="E14" s="420" t="s">
        <v>285</v>
      </c>
      <c r="L14" s="2464" t="s">
        <v>1035</v>
      </c>
      <c r="M14" s="2406"/>
      <c r="N14" s="638">
        <f>SUM(N6:N13)</f>
        <v>334.12513384390434</v>
      </c>
      <c r="O14" s="639"/>
      <c r="P14" s="640"/>
      <c r="Q14" s="476" t="s">
        <v>345</v>
      </c>
    </row>
    <row r="15" spans="1:17">
      <c r="A15" s="2408"/>
      <c r="B15" s="420" t="s">
        <v>938</v>
      </c>
      <c r="C15" s="2459">
        <v>3</v>
      </c>
      <c r="D15" s="416">
        <v>1</v>
      </c>
      <c r="E15" s="420" t="s">
        <v>285</v>
      </c>
      <c r="N15">
        <f>N14/6.8347341</f>
        <v>48.886339827602704</v>
      </c>
    </row>
    <row r="16" spans="1:17">
      <c r="A16" s="2408"/>
      <c r="B16" s="420" t="s">
        <v>939</v>
      </c>
      <c r="C16" s="2460"/>
      <c r="D16" s="416">
        <v>1</v>
      </c>
      <c r="E16" s="420" t="s">
        <v>285</v>
      </c>
      <c r="G16" s="30"/>
    </row>
    <row r="17" spans="1:9">
      <c r="A17" s="2408"/>
      <c r="B17" s="418" t="s">
        <v>941</v>
      </c>
      <c r="C17" s="2460"/>
      <c r="D17" s="416">
        <f>2+3</f>
        <v>5</v>
      </c>
      <c r="E17" s="420" t="s">
        <v>285</v>
      </c>
    </row>
    <row r="18" spans="1:9">
      <c r="A18" s="2408"/>
      <c r="B18" s="418" t="s">
        <v>942</v>
      </c>
      <c r="C18" s="2460"/>
      <c r="D18" s="416">
        <f>3+1</f>
        <v>4</v>
      </c>
      <c r="E18" s="420" t="s">
        <v>285</v>
      </c>
    </row>
    <row r="19" spans="1:9">
      <c r="A19" s="2408"/>
      <c r="B19" s="418" t="s">
        <v>944</v>
      </c>
      <c r="C19" s="2460"/>
      <c r="D19" s="416">
        <f>1+1</f>
        <v>2</v>
      </c>
      <c r="E19" s="420" t="s">
        <v>285</v>
      </c>
    </row>
    <row r="20" spans="1:9">
      <c r="A20" s="2408"/>
      <c r="B20" s="420" t="s">
        <v>940</v>
      </c>
      <c r="C20" s="419">
        <v>3.4</v>
      </c>
      <c r="D20" s="416">
        <f>1+1</f>
        <v>2</v>
      </c>
      <c r="E20" s="420" t="s">
        <v>285</v>
      </c>
      <c r="H20" s="30"/>
    </row>
    <row r="21" spans="1:9">
      <c r="A21" s="2461" t="s">
        <v>1036</v>
      </c>
      <c r="B21" s="420" t="s">
        <v>946</v>
      </c>
      <c r="C21" s="2407" t="s">
        <v>1037</v>
      </c>
      <c r="D21" s="416">
        <v>2</v>
      </c>
      <c r="E21" s="420" t="s">
        <v>285</v>
      </c>
      <c r="H21" s="30"/>
      <c r="I21" s="513"/>
    </row>
    <row r="22" spans="1:9">
      <c r="A22" s="2461"/>
      <c r="B22" s="420" t="s">
        <v>948</v>
      </c>
      <c r="C22" s="2313"/>
      <c r="D22" s="416">
        <v>1</v>
      </c>
      <c r="E22" s="420" t="s">
        <v>285</v>
      </c>
    </row>
    <row r="23" spans="1:9">
      <c r="A23" s="2461"/>
      <c r="B23" s="420" t="s">
        <v>949</v>
      </c>
      <c r="C23" s="2313"/>
      <c r="D23" s="416">
        <v>1</v>
      </c>
      <c r="E23" s="420" t="s">
        <v>285</v>
      </c>
      <c r="H23" s="30"/>
      <c r="I23" s="30"/>
    </row>
    <row r="24" spans="1:9">
      <c r="A24" s="2461"/>
      <c r="B24" s="420" t="s">
        <v>950</v>
      </c>
      <c r="C24" s="2313"/>
      <c r="D24" s="416">
        <v>1</v>
      </c>
      <c r="E24" s="420" t="s">
        <v>285</v>
      </c>
      <c r="H24" s="30"/>
      <c r="I24" s="30"/>
    </row>
    <row r="25" spans="1:9">
      <c r="A25" s="2461"/>
      <c r="B25" s="420" t="s">
        <v>951</v>
      </c>
      <c r="C25" s="2313"/>
      <c r="D25" s="226">
        <v>1</v>
      </c>
      <c r="E25" s="420" t="s">
        <v>285</v>
      </c>
    </row>
    <row r="26" spans="1:9">
      <c r="A26" s="2461"/>
      <c r="B26" s="420" t="s">
        <v>952</v>
      </c>
      <c r="C26" s="2313"/>
      <c r="D26" s="226">
        <v>2</v>
      </c>
      <c r="E26" s="420" t="s">
        <v>285</v>
      </c>
    </row>
    <row r="27" spans="1:9">
      <c r="A27" s="2461"/>
      <c r="B27" s="420" t="s">
        <v>953</v>
      </c>
      <c r="C27" s="2313"/>
      <c r="D27" s="226">
        <v>1</v>
      </c>
      <c r="E27" s="420" t="s">
        <v>285</v>
      </c>
    </row>
    <row r="28" spans="1:9">
      <c r="A28" s="2461"/>
      <c r="B28" s="475" t="s">
        <v>972</v>
      </c>
      <c r="C28" s="2313"/>
      <c r="D28" s="226">
        <v>1</v>
      </c>
      <c r="E28" s="420" t="s">
        <v>285</v>
      </c>
    </row>
    <row r="29" spans="1:9">
      <c r="A29" s="2461"/>
      <c r="B29" s="475" t="s">
        <v>974</v>
      </c>
      <c r="C29" s="2313"/>
      <c r="D29" s="226">
        <v>1</v>
      </c>
      <c r="E29" s="420" t="s">
        <v>285</v>
      </c>
    </row>
    <row r="30" spans="1:9">
      <c r="A30" s="2461"/>
      <c r="B30" s="475" t="s">
        <v>976</v>
      </c>
      <c r="C30" s="2313"/>
      <c r="D30" s="226">
        <v>1</v>
      </c>
      <c r="E30" s="420" t="s">
        <v>285</v>
      </c>
    </row>
    <row r="31" spans="1:9">
      <c r="A31" s="2461"/>
      <c r="B31" s="475" t="s">
        <v>977</v>
      </c>
      <c r="C31" s="2313"/>
      <c r="D31" s="226">
        <v>4</v>
      </c>
      <c r="E31" s="420" t="s">
        <v>285</v>
      </c>
    </row>
    <row r="32" spans="1:9">
      <c r="A32" s="2461"/>
      <c r="B32" s="475" t="s">
        <v>978</v>
      </c>
      <c r="C32" s="2313"/>
      <c r="D32" s="226">
        <v>1</v>
      </c>
      <c r="E32" s="420" t="s">
        <v>285</v>
      </c>
    </row>
    <row r="33" spans="1:5">
      <c r="A33" s="2461"/>
      <c r="B33" s="475" t="s">
        <v>979</v>
      </c>
      <c r="C33" s="2313"/>
      <c r="D33" s="226">
        <v>2</v>
      </c>
      <c r="E33" s="420" t="s">
        <v>285</v>
      </c>
    </row>
    <row r="34" spans="1:5">
      <c r="A34" s="2461"/>
      <c r="B34" s="475" t="s">
        <v>980</v>
      </c>
      <c r="C34" s="2313"/>
      <c r="D34" s="226">
        <v>1</v>
      </c>
      <c r="E34" s="420" t="s">
        <v>285</v>
      </c>
    </row>
    <row r="35" spans="1:5">
      <c r="A35" s="2462"/>
      <c r="B35" s="475" t="s">
        <v>981</v>
      </c>
      <c r="C35" s="2314"/>
      <c r="D35" s="226">
        <v>2</v>
      </c>
      <c r="E35" s="420" t="s">
        <v>285</v>
      </c>
    </row>
    <row r="36" spans="1:5">
      <c r="A36" s="2463" t="s">
        <v>1031</v>
      </c>
      <c r="B36" s="420" t="s">
        <v>946</v>
      </c>
      <c r="C36" s="1692">
        <v>9</v>
      </c>
      <c r="D36" s="416">
        <v>2</v>
      </c>
      <c r="E36" s="420" t="s">
        <v>285</v>
      </c>
    </row>
    <row r="37" spans="1:5">
      <c r="A37" s="2461"/>
      <c r="B37" s="420" t="s">
        <v>948</v>
      </c>
      <c r="C37" s="1692"/>
      <c r="D37" s="416">
        <v>1</v>
      </c>
      <c r="E37" s="420" t="s">
        <v>285</v>
      </c>
    </row>
    <row r="38" spans="1:5">
      <c r="A38" s="2461"/>
      <c r="B38" s="420" t="s">
        <v>949</v>
      </c>
      <c r="C38" s="1692"/>
      <c r="D38" s="416">
        <v>1</v>
      </c>
      <c r="E38" s="420" t="s">
        <v>285</v>
      </c>
    </row>
    <row r="39" spans="1:5">
      <c r="A39" s="2461"/>
      <c r="B39" s="420" t="s">
        <v>951</v>
      </c>
      <c r="C39" s="1692"/>
      <c r="D39" s="416">
        <v>1</v>
      </c>
      <c r="E39" s="420" t="s">
        <v>285</v>
      </c>
    </row>
    <row r="40" spans="1:5">
      <c r="A40" s="2461"/>
      <c r="B40" s="420" t="s">
        <v>952</v>
      </c>
      <c r="C40" s="1692"/>
      <c r="D40" s="416">
        <v>2</v>
      </c>
      <c r="E40" s="420" t="s">
        <v>285</v>
      </c>
    </row>
    <row r="41" spans="1:5">
      <c r="A41" s="2461"/>
      <c r="B41" s="420" t="s">
        <v>956</v>
      </c>
      <c r="C41" s="1692"/>
      <c r="D41" s="416">
        <v>1</v>
      </c>
      <c r="E41" s="420" t="s">
        <v>285</v>
      </c>
    </row>
    <row r="42" spans="1:5">
      <c r="A42" s="2461"/>
      <c r="B42" s="420" t="s">
        <v>958</v>
      </c>
      <c r="C42" s="1692"/>
      <c r="D42" s="416">
        <v>1</v>
      </c>
      <c r="E42" s="420" t="s">
        <v>285</v>
      </c>
    </row>
    <row r="43" spans="1:5">
      <c r="A43" s="2462"/>
      <c r="B43" s="420" t="s">
        <v>960</v>
      </c>
      <c r="C43" s="1692"/>
      <c r="D43" s="416">
        <v>1</v>
      </c>
      <c r="E43" s="420" t="s">
        <v>285</v>
      </c>
    </row>
    <row r="44" spans="1:5">
      <c r="A44" s="2463" t="s">
        <v>1036</v>
      </c>
      <c r="B44" s="475" t="s">
        <v>983</v>
      </c>
      <c r="C44" s="1692"/>
      <c r="D44" s="416">
        <v>1</v>
      </c>
      <c r="E44" s="420" t="s">
        <v>285</v>
      </c>
    </row>
    <row r="45" spans="1:5">
      <c r="A45" s="2461"/>
      <c r="B45" s="475" t="s">
        <v>984</v>
      </c>
      <c r="C45" s="1692"/>
      <c r="D45" s="416">
        <v>1</v>
      </c>
      <c r="E45" s="420" t="s">
        <v>285</v>
      </c>
    </row>
    <row r="46" spans="1:5">
      <c r="A46" s="2461"/>
      <c r="B46" s="475" t="s">
        <v>985</v>
      </c>
      <c r="C46" s="1692"/>
      <c r="D46" s="416">
        <v>1</v>
      </c>
      <c r="E46" s="420" t="s">
        <v>285</v>
      </c>
    </row>
    <row r="47" spans="1:5">
      <c r="A47" s="2461"/>
      <c r="B47" s="475" t="s">
        <v>986</v>
      </c>
      <c r="C47" s="1692"/>
      <c r="D47" s="416">
        <v>1</v>
      </c>
      <c r="E47" s="420" t="s">
        <v>285</v>
      </c>
    </row>
    <row r="48" spans="1:5">
      <c r="A48" s="2461"/>
      <c r="B48" s="475" t="s">
        <v>987</v>
      </c>
      <c r="C48" s="1692"/>
      <c r="D48" s="416">
        <v>1</v>
      </c>
      <c r="E48" s="420" t="s">
        <v>285</v>
      </c>
    </row>
    <row r="49" spans="1:5">
      <c r="A49" s="2461"/>
      <c r="B49" s="475" t="s">
        <v>988</v>
      </c>
      <c r="C49" s="1692"/>
      <c r="D49" s="416">
        <v>1</v>
      </c>
      <c r="E49" s="420" t="s">
        <v>285</v>
      </c>
    </row>
    <row r="50" spans="1:5">
      <c r="A50" s="2461"/>
      <c r="B50" s="475" t="s">
        <v>989</v>
      </c>
      <c r="C50" s="1692"/>
      <c r="D50" s="416">
        <v>1</v>
      </c>
      <c r="E50" s="420" t="s">
        <v>285</v>
      </c>
    </row>
    <row r="51" spans="1:5">
      <c r="A51" s="2461"/>
      <c r="B51" s="475" t="s">
        <v>990</v>
      </c>
      <c r="C51" s="1692"/>
      <c r="D51" s="416">
        <v>1</v>
      </c>
      <c r="E51" s="420" t="s">
        <v>285</v>
      </c>
    </row>
    <row r="52" spans="1:5">
      <c r="A52" s="2461"/>
      <c r="B52" s="475" t="s">
        <v>991</v>
      </c>
      <c r="C52" s="1692"/>
      <c r="D52" s="416">
        <v>2</v>
      </c>
      <c r="E52" s="420" t="s">
        <v>285</v>
      </c>
    </row>
    <row r="53" spans="1:5">
      <c r="A53" s="2461"/>
      <c r="B53" s="475" t="s">
        <v>992</v>
      </c>
      <c r="C53" s="1692"/>
      <c r="D53" s="416">
        <v>1</v>
      </c>
      <c r="E53" s="420" t="s">
        <v>285</v>
      </c>
    </row>
    <row r="54" spans="1:5">
      <c r="A54" s="2461"/>
      <c r="B54" s="475" t="s">
        <v>993</v>
      </c>
      <c r="C54" s="1692"/>
      <c r="D54" s="416">
        <v>1</v>
      </c>
      <c r="E54" s="420" t="s">
        <v>285</v>
      </c>
    </row>
    <row r="55" spans="1:5">
      <c r="A55" s="2461"/>
      <c r="B55" s="475" t="s">
        <v>994</v>
      </c>
      <c r="C55" s="1692"/>
      <c r="D55" s="416">
        <v>1</v>
      </c>
      <c r="E55" s="420" t="s">
        <v>285</v>
      </c>
    </row>
    <row r="56" spans="1:5">
      <c r="A56" s="2461"/>
      <c r="B56" s="475" t="s">
        <v>995</v>
      </c>
      <c r="C56" s="1692"/>
      <c r="D56" s="416">
        <v>1</v>
      </c>
      <c r="E56" s="420" t="s">
        <v>285</v>
      </c>
    </row>
    <row r="57" spans="1:5">
      <c r="A57" s="2461"/>
      <c r="B57" s="475" t="s">
        <v>996</v>
      </c>
      <c r="C57" s="1692"/>
      <c r="D57" s="416">
        <v>1</v>
      </c>
      <c r="E57" s="420" t="s">
        <v>285</v>
      </c>
    </row>
    <row r="58" spans="1:5">
      <c r="A58" s="2462"/>
      <c r="B58" s="475" t="s">
        <v>997</v>
      </c>
      <c r="C58" s="1692"/>
      <c r="D58" s="226">
        <v>9</v>
      </c>
      <c r="E58" s="420" t="s">
        <v>285</v>
      </c>
    </row>
    <row r="59" spans="1:5">
      <c r="A59" s="1985" t="s">
        <v>1038</v>
      </c>
      <c r="B59" s="1985"/>
      <c r="C59" s="1985"/>
      <c r="D59" s="476">
        <f>SUM(D6:D58)</f>
        <v>139</v>
      </c>
      <c r="E59" s="476" t="s">
        <v>285</v>
      </c>
    </row>
  </sheetData>
  <mergeCells count="19">
    <mergeCell ref="L14:M14"/>
    <mergeCell ref="B1:G1"/>
    <mergeCell ref="A4:E4"/>
    <mergeCell ref="G4:J4"/>
    <mergeCell ref="L4:Q4"/>
    <mergeCell ref="A6:A20"/>
    <mergeCell ref="G6:G12"/>
    <mergeCell ref="L6:L13"/>
    <mergeCell ref="C7:C8"/>
    <mergeCell ref="C9:C10"/>
    <mergeCell ref="C11:C13"/>
    <mergeCell ref="A59:C59"/>
    <mergeCell ref="G13:H13"/>
    <mergeCell ref="C15:C19"/>
    <mergeCell ref="A21:A35"/>
    <mergeCell ref="C21:C35"/>
    <mergeCell ref="A36:A43"/>
    <mergeCell ref="C36:C58"/>
    <mergeCell ref="A44:A5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topLeftCell="D1" workbookViewId="0">
      <selection activeCell="N10" sqref="N10"/>
    </sheetView>
  </sheetViews>
  <sheetFormatPr baseColWidth="10" defaultRowHeight="12.75"/>
  <cols>
    <col min="2" max="2" width="12.85546875" bestFit="1" customWidth="1"/>
    <col min="3" max="5" width="13.28515625" customWidth="1"/>
  </cols>
  <sheetData>
    <row r="1" spans="1:19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1476</v>
      </c>
      <c r="J1" s="18"/>
      <c r="K1" s="24"/>
    </row>
    <row r="2" spans="1:19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10</v>
      </c>
      <c r="J2" s="18"/>
      <c r="K2" s="24"/>
    </row>
    <row r="3" spans="1:19" ht="13.5" thickBot="1"/>
    <row r="4" spans="1:19" ht="13.5" thickBot="1">
      <c r="B4" s="2454" t="s">
        <v>611</v>
      </c>
      <c r="C4" s="2468"/>
      <c r="D4" s="2468"/>
      <c r="E4" s="2468"/>
      <c r="F4" s="2468"/>
      <c r="G4" s="2468"/>
      <c r="H4" s="2469"/>
    </row>
    <row r="5" spans="1:19" ht="13.5" thickBot="1">
      <c r="B5" s="1096" t="s">
        <v>598</v>
      </c>
      <c r="C5" s="2470" t="s">
        <v>599</v>
      </c>
      <c r="D5" s="2471"/>
      <c r="E5" s="2471"/>
      <c r="F5" s="1097" t="s">
        <v>600</v>
      </c>
      <c r="G5" s="1098" t="s">
        <v>46</v>
      </c>
      <c r="H5" s="1099" t="s">
        <v>42</v>
      </c>
      <c r="J5" s="174" t="s">
        <v>820</v>
      </c>
      <c r="K5" s="175" t="s">
        <v>2241</v>
      </c>
      <c r="L5" s="175" t="s">
        <v>2246</v>
      </c>
      <c r="M5" s="175" t="s">
        <v>801</v>
      </c>
      <c r="N5" s="175" t="s">
        <v>824</v>
      </c>
      <c r="O5" s="175" t="s">
        <v>2255</v>
      </c>
      <c r="P5" s="175" t="s">
        <v>2258</v>
      </c>
      <c r="Q5" s="175" t="s">
        <v>2261</v>
      </c>
      <c r="R5" s="580" t="s">
        <v>2264</v>
      </c>
    </row>
    <row r="6" spans="1:19">
      <c r="B6" s="747" t="s">
        <v>601</v>
      </c>
      <c r="C6" s="2417" t="s">
        <v>606</v>
      </c>
      <c r="D6" s="2322"/>
      <c r="E6" s="2322"/>
      <c r="F6" s="391" t="s">
        <v>607</v>
      </c>
      <c r="G6" s="748">
        <v>15</v>
      </c>
      <c r="H6" s="1090" t="s">
        <v>285</v>
      </c>
      <c r="J6" s="154">
        <v>2</v>
      </c>
      <c r="K6" s="253">
        <v>4</v>
      </c>
      <c r="L6" s="253">
        <v>5</v>
      </c>
      <c r="M6" s="253">
        <v>3</v>
      </c>
      <c r="N6" s="253"/>
      <c r="O6" s="253"/>
      <c r="P6" s="253"/>
      <c r="Q6" s="253"/>
      <c r="R6" s="334">
        <v>1</v>
      </c>
      <c r="S6" s="1100">
        <f t="shared" ref="S6:S14" si="0">SUM(J6:R6)</f>
        <v>15</v>
      </c>
    </row>
    <row r="7" spans="1:19">
      <c r="B7" s="705" t="s">
        <v>602</v>
      </c>
      <c r="C7" s="2325"/>
      <c r="D7" s="2325"/>
      <c r="E7" s="2325"/>
      <c r="F7" s="706" t="s">
        <v>608</v>
      </c>
      <c r="G7" s="709">
        <v>1</v>
      </c>
      <c r="H7" s="708" t="s">
        <v>285</v>
      </c>
      <c r="J7" s="145">
        <v>1</v>
      </c>
      <c r="K7" s="5"/>
      <c r="L7" s="5"/>
      <c r="M7" s="5"/>
      <c r="N7" s="5"/>
      <c r="O7" s="5"/>
      <c r="P7" s="5"/>
      <c r="Q7" s="5"/>
      <c r="R7" s="278"/>
      <c r="S7" s="1101">
        <f t="shared" si="0"/>
        <v>1</v>
      </c>
    </row>
    <row r="8" spans="1:19">
      <c r="B8" s="705" t="s">
        <v>603</v>
      </c>
      <c r="C8" s="2325"/>
      <c r="D8" s="2325"/>
      <c r="E8" s="2325"/>
      <c r="F8" s="706" t="s">
        <v>608</v>
      </c>
      <c r="G8" s="709">
        <v>4</v>
      </c>
      <c r="H8" s="708" t="s">
        <v>285</v>
      </c>
      <c r="J8" s="145">
        <v>1</v>
      </c>
      <c r="K8" s="5">
        <v>1</v>
      </c>
      <c r="L8" s="5">
        <v>1</v>
      </c>
      <c r="M8" s="5">
        <v>1</v>
      </c>
      <c r="N8" s="5"/>
      <c r="O8" s="5"/>
      <c r="P8" s="5"/>
      <c r="Q8" s="5"/>
      <c r="R8" s="278"/>
      <c r="S8" s="1101">
        <f t="shared" si="0"/>
        <v>4</v>
      </c>
    </row>
    <row r="9" spans="1:19">
      <c r="B9" s="705" t="s">
        <v>604</v>
      </c>
      <c r="C9" s="2325"/>
      <c r="D9" s="2325"/>
      <c r="E9" s="2325"/>
      <c r="F9" s="706" t="s">
        <v>609</v>
      </c>
      <c r="G9" s="709">
        <v>63</v>
      </c>
      <c r="H9" s="708" t="s">
        <v>285</v>
      </c>
      <c r="J9" s="145"/>
      <c r="K9" s="5"/>
      <c r="L9" s="5"/>
      <c r="M9" s="5"/>
      <c r="N9" s="5"/>
      <c r="O9" s="5">
        <v>18</v>
      </c>
      <c r="P9" s="5">
        <v>22</v>
      </c>
      <c r="Q9" s="5">
        <v>22</v>
      </c>
      <c r="R9" s="278">
        <v>1</v>
      </c>
      <c r="S9" s="1101">
        <f>SUM(J9:R9)</f>
        <v>63</v>
      </c>
    </row>
    <row r="10" spans="1:19">
      <c r="B10" s="700" t="s">
        <v>605</v>
      </c>
      <c r="C10" s="2323"/>
      <c r="D10" s="2323"/>
      <c r="E10" s="2323"/>
      <c r="F10" s="701" t="s">
        <v>610</v>
      </c>
      <c r="G10" s="749">
        <v>1</v>
      </c>
      <c r="H10" s="708" t="s">
        <v>285</v>
      </c>
      <c r="J10" s="145"/>
      <c r="K10" s="5"/>
      <c r="L10" s="5"/>
      <c r="M10" s="5"/>
      <c r="N10" s="5">
        <v>1</v>
      </c>
      <c r="O10" s="5"/>
      <c r="P10" s="5"/>
      <c r="Q10" s="5"/>
      <c r="R10" s="278"/>
      <c r="S10" s="1101">
        <f t="shared" si="0"/>
        <v>1</v>
      </c>
    </row>
    <row r="11" spans="1:19">
      <c r="B11" s="750" t="s">
        <v>613</v>
      </c>
      <c r="C11" s="2418" t="s">
        <v>617</v>
      </c>
      <c r="D11" s="2325"/>
      <c r="E11" s="2325"/>
      <c r="F11" s="475" t="s">
        <v>619</v>
      </c>
      <c r="G11" s="751">
        <v>1</v>
      </c>
      <c r="H11" s="708" t="s">
        <v>285</v>
      </c>
      <c r="J11" s="145">
        <v>1</v>
      </c>
      <c r="K11" s="5"/>
      <c r="L11" s="5"/>
      <c r="M11" s="5"/>
      <c r="N11" s="5"/>
      <c r="O11" s="5"/>
      <c r="P11" s="5"/>
      <c r="Q11" s="5"/>
      <c r="R11" s="278"/>
      <c r="S11" s="1101">
        <f t="shared" si="0"/>
        <v>1</v>
      </c>
    </row>
    <row r="12" spans="1:19">
      <c r="B12" s="750" t="s">
        <v>614</v>
      </c>
      <c r="C12" s="2325"/>
      <c r="D12" s="2325"/>
      <c r="E12" s="2325"/>
      <c r="F12" s="474" t="s">
        <v>620</v>
      </c>
      <c r="G12" s="751">
        <v>1</v>
      </c>
      <c r="H12" s="708" t="s">
        <v>285</v>
      </c>
      <c r="J12" s="145"/>
      <c r="K12" s="5">
        <v>1</v>
      </c>
      <c r="L12" s="5"/>
      <c r="M12" s="5"/>
      <c r="N12" s="5"/>
      <c r="O12" s="5"/>
      <c r="P12" s="5"/>
      <c r="Q12" s="5"/>
      <c r="R12" s="278"/>
      <c r="S12" s="1101">
        <f t="shared" si="0"/>
        <v>1</v>
      </c>
    </row>
    <row r="13" spans="1:19" ht="24" customHeight="1">
      <c r="B13" s="750" t="s">
        <v>615</v>
      </c>
      <c r="C13" s="2418" t="s">
        <v>618</v>
      </c>
      <c r="D13" s="2325"/>
      <c r="E13" s="2325"/>
      <c r="F13" s="474" t="s">
        <v>621</v>
      </c>
      <c r="G13" s="751">
        <v>5</v>
      </c>
      <c r="H13" s="708" t="s">
        <v>285</v>
      </c>
      <c r="J13" s="145"/>
      <c r="K13" s="5"/>
      <c r="L13" s="5"/>
      <c r="M13" s="5"/>
      <c r="N13" s="5">
        <v>1</v>
      </c>
      <c r="O13" s="5">
        <v>1</v>
      </c>
      <c r="P13" s="5">
        <v>1</v>
      </c>
      <c r="Q13" s="5">
        <v>1</v>
      </c>
      <c r="R13" s="278">
        <v>1</v>
      </c>
      <c r="S13" s="1101">
        <f t="shared" si="0"/>
        <v>5</v>
      </c>
    </row>
    <row r="14" spans="1:19" ht="24" customHeight="1" thickBot="1">
      <c r="B14" s="752" t="s">
        <v>616</v>
      </c>
      <c r="C14" s="2422" t="s">
        <v>617</v>
      </c>
      <c r="D14" s="2323"/>
      <c r="E14" s="2323"/>
      <c r="F14" s="753" t="s">
        <v>622</v>
      </c>
      <c r="G14" s="749">
        <v>1</v>
      </c>
      <c r="H14" s="1044" t="s">
        <v>285</v>
      </c>
      <c r="J14" s="166"/>
      <c r="K14" s="167"/>
      <c r="L14" s="167"/>
      <c r="M14" s="167"/>
      <c r="N14" s="167"/>
      <c r="O14" s="167"/>
      <c r="P14" s="167">
        <v>1</v>
      </c>
      <c r="Q14" s="167"/>
      <c r="R14" s="413"/>
      <c r="S14" s="1102">
        <f t="shared" si="0"/>
        <v>1</v>
      </c>
    </row>
    <row r="15" spans="1:19" ht="13.5" thickBot="1">
      <c r="B15" s="2438" t="s">
        <v>1475</v>
      </c>
      <c r="C15" s="2439"/>
      <c r="D15" s="2439"/>
      <c r="E15" s="2439"/>
      <c r="F15" s="2439"/>
      <c r="G15" s="1052">
        <f>SUM(G6:G14)</f>
        <v>92</v>
      </c>
      <c r="H15" s="1053" t="s">
        <v>285</v>
      </c>
    </row>
    <row r="21" ht="12.75" customHeight="1"/>
    <row r="26" ht="12.75" customHeight="1"/>
    <row r="28" ht="12.75" customHeight="1"/>
    <row r="29" ht="13.5" customHeight="1"/>
  </sheetData>
  <mergeCells count="7">
    <mergeCell ref="B4:H4"/>
    <mergeCell ref="B15:F15"/>
    <mergeCell ref="C5:E5"/>
    <mergeCell ref="C6:E10"/>
    <mergeCell ref="C11:E12"/>
    <mergeCell ref="C14:E14"/>
    <mergeCell ref="C13:E13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topLeftCell="A16" workbookViewId="0">
      <selection activeCell="H33" sqref="H33"/>
    </sheetView>
  </sheetViews>
  <sheetFormatPr baseColWidth="10" defaultRowHeight="12.75"/>
  <cols>
    <col min="1" max="1" width="30.85546875" bestFit="1" customWidth="1"/>
    <col min="9" max="9" width="21.85546875" bestFit="1" customWidth="1"/>
    <col min="10" max="10" width="14.140625" bestFit="1" customWidth="1"/>
    <col min="15" max="15" width="16.7109375" bestFit="1" customWidth="1"/>
  </cols>
  <sheetData>
    <row r="1" spans="1:20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20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11</v>
      </c>
      <c r="O2" s="331"/>
    </row>
    <row r="4" spans="1:20">
      <c r="A4" s="1984" t="s">
        <v>969</v>
      </c>
      <c r="B4" s="1984"/>
      <c r="C4" s="1984"/>
      <c r="D4" s="1984"/>
      <c r="E4" s="1984"/>
      <c r="F4" s="1984"/>
      <c r="G4" s="1984"/>
      <c r="I4" s="1984" t="s">
        <v>1056</v>
      </c>
      <c r="J4" s="1984"/>
      <c r="K4" s="1984"/>
      <c r="L4" s="1984"/>
      <c r="M4" s="1984"/>
      <c r="N4" s="1984"/>
      <c r="O4" s="1984"/>
    </row>
    <row r="5" spans="1:20" ht="25.5">
      <c r="A5" s="129" t="s">
        <v>742</v>
      </c>
      <c r="B5" s="510" t="s">
        <v>478</v>
      </c>
      <c r="C5" s="129" t="s">
        <v>858</v>
      </c>
      <c r="D5" s="129" t="s">
        <v>22</v>
      </c>
      <c r="E5" s="511" t="s">
        <v>3</v>
      </c>
      <c r="F5" s="511" t="s">
        <v>921</v>
      </c>
      <c r="G5" s="129" t="s">
        <v>42</v>
      </c>
      <c r="I5" s="129" t="s">
        <v>742</v>
      </c>
      <c r="J5" s="510" t="s">
        <v>478</v>
      </c>
      <c r="K5" s="129" t="s">
        <v>858</v>
      </c>
      <c r="L5" s="129" t="s">
        <v>22</v>
      </c>
      <c r="M5" s="511" t="s">
        <v>3</v>
      </c>
      <c r="N5" s="511" t="s">
        <v>921</v>
      </c>
      <c r="O5" s="129" t="s">
        <v>42</v>
      </c>
    </row>
    <row r="6" spans="1:20">
      <c r="A6" s="2407" t="s">
        <v>970</v>
      </c>
      <c r="B6" s="420" t="s">
        <v>922</v>
      </c>
      <c r="C6" s="415">
        <v>1</v>
      </c>
      <c r="D6" s="416">
        <f>3.175*1.395</f>
        <v>4.429125</v>
      </c>
      <c r="E6" s="416">
        <v>1</v>
      </c>
      <c r="F6" s="416">
        <f>D6*E6</f>
        <v>4.429125</v>
      </c>
      <c r="G6" s="420" t="s">
        <v>55</v>
      </c>
      <c r="I6" s="1861" t="s">
        <v>971</v>
      </c>
      <c r="J6" s="475" t="s">
        <v>972</v>
      </c>
      <c r="K6" s="1861" t="s">
        <v>947</v>
      </c>
      <c r="L6" s="416">
        <f>4.55*2.71</f>
        <v>12.330499999999999</v>
      </c>
      <c r="M6" s="416">
        <v>1</v>
      </c>
      <c r="N6" s="416">
        <f>L6*M6</f>
        <v>12.330499999999999</v>
      </c>
      <c r="O6" s="420" t="s">
        <v>55</v>
      </c>
    </row>
    <row r="7" spans="1:20">
      <c r="A7" s="2409"/>
      <c r="B7" s="420" t="s">
        <v>924</v>
      </c>
      <c r="C7" s="2407" t="s">
        <v>973</v>
      </c>
      <c r="D7" s="416">
        <f>1.5*1.395</f>
        <v>2.0925000000000002</v>
      </c>
      <c r="E7" s="416">
        <f>6+11+12+13</f>
        <v>42</v>
      </c>
      <c r="F7" s="416">
        <f t="shared" ref="F7:F32" si="0">D7*E7</f>
        <v>87.885000000000005</v>
      </c>
      <c r="G7" s="420" t="s">
        <v>55</v>
      </c>
      <c r="I7" s="1861"/>
      <c r="J7" s="475" t="s">
        <v>974</v>
      </c>
      <c r="K7" s="1918"/>
      <c r="L7" s="416">
        <f>3.868*2.71</f>
        <v>10.482279999999999</v>
      </c>
      <c r="M7" s="416">
        <v>1</v>
      </c>
      <c r="N7" s="416">
        <f>L7*M7</f>
        <v>10.482279999999999</v>
      </c>
      <c r="O7" s="420" t="s">
        <v>55</v>
      </c>
    </row>
    <row r="8" spans="1:20">
      <c r="A8" s="2407" t="s">
        <v>975</v>
      </c>
      <c r="B8" s="420" t="s">
        <v>925</v>
      </c>
      <c r="C8" s="2314"/>
      <c r="D8" s="416">
        <f>0.75*0.63</f>
        <v>0.47250000000000003</v>
      </c>
      <c r="E8" s="416">
        <f>5+3+3+1</f>
        <v>12</v>
      </c>
      <c r="F8" s="416">
        <f t="shared" si="0"/>
        <v>5.67</v>
      </c>
      <c r="G8" s="420" t="s">
        <v>55</v>
      </c>
      <c r="I8" s="1861"/>
      <c r="J8" s="475" t="s">
        <v>976</v>
      </c>
      <c r="K8" s="1918"/>
      <c r="L8" s="416">
        <f>3.545*2.71</f>
        <v>9.6069499999999994</v>
      </c>
      <c r="M8" s="416">
        <v>1</v>
      </c>
      <c r="N8" s="416">
        <f t="shared" ref="N8:N31" si="1">L8*M8</f>
        <v>9.6069499999999994</v>
      </c>
      <c r="O8" s="420" t="s">
        <v>55</v>
      </c>
    </row>
    <row r="9" spans="1:20">
      <c r="A9" s="2409"/>
      <c r="B9" s="420" t="s">
        <v>927</v>
      </c>
      <c r="C9" s="2004">
        <v>1</v>
      </c>
      <c r="D9" s="416">
        <f>0.75*0.875</f>
        <v>0.65625</v>
      </c>
      <c r="E9" s="416">
        <v>1</v>
      </c>
      <c r="F9" s="416">
        <f t="shared" si="0"/>
        <v>0.65625</v>
      </c>
      <c r="G9" s="420" t="s">
        <v>55</v>
      </c>
      <c r="I9" s="1861"/>
      <c r="J9" s="475" t="s">
        <v>977</v>
      </c>
      <c r="K9" s="1918"/>
      <c r="L9" s="416">
        <f>6.8*2.71</f>
        <v>18.428000000000001</v>
      </c>
      <c r="M9" s="416">
        <v>4</v>
      </c>
      <c r="N9" s="416">
        <f t="shared" si="1"/>
        <v>73.712000000000003</v>
      </c>
      <c r="O9" s="420" t="s">
        <v>55</v>
      </c>
    </row>
    <row r="10" spans="1:20">
      <c r="A10" s="1861" t="s">
        <v>970</v>
      </c>
      <c r="B10" s="420" t="s">
        <v>928</v>
      </c>
      <c r="C10" s="2314"/>
      <c r="D10" s="416">
        <f>2.322*1.395</f>
        <v>3.2391900000000002</v>
      </c>
      <c r="E10" s="416">
        <v>1</v>
      </c>
      <c r="F10" s="416">
        <f t="shared" si="0"/>
        <v>3.2391900000000002</v>
      </c>
      <c r="G10" s="420" t="s">
        <v>55</v>
      </c>
      <c r="I10" s="1861"/>
      <c r="J10" s="475" t="s">
        <v>978</v>
      </c>
      <c r="K10" s="1918"/>
      <c r="L10" s="416">
        <f>3.65*2.71</f>
        <v>9.8914999999999988</v>
      </c>
      <c r="M10" s="416">
        <v>1</v>
      </c>
      <c r="N10" s="416">
        <f t="shared" si="1"/>
        <v>9.8914999999999988</v>
      </c>
      <c r="O10" s="420" t="s">
        <v>55</v>
      </c>
    </row>
    <row r="11" spans="1:20">
      <c r="A11" s="1861"/>
      <c r="B11" s="420" t="s">
        <v>930</v>
      </c>
      <c r="C11" s="2004">
        <v>2</v>
      </c>
      <c r="D11" s="416">
        <f>1.733*1.395</f>
        <v>2.417535</v>
      </c>
      <c r="E11" s="416">
        <v>1</v>
      </c>
      <c r="F11" s="416">
        <f t="shared" si="0"/>
        <v>2.417535</v>
      </c>
      <c r="G11" s="420" t="s">
        <v>55</v>
      </c>
      <c r="I11" s="1861"/>
      <c r="J11" s="475" t="s">
        <v>979</v>
      </c>
      <c r="K11" s="1918"/>
      <c r="L11" s="416">
        <f>3*2.71</f>
        <v>8.129999999999999</v>
      </c>
      <c r="M11" s="416">
        <v>2</v>
      </c>
      <c r="N11" s="416">
        <f t="shared" si="1"/>
        <v>16.259999999999998</v>
      </c>
      <c r="O11" s="420" t="s">
        <v>55</v>
      </c>
    </row>
    <row r="12" spans="1:20">
      <c r="A12" s="1861"/>
      <c r="B12" s="420" t="s">
        <v>931</v>
      </c>
      <c r="C12" s="2313"/>
      <c r="D12" s="416">
        <f>2.388*1.395</f>
        <v>3.3312599999999999</v>
      </c>
      <c r="E12" s="226">
        <v>1</v>
      </c>
      <c r="F12" s="416">
        <f t="shared" si="0"/>
        <v>3.3312599999999999</v>
      </c>
      <c r="G12" s="420" t="s">
        <v>55</v>
      </c>
      <c r="I12" s="1861"/>
      <c r="J12" s="475" t="s">
        <v>980</v>
      </c>
      <c r="K12" s="1918"/>
      <c r="L12" s="416">
        <f>3.037*2.71</f>
        <v>8.2302699999999991</v>
      </c>
      <c r="M12" s="416">
        <v>1</v>
      </c>
      <c r="N12" s="416">
        <f t="shared" si="1"/>
        <v>8.2302699999999991</v>
      </c>
      <c r="O12" s="420" t="s">
        <v>55</v>
      </c>
      <c r="Q12" s="8"/>
      <c r="R12" s="8"/>
      <c r="S12" s="8"/>
      <c r="T12" s="8"/>
    </row>
    <row r="13" spans="1:20">
      <c r="A13" s="1861"/>
      <c r="B13" s="420" t="s">
        <v>932</v>
      </c>
      <c r="C13" s="2313"/>
      <c r="D13" s="416">
        <f>1.179*1.395</f>
        <v>1.6447050000000001</v>
      </c>
      <c r="E13" s="226">
        <v>1</v>
      </c>
      <c r="F13" s="416">
        <f t="shared" si="0"/>
        <v>1.6447050000000001</v>
      </c>
      <c r="G13" s="420" t="s">
        <v>55</v>
      </c>
      <c r="I13" s="1861"/>
      <c r="J13" s="475" t="s">
        <v>981</v>
      </c>
      <c r="K13" s="1918"/>
      <c r="L13" s="416">
        <f>8.387*2.71</f>
        <v>22.728770000000001</v>
      </c>
      <c r="M13" s="416">
        <v>2</v>
      </c>
      <c r="N13" s="416">
        <f t="shared" si="1"/>
        <v>45.457540000000002</v>
      </c>
      <c r="O13" s="420" t="s">
        <v>55</v>
      </c>
      <c r="Q13" s="8"/>
      <c r="R13" s="8"/>
      <c r="S13" s="8"/>
      <c r="T13" s="8"/>
    </row>
    <row r="14" spans="1:20">
      <c r="A14" s="1861"/>
      <c r="B14" s="420" t="s">
        <v>934</v>
      </c>
      <c r="C14" s="512" t="s">
        <v>982</v>
      </c>
      <c r="D14" s="416">
        <f>2.602*1.395</f>
        <v>3.6297899999999998</v>
      </c>
      <c r="E14" s="226">
        <f>2+2+4</f>
        <v>8</v>
      </c>
      <c r="F14" s="416">
        <f t="shared" si="0"/>
        <v>29.038319999999999</v>
      </c>
      <c r="G14" s="420" t="s">
        <v>55</v>
      </c>
      <c r="I14" s="1861"/>
      <c r="J14" s="475" t="s">
        <v>983</v>
      </c>
      <c r="K14" s="1918">
        <v>9</v>
      </c>
      <c r="L14" s="416">
        <f>2.4*2.71</f>
        <v>6.5039999999999996</v>
      </c>
      <c r="M14" s="416">
        <v>1</v>
      </c>
      <c r="N14" s="416">
        <f t="shared" si="1"/>
        <v>6.5039999999999996</v>
      </c>
      <c r="O14" s="420" t="s">
        <v>55</v>
      </c>
      <c r="Q14" s="459"/>
      <c r="R14" s="513"/>
      <c r="S14" s="8"/>
      <c r="T14" s="8"/>
    </row>
    <row r="15" spans="1:20">
      <c r="A15" s="1861"/>
      <c r="B15" s="420" t="s">
        <v>938</v>
      </c>
      <c r="C15" s="416">
        <v>3</v>
      </c>
      <c r="D15" s="416">
        <f>2.044*1.395</f>
        <v>2.8513800000000002</v>
      </c>
      <c r="E15" s="226">
        <v>1</v>
      </c>
      <c r="F15" s="416">
        <f t="shared" si="0"/>
        <v>2.8513800000000002</v>
      </c>
      <c r="G15" s="420" t="s">
        <v>55</v>
      </c>
      <c r="I15" s="1861"/>
      <c r="J15" s="475" t="s">
        <v>984</v>
      </c>
      <c r="K15" s="1918"/>
      <c r="L15" s="416">
        <f>2.1*2.71</f>
        <v>5.6909999999999998</v>
      </c>
      <c r="M15" s="416">
        <v>1</v>
      </c>
      <c r="N15" s="416">
        <f t="shared" si="1"/>
        <v>5.6909999999999998</v>
      </c>
      <c r="O15" s="420" t="s">
        <v>55</v>
      </c>
      <c r="Q15" s="8"/>
      <c r="R15" s="8"/>
      <c r="S15" s="8"/>
      <c r="T15" s="8"/>
    </row>
    <row r="16" spans="1:20">
      <c r="A16" s="1861"/>
      <c r="B16" s="420" t="s">
        <v>939</v>
      </c>
      <c r="C16" s="416">
        <v>3</v>
      </c>
      <c r="D16" s="416">
        <f>2.968*1.395</f>
        <v>4.1403600000000003</v>
      </c>
      <c r="E16" s="226">
        <v>1</v>
      </c>
      <c r="F16" s="226">
        <f t="shared" si="0"/>
        <v>4.1403600000000003</v>
      </c>
      <c r="G16" s="420" t="s">
        <v>55</v>
      </c>
      <c r="I16" s="1861"/>
      <c r="J16" s="475" t="s">
        <v>985</v>
      </c>
      <c r="K16" s="1918"/>
      <c r="L16" s="416">
        <f>8.39*2.71</f>
        <v>22.736900000000002</v>
      </c>
      <c r="M16" s="416">
        <v>1</v>
      </c>
      <c r="N16" s="416">
        <f t="shared" si="1"/>
        <v>22.736900000000002</v>
      </c>
      <c r="O16" s="420" t="s">
        <v>55</v>
      </c>
      <c r="Q16" s="8"/>
      <c r="R16" s="8"/>
      <c r="S16" s="8"/>
      <c r="T16" s="8"/>
    </row>
    <row r="17" spans="1:20">
      <c r="A17" s="1861"/>
      <c r="B17" s="420" t="s">
        <v>940</v>
      </c>
      <c r="C17" s="416">
        <v>3.4</v>
      </c>
      <c r="D17" s="416">
        <f>1.81*2.02</f>
        <v>3.6562000000000001</v>
      </c>
      <c r="E17" s="226">
        <f>1+1</f>
        <v>2</v>
      </c>
      <c r="F17" s="226">
        <f t="shared" si="0"/>
        <v>7.3124000000000002</v>
      </c>
      <c r="G17" s="420" t="s">
        <v>55</v>
      </c>
      <c r="I17" s="1861"/>
      <c r="J17" s="475" t="s">
        <v>986</v>
      </c>
      <c r="K17" s="1918"/>
      <c r="L17" s="416">
        <f>3*2.71</f>
        <v>8.129999999999999</v>
      </c>
      <c r="M17" s="416">
        <v>1</v>
      </c>
      <c r="N17" s="416">
        <f t="shared" si="1"/>
        <v>8.129999999999999</v>
      </c>
      <c r="O17" s="420" t="s">
        <v>55</v>
      </c>
      <c r="Q17" s="8"/>
      <c r="R17" s="8"/>
      <c r="S17" s="132"/>
      <c r="T17" s="8"/>
    </row>
    <row r="18" spans="1:20">
      <c r="A18" s="1861"/>
      <c r="B18" s="420" t="s">
        <v>946</v>
      </c>
      <c r="C18" s="1861" t="s">
        <v>947</v>
      </c>
      <c r="D18" s="416">
        <f>5.106*1.1</f>
        <v>5.6166</v>
      </c>
      <c r="E18" s="416">
        <v>2</v>
      </c>
      <c r="F18" s="416">
        <f t="shared" si="0"/>
        <v>11.2332</v>
      </c>
      <c r="G18" s="420" t="s">
        <v>55</v>
      </c>
      <c r="I18" s="1861"/>
      <c r="J18" s="475" t="s">
        <v>987</v>
      </c>
      <c r="K18" s="1918"/>
      <c r="L18" s="416">
        <f>3.6*2.71</f>
        <v>9.7560000000000002</v>
      </c>
      <c r="M18" s="416">
        <v>1</v>
      </c>
      <c r="N18" s="416">
        <f t="shared" si="1"/>
        <v>9.7560000000000002</v>
      </c>
      <c r="O18" s="420" t="s">
        <v>55</v>
      </c>
      <c r="Q18" s="8"/>
      <c r="R18" s="8"/>
      <c r="S18" s="132"/>
      <c r="T18" s="8"/>
    </row>
    <row r="19" spans="1:20">
      <c r="A19" s="1861"/>
      <c r="B19" s="420" t="s">
        <v>948</v>
      </c>
      <c r="C19" s="1918"/>
      <c r="D19" s="416">
        <f>1*1.1</f>
        <v>1.1000000000000001</v>
      </c>
      <c r="E19" s="416">
        <v>1</v>
      </c>
      <c r="F19" s="416">
        <f t="shared" si="0"/>
        <v>1.1000000000000001</v>
      </c>
      <c r="G19" s="420" t="s">
        <v>55</v>
      </c>
      <c r="I19" s="1861"/>
      <c r="J19" s="475" t="s">
        <v>988</v>
      </c>
      <c r="K19" s="1918"/>
      <c r="L19" s="416">
        <f>2.02*2.71</f>
        <v>5.4741999999999997</v>
      </c>
      <c r="M19" s="416">
        <v>1</v>
      </c>
      <c r="N19" s="416">
        <f t="shared" si="1"/>
        <v>5.4741999999999997</v>
      </c>
      <c r="O19" s="420" t="s">
        <v>55</v>
      </c>
      <c r="Q19" s="8"/>
      <c r="R19" s="8"/>
      <c r="S19" s="132"/>
      <c r="T19" s="8"/>
    </row>
    <row r="20" spans="1:20">
      <c r="A20" s="1861"/>
      <c r="B20" s="420" t="s">
        <v>949</v>
      </c>
      <c r="C20" s="1918"/>
      <c r="D20" s="416">
        <f>4.88*0.82</f>
        <v>4.0015999999999998</v>
      </c>
      <c r="E20" s="226">
        <v>1</v>
      </c>
      <c r="F20" s="226">
        <f t="shared" si="0"/>
        <v>4.0015999999999998</v>
      </c>
      <c r="G20" s="420" t="s">
        <v>55</v>
      </c>
      <c r="I20" s="1861"/>
      <c r="J20" s="475" t="s">
        <v>989</v>
      </c>
      <c r="K20" s="1918"/>
      <c r="L20" s="416">
        <f>2.04*2.71</f>
        <v>5.5284000000000004</v>
      </c>
      <c r="M20" s="416">
        <v>1</v>
      </c>
      <c r="N20" s="416">
        <f t="shared" si="1"/>
        <v>5.5284000000000004</v>
      </c>
      <c r="O20" s="420" t="s">
        <v>55</v>
      </c>
      <c r="Q20" s="8"/>
      <c r="R20" s="8"/>
      <c r="S20" s="8"/>
      <c r="T20" s="8"/>
    </row>
    <row r="21" spans="1:20">
      <c r="A21" s="1861"/>
      <c r="B21" s="420" t="s">
        <v>950</v>
      </c>
      <c r="C21" s="1918"/>
      <c r="D21" s="416">
        <f>9.245*0.6</f>
        <v>5.5469999999999997</v>
      </c>
      <c r="E21" s="226">
        <v>1</v>
      </c>
      <c r="F21" s="226">
        <f t="shared" si="0"/>
        <v>5.5469999999999997</v>
      </c>
      <c r="G21" s="420" t="s">
        <v>55</v>
      </c>
      <c r="I21" s="1861"/>
      <c r="J21" s="475" t="s">
        <v>990</v>
      </c>
      <c r="K21" s="1918"/>
      <c r="L21" s="416">
        <f>7.14*2.71</f>
        <v>19.349399999999999</v>
      </c>
      <c r="M21" s="416">
        <v>1</v>
      </c>
      <c r="N21" s="416">
        <f t="shared" si="1"/>
        <v>19.349399999999999</v>
      </c>
      <c r="O21" s="420" t="s">
        <v>55</v>
      </c>
    </row>
    <row r="22" spans="1:20">
      <c r="A22" s="1861"/>
      <c r="B22" s="420" t="s">
        <v>951</v>
      </c>
      <c r="C22" s="1918"/>
      <c r="D22" s="416">
        <f>3.66*1.1</f>
        <v>4.0260000000000007</v>
      </c>
      <c r="E22" s="226">
        <v>1</v>
      </c>
      <c r="F22" s="226">
        <f t="shared" si="0"/>
        <v>4.0260000000000007</v>
      </c>
      <c r="G22" s="420" t="s">
        <v>55</v>
      </c>
      <c r="I22" s="1861"/>
      <c r="J22" s="475" t="s">
        <v>991</v>
      </c>
      <c r="K22" s="1918"/>
      <c r="L22" s="416">
        <f>3.07*2.71</f>
        <v>8.3196999999999992</v>
      </c>
      <c r="M22" s="416">
        <v>2</v>
      </c>
      <c r="N22" s="416">
        <f t="shared" si="1"/>
        <v>16.639399999999998</v>
      </c>
      <c r="O22" s="420" t="s">
        <v>55</v>
      </c>
    </row>
    <row r="23" spans="1:20">
      <c r="A23" s="1861"/>
      <c r="B23" s="420" t="s">
        <v>952</v>
      </c>
      <c r="C23" s="1918"/>
      <c r="D23" s="416">
        <f>9.22*1.1</f>
        <v>10.142000000000001</v>
      </c>
      <c r="E23" s="226">
        <v>2</v>
      </c>
      <c r="F23" s="226">
        <f t="shared" si="0"/>
        <v>20.284000000000002</v>
      </c>
      <c r="G23" s="420" t="s">
        <v>55</v>
      </c>
      <c r="I23" s="1861"/>
      <c r="J23" s="475" t="s">
        <v>992</v>
      </c>
      <c r="K23" s="1918"/>
      <c r="L23" s="416">
        <f>9.97*2.71</f>
        <v>27.018700000000003</v>
      </c>
      <c r="M23" s="416">
        <v>1</v>
      </c>
      <c r="N23" s="416">
        <f t="shared" si="1"/>
        <v>27.018700000000003</v>
      </c>
      <c r="O23" s="420" t="s">
        <v>55</v>
      </c>
    </row>
    <row r="24" spans="1:20">
      <c r="A24" s="1861"/>
      <c r="B24" s="420" t="s">
        <v>953</v>
      </c>
      <c r="C24" s="1918"/>
      <c r="D24" s="416">
        <f>3.601*1.1</f>
        <v>3.9611000000000005</v>
      </c>
      <c r="E24" s="226">
        <v>1</v>
      </c>
      <c r="F24" s="226">
        <f t="shared" si="0"/>
        <v>3.9611000000000005</v>
      </c>
      <c r="G24" s="420" t="s">
        <v>55</v>
      </c>
      <c r="I24" s="1861"/>
      <c r="J24" s="475" t="s">
        <v>993</v>
      </c>
      <c r="K24" s="1918"/>
      <c r="L24" s="416">
        <f>16.09*2.71</f>
        <v>43.603899999999996</v>
      </c>
      <c r="M24" s="416">
        <v>1</v>
      </c>
      <c r="N24" s="416">
        <f t="shared" si="1"/>
        <v>43.603899999999996</v>
      </c>
      <c r="O24" s="420" t="s">
        <v>55</v>
      </c>
    </row>
    <row r="25" spans="1:20">
      <c r="A25" s="1861"/>
      <c r="B25" s="420" t="s">
        <v>946</v>
      </c>
      <c r="C25" s="1692">
        <v>9</v>
      </c>
      <c r="D25" s="416">
        <f>5.106*1.1</f>
        <v>5.6166</v>
      </c>
      <c r="E25" s="416">
        <v>2</v>
      </c>
      <c r="F25" s="486">
        <f t="shared" si="0"/>
        <v>11.2332</v>
      </c>
      <c r="G25" s="420" t="s">
        <v>55</v>
      </c>
      <c r="I25" s="1861"/>
      <c r="J25" s="475" t="s">
        <v>994</v>
      </c>
      <c r="K25" s="1918"/>
      <c r="L25" s="416">
        <f>3.95*2.71</f>
        <v>10.704499999999999</v>
      </c>
      <c r="M25" s="416">
        <v>1</v>
      </c>
      <c r="N25" s="416">
        <f t="shared" si="1"/>
        <v>10.704499999999999</v>
      </c>
      <c r="O25" s="420" t="s">
        <v>55</v>
      </c>
    </row>
    <row r="26" spans="1:20">
      <c r="A26" s="1861"/>
      <c r="B26" s="420" t="s">
        <v>948</v>
      </c>
      <c r="C26" s="1692"/>
      <c r="D26" s="416">
        <v>1.1000000000000001</v>
      </c>
      <c r="E26" s="416">
        <v>1</v>
      </c>
      <c r="F26" s="486">
        <f t="shared" si="0"/>
        <v>1.1000000000000001</v>
      </c>
      <c r="G26" s="420" t="s">
        <v>55</v>
      </c>
      <c r="I26" s="1861"/>
      <c r="J26" s="475" t="s">
        <v>995</v>
      </c>
      <c r="K26" s="1918"/>
      <c r="L26" s="416">
        <f>4.54*2.71</f>
        <v>12.3034</v>
      </c>
      <c r="M26" s="416">
        <v>1</v>
      </c>
      <c r="N26" s="416">
        <f t="shared" si="1"/>
        <v>12.3034</v>
      </c>
      <c r="O26" s="420" t="s">
        <v>55</v>
      </c>
    </row>
    <row r="27" spans="1:20">
      <c r="A27" s="1861"/>
      <c r="B27" s="420" t="s">
        <v>949</v>
      </c>
      <c r="C27" s="1692"/>
      <c r="D27" s="226">
        <v>4.0015999999999998</v>
      </c>
      <c r="E27" s="416">
        <v>1</v>
      </c>
      <c r="F27" s="486">
        <f t="shared" si="0"/>
        <v>4.0015999999999998</v>
      </c>
      <c r="G27" s="420" t="s">
        <v>55</v>
      </c>
      <c r="I27" s="1861"/>
      <c r="J27" s="475" t="s">
        <v>996</v>
      </c>
      <c r="K27" s="1918"/>
      <c r="L27" s="416">
        <f>4.9*2.71</f>
        <v>13.279</v>
      </c>
      <c r="M27" s="416">
        <v>1</v>
      </c>
      <c r="N27" s="416">
        <f t="shared" si="1"/>
        <v>13.279</v>
      </c>
      <c r="O27" s="420" t="s">
        <v>55</v>
      </c>
    </row>
    <row r="28" spans="1:20">
      <c r="A28" s="1861"/>
      <c r="B28" s="420" t="s">
        <v>951</v>
      </c>
      <c r="C28" s="1692"/>
      <c r="D28" s="416">
        <v>4.0260000000000007</v>
      </c>
      <c r="E28" s="416">
        <v>1</v>
      </c>
      <c r="F28" s="486">
        <f t="shared" si="0"/>
        <v>4.0260000000000007</v>
      </c>
      <c r="G28" s="420" t="s">
        <v>55</v>
      </c>
      <c r="I28" s="1861"/>
      <c r="J28" s="475" t="s">
        <v>997</v>
      </c>
      <c r="K28" s="1918"/>
      <c r="L28" s="416">
        <f>2.05*2.71</f>
        <v>5.5554999999999994</v>
      </c>
      <c r="M28" s="226">
        <v>9</v>
      </c>
      <c r="N28" s="226">
        <f t="shared" si="1"/>
        <v>49.999499999999998</v>
      </c>
      <c r="O28" s="420" t="s">
        <v>55</v>
      </c>
    </row>
    <row r="29" spans="1:20">
      <c r="A29" s="1861"/>
      <c r="B29" s="420" t="s">
        <v>952</v>
      </c>
      <c r="C29" s="1692"/>
      <c r="D29" s="416">
        <v>10.142000000000001</v>
      </c>
      <c r="E29" s="416">
        <v>2</v>
      </c>
      <c r="F29" s="486">
        <f t="shared" si="0"/>
        <v>20.284000000000002</v>
      </c>
      <c r="G29" s="420" t="s">
        <v>55</v>
      </c>
      <c r="I29" s="1861"/>
      <c r="J29" s="418" t="s">
        <v>941</v>
      </c>
      <c r="K29" s="1918">
        <v>3</v>
      </c>
      <c r="L29" s="415">
        <f>1.5*1.5</f>
        <v>2.25</v>
      </c>
      <c r="M29" s="416">
        <f>2+3</f>
        <v>5</v>
      </c>
      <c r="N29" s="226">
        <f t="shared" si="1"/>
        <v>11.25</v>
      </c>
      <c r="O29" s="420" t="s">
        <v>55</v>
      </c>
    </row>
    <row r="30" spans="1:20">
      <c r="A30" s="1861"/>
      <c r="B30" s="420" t="s">
        <v>956</v>
      </c>
      <c r="C30" s="1692"/>
      <c r="D30" s="416">
        <f>1.46*1.1</f>
        <v>1.6060000000000001</v>
      </c>
      <c r="E30" s="416">
        <v>1</v>
      </c>
      <c r="F30" s="486">
        <f t="shared" si="0"/>
        <v>1.6060000000000001</v>
      </c>
      <c r="G30" s="420" t="s">
        <v>55</v>
      </c>
      <c r="I30" s="1861"/>
      <c r="J30" s="418" t="s">
        <v>942</v>
      </c>
      <c r="K30" s="1918"/>
      <c r="L30" s="415">
        <f>1.5*0.5</f>
        <v>0.75</v>
      </c>
      <c r="M30" s="416">
        <f>3+1</f>
        <v>4</v>
      </c>
      <c r="N30" s="226">
        <f t="shared" si="1"/>
        <v>3</v>
      </c>
      <c r="O30" s="420" t="s">
        <v>55</v>
      </c>
    </row>
    <row r="31" spans="1:20">
      <c r="A31" s="1861"/>
      <c r="B31" s="420" t="s">
        <v>958</v>
      </c>
      <c r="C31" s="1692"/>
      <c r="D31" s="416">
        <f>3.63*1.1</f>
        <v>3.9930000000000003</v>
      </c>
      <c r="E31" s="226">
        <v>1</v>
      </c>
      <c r="F31" s="486">
        <f t="shared" si="0"/>
        <v>3.9930000000000003</v>
      </c>
      <c r="G31" s="420" t="s">
        <v>55</v>
      </c>
      <c r="I31" s="1861"/>
      <c r="J31" s="418" t="s">
        <v>944</v>
      </c>
      <c r="K31" s="1918"/>
      <c r="L31" s="415">
        <f>3.525/3</f>
        <v>1.175</v>
      </c>
      <c r="M31" s="416">
        <f>1+1</f>
        <v>2</v>
      </c>
      <c r="N31" s="226">
        <f t="shared" si="1"/>
        <v>2.35</v>
      </c>
      <c r="O31" s="420" t="s">
        <v>55</v>
      </c>
    </row>
    <row r="32" spans="1:20">
      <c r="A32" s="1861"/>
      <c r="B32" s="420" t="s">
        <v>960</v>
      </c>
      <c r="C32" s="1692"/>
      <c r="D32" s="416">
        <f>4.84*1.1</f>
        <v>5.3239999999999998</v>
      </c>
      <c r="E32" s="226">
        <v>1</v>
      </c>
      <c r="F32" s="486">
        <f t="shared" si="0"/>
        <v>5.3239999999999998</v>
      </c>
      <c r="G32" s="420" t="s">
        <v>55</v>
      </c>
      <c r="I32" s="1985" t="s">
        <v>998</v>
      </c>
      <c r="J32" s="1985"/>
      <c r="K32" s="1985"/>
      <c r="L32" s="1985"/>
      <c r="M32" s="1985"/>
      <c r="N32" s="476">
        <f>SUM(N6:N31)</f>
        <v>459.28934000000004</v>
      </c>
      <c r="O32" s="476" t="s">
        <v>55</v>
      </c>
    </row>
    <row r="33" spans="1:17" ht="25.5">
      <c r="A33" s="422" t="s">
        <v>999</v>
      </c>
      <c r="B33" s="418" t="s">
        <v>1000</v>
      </c>
      <c r="C33" s="255" t="s">
        <v>1001</v>
      </c>
      <c r="D33" s="514">
        <f>((0.426*0.53)+0.02622+0.05313)</f>
        <v>0.30513000000000001</v>
      </c>
      <c r="E33" s="254">
        <v>481</v>
      </c>
      <c r="F33" s="515">
        <f>D33*E33</f>
        <v>146.76752999999999</v>
      </c>
      <c r="G33" s="418" t="s">
        <v>55</v>
      </c>
      <c r="H33" s="516">
        <f>F33/4</f>
        <v>36.691882499999998</v>
      </c>
      <c r="I33" s="488"/>
      <c r="J33" s="488"/>
      <c r="K33" s="488"/>
      <c r="L33" s="488"/>
      <c r="M33" s="488"/>
      <c r="N33" s="488"/>
      <c r="O33" s="488"/>
      <c r="P33" s="516"/>
    </row>
    <row r="34" spans="1:17">
      <c r="A34" s="2472" t="s">
        <v>1698</v>
      </c>
      <c r="B34" s="2472"/>
      <c r="C34" s="2472"/>
      <c r="D34" s="2472"/>
      <c r="E34" s="2472"/>
      <c r="F34" s="808">
        <f>F33</f>
        <v>146.76752999999999</v>
      </c>
      <c r="G34" s="808" t="s">
        <v>55</v>
      </c>
      <c r="H34" s="516"/>
      <c r="I34" s="488"/>
      <c r="J34" s="488"/>
      <c r="K34" s="488"/>
      <c r="L34" s="488"/>
      <c r="M34" s="488"/>
      <c r="N34" s="488"/>
      <c r="O34" s="488"/>
      <c r="P34" s="516"/>
    </row>
    <row r="35" spans="1:17">
      <c r="A35" s="2472" t="s">
        <v>1697</v>
      </c>
      <c r="B35" s="2472"/>
      <c r="C35" s="2472"/>
      <c r="D35" s="2472"/>
      <c r="E35" s="2472"/>
      <c r="F35" s="808">
        <f>SUM(F8:F9)</f>
        <v>6.3262499999999999</v>
      </c>
      <c r="G35" s="808" t="s">
        <v>55</v>
      </c>
      <c r="H35" s="516"/>
      <c r="I35" s="488"/>
      <c r="J35" s="488"/>
      <c r="K35" s="488"/>
      <c r="L35" s="488"/>
      <c r="M35" s="488"/>
      <c r="N35" s="488"/>
      <c r="O35" s="488"/>
      <c r="P35" s="516"/>
    </row>
    <row r="36" spans="1:17">
      <c r="A36" s="2472" t="s">
        <v>1695</v>
      </c>
      <c r="B36" s="2472"/>
      <c r="C36" s="2472"/>
      <c r="D36" s="2472"/>
      <c r="E36" s="2472"/>
      <c r="F36" s="808">
        <f>SUM(F6:F7,F10:F32)</f>
        <v>248.009975</v>
      </c>
      <c r="G36" s="808" t="s">
        <v>55</v>
      </c>
      <c r="H36" s="516"/>
      <c r="I36" s="488"/>
      <c r="J36" s="488"/>
      <c r="K36" s="488"/>
      <c r="L36" s="488"/>
      <c r="M36" s="488"/>
      <c r="N36" s="488"/>
      <c r="O36" s="488"/>
      <c r="P36" s="516"/>
    </row>
    <row r="37" spans="1:17">
      <c r="A37" s="1985" t="s">
        <v>1002</v>
      </c>
      <c r="B37" s="1985"/>
      <c r="C37" s="1985"/>
      <c r="D37" s="1985"/>
      <c r="E37" s="1985"/>
      <c r="F37" s="476">
        <f>SUM(F34:F36)</f>
        <v>401.10375499999998</v>
      </c>
      <c r="G37" s="476" t="s">
        <v>55</v>
      </c>
      <c r="H37" s="516"/>
      <c r="I37" s="516"/>
      <c r="J37" s="516"/>
      <c r="K37" s="516"/>
      <c r="L37" s="516"/>
      <c r="M37" s="516"/>
      <c r="N37" s="516"/>
      <c r="O37" s="516"/>
      <c r="P37" s="516"/>
    </row>
    <row r="41" spans="1:17">
      <c r="N41" s="223"/>
      <c r="O41" s="223"/>
    </row>
    <row r="42" spans="1:17">
      <c r="B42" s="1984" t="s">
        <v>1003</v>
      </c>
      <c r="C42" s="1984"/>
      <c r="D42" s="1984"/>
      <c r="E42" s="1984"/>
      <c r="F42" s="1984"/>
      <c r="I42" s="1984" t="s">
        <v>1004</v>
      </c>
      <c r="J42" s="1984"/>
      <c r="K42" s="1984"/>
      <c r="L42" s="1984"/>
      <c r="M42" s="1984"/>
      <c r="N42" s="487"/>
      <c r="O42" s="1984" t="s">
        <v>1005</v>
      </c>
      <c r="P42" s="1984"/>
      <c r="Q42" s="1984"/>
    </row>
    <row r="43" spans="1:17" ht="25.5">
      <c r="B43" s="485" t="s">
        <v>858</v>
      </c>
      <c r="C43" s="495" t="s">
        <v>907</v>
      </c>
      <c r="D43" s="495" t="s">
        <v>908</v>
      </c>
      <c r="E43" s="485" t="s">
        <v>52</v>
      </c>
      <c r="F43" s="485" t="s">
        <v>42</v>
      </c>
      <c r="I43" s="517" t="s">
        <v>742</v>
      </c>
      <c r="J43" s="517" t="s">
        <v>774</v>
      </c>
      <c r="K43" s="485" t="s">
        <v>858</v>
      </c>
      <c r="L43" s="485" t="s">
        <v>52</v>
      </c>
      <c r="M43" s="485" t="s">
        <v>42</v>
      </c>
      <c r="N43" s="223"/>
      <c r="O43" s="485" t="s">
        <v>742</v>
      </c>
      <c r="P43" s="495" t="s">
        <v>3</v>
      </c>
      <c r="Q43" s="485" t="s">
        <v>42</v>
      </c>
    </row>
    <row r="44" spans="1:17" ht="25.5">
      <c r="B44" s="416">
        <v>1</v>
      </c>
      <c r="C44" s="416">
        <v>6.1710000000000003</v>
      </c>
      <c r="D44" s="416">
        <v>2.64</v>
      </c>
      <c r="E44" s="416">
        <f>C44*D44</f>
        <v>16.291440000000001</v>
      </c>
      <c r="F44" s="420" t="s">
        <v>55</v>
      </c>
      <c r="I44" s="420" t="s">
        <v>1006</v>
      </c>
      <c r="J44" s="420" t="s">
        <v>1007</v>
      </c>
      <c r="K44" s="416">
        <v>1</v>
      </c>
      <c r="L44" s="416">
        <f>93.64</f>
        <v>93.64</v>
      </c>
      <c r="M44" s="420" t="s">
        <v>55</v>
      </c>
      <c r="O44" s="518" t="s">
        <v>1008</v>
      </c>
      <c r="P44" s="499">
        <v>4</v>
      </c>
      <c r="Q44" s="499" t="s">
        <v>285</v>
      </c>
    </row>
    <row r="45" spans="1:17">
      <c r="B45" s="416">
        <v>2</v>
      </c>
      <c r="C45" s="416">
        <v>19.236999999999998</v>
      </c>
      <c r="D45" s="416">
        <v>2.64</v>
      </c>
      <c r="E45" s="416">
        <f>C45*D45</f>
        <v>50.785679999999999</v>
      </c>
      <c r="F45" s="420" t="s">
        <v>55</v>
      </c>
      <c r="I45" s="1985" t="s">
        <v>1009</v>
      </c>
      <c r="J45" s="1985"/>
      <c r="K45" s="1985"/>
      <c r="L45" s="476">
        <f>L44</f>
        <v>93.64</v>
      </c>
      <c r="M45" s="476" t="s">
        <v>55</v>
      </c>
    </row>
    <row r="46" spans="1:17">
      <c r="B46" s="416">
        <v>3</v>
      </c>
      <c r="C46" s="416">
        <f>30.2878+34.209</f>
        <v>64.496800000000007</v>
      </c>
      <c r="D46" s="416">
        <v>2.64</v>
      </c>
      <c r="E46" s="416">
        <f>C46*D46</f>
        <v>170.27155200000001</v>
      </c>
      <c r="F46" s="420" t="s">
        <v>55</v>
      </c>
      <c r="I46" s="2407" t="s">
        <v>1010</v>
      </c>
      <c r="J46" s="420" t="s">
        <v>912</v>
      </c>
      <c r="K46" s="416">
        <v>1</v>
      </c>
      <c r="L46" s="416">
        <f>8.444+8.365+4.2784</f>
        <v>21.087400000000002</v>
      </c>
      <c r="M46" s="420" t="s">
        <v>55</v>
      </c>
    </row>
    <row r="47" spans="1:17">
      <c r="B47" s="416">
        <v>4</v>
      </c>
      <c r="C47" s="416">
        <f>24.284+38.489</f>
        <v>62.772999999999996</v>
      </c>
      <c r="D47" s="416">
        <v>2.64</v>
      </c>
      <c r="E47" s="416">
        <f>C47*D47</f>
        <v>165.72072</v>
      </c>
      <c r="F47" s="420" t="s">
        <v>55</v>
      </c>
      <c r="I47" s="2408"/>
      <c r="J47" s="420" t="s">
        <v>1011</v>
      </c>
      <c r="K47" s="416">
        <v>6</v>
      </c>
      <c r="L47" s="416">
        <f>23.95+26.5237+23.3848+20.3694+24.2256+24.2216+23.5905+23.5889+23.6932+48.6384+24.666+22.6266+39.5223+22.826+24.1975+24.1851+23.863</f>
        <v>444.07259999999997</v>
      </c>
      <c r="M47" s="420" t="s">
        <v>55</v>
      </c>
    </row>
    <row r="48" spans="1:17">
      <c r="B48" s="416">
        <v>6</v>
      </c>
      <c r="C48" s="416">
        <f>5.083+76.95</f>
        <v>82.033000000000001</v>
      </c>
      <c r="D48" s="416">
        <v>3</v>
      </c>
      <c r="E48" s="416">
        <f>(C48*D48)*3</f>
        <v>738.29700000000003</v>
      </c>
      <c r="F48" s="420" t="s">
        <v>55</v>
      </c>
      <c r="I48" s="2408"/>
      <c r="J48" s="420" t="s">
        <v>1011</v>
      </c>
      <c r="K48" s="416">
        <v>7</v>
      </c>
      <c r="L48" s="416">
        <f>L47+23.5511+23.554</f>
        <v>491.17769999999996</v>
      </c>
      <c r="M48" s="420" t="s">
        <v>55</v>
      </c>
    </row>
    <row r="49" spans="2:21">
      <c r="B49" s="416">
        <v>9</v>
      </c>
      <c r="C49" s="416">
        <f>5.819+109.76</f>
        <v>115.57900000000001</v>
      </c>
      <c r="D49" s="416">
        <v>3</v>
      </c>
      <c r="E49" s="416">
        <f>C49*D49</f>
        <v>346.73700000000002</v>
      </c>
      <c r="F49" s="420" t="s">
        <v>55</v>
      </c>
      <c r="I49" s="2408"/>
      <c r="J49" s="420" t="s">
        <v>1011</v>
      </c>
      <c r="K49" s="416">
        <v>8</v>
      </c>
      <c r="L49" s="416">
        <f>L48</f>
        <v>491.17769999999996</v>
      </c>
      <c r="M49" s="420" t="s">
        <v>55</v>
      </c>
    </row>
    <row r="50" spans="2:21">
      <c r="B50" s="1985" t="s">
        <v>1012</v>
      </c>
      <c r="C50" s="1985"/>
      <c r="D50" s="1985"/>
      <c r="E50" s="476">
        <f>SUM(E44:E49)</f>
        <v>1488.103392</v>
      </c>
      <c r="F50" s="476" t="s">
        <v>55</v>
      </c>
      <c r="I50" s="2409"/>
      <c r="J50" s="420" t="s">
        <v>1011</v>
      </c>
      <c r="K50" s="416">
        <v>9</v>
      </c>
      <c r="L50" s="416">
        <f>23.905+26.5289+23.1812+20.416+353.1667+20.9631+19.7141+19.9867+18.8437+18.1908+18.4064+10.5875+10.9443+10.9436+10.754+10.1504+10.9443+10.9436+10.1641+14.8941+13.9972+14.4916+9.6428+9.6432+9.0439+5.9567+5.7836+5.9566+13.7717+13.995+15.5742+36.1906</f>
        <v>817.67559999999958</v>
      </c>
      <c r="M50" s="420" t="s">
        <v>55</v>
      </c>
    </row>
    <row r="51" spans="2:21">
      <c r="I51" s="1985" t="s">
        <v>1009</v>
      </c>
      <c r="J51" s="1985"/>
      <c r="K51" s="1985"/>
      <c r="L51" s="476">
        <f>SUM(L46:L50)</f>
        <v>2265.1909999999993</v>
      </c>
      <c r="M51" s="476" t="s">
        <v>55</v>
      </c>
    </row>
    <row r="52" spans="2:21">
      <c r="B52" s="2411" t="s">
        <v>1013</v>
      </c>
      <c r="C52" s="2412"/>
      <c r="D52" s="2412"/>
      <c r="E52" s="2412"/>
      <c r="F52" s="2413"/>
      <c r="I52" s="2407" t="s">
        <v>1014</v>
      </c>
      <c r="J52" s="420" t="s">
        <v>1015</v>
      </c>
      <c r="K52" s="416">
        <v>1</v>
      </c>
      <c r="L52" s="416">
        <v>22.072299999999998</v>
      </c>
      <c r="M52" s="420" t="s">
        <v>55</v>
      </c>
    </row>
    <row r="53" spans="2:21" ht="25.5">
      <c r="B53" s="485" t="s">
        <v>858</v>
      </c>
      <c r="C53" s="495" t="s">
        <v>907</v>
      </c>
      <c r="D53" s="495" t="s">
        <v>908</v>
      </c>
      <c r="E53" s="485" t="s">
        <v>52</v>
      </c>
      <c r="F53" s="485" t="s">
        <v>42</v>
      </c>
      <c r="I53" s="2408"/>
      <c r="J53" s="420" t="s">
        <v>1016</v>
      </c>
      <c r="K53" s="416">
        <v>2</v>
      </c>
      <c r="L53" s="416">
        <f>14.8946+0.3036+3.5173+3.6103</f>
        <v>22.325799999999997</v>
      </c>
      <c r="M53" s="420" t="s">
        <v>55</v>
      </c>
    </row>
    <row r="54" spans="2:21">
      <c r="B54" s="416">
        <v>1</v>
      </c>
      <c r="C54" s="416">
        <v>6.1710000000000003</v>
      </c>
      <c r="D54" s="416">
        <v>2.64</v>
      </c>
      <c r="E54" s="416">
        <f>C54*D54</f>
        <v>16.291440000000001</v>
      </c>
      <c r="F54" s="420" t="s">
        <v>55</v>
      </c>
      <c r="I54" s="2408"/>
      <c r="J54" s="420" t="s">
        <v>1016</v>
      </c>
      <c r="K54" s="416">
        <v>3</v>
      </c>
      <c r="L54" s="416">
        <f>9.17+25.309</f>
        <v>34.478999999999999</v>
      </c>
      <c r="M54" s="420" t="s">
        <v>55</v>
      </c>
    </row>
    <row r="55" spans="2:21">
      <c r="B55" s="416">
        <v>2</v>
      </c>
      <c r="C55" s="416">
        <v>19.236999999999998</v>
      </c>
      <c r="D55" s="416">
        <v>2.64</v>
      </c>
      <c r="E55" s="416">
        <f>C55*D55</f>
        <v>50.785679999999999</v>
      </c>
      <c r="F55" s="420" t="s">
        <v>55</v>
      </c>
      <c r="I55" s="2408"/>
      <c r="J55" s="420" t="s">
        <v>1016</v>
      </c>
      <c r="K55" s="416">
        <v>4</v>
      </c>
      <c r="L55" s="416">
        <f>7.2896+8.8451</f>
        <v>16.134700000000002</v>
      </c>
      <c r="M55" s="420" t="s">
        <v>55</v>
      </c>
    </row>
    <row r="56" spans="2:21">
      <c r="B56" s="416">
        <v>3</v>
      </c>
      <c r="C56" s="416">
        <f>30.2878+34.209</f>
        <v>64.496800000000007</v>
      </c>
      <c r="D56" s="416">
        <v>2.64</v>
      </c>
      <c r="E56" s="416">
        <f>C56*D56</f>
        <v>170.27155200000001</v>
      </c>
      <c r="F56" s="420" t="s">
        <v>55</v>
      </c>
      <c r="I56" s="2409"/>
      <c r="J56" s="420" t="s">
        <v>1016</v>
      </c>
      <c r="K56" s="416">
        <v>5</v>
      </c>
      <c r="L56" s="416">
        <v>43.002800000000001</v>
      </c>
      <c r="M56" s="420" t="s">
        <v>55</v>
      </c>
    </row>
    <row r="57" spans="2:21">
      <c r="B57" s="416">
        <v>4</v>
      </c>
      <c r="C57" s="416">
        <f>24.284+38.489</f>
        <v>62.772999999999996</v>
      </c>
      <c r="D57" s="416">
        <v>2.64</v>
      </c>
      <c r="E57" s="416">
        <f>C57*D57</f>
        <v>165.72072</v>
      </c>
      <c r="F57" s="420" t="s">
        <v>55</v>
      </c>
      <c r="I57" s="1985" t="s">
        <v>1009</v>
      </c>
      <c r="J57" s="1985"/>
      <c r="K57" s="1985"/>
      <c r="L57" s="476">
        <f>SUM(L52:L56)</f>
        <v>138.0146</v>
      </c>
      <c r="M57" s="476" t="s">
        <v>55</v>
      </c>
    </row>
    <row r="58" spans="2:21">
      <c r="B58" s="416">
        <v>6</v>
      </c>
      <c r="C58" s="416">
        <f>5.083+76.95</f>
        <v>82.033000000000001</v>
      </c>
      <c r="D58" s="416">
        <v>3</v>
      </c>
      <c r="E58" s="416">
        <f>(C58*D58)*3</f>
        <v>738.29700000000003</v>
      </c>
      <c r="F58" s="420" t="s">
        <v>55</v>
      </c>
    </row>
    <row r="59" spans="2:21">
      <c r="B59" s="416">
        <v>9</v>
      </c>
      <c r="C59" s="416">
        <f>5.819+109.76</f>
        <v>115.57900000000001</v>
      </c>
      <c r="D59" s="416">
        <v>3</v>
      </c>
      <c r="E59" s="416">
        <f>C59*D59</f>
        <v>346.73700000000002</v>
      </c>
      <c r="F59" s="420" t="s">
        <v>55</v>
      </c>
    </row>
    <row r="60" spans="2:21">
      <c r="B60" s="1985" t="s">
        <v>1012</v>
      </c>
      <c r="C60" s="1985"/>
      <c r="D60" s="1985"/>
      <c r="E60" s="476">
        <f>SUM(E54:E59)</f>
        <v>1488.103392</v>
      </c>
      <c r="F60" s="476" t="s">
        <v>55</v>
      </c>
      <c r="I60" s="1984" t="s">
        <v>1017</v>
      </c>
      <c r="J60" s="1984"/>
      <c r="K60" s="1984"/>
      <c r="L60" s="1984"/>
      <c r="M60" s="1984"/>
      <c r="N60" s="1984"/>
    </row>
    <row r="61" spans="2:21" ht="24.75" customHeight="1">
      <c r="I61" s="485" t="s">
        <v>774</v>
      </c>
      <c r="J61" s="421" t="s">
        <v>478</v>
      </c>
      <c r="K61" s="495" t="s">
        <v>907</v>
      </c>
      <c r="L61" s="495" t="s">
        <v>908</v>
      </c>
      <c r="M61" s="485" t="s">
        <v>52</v>
      </c>
      <c r="N61" s="485" t="s">
        <v>42</v>
      </c>
      <c r="P61" s="5"/>
      <c r="Q61" s="4" t="s">
        <v>2542</v>
      </c>
      <c r="R61" s="4" t="s">
        <v>2543</v>
      </c>
      <c r="S61" s="4" t="s">
        <v>2544</v>
      </c>
      <c r="T61" s="4" t="s">
        <v>2545</v>
      </c>
      <c r="U61" s="4" t="s">
        <v>2546</v>
      </c>
    </row>
    <row r="62" spans="2:21" ht="12" customHeight="1">
      <c r="I62" s="2418" t="s">
        <v>1018</v>
      </c>
      <c r="J62" s="418" t="s">
        <v>1019</v>
      </c>
      <c r="K62" s="415">
        <v>24.009</v>
      </c>
      <c r="L62" s="415">
        <v>13.55</v>
      </c>
      <c r="M62" s="415">
        <f>K62*L62</f>
        <v>325.32195000000002</v>
      </c>
      <c r="N62" s="418" t="s">
        <v>55</v>
      </c>
      <c r="P62" s="5"/>
      <c r="Q62" s="5">
        <f>$M$62/5</f>
        <v>65.064390000000003</v>
      </c>
      <c r="R62" s="5">
        <f>$M$62/5</f>
        <v>65.064390000000003</v>
      </c>
      <c r="S62" s="5">
        <f>$M$62/5</f>
        <v>65.064390000000003</v>
      </c>
      <c r="T62" s="5">
        <f>$M$62/5</f>
        <v>65.064390000000003</v>
      </c>
      <c r="U62" s="5">
        <f>$M$62/5</f>
        <v>65.064390000000003</v>
      </c>
    </row>
    <row r="63" spans="2:21">
      <c r="I63" s="2418"/>
      <c r="J63" s="418" t="s">
        <v>1020</v>
      </c>
      <c r="K63" s="473" t="s">
        <v>1021</v>
      </c>
      <c r="L63" s="473" t="s">
        <v>1021</v>
      </c>
      <c r="M63" s="416">
        <v>53.664499999999997</v>
      </c>
      <c r="N63" s="420" t="s">
        <v>55</v>
      </c>
      <c r="P63" s="5"/>
      <c r="Q63" s="5">
        <f>$M$63/5</f>
        <v>10.732899999999999</v>
      </c>
      <c r="R63" s="5">
        <f>$M$63/5</f>
        <v>10.732899999999999</v>
      </c>
      <c r="S63" s="5">
        <f>$M$63/5</f>
        <v>10.732899999999999</v>
      </c>
      <c r="T63" s="5">
        <f>$M$63/5</f>
        <v>10.732899999999999</v>
      </c>
      <c r="U63" s="5">
        <f>$M$63/5</f>
        <v>10.732899999999999</v>
      </c>
    </row>
    <row r="64" spans="2:21">
      <c r="I64" s="2418"/>
      <c r="J64" s="255" t="s">
        <v>1022</v>
      </c>
      <c r="K64" s="416">
        <v>0</v>
      </c>
      <c r="L64" s="416">
        <v>0</v>
      </c>
      <c r="M64" s="416">
        <v>0</v>
      </c>
      <c r="N64" s="418" t="s">
        <v>55</v>
      </c>
      <c r="P64" s="4" t="s">
        <v>47</v>
      </c>
      <c r="Q64" s="5">
        <f>SUM(Q62:Q63)</f>
        <v>75.797290000000004</v>
      </c>
      <c r="R64" s="5">
        <f>SUM(R62:R63)</f>
        <v>75.797290000000004</v>
      </c>
      <c r="S64" s="5">
        <f>SUM(S62:S63)</f>
        <v>75.797290000000004</v>
      </c>
      <c r="T64" s="5">
        <f>SUM(T62:T63)</f>
        <v>75.797290000000004</v>
      </c>
      <c r="U64" s="5">
        <f>SUM(U62:U63)</f>
        <v>75.797290000000004</v>
      </c>
    </row>
    <row r="65" spans="8:14">
      <c r="I65" s="2418" t="s">
        <v>1023</v>
      </c>
      <c r="J65" s="418" t="s">
        <v>1019</v>
      </c>
      <c r="K65" s="415">
        <v>120.63</v>
      </c>
      <c r="L65" s="415">
        <v>2.35</v>
      </c>
      <c r="M65" s="415">
        <f>K65*L65</f>
        <v>283.48050000000001</v>
      </c>
      <c r="N65" s="420" t="s">
        <v>55</v>
      </c>
    </row>
    <row r="66" spans="8:14">
      <c r="I66" s="2418"/>
      <c r="J66" s="255" t="s">
        <v>1020</v>
      </c>
      <c r="K66" s="473" t="s">
        <v>1021</v>
      </c>
      <c r="L66" s="473" t="s">
        <v>1021</v>
      </c>
      <c r="M66" s="416">
        <v>128.2636</v>
      </c>
      <c r="N66" s="418" t="s">
        <v>55</v>
      </c>
    </row>
    <row r="67" spans="8:14">
      <c r="I67" s="2418"/>
      <c r="J67" s="255" t="s">
        <v>1022</v>
      </c>
      <c r="K67" s="473" t="s">
        <v>1021</v>
      </c>
      <c r="L67" s="473" t="s">
        <v>1021</v>
      </c>
      <c r="M67" s="416">
        <v>128.2636</v>
      </c>
      <c r="N67" s="420" t="s">
        <v>55</v>
      </c>
    </row>
    <row r="68" spans="8:14">
      <c r="I68" s="1985" t="s">
        <v>1024</v>
      </c>
      <c r="J68" s="1985"/>
      <c r="K68" s="1985"/>
      <c r="L68" s="1985"/>
      <c r="M68" s="508">
        <f>SUM(M62:M67)</f>
        <v>918.99414999999999</v>
      </c>
      <c r="N68" s="499" t="s">
        <v>55</v>
      </c>
    </row>
    <row r="69" spans="8:14">
      <c r="N69" s="30"/>
    </row>
    <row r="70" spans="8:14">
      <c r="M70">
        <v>928000</v>
      </c>
    </row>
    <row r="71" spans="8:14">
      <c r="H71" s="223"/>
      <c r="I71" s="519"/>
      <c r="J71" s="136"/>
      <c r="K71" s="136"/>
      <c r="L71" s="136" t="s">
        <v>2204</v>
      </c>
      <c r="M71" s="136">
        <f>M70/25</f>
        <v>37120</v>
      </c>
      <c r="N71" s="223"/>
    </row>
    <row r="72" spans="8:14">
      <c r="L72" t="s">
        <v>2205</v>
      </c>
      <c r="M72">
        <f>M71/90</f>
        <v>412.44444444444446</v>
      </c>
    </row>
    <row r="73" spans="8:14">
      <c r="L73" t="s">
        <v>2206</v>
      </c>
      <c r="M73">
        <f>M72*M68</f>
        <v>379034.03164444445</v>
      </c>
    </row>
  </sheetData>
  <mergeCells count="35">
    <mergeCell ref="B1:G1"/>
    <mergeCell ref="A4:G4"/>
    <mergeCell ref="I4:O4"/>
    <mergeCell ref="A6:A7"/>
    <mergeCell ref="I6:I31"/>
    <mergeCell ref="K6:K13"/>
    <mergeCell ref="C7:C8"/>
    <mergeCell ref="A8:A9"/>
    <mergeCell ref="C9:C10"/>
    <mergeCell ref="A10:A32"/>
    <mergeCell ref="B50:D50"/>
    <mergeCell ref="C11:C13"/>
    <mergeCell ref="K14:K28"/>
    <mergeCell ref="C18:C24"/>
    <mergeCell ref="C25:C32"/>
    <mergeCell ref="K29:K31"/>
    <mergeCell ref="I32:M32"/>
    <mergeCell ref="A37:E37"/>
    <mergeCell ref="B42:F42"/>
    <mergeCell ref="I42:M42"/>
    <mergeCell ref="A36:E36"/>
    <mergeCell ref="A35:E35"/>
    <mergeCell ref="A34:E34"/>
    <mergeCell ref="O42:Q42"/>
    <mergeCell ref="I45:K45"/>
    <mergeCell ref="I62:I64"/>
    <mergeCell ref="I65:I67"/>
    <mergeCell ref="I68:L68"/>
    <mergeCell ref="I51:K51"/>
    <mergeCell ref="I46:I50"/>
    <mergeCell ref="B52:F52"/>
    <mergeCell ref="I52:I56"/>
    <mergeCell ref="I57:K57"/>
    <mergeCell ref="B60:D60"/>
    <mergeCell ref="I60:N60"/>
  </mergeCells>
  <pageMargins left="0.7" right="0.7" top="0.75" bottom="0.75" header="0.3" footer="0.3"/>
  <pageSetup paperSize="9" orientation="portrait" r:id="rId1"/>
  <ignoredErrors>
    <ignoredError sqref="E48" formula="1"/>
  </ignoredError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3"/>
  <sheetViews>
    <sheetView topLeftCell="A125" zoomScale="70" zoomScaleNormal="70" workbookViewId="0">
      <selection activeCell="K131" sqref="K131"/>
    </sheetView>
  </sheetViews>
  <sheetFormatPr baseColWidth="10" defaultRowHeight="12.75"/>
  <cols>
    <col min="1" max="1" width="13.140625" bestFit="1" customWidth="1"/>
    <col min="2" max="2" width="16.5703125" customWidth="1"/>
    <col min="3" max="3" width="12.140625" customWidth="1"/>
    <col min="4" max="4" width="17" customWidth="1"/>
    <col min="7" max="7" width="3.5703125" customWidth="1"/>
    <col min="8" max="8" width="26.5703125" customWidth="1"/>
    <col min="9" max="9" width="18.28515625" customWidth="1"/>
    <col min="10" max="10" width="15.7109375" customWidth="1"/>
    <col min="13" max="13" width="3.5703125" customWidth="1"/>
    <col min="14" max="14" width="25.5703125" bestFit="1" customWidth="1"/>
    <col min="15" max="16" width="13.28515625" customWidth="1"/>
    <col min="19" max="19" width="3.5703125" style="8" customWidth="1"/>
    <col min="20" max="20" width="25.5703125" bestFit="1" customWidth="1"/>
    <col min="21" max="22" width="15.140625" customWidth="1"/>
    <col min="25" max="25" width="3.5703125" style="8" customWidth="1"/>
    <col min="26" max="26" width="25.5703125" bestFit="1" customWidth="1"/>
    <col min="27" max="27" width="18" customWidth="1"/>
    <col min="28" max="28" width="22.28515625" customWidth="1"/>
    <col min="31" max="31" width="3.7109375" customWidth="1"/>
    <col min="32" max="32" width="17.7109375" bestFit="1" customWidth="1"/>
    <col min="33" max="34" width="22.28515625" customWidth="1"/>
    <col min="36" max="36" width="11.42578125" customWidth="1"/>
    <col min="37" max="37" width="4.28515625" customWidth="1"/>
    <col min="38" max="38" width="23.5703125" bestFit="1" customWidth="1"/>
    <col min="43" max="43" width="3.5703125" customWidth="1"/>
    <col min="44" max="44" width="23.5703125" bestFit="1" customWidth="1"/>
    <col min="49" max="49" width="3.42578125" customWidth="1"/>
    <col min="50" max="50" width="23.5703125" bestFit="1" customWidth="1"/>
  </cols>
  <sheetData>
    <row r="1" spans="1:54">
      <c r="A1" s="23" t="s">
        <v>14</v>
      </c>
      <c r="B1" s="16" t="s">
        <v>275</v>
      </c>
      <c r="C1" s="16"/>
      <c r="D1" s="16"/>
      <c r="E1" s="17"/>
      <c r="F1" s="17"/>
      <c r="G1" s="17"/>
      <c r="H1" s="17"/>
      <c r="I1" s="19" t="s">
        <v>17</v>
      </c>
      <c r="J1" s="18" t="s">
        <v>1473</v>
      </c>
      <c r="K1" s="18"/>
      <c r="L1" s="24"/>
      <c r="M1" s="18"/>
    </row>
    <row r="2" spans="1:54">
      <c r="A2" s="23" t="s">
        <v>15</v>
      </c>
      <c r="B2" s="126" t="s">
        <v>277</v>
      </c>
      <c r="C2" s="126"/>
      <c r="D2" s="126"/>
      <c r="E2" s="22"/>
      <c r="F2" s="22"/>
      <c r="G2" s="22"/>
      <c r="H2" s="22"/>
      <c r="I2" s="19" t="s">
        <v>16</v>
      </c>
      <c r="J2" s="18">
        <v>14</v>
      </c>
      <c r="K2" s="18"/>
      <c r="L2" s="24"/>
      <c r="M2" s="18"/>
    </row>
    <row r="3" spans="1:54" ht="13.5" thickBot="1">
      <c r="A3" s="2504" t="s">
        <v>279</v>
      </c>
      <c r="B3" s="2504"/>
      <c r="C3" s="18"/>
      <c r="D3" s="18"/>
      <c r="E3" s="18"/>
      <c r="F3" s="18"/>
      <c r="G3" s="18"/>
      <c r="H3" s="18"/>
      <c r="I3" s="18"/>
      <c r="J3" s="2510"/>
      <c r="K3" s="2510"/>
      <c r="L3" s="2511"/>
      <c r="M3" s="188"/>
    </row>
    <row r="4" spans="1:54" ht="13.5" thickBot="1">
      <c r="A4" s="2475" t="s">
        <v>278</v>
      </c>
      <c r="B4" s="2476"/>
      <c r="C4" s="2476"/>
      <c r="D4" s="2476"/>
      <c r="E4" s="2476"/>
      <c r="F4" s="2476"/>
      <c r="G4" s="2476"/>
      <c r="H4" s="2476"/>
      <c r="I4" s="2476"/>
      <c r="J4" s="2476"/>
      <c r="K4" s="2476"/>
      <c r="L4" s="2476"/>
      <c r="M4" s="2476"/>
      <c r="N4" s="2476"/>
      <c r="O4" s="2476"/>
      <c r="P4" s="2476"/>
      <c r="Q4" s="2476"/>
      <c r="R4" s="2476"/>
      <c r="S4" s="2476"/>
      <c r="T4" s="2476"/>
      <c r="U4" s="2476"/>
      <c r="V4" s="2476"/>
      <c r="W4" s="2476"/>
      <c r="X4" s="2476"/>
      <c r="Y4" s="2476"/>
      <c r="Z4" s="2476"/>
      <c r="AA4" s="2476"/>
      <c r="AB4" s="2476"/>
      <c r="AC4" s="2476"/>
      <c r="AD4" s="2476"/>
      <c r="AE4" s="2476"/>
      <c r="AF4" s="2476"/>
      <c r="AG4" s="2476"/>
      <c r="AH4" s="2476"/>
      <c r="AI4" s="2476"/>
      <c r="AJ4" s="2476"/>
      <c r="AK4" s="2476"/>
      <c r="AL4" s="2476"/>
      <c r="AM4" s="2476"/>
      <c r="AN4" s="2476"/>
      <c r="AO4" s="2476"/>
      <c r="AP4" s="2476"/>
      <c r="AQ4" s="2476"/>
      <c r="AR4" s="2476"/>
      <c r="AS4" s="2476"/>
      <c r="AT4" s="2476"/>
      <c r="AU4" s="2476"/>
      <c r="AV4" s="2476"/>
      <c r="AW4" s="2476"/>
      <c r="AX4" s="2476"/>
      <c r="AY4" s="2476"/>
      <c r="AZ4" s="2476"/>
      <c r="BA4" s="2476"/>
      <c r="BB4" s="2477"/>
    </row>
    <row r="5" spans="1:54" ht="13.5" thickBot="1">
      <c r="B5" s="2505" t="s">
        <v>282</v>
      </c>
      <c r="C5" s="2506"/>
      <c r="D5" s="2506"/>
      <c r="E5" s="2506"/>
      <c r="F5" s="2507"/>
      <c r="G5" s="138"/>
      <c r="H5" s="2499" t="s">
        <v>298</v>
      </c>
      <c r="I5" s="2500"/>
      <c r="J5" s="2500"/>
      <c r="K5" s="2500"/>
      <c r="L5" s="2501"/>
      <c r="M5" s="139"/>
      <c r="N5" s="2499" t="s">
        <v>322</v>
      </c>
      <c r="O5" s="2500"/>
      <c r="P5" s="2500"/>
      <c r="Q5" s="2500"/>
      <c r="R5" s="2501"/>
      <c r="S5" s="139"/>
      <c r="T5" s="2499" t="s">
        <v>332</v>
      </c>
      <c r="U5" s="2500"/>
      <c r="V5" s="2500"/>
      <c r="W5" s="2500"/>
      <c r="X5" s="2501"/>
      <c r="Y5" s="139"/>
      <c r="Z5" s="2499" t="s">
        <v>337</v>
      </c>
      <c r="AA5" s="2500"/>
      <c r="AB5" s="2500"/>
      <c r="AC5" s="2500"/>
      <c r="AD5" s="2501"/>
      <c r="AF5" s="2486" t="s">
        <v>364</v>
      </c>
      <c r="AG5" s="2487"/>
      <c r="AH5" s="2487"/>
      <c r="AI5" s="2487"/>
      <c r="AJ5" s="2488"/>
      <c r="AL5" s="2486" t="s">
        <v>364</v>
      </c>
      <c r="AM5" s="2487"/>
      <c r="AN5" s="2487"/>
      <c r="AO5" s="2487"/>
      <c r="AP5" s="2488"/>
      <c r="AR5" s="2478" t="s">
        <v>393</v>
      </c>
      <c r="AS5" s="2479"/>
      <c r="AT5" s="2479"/>
      <c r="AU5" s="2479"/>
      <c r="AV5" s="2480"/>
      <c r="AX5" s="2478" t="s">
        <v>397</v>
      </c>
      <c r="AY5" s="2479"/>
      <c r="AZ5" s="2479"/>
      <c r="BA5" s="2479"/>
      <c r="BB5" s="2480"/>
    </row>
    <row r="6" spans="1:54" ht="13.5" thickBot="1">
      <c r="A6" s="140"/>
      <c r="B6" s="155" t="s">
        <v>283</v>
      </c>
      <c r="C6" s="2512" t="s">
        <v>0</v>
      </c>
      <c r="D6" s="2512"/>
      <c r="E6" s="156" t="s">
        <v>46</v>
      </c>
      <c r="F6" s="157" t="s">
        <v>42</v>
      </c>
      <c r="G6" s="186"/>
      <c r="H6" s="155" t="s">
        <v>283</v>
      </c>
      <c r="I6" s="2512" t="s">
        <v>0</v>
      </c>
      <c r="J6" s="2512"/>
      <c r="K6" s="156" t="s">
        <v>46</v>
      </c>
      <c r="L6" s="157" t="s">
        <v>42</v>
      </c>
      <c r="M6" s="185"/>
      <c r="N6" s="155" t="s">
        <v>283</v>
      </c>
      <c r="O6" s="2481" t="s">
        <v>0</v>
      </c>
      <c r="P6" s="2482"/>
      <c r="Q6" s="156" t="s">
        <v>46</v>
      </c>
      <c r="R6" s="157" t="s">
        <v>42</v>
      </c>
      <c r="S6" s="186"/>
      <c r="T6" s="168" t="s">
        <v>283</v>
      </c>
      <c r="U6" s="2489" t="s">
        <v>0</v>
      </c>
      <c r="V6" s="2490"/>
      <c r="W6" s="169" t="s">
        <v>46</v>
      </c>
      <c r="X6" s="170" t="s">
        <v>42</v>
      </c>
      <c r="Y6" s="186"/>
      <c r="Z6" s="168" t="s">
        <v>283</v>
      </c>
      <c r="AA6" s="2489" t="s">
        <v>0</v>
      </c>
      <c r="AB6" s="2490"/>
      <c r="AC6" s="169" t="s">
        <v>46</v>
      </c>
      <c r="AD6" s="170" t="s">
        <v>42</v>
      </c>
      <c r="AF6" s="168" t="s">
        <v>283</v>
      </c>
      <c r="AG6" s="2489" t="s">
        <v>0</v>
      </c>
      <c r="AH6" s="2490"/>
      <c r="AI6" s="169" t="s">
        <v>46</v>
      </c>
      <c r="AJ6" s="170" t="s">
        <v>42</v>
      </c>
      <c r="AL6" s="168" t="s">
        <v>283</v>
      </c>
      <c r="AM6" s="2489" t="s">
        <v>0</v>
      </c>
      <c r="AN6" s="2490"/>
      <c r="AO6" s="169" t="s">
        <v>46</v>
      </c>
      <c r="AP6" s="170" t="s">
        <v>42</v>
      </c>
      <c r="AR6" s="155" t="s">
        <v>283</v>
      </c>
      <c r="AS6" s="2481" t="s">
        <v>0</v>
      </c>
      <c r="AT6" s="2482"/>
      <c r="AU6" s="192" t="s">
        <v>46</v>
      </c>
      <c r="AV6" s="157" t="s">
        <v>42</v>
      </c>
      <c r="AX6" s="155" t="s">
        <v>283</v>
      </c>
      <c r="AY6" s="2481" t="s">
        <v>0</v>
      </c>
      <c r="AZ6" s="2482"/>
      <c r="BA6" s="192" t="s">
        <v>46</v>
      </c>
      <c r="BB6" s="157" t="s">
        <v>42</v>
      </c>
    </row>
    <row r="7" spans="1:54" ht="27.75" customHeight="1" thickBot="1">
      <c r="A7" s="128" t="s">
        <v>281</v>
      </c>
      <c r="B7" s="158"/>
      <c r="C7" s="2502" t="s">
        <v>284</v>
      </c>
      <c r="D7" s="2502"/>
      <c r="E7" s="159">
        <v>3</v>
      </c>
      <c r="F7" s="160" t="s">
        <v>285</v>
      </c>
      <c r="G7" s="131"/>
      <c r="H7" s="164"/>
      <c r="I7" s="2498" t="s">
        <v>307</v>
      </c>
      <c r="J7" s="2094"/>
      <c r="K7" s="165">
        <v>3</v>
      </c>
      <c r="L7" s="160" t="s">
        <v>285</v>
      </c>
      <c r="M7" s="131"/>
      <c r="N7" s="164"/>
      <c r="O7" s="2494" t="s">
        <v>323</v>
      </c>
      <c r="P7" s="2495"/>
      <c r="Q7" s="165">
        <v>8</v>
      </c>
      <c r="R7" s="160" t="s">
        <v>285</v>
      </c>
      <c r="S7" s="131"/>
      <c r="T7" s="164"/>
      <c r="U7" s="2494" t="s">
        <v>333</v>
      </c>
      <c r="V7" s="2495"/>
      <c r="W7" s="165">
        <v>1</v>
      </c>
      <c r="X7" s="160" t="s">
        <v>285</v>
      </c>
      <c r="Y7" s="131"/>
      <c r="Z7" s="171" t="s">
        <v>336</v>
      </c>
      <c r="AA7" s="2473" t="s">
        <v>336</v>
      </c>
      <c r="AB7" s="2474"/>
      <c r="AC7" s="172" t="s">
        <v>336</v>
      </c>
      <c r="AD7" s="173" t="s">
        <v>336</v>
      </c>
      <c r="AF7" s="171" t="s">
        <v>336</v>
      </c>
      <c r="AG7" s="2473" t="s">
        <v>336</v>
      </c>
      <c r="AH7" s="2474"/>
      <c r="AI7" s="172" t="s">
        <v>336</v>
      </c>
      <c r="AJ7" s="173" t="s">
        <v>336</v>
      </c>
      <c r="AL7" s="171" t="s">
        <v>336</v>
      </c>
      <c r="AM7" s="2473" t="s">
        <v>336</v>
      </c>
      <c r="AN7" s="2474"/>
      <c r="AO7" s="172" t="s">
        <v>336</v>
      </c>
      <c r="AP7" s="173" t="s">
        <v>336</v>
      </c>
      <c r="AR7" s="177"/>
      <c r="AS7" s="2334" t="s">
        <v>394</v>
      </c>
      <c r="AT7" s="2334"/>
      <c r="AU7" s="1045">
        <v>1</v>
      </c>
      <c r="AV7" s="1069" t="s">
        <v>285</v>
      </c>
      <c r="AX7" s="177"/>
      <c r="AY7" s="2334" t="s">
        <v>398</v>
      </c>
      <c r="AZ7" s="2334"/>
      <c r="BA7" s="194">
        <v>1</v>
      </c>
      <c r="BB7" s="179" t="s">
        <v>285</v>
      </c>
    </row>
    <row r="8" spans="1:54" ht="30" customHeight="1" thickBot="1">
      <c r="A8" s="127"/>
      <c r="B8" s="141"/>
      <c r="C8" s="1861" t="s">
        <v>287</v>
      </c>
      <c r="D8" s="1918"/>
      <c r="E8" s="137">
        <v>18</v>
      </c>
      <c r="F8" s="148" t="s">
        <v>285</v>
      </c>
      <c r="G8" s="131"/>
      <c r="H8" s="145"/>
      <c r="I8" s="1772" t="s">
        <v>308</v>
      </c>
      <c r="J8" s="1828"/>
      <c r="K8" s="5">
        <v>4</v>
      </c>
      <c r="L8" s="148" t="s">
        <v>285</v>
      </c>
      <c r="M8" s="131"/>
      <c r="N8" s="145"/>
      <c r="O8" s="1961" t="s">
        <v>328</v>
      </c>
      <c r="P8" s="1963"/>
      <c r="Q8" s="5">
        <v>7</v>
      </c>
      <c r="R8" s="148" t="s">
        <v>285</v>
      </c>
      <c r="S8" s="131"/>
      <c r="T8" s="166"/>
      <c r="U8" s="2496" t="s">
        <v>334</v>
      </c>
      <c r="V8" s="2497"/>
      <c r="W8" s="167">
        <v>3</v>
      </c>
      <c r="X8" s="163" t="s">
        <v>285</v>
      </c>
      <c r="Y8" s="131"/>
      <c r="Z8" s="146"/>
      <c r="AA8" s="8"/>
      <c r="AB8" s="8"/>
      <c r="AC8" s="8"/>
      <c r="AD8" s="143"/>
      <c r="AF8" s="146"/>
      <c r="AG8" s="8"/>
      <c r="AH8" s="8"/>
      <c r="AI8" s="8"/>
      <c r="AJ8" s="143"/>
      <c r="AL8" s="146"/>
      <c r="AM8" s="8"/>
      <c r="AN8" s="8"/>
      <c r="AO8" s="8"/>
      <c r="AP8" s="143"/>
      <c r="AR8" s="2336"/>
      <c r="AS8" s="2325" t="s">
        <v>395</v>
      </c>
      <c r="AT8" s="2430"/>
      <c r="AU8" s="1066"/>
      <c r="AV8" s="1071"/>
      <c r="AX8" s="145"/>
      <c r="AY8" s="2483" t="s">
        <v>399</v>
      </c>
      <c r="AZ8" s="2434"/>
      <c r="BA8" s="190">
        <v>2</v>
      </c>
      <c r="BB8" s="152" t="s">
        <v>285</v>
      </c>
    </row>
    <row r="9" spans="1:54" ht="30" customHeight="1" thickBot="1">
      <c r="A9" s="127"/>
      <c r="B9" s="141"/>
      <c r="C9" s="2513" t="s">
        <v>293</v>
      </c>
      <c r="D9" s="2514"/>
      <c r="E9" s="137">
        <v>1</v>
      </c>
      <c r="F9" s="148" t="s">
        <v>285</v>
      </c>
      <c r="G9" s="131"/>
      <c r="H9" s="145"/>
      <c r="I9" s="1772" t="s">
        <v>309</v>
      </c>
      <c r="J9" s="1828"/>
      <c r="K9" s="5">
        <v>4</v>
      </c>
      <c r="L9" s="148" t="s">
        <v>285</v>
      </c>
      <c r="M9" s="131"/>
      <c r="N9" s="145"/>
      <c r="O9" s="1961" t="s">
        <v>324</v>
      </c>
      <c r="P9" s="1963"/>
      <c r="Q9" s="5">
        <v>9</v>
      </c>
      <c r="R9" s="148" t="s">
        <v>285</v>
      </c>
      <c r="S9" s="131"/>
      <c r="T9" s="146"/>
      <c r="U9" s="8"/>
      <c r="V9" s="8"/>
      <c r="W9" s="8"/>
      <c r="X9" s="143"/>
      <c r="Z9" s="146"/>
      <c r="AA9" s="8"/>
      <c r="AB9" s="8"/>
      <c r="AC9" s="8"/>
      <c r="AD9" s="143"/>
      <c r="AF9" s="146"/>
      <c r="AG9" s="8"/>
      <c r="AH9" s="8"/>
      <c r="AI9" s="8"/>
      <c r="AJ9" s="143"/>
      <c r="AL9" s="146"/>
      <c r="AM9" s="8"/>
      <c r="AN9" s="8"/>
      <c r="AO9" s="8"/>
      <c r="AP9" s="143"/>
      <c r="AR9" s="2336"/>
      <c r="AS9" s="2325"/>
      <c r="AT9" s="2430"/>
      <c r="AU9" s="1067">
        <v>1</v>
      </c>
      <c r="AV9" s="1072" t="s">
        <v>285</v>
      </c>
      <c r="AX9" s="166"/>
      <c r="AY9" s="2341" t="s">
        <v>400</v>
      </c>
      <c r="AZ9" s="2341"/>
      <c r="BA9" s="191">
        <v>2</v>
      </c>
      <c r="BB9" s="224" t="s">
        <v>285</v>
      </c>
    </row>
    <row r="10" spans="1:54" ht="27.75" customHeight="1">
      <c r="A10" s="127"/>
      <c r="B10" s="141"/>
      <c r="C10" s="1861" t="s">
        <v>288</v>
      </c>
      <c r="D10" s="1918"/>
      <c r="E10" s="137">
        <v>15</v>
      </c>
      <c r="F10" s="148" t="s">
        <v>285</v>
      </c>
      <c r="G10" s="131"/>
      <c r="H10" s="145"/>
      <c r="I10" s="1772" t="s">
        <v>310</v>
      </c>
      <c r="J10" s="1828"/>
      <c r="K10" s="5">
        <v>12</v>
      </c>
      <c r="L10" s="148" t="s">
        <v>285</v>
      </c>
      <c r="M10" s="131"/>
      <c r="N10" s="145"/>
      <c r="O10" s="1961" t="s">
        <v>329</v>
      </c>
      <c r="P10" s="1963"/>
      <c r="Q10" s="5">
        <v>5</v>
      </c>
      <c r="R10" s="148" t="s">
        <v>285</v>
      </c>
      <c r="S10" s="131"/>
      <c r="T10" s="146"/>
      <c r="U10" s="8"/>
      <c r="V10" s="8"/>
      <c r="W10" s="8"/>
      <c r="X10" s="143"/>
      <c r="Z10" s="146"/>
      <c r="AA10" s="8"/>
      <c r="AB10" s="8"/>
      <c r="AC10" s="8"/>
      <c r="AD10" s="143"/>
      <c r="AF10" s="146"/>
      <c r="AG10" s="8"/>
      <c r="AH10" s="8"/>
      <c r="AI10" s="8"/>
      <c r="AJ10" s="143"/>
      <c r="AL10" s="146"/>
      <c r="AM10" s="8"/>
      <c r="AN10" s="8"/>
      <c r="AO10" s="8"/>
      <c r="AP10" s="143"/>
      <c r="AR10" s="2336"/>
      <c r="AS10" s="2325"/>
      <c r="AT10" s="2430"/>
      <c r="AU10" s="1068"/>
      <c r="AV10" s="1073"/>
      <c r="AX10" s="146"/>
      <c r="AY10" s="8"/>
      <c r="AZ10" s="8"/>
      <c r="BA10" s="8"/>
      <c r="BB10" s="143"/>
    </row>
    <row r="11" spans="1:54" ht="29.25" customHeight="1" thickBot="1">
      <c r="A11" s="127"/>
      <c r="B11" s="141"/>
      <c r="C11" s="1861" t="s">
        <v>289</v>
      </c>
      <c r="D11" s="1918"/>
      <c r="E11" s="137">
        <v>8</v>
      </c>
      <c r="F11" s="148" t="s">
        <v>285</v>
      </c>
      <c r="G11" s="131"/>
      <c r="H11" s="145"/>
      <c r="I11" s="1772" t="s">
        <v>311</v>
      </c>
      <c r="J11" s="1828"/>
      <c r="K11" s="5">
        <v>4</v>
      </c>
      <c r="L11" s="148" t="s">
        <v>285</v>
      </c>
      <c r="M11" s="131"/>
      <c r="N11" s="145"/>
      <c r="O11" s="1961" t="s">
        <v>330</v>
      </c>
      <c r="P11" s="1963"/>
      <c r="Q11" s="5">
        <v>3</v>
      </c>
      <c r="R11" s="148" t="s">
        <v>285</v>
      </c>
      <c r="S11" s="131"/>
      <c r="T11" s="146"/>
      <c r="U11" s="8"/>
      <c r="V11" s="8"/>
      <c r="W11" s="8"/>
      <c r="X11" s="143"/>
      <c r="Z11" s="146"/>
      <c r="AA11" s="8"/>
      <c r="AB11" s="8"/>
      <c r="AC11" s="8"/>
      <c r="AD11" s="143"/>
      <c r="AF11" s="146"/>
      <c r="AG11" s="8"/>
      <c r="AH11" s="8"/>
      <c r="AI11" s="8"/>
      <c r="AJ11" s="143"/>
      <c r="AL11" s="146"/>
      <c r="AM11" s="8"/>
      <c r="AN11" s="8"/>
      <c r="AO11" s="8"/>
      <c r="AP11" s="143"/>
      <c r="AR11" s="166"/>
      <c r="AS11" s="2326" t="s">
        <v>396</v>
      </c>
      <c r="AT11" s="2326"/>
      <c r="AU11" s="1046">
        <v>7</v>
      </c>
      <c r="AV11" s="1070" t="s">
        <v>285</v>
      </c>
      <c r="AX11" s="146"/>
      <c r="AY11" s="8"/>
      <c r="AZ11" s="8"/>
      <c r="BA11" s="8"/>
      <c r="BB11" s="143"/>
    </row>
    <row r="12" spans="1:54" ht="27.75" customHeight="1" thickBot="1">
      <c r="A12" s="127"/>
      <c r="B12" s="141"/>
      <c r="C12" s="1861" t="s">
        <v>291</v>
      </c>
      <c r="D12" s="1918"/>
      <c r="E12" s="137">
        <v>2</v>
      </c>
      <c r="F12" s="149" t="s">
        <v>285</v>
      </c>
      <c r="G12" s="131"/>
      <c r="H12" s="145"/>
      <c r="I12" s="1772" t="s">
        <v>312</v>
      </c>
      <c r="J12" s="1828"/>
      <c r="K12" s="5">
        <v>4</v>
      </c>
      <c r="L12" s="148" t="s">
        <v>285</v>
      </c>
      <c r="M12" s="131"/>
      <c r="N12" s="166"/>
      <c r="O12" s="2496" t="s">
        <v>331</v>
      </c>
      <c r="P12" s="2497"/>
      <c r="Q12" s="167">
        <v>1</v>
      </c>
      <c r="R12" s="163" t="s">
        <v>285</v>
      </c>
      <c r="S12" s="131"/>
      <c r="T12" s="146"/>
      <c r="U12" s="8"/>
      <c r="V12" s="8"/>
      <c r="W12" s="8"/>
      <c r="X12" s="143"/>
      <c r="Z12" s="146"/>
      <c r="AA12" s="8"/>
      <c r="AB12" s="8"/>
      <c r="AC12" s="8"/>
      <c r="AD12" s="143"/>
      <c r="AF12" s="146"/>
      <c r="AG12" s="8"/>
      <c r="AH12" s="8"/>
      <c r="AI12" s="8"/>
      <c r="AJ12" s="143"/>
      <c r="AL12" s="146"/>
      <c r="AM12" s="8"/>
      <c r="AN12" s="8"/>
      <c r="AO12" s="8"/>
      <c r="AP12" s="143"/>
      <c r="AR12" s="146"/>
      <c r="AS12" s="8"/>
      <c r="AT12" s="8"/>
      <c r="AU12" s="8"/>
      <c r="AV12" s="143"/>
      <c r="AX12" s="146"/>
      <c r="AY12" s="8"/>
      <c r="AZ12" s="8"/>
      <c r="BA12" s="8"/>
      <c r="BB12" s="143"/>
    </row>
    <row r="13" spans="1:54" ht="27.75" customHeight="1" thickBot="1">
      <c r="A13" s="132"/>
      <c r="B13" s="161"/>
      <c r="C13" s="2503" t="s">
        <v>292</v>
      </c>
      <c r="D13" s="2341"/>
      <c r="E13" s="162">
        <v>3</v>
      </c>
      <c r="F13" s="163" t="s">
        <v>285</v>
      </c>
      <c r="G13" s="131"/>
      <c r="H13" s="145"/>
      <c r="I13" s="1828" t="s">
        <v>321</v>
      </c>
      <c r="J13" s="1828"/>
      <c r="K13" s="5">
        <v>6</v>
      </c>
      <c r="L13" s="152" t="s">
        <v>285</v>
      </c>
      <c r="M13" s="187"/>
      <c r="N13" s="146"/>
      <c r="O13" s="8"/>
      <c r="P13" s="8"/>
      <c r="Q13" s="8"/>
      <c r="R13" s="143"/>
      <c r="T13" s="146"/>
      <c r="U13" s="8"/>
      <c r="V13" s="8"/>
      <c r="W13" s="8"/>
      <c r="X13" s="143"/>
      <c r="Z13" s="146"/>
      <c r="AA13" s="8"/>
      <c r="AB13" s="8"/>
      <c r="AC13" s="8"/>
      <c r="AD13" s="143"/>
      <c r="AF13" s="146"/>
      <c r="AG13" s="8"/>
      <c r="AH13" s="8"/>
      <c r="AI13" s="8"/>
      <c r="AJ13" s="143"/>
      <c r="AL13" s="146"/>
      <c r="AM13" s="8"/>
      <c r="AN13" s="8"/>
      <c r="AO13" s="8"/>
      <c r="AP13" s="143"/>
      <c r="AR13" s="146"/>
      <c r="AS13" s="8"/>
      <c r="AT13" s="8"/>
      <c r="AU13" s="8"/>
      <c r="AV13" s="143"/>
      <c r="AX13" s="146"/>
      <c r="AY13" s="8"/>
      <c r="AZ13" s="8"/>
      <c r="BA13" s="8"/>
      <c r="BB13" s="143"/>
    </row>
    <row r="14" spans="1:54" ht="27.75" customHeight="1">
      <c r="A14" s="132"/>
      <c r="B14" s="142"/>
      <c r="C14" s="131"/>
      <c r="D14" s="132"/>
      <c r="E14" s="132"/>
      <c r="F14" s="150"/>
      <c r="G14" s="131"/>
      <c r="H14" s="145"/>
      <c r="I14" s="1772" t="s">
        <v>317</v>
      </c>
      <c r="J14" s="1828"/>
      <c r="K14" s="5">
        <v>1</v>
      </c>
      <c r="L14" s="148" t="s">
        <v>285</v>
      </c>
      <c r="M14" s="131"/>
      <c r="N14" s="146"/>
      <c r="O14" s="8"/>
      <c r="P14" s="8"/>
      <c r="Q14" s="8"/>
      <c r="R14" s="153"/>
      <c r="S14" s="132"/>
      <c r="T14" s="184"/>
      <c r="U14" s="132"/>
      <c r="V14" s="132"/>
      <c r="W14" s="131"/>
      <c r="X14" s="143"/>
      <c r="Z14" s="146"/>
      <c r="AA14" s="8"/>
      <c r="AB14" s="8"/>
      <c r="AC14" s="8"/>
      <c r="AD14" s="143"/>
      <c r="AF14" s="146"/>
      <c r="AG14" s="8"/>
      <c r="AH14" s="8"/>
      <c r="AI14" s="8"/>
      <c r="AJ14" s="143"/>
      <c r="AL14" s="146"/>
      <c r="AM14" s="8"/>
      <c r="AN14" s="8"/>
      <c r="AO14" s="8"/>
      <c r="AP14" s="143"/>
      <c r="AR14" s="146"/>
      <c r="AS14" s="8"/>
      <c r="AT14" s="8"/>
      <c r="AU14" s="8"/>
      <c r="AV14" s="143"/>
      <c r="AX14" s="146"/>
      <c r="AY14" s="8"/>
      <c r="AZ14" s="8"/>
      <c r="BA14" s="8"/>
      <c r="BB14" s="143"/>
    </row>
    <row r="15" spans="1:54" ht="27.75" customHeight="1" thickBot="1">
      <c r="A15" s="132"/>
      <c r="B15" s="142"/>
      <c r="C15" s="131"/>
      <c r="D15" s="132"/>
      <c r="E15" s="132"/>
      <c r="F15" s="150"/>
      <c r="G15" s="131"/>
      <c r="H15" s="166"/>
      <c r="I15" s="2515" t="s">
        <v>306</v>
      </c>
      <c r="J15" s="2515"/>
      <c r="K15" s="167">
        <v>11</v>
      </c>
      <c r="L15" s="163" t="s">
        <v>285</v>
      </c>
      <c r="M15" s="131"/>
      <c r="N15" s="146"/>
      <c r="O15" s="8"/>
      <c r="P15" s="8"/>
      <c r="Q15" s="8"/>
      <c r="R15" s="153"/>
      <c r="S15" s="132"/>
      <c r="T15" s="184"/>
      <c r="U15" s="132"/>
      <c r="V15" s="132"/>
      <c r="W15" s="131"/>
      <c r="X15" s="143"/>
      <c r="Z15" s="146"/>
      <c r="AA15" s="8"/>
      <c r="AB15" s="8"/>
      <c r="AC15" s="8"/>
      <c r="AD15" s="143"/>
      <c r="AF15" s="146"/>
      <c r="AG15" s="8"/>
      <c r="AH15" s="8"/>
      <c r="AI15" s="8"/>
      <c r="AJ15" s="143"/>
      <c r="AL15" s="146"/>
      <c r="AM15" s="8"/>
      <c r="AN15" s="8"/>
      <c r="AO15" s="8"/>
      <c r="AP15" s="143"/>
      <c r="AR15" s="146"/>
      <c r="AS15" s="8"/>
      <c r="AT15" s="8"/>
      <c r="AU15" s="8"/>
      <c r="AV15" s="143"/>
      <c r="AX15" s="146"/>
      <c r="AY15" s="8"/>
      <c r="AZ15" s="8"/>
      <c r="BA15" s="8"/>
      <c r="BB15" s="143"/>
    </row>
    <row r="16" spans="1:54" ht="27.75" customHeight="1">
      <c r="A16" s="132"/>
      <c r="B16" s="142"/>
      <c r="C16" s="131"/>
      <c r="D16" s="132"/>
      <c r="E16" s="132"/>
      <c r="F16" s="150"/>
      <c r="G16" s="131"/>
      <c r="H16" s="146"/>
      <c r="I16" s="134"/>
      <c r="J16" s="134"/>
      <c r="K16" s="8"/>
      <c r="L16" s="150"/>
      <c r="M16" s="131"/>
      <c r="N16" s="146"/>
      <c r="O16" s="8"/>
      <c r="P16" s="8"/>
      <c r="Q16" s="8"/>
      <c r="R16" s="153"/>
      <c r="S16" s="132"/>
      <c r="T16" s="184"/>
      <c r="U16" s="132"/>
      <c r="V16" s="132"/>
      <c r="W16" s="131"/>
      <c r="X16" s="143"/>
      <c r="Z16" s="146"/>
      <c r="AA16" s="8"/>
      <c r="AB16" s="8"/>
      <c r="AC16" s="8"/>
      <c r="AD16" s="143"/>
      <c r="AF16" s="146"/>
      <c r="AG16" s="8"/>
      <c r="AH16" s="8"/>
      <c r="AI16" s="8"/>
      <c r="AJ16" s="143"/>
      <c r="AL16" s="146"/>
      <c r="AM16" s="8"/>
      <c r="AN16" s="8"/>
      <c r="AO16" s="8"/>
      <c r="AP16" s="143"/>
      <c r="AR16" s="146"/>
      <c r="AS16" s="8"/>
      <c r="AT16" s="8"/>
      <c r="AU16" s="8"/>
      <c r="AV16" s="143"/>
      <c r="AX16" s="146"/>
      <c r="AY16" s="8"/>
      <c r="AZ16" s="8"/>
      <c r="BA16" s="8"/>
      <c r="BB16" s="143"/>
    </row>
    <row r="17" spans="1:54" ht="27.75" customHeight="1" thickBot="1">
      <c r="A17" s="130"/>
      <c r="B17" s="144"/>
      <c r="C17" s="133"/>
      <c r="D17" s="133"/>
      <c r="E17" s="133"/>
      <c r="F17" s="151"/>
      <c r="G17" s="133"/>
      <c r="H17" s="146"/>
      <c r="I17" s="8"/>
      <c r="J17" s="8"/>
      <c r="K17" s="8"/>
      <c r="L17" s="153"/>
      <c r="M17" s="132"/>
      <c r="N17" s="184"/>
      <c r="O17" s="132"/>
      <c r="P17" s="132"/>
      <c r="Q17" s="131"/>
      <c r="R17" s="143"/>
      <c r="T17" s="146"/>
      <c r="U17" s="8"/>
      <c r="V17" s="8"/>
      <c r="W17" s="8"/>
      <c r="X17" s="143"/>
      <c r="Z17" s="146"/>
      <c r="AA17" s="8"/>
      <c r="AB17" s="8"/>
      <c r="AC17" s="8"/>
      <c r="AD17" s="143"/>
      <c r="AF17" s="146"/>
      <c r="AG17" s="8"/>
      <c r="AH17" s="8"/>
      <c r="AI17" s="8"/>
      <c r="AJ17" s="143"/>
      <c r="AL17" s="146"/>
      <c r="AM17" s="8"/>
      <c r="AN17" s="8"/>
      <c r="AO17" s="8"/>
      <c r="AP17" s="143"/>
      <c r="AR17" s="146"/>
      <c r="AS17" s="8"/>
      <c r="AT17" s="8"/>
      <c r="AU17" s="8"/>
      <c r="AV17" s="143"/>
      <c r="AX17" s="146"/>
      <c r="AY17" s="8"/>
      <c r="AZ17" s="8"/>
      <c r="BA17" s="8"/>
      <c r="BB17" s="143"/>
    </row>
    <row r="18" spans="1:54" ht="29.25" customHeight="1" thickBot="1">
      <c r="A18" s="128" t="s">
        <v>294</v>
      </c>
      <c r="B18" s="158"/>
      <c r="C18" s="2502" t="s">
        <v>287</v>
      </c>
      <c r="D18" s="2351"/>
      <c r="E18" s="159">
        <v>15</v>
      </c>
      <c r="F18" s="160" t="s">
        <v>285</v>
      </c>
      <c r="G18" s="131"/>
      <c r="H18" s="164"/>
      <c r="I18" s="2498" t="s">
        <v>313</v>
      </c>
      <c r="J18" s="2094"/>
      <c r="K18" s="165">
        <v>3</v>
      </c>
      <c r="L18" s="160" t="s">
        <v>285</v>
      </c>
      <c r="M18" s="131"/>
      <c r="N18" s="164"/>
      <c r="O18" s="2094" t="s">
        <v>323</v>
      </c>
      <c r="P18" s="2094"/>
      <c r="Q18" s="165">
        <v>16</v>
      </c>
      <c r="R18" s="160" t="s">
        <v>285</v>
      </c>
      <c r="S18" s="131"/>
      <c r="T18" s="174"/>
      <c r="U18" s="2517" t="s">
        <v>333</v>
      </c>
      <c r="V18" s="2518"/>
      <c r="W18" s="175">
        <v>1</v>
      </c>
      <c r="X18" s="176" t="s">
        <v>285</v>
      </c>
      <c r="Y18" s="131"/>
      <c r="Z18" s="171" t="s">
        <v>336</v>
      </c>
      <c r="AA18" s="2473" t="s">
        <v>336</v>
      </c>
      <c r="AB18" s="2474"/>
      <c r="AC18" s="172" t="s">
        <v>336</v>
      </c>
      <c r="AD18" s="173" t="s">
        <v>336</v>
      </c>
      <c r="AF18" s="171" t="s">
        <v>336</v>
      </c>
      <c r="AG18" s="2473" t="s">
        <v>336</v>
      </c>
      <c r="AH18" s="2474"/>
      <c r="AI18" s="172" t="s">
        <v>336</v>
      </c>
      <c r="AJ18" s="173" t="s">
        <v>336</v>
      </c>
      <c r="AL18" s="171" t="s">
        <v>336</v>
      </c>
      <c r="AM18" s="2473" t="s">
        <v>336</v>
      </c>
      <c r="AN18" s="2474"/>
      <c r="AO18" s="172" t="s">
        <v>336</v>
      </c>
      <c r="AP18" s="173" t="s">
        <v>336</v>
      </c>
      <c r="AR18" s="171" t="s">
        <v>336</v>
      </c>
      <c r="AS18" s="2473" t="s">
        <v>336</v>
      </c>
      <c r="AT18" s="2474"/>
      <c r="AU18" s="172" t="s">
        <v>336</v>
      </c>
      <c r="AV18" s="173" t="s">
        <v>336</v>
      </c>
      <c r="AX18" s="164"/>
      <c r="AY18" s="2484" t="s">
        <v>399</v>
      </c>
      <c r="AZ18" s="2485"/>
      <c r="BA18" s="193">
        <v>3</v>
      </c>
      <c r="BB18" s="182" t="s">
        <v>285</v>
      </c>
    </row>
    <row r="19" spans="1:54" ht="31.5" customHeight="1" thickBot="1">
      <c r="A19" s="127"/>
      <c r="B19" s="141"/>
      <c r="C19" s="1861" t="s">
        <v>288</v>
      </c>
      <c r="D19" s="1918"/>
      <c r="E19" s="137">
        <v>15</v>
      </c>
      <c r="F19" s="148" t="s">
        <v>285</v>
      </c>
      <c r="G19" s="131"/>
      <c r="H19" s="145"/>
      <c r="I19" s="1772" t="s">
        <v>308</v>
      </c>
      <c r="J19" s="1828"/>
      <c r="K19" s="5">
        <v>5</v>
      </c>
      <c r="L19" s="148" t="s">
        <v>285</v>
      </c>
      <c r="M19" s="131"/>
      <c r="N19" s="166"/>
      <c r="O19" s="2493" t="s">
        <v>324</v>
      </c>
      <c r="P19" s="2493"/>
      <c r="Q19" s="167">
        <v>3</v>
      </c>
      <c r="R19" s="163" t="s">
        <v>285</v>
      </c>
      <c r="S19" s="131"/>
      <c r="T19" s="146"/>
      <c r="U19" s="8"/>
      <c r="V19" s="8"/>
      <c r="W19" s="8"/>
      <c r="X19" s="143"/>
      <c r="Z19" s="146"/>
      <c r="AA19" s="8"/>
      <c r="AB19" s="8"/>
      <c r="AC19" s="8"/>
      <c r="AD19" s="143"/>
      <c r="AF19" s="146"/>
      <c r="AG19" s="8"/>
      <c r="AH19" s="8"/>
      <c r="AI19" s="8"/>
      <c r="AJ19" s="143"/>
      <c r="AL19" s="146"/>
      <c r="AM19" s="8"/>
      <c r="AN19" s="8"/>
      <c r="AO19" s="8"/>
      <c r="AP19" s="143"/>
      <c r="AR19" s="146"/>
      <c r="AS19" s="8"/>
      <c r="AT19" s="8"/>
      <c r="AU19" s="8"/>
      <c r="AV19" s="143"/>
      <c r="AX19" s="166"/>
      <c r="AY19" s="2341" t="s">
        <v>400</v>
      </c>
      <c r="AZ19" s="2341"/>
      <c r="BA19" s="191">
        <v>4</v>
      </c>
      <c r="BB19" s="224" t="s">
        <v>285</v>
      </c>
    </row>
    <row r="20" spans="1:54" ht="31.5" customHeight="1">
      <c r="A20" s="127"/>
      <c r="B20" s="141"/>
      <c r="C20" s="1861" t="s">
        <v>290</v>
      </c>
      <c r="D20" s="1918"/>
      <c r="E20" s="137">
        <v>1</v>
      </c>
      <c r="F20" s="148" t="s">
        <v>285</v>
      </c>
      <c r="G20" s="131"/>
      <c r="H20" s="145"/>
      <c r="I20" s="1772" t="s">
        <v>314</v>
      </c>
      <c r="J20" s="1828"/>
      <c r="K20" s="5">
        <v>2</v>
      </c>
      <c r="L20" s="148" t="s">
        <v>285</v>
      </c>
      <c r="M20" s="131"/>
      <c r="N20" s="146"/>
      <c r="O20" s="8"/>
      <c r="P20" s="8"/>
      <c r="Q20" s="8"/>
      <c r="R20" s="143"/>
      <c r="T20" s="146"/>
      <c r="U20" s="8"/>
      <c r="V20" s="8"/>
      <c r="W20" s="8"/>
      <c r="X20" s="143"/>
      <c r="Z20" s="146"/>
      <c r="AA20" s="8"/>
      <c r="AB20" s="8"/>
      <c r="AC20" s="8"/>
      <c r="AD20" s="143"/>
      <c r="AF20" s="146"/>
      <c r="AG20" s="8"/>
      <c r="AH20" s="8"/>
      <c r="AI20" s="8"/>
      <c r="AJ20" s="143"/>
      <c r="AL20" s="146"/>
      <c r="AM20" s="8"/>
      <c r="AN20" s="8"/>
      <c r="AO20" s="8"/>
      <c r="AP20" s="143"/>
      <c r="AR20" s="146"/>
      <c r="AS20" s="8"/>
      <c r="AT20" s="8"/>
      <c r="AU20" s="8"/>
      <c r="AV20" s="143"/>
      <c r="AX20" s="146"/>
      <c r="AY20" s="8"/>
      <c r="AZ20" s="8"/>
      <c r="BA20" s="8"/>
      <c r="BB20" s="143"/>
    </row>
    <row r="21" spans="1:54" ht="28.5" customHeight="1">
      <c r="A21" s="127"/>
      <c r="B21" s="141"/>
      <c r="C21" s="1861" t="s">
        <v>289</v>
      </c>
      <c r="D21" s="1918"/>
      <c r="E21" s="137">
        <v>12</v>
      </c>
      <c r="F21" s="148" t="s">
        <v>285</v>
      </c>
      <c r="G21" s="131"/>
      <c r="H21" s="145"/>
      <c r="I21" s="1772" t="s">
        <v>310</v>
      </c>
      <c r="J21" s="1828"/>
      <c r="K21" s="5">
        <v>12</v>
      </c>
      <c r="L21" s="148" t="s">
        <v>285</v>
      </c>
      <c r="M21" s="131"/>
      <c r="N21" s="146"/>
      <c r="O21" s="8"/>
      <c r="P21" s="8"/>
      <c r="Q21" s="8"/>
      <c r="R21" s="143"/>
      <c r="T21" s="146"/>
      <c r="U21" s="8"/>
      <c r="V21" s="8"/>
      <c r="W21" s="8"/>
      <c r="X21" s="143"/>
      <c r="Z21" s="146"/>
      <c r="AA21" s="8"/>
      <c r="AB21" s="8"/>
      <c r="AC21" s="8"/>
      <c r="AD21" s="143"/>
      <c r="AF21" s="146"/>
      <c r="AG21" s="8"/>
      <c r="AH21" s="8"/>
      <c r="AI21" s="8"/>
      <c r="AJ21" s="143"/>
      <c r="AL21" s="146"/>
      <c r="AM21" s="8"/>
      <c r="AN21" s="8"/>
      <c r="AO21" s="8"/>
      <c r="AP21" s="143"/>
      <c r="AR21" s="146"/>
      <c r="AS21" s="8"/>
      <c r="AT21" s="8"/>
      <c r="AU21" s="8"/>
      <c r="AV21" s="143"/>
      <c r="AX21" s="146"/>
      <c r="AY21" s="8"/>
      <c r="AZ21" s="8"/>
      <c r="BA21" s="8"/>
      <c r="BB21" s="143"/>
    </row>
    <row r="22" spans="1:54" ht="27.75" customHeight="1">
      <c r="A22" s="127"/>
      <c r="B22" s="141"/>
      <c r="C22" s="1861" t="s">
        <v>291</v>
      </c>
      <c r="D22" s="1918"/>
      <c r="E22" s="137">
        <v>2</v>
      </c>
      <c r="F22" s="148" t="s">
        <v>285</v>
      </c>
      <c r="G22" s="131"/>
      <c r="H22" s="145"/>
      <c r="I22" s="1772" t="s">
        <v>311</v>
      </c>
      <c r="J22" s="1828"/>
      <c r="K22" s="5">
        <v>8</v>
      </c>
      <c r="L22" s="148" t="s">
        <v>285</v>
      </c>
      <c r="M22" s="131"/>
      <c r="N22" s="146"/>
      <c r="O22" s="8"/>
      <c r="P22" s="8"/>
      <c r="Q22" s="8"/>
      <c r="R22" s="143"/>
      <c r="T22" s="146"/>
      <c r="U22" s="8"/>
      <c r="V22" s="8"/>
      <c r="W22" s="8"/>
      <c r="X22" s="143"/>
      <c r="Z22" s="146"/>
      <c r="AA22" s="8"/>
      <c r="AB22" s="8"/>
      <c r="AC22" s="8"/>
      <c r="AD22" s="143"/>
      <c r="AF22" s="146"/>
      <c r="AG22" s="8"/>
      <c r="AH22" s="8"/>
      <c r="AI22" s="8"/>
      <c r="AJ22" s="143"/>
      <c r="AL22" s="146"/>
      <c r="AM22" s="8"/>
      <c r="AN22" s="8"/>
      <c r="AO22" s="8"/>
      <c r="AP22" s="143"/>
      <c r="AR22" s="146"/>
      <c r="AS22" s="8"/>
      <c r="AT22" s="8"/>
      <c r="AU22" s="8"/>
      <c r="AV22" s="143"/>
      <c r="AX22" s="146"/>
      <c r="AY22" s="8"/>
      <c r="AZ22" s="8"/>
      <c r="BA22" s="8"/>
      <c r="BB22" s="143"/>
    </row>
    <row r="23" spans="1:54" ht="29.25" customHeight="1" thickBot="1">
      <c r="A23" s="127"/>
      <c r="B23" s="161"/>
      <c r="C23" s="2503" t="s">
        <v>292</v>
      </c>
      <c r="D23" s="2341"/>
      <c r="E23" s="162">
        <v>3</v>
      </c>
      <c r="F23" s="163" t="s">
        <v>285</v>
      </c>
      <c r="G23" s="131"/>
      <c r="H23" s="145"/>
      <c r="I23" s="1772" t="s">
        <v>312</v>
      </c>
      <c r="J23" s="1828"/>
      <c r="K23" s="5">
        <v>10</v>
      </c>
      <c r="L23" s="148" t="s">
        <v>285</v>
      </c>
      <c r="M23" s="131"/>
      <c r="N23" s="146"/>
      <c r="O23" s="8"/>
      <c r="P23" s="8"/>
      <c r="Q23" s="8"/>
      <c r="R23" s="143"/>
      <c r="T23" s="146"/>
      <c r="U23" s="8"/>
      <c r="V23" s="8"/>
      <c r="W23" s="8"/>
      <c r="X23" s="143"/>
      <c r="Z23" s="146"/>
      <c r="AA23" s="8"/>
      <c r="AB23" s="8"/>
      <c r="AC23" s="8"/>
      <c r="AD23" s="143"/>
      <c r="AF23" s="146"/>
      <c r="AG23" s="8"/>
      <c r="AH23" s="8"/>
      <c r="AI23" s="8"/>
      <c r="AJ23" s="143"/>
      <c r="AL23" s="146"/>
      <c r="AM23" s="8"/>
      <c r="AN23" s="8"/>
      <c r="AO23" s="8"/>
      <c r="AP23" s="143"/>
      <c r="AR23" s="146"/>
      <c r="AS23" s="8"/>
      <c r="AT23" s="8"/>
      <c r="AU23" s="8"/>
      <c r="AV23" s="143"/>
      <c r="AX23" s="146"/>
      <c r="AY23" s="8"/>
      <c r="AZ23" s="8"/>
      <c r="BA23" s="8"/>
      <c r="BB23" s="143"/>
    </row>
    <row r="24" spans="1:54" ht="29.25" customHeight="1">
      <c r="A24" s="132"/>
      <c r="B24" s="142"/>
      <c r="C24" s="131"/>
      <c r="D24" s="132"/>
      <c r="E24" s="132"/>
      <c r="F24" s="150"/>
      <c r="G24" s="131"/>
      <c r="H24" s="154"/>
      <c r="I24" s="1828" t="s">
        <v>321</v>
      </c>
      <c r="J24" s="1828"/>
      <c r="K24" s="5">
        <v>6</v>
      </c>
      <c r="L24" s="152" t="s">
        <v>285</v>
      </c>
      <c r="M24" s="187"/>
      <c r="N24" s="146"/>
      <c r="O24" s="8"/>
      <c r="P24" s="8"/>
      <c r="Q24" s="8"/>
      <c r="R24" s="143"/>
      <c r="T24" s="146"/>
      <c r="U24" s="8"/>
      <c r="V24" s="8"/>
      <c r="W24" s="8"/>
      <c r="X24" s="143"/>
      <c r="Z24" s="146"/>
      <c r="AA24" s="8"/>
      <c r="AB24" s="8"/>
      <c r="AC24" s="8"/>
      <c r="AD24" s="143"/>
      <c r="AF24" s="146"/>
      <c r="AG24" s="8"/>
      <c r="AH24" s="8"/>
      <c r="AI24" s="8"/>
      <c r="AJ24" s="143"/>
      <c r="AL24" s="146"/>
      <c r="AM24" s="8"/>
      <c r="AN24" s="8"/>
      <c r="AO24" s="8"/>
      <c r="AP24" s="143"/>
      <c r="AR24" s="146"/>
      <c r="AS24" s="8"/>
      <c r="AT24" s="8"/>
      <c r="AU24" s="8"/>
      <c r="AV24" s="143"/>
      <c r="AX24" s="146"/>
      <c r="AY24" s="8"/>
      <c r="AZ24" s="8"/>
      <c r="BA24" s="8"/>
      <c r="BB24" s="143"/>
    </row>
    <row r="25" spans="1:54" ht="29.25" customHeight="1">
      <c r="A25" s="132"/>
      <c r="B25" s="142"/>
      <c r="C25" s="131"/>
      <c r="D25" s="132"/>
      <c r="E25" s="132"/>
      <c r="F25" s="150"/>
      <c r="G25" s="131"/>
      <c r="H25" s="145"/>
      <c r="I25" s="1772" t="s">
        <v>317</v>
      </c>
      <c r="J25" s="1828"/>
      <c r="K25" s="5">
        <v>1</v>
      </c>
      <c r="L25" s="148" t="s">
        <v>285</v>
      </c>
      <c r="M25" s="131"/>
      <c r="N25" s="146"/>
      <c r="O25" s="8"/>
      <c r="P25" s="8"/>
      <c r="Q25" s="8"/>
      <c r="R25" s="143"/>
      <c r="T25" s="146"/>
      <c r="U25" s="8"/>
      <c r="V25" s="8"/>
      <c r="W25" s="8"/>
      <c r="X25" s="143"/>
      <c r="Z25" s="146"/>
      <c r="AA25" s="8"/>
      <c r="AB25" s="8"/>
      <c r="AC25" s="8"/>
      <c r="AD25" s="143"/>
      <c r="AF25" s="146"/>
      <c r="AG25" s="8"/>
      <c r="AH25" s="8"/>
      <c r="AI25" s="8"/>
      <c r="AJ25" s="143"/>
      <c r="AL25" s="146"/>
      <c r="AM25" s="8"/>
      <c r="AN25" s="8"/>
      <c r="AO25" s="8"/>
      <c r="AP25" s="143"/>
      <c r="AR25" s="146"/>
      <c r="AS25" s="8"/>
      <c r="AT25" s="8"/>
      <c r="AU25" s="8"/>
      <c r="AV25" s="143"/>
      <c r="AX25" s="146"/>
      <c r="AY25" s="8"/>
      <c r="AZ25" s="8"/>
      <c r="BA25" s="8"/>
      <c r="BB25" s="143"/>
    </row>
    <row r="26" spans="1:54" ht="29.25" customHeight="1" thickBot="1">
      <c r="A26" s="133"/>
      <c r="B26" s="144"/>
      <c r="C26" s="133"/>
      <c r="D26" s="133"/>
      <c r="E26" s="133"/>
      <c r="F26" s="151"/>
      <c r="G26" s="133"/>
      <c r="H26" s="166"/>
      <c r="I26" s="2515" t="s">
        <v>306</v>
      </c>
      <c r="J26" s="2515"/>
      <c r="K26" s="167">
        <v>13</v>
      </c>
      <c r="L26" s="163" t="s">
        <v>285</v>
      </c>
      <c r="M26" s="131"/>
      <c r="N26" s="146"/>
      <c r="O26" s="8"/>
      <c r="P26" s="8"/>
      <c r="Q26" s="8"/>
      <c r="R26" s="143"/>
      <c r="T26" s="146"/>
      <c r="U26" s="8"/>
      <c r="V26" s="8"/>
      <c r="W26" s="8"/>
      <c r="X26" s="143"/>
      <c r="Z26" s="146"/>
      <c r="AA26" s="8"/>
      <c r="AB26" s="8"/>
      <c r="AC26" s="8"/>
      <c r="AD26" s="143"/>
      <c r="AF26" s="146"/>
      <c r="AG26" s="8"/>
      <c r="AH26" s="8"/>
      <c r="AI26" s="8"/>
      <c r="AJ26" s="143"/>
      <c r="AL26" s="146"/>
      <c r="AM26" s="8"/>
      <c r="AN26" s="8"/>
      <c r="AO26" s="8"/>
      <c r="AP26" s="143"/>
      <c r="AR26" s="146"/>
      <c r="AS26" s="8"/>
      <c r="AT26" s="8"/>
      <c r="AU26" s="8"/>
      <c r="AV26" s="143"/>
      <c r="AX26" s="146"/>
      <c r="AY26" s="8"/>
      <c r="AZ26" s="8"/>
      <c r="BA26" s="8"/>
      <c r="BB26" s="143"/>
    </row>
    <row r="27" spans="1:54" ht="29.25" customHeight="1" thickBot="1">
      <c r="A27" s="130"/>
      <c r="B27" s="144"/>
      <c r="C27" s="133"/>
      <c r="D27" s="133"/>
      <c r="E27" s="133"/>
      <c r="F27" s="151"/>
      <c r="G27" s="133"/>
      <c r="H27" s="146"/>
      <c r="I27" s="8"/>
      <c r="J27" s="8"/>
      <c r="K27" s="8"/>
      <c r="L27" s="153"/>
      <c r="M27" s="132"/>
      <c r="N27" s="146"/>
      <c r="O27" s="8"/>
      <c r="P27" s="8"/>
      <c r="Q27" s="8"/>
      <c r="R27" s="143"/>
      <c r="T27" s="146"/>
      <c r="U27" s="8"/>
      <c r="V27" s="8"/>
      <c r="W27" s="8"/>
      <c r="X27" s="143"/>
      <c r="Z27" s="146"/>
      <c r="AA27" s="8"/>
      <c r="AB27" s="8"/>
      <c r="AC27" s="8"/>
      <c r="AD27" s="143"/>
      <c r="AF27" s="146"/>
      <c r="AG27" s="8"/>
      <c r="AH27" s="8"/>
      <c r="AI27" s="8"/>
      <c r="AJ27" s="143"/>
      <c r="AL27" s="146"/>
      <c r="AM27" s="8"/>
      <c r="AN27" s="8"/>
      <c r="AO27" s="8"/>
      <c r="AP27" s="143"/>
      <c r="AR27" s="146"/>
      <c r="AS27" s="8"/>
      <c r="AT27" s="8"/>
      <c r="AU27" s="8"/>
      <c r="AV27" s="143"/>
      <c r="AX27" s="146"/>
      <c r="AY27" s="8"/>
      <c r="AZ27" s="8"/>
      <c r="BA27" s="8"/>
      <c r="BB27" s="143"/>
    </row>
    <row r="28" spans="1:54" ht="29.25" customHeight="1" thickBot="1">
      <c r="A28" s="128" t="s">
        <v>295</v>
      </c>
      <c r="B28" s="158"/>
      <c r="C28" s="2502" t="s">
        <v>284</v>
      </c>
      <c r="D28" s="2502"/>
      <c r="E28" s="159">
        <v>6</v>
      </c>
      <c r="F28" s="160" t="s">
        <v>285</v>
      </c>
      <c r="G28" s="131"/>
      <c r="H28" s="164"/>
      <c r="I28" s="2498" t="s">
        <v>307</v>
      </c>
      <c r="J28" s="2094"/>
      <c r="K28" s="165">
        <v>11</v>
      </c>
      <c r="L28" s="160" t="s">
        <v>285</v>
      </c>
      <c r="M28" s="131"/>
      <c r="N28" s="164"/>
      <c r="O28" s="2094" t="s">
        <v>323</v>
      </c>
      <c r="P28" s="2094"/>
      <c r="Q28" s="165">
        <v>23</v>
      </c>
      <c r="R28" s="160" t="s">
        <v>285</v>
      </c>
      <c r="S28" s="131"/>
      <c r="T28" s="164"/>
      <c r="U28" s="2494" t="s">
        <v>333</v>
      </c>
      <c r="V28" s="2495"/>
      <c r="W28" s="165">
        <v>2</v>
      </c>
      <c r="X28" s="160" t="s">
        <v>285</v>
      </c>
      <c r="Y28" s="131"/>
      <c r="Z28" s="171" t="s">
        <v>336</v>
      </c>
      <c r="AA28" s="2473" t="s">
        <v>336</v>
      </c>
      <c r="AB28" s="2474"/>
      <c r="AC28" s="172" t="s">
        <v>336</v>
      </c>
      <c r="AD28" s="173" t="s">
        <v>336</v>
      </c>
      <c r="AF28" s="171" t="s">
        <v>336</v>
      </c>
      <c r="AG28" s="2473" t="s">
        <v>336</v>
      </c>
      <c r="AH28" s="2474"/>
      <c r="AI28" s="172" t="s">
        <v>336</v>
      </c>
      <c r="AJ28" s="173" t="s">
        <v>336</v>
      </c>
      <c r="AL28" s="171" t="s">
        <v>336</v>
      </c>
      <c r="AM28" s="2473" t="s">
        <v>336</v>
      </c>
      <c r="AN28" s="2474"/>
      <c r="AO28" s="172" t="s">
        <v>336</v>
      </c>
      <c r="AP28" s="173" t="s">
        <v>336</v>
      </c>
      <c r="AR28" s="171" t="s">
        <v>336</v>
      </c>
      <c r="AS28" s="2473" t="s">
        <v>336</v>
      </c>
      <c r="AT28" s="2474"/>
      <c r="AU28" s="172" t="s">
        <v>336</v>
      </c>
      <c r="AV28" s="173" t="s">
        <v>336</v>
      </c>
      <c r="AX28" s="164"/>
      <c r="AY28" s="2351" t="s">
        <v>400</v>
      </c>
      <c r="AZ28" s="2351"/>
      <c r="BA28" s="193">
        <v>12</v>
      </c>
      <c r="BB28" s="182" t="s">
        <v>285</v>
      </c>
    </row>
    <row r="29" spans="1:54" ht="31.5" customHeight="1" thickBot="1">
      <c r="B29" s="141"/>
      <c r="C29" s="1861" t="s">
        <v>287</v>
      </c>
      <c r="D29" s="1918"/>
      <c r="E29" s="137">
        <v>22</v>
      </c>
      <c r="F29" s="148" t="s">
        <v>285</v>
      </c>
      <c r="G29" s="131"/>
      <c r="H29" s="145"/>
      <c r="I29" s="1772" t="s">
        <v>309</v>
      </c>
      <c r="J29" s="1828"/>
      <c r="K29" s="5">
        <v>2</v>
      </c>
      <c r="L29" s="148" t="s">
        <v>285</v>
      </c>
      <c r="M29" s="131"/>
      <c r="N29" s="145"/>
      <c r="O29" s="1828" t="s">
        <v>324</v>
      </c>
      <c r="P29" s="1828"/>
      <c r="Q29" s="5">
        <v>6</v>
      </c>
      <c r="R29" s="148" t="s">
        <v>285</v>
      </c>
      <c r="S29" s="131"/>
      <c r="T29" s="166"/>
      <c r="U29" s="2496" t="s">
        <v>334</v>
      </c>
      <c r="V29" s="2497"/>
      <c r="W29" s="167">
        <v>3</v>
      </c>
      <c r="X29" s="163" t="s">
        <v>285</v>
      </c>
      <c r="Y29" s="131"/>
      <c r="Z29" s="146"/>
      <c r="AA29" s="8"/>
      <c r="AB29" s="8"/>
      <c r="AC29" s="8"/>
      <c r="AD29" s="143"/>
      <c r="AF29" s="146"/>
      <c r="AG29" s="8"/>
      <c r="AH29" s="8"/>
      <c r="AI29" s="8"/>
      <c r="AJ29" s="143"/>
      <c r="AL29" s="146"/>
      <c r="AM29" s="8"/>
      <c r="AN29" s="8"/>
      <c r="AO29" s="8"/>
      <c r="AP29" s="143"/>
      <c r="AR29" s="146"/>
      <c r="AS29" s="8"/>
      <c r="AT29" s="8"/>
      <c r="AU29" s="8"/>
      <c r="AV29" s="143"/>
      <c r="AX29" s="145"/>
      <c r="AY29" s="2325" t="s">
        <v>401</v>
      </c>
      <c r="AZ29" s="2325"/>
      <c r="BA29" s="190">
        <v>3</v>
      </c>
      <c r="BB29" s="152" t="s">
        <v>285</v>
      </c>
    </row>
    <row r="30" spans="1:54" ht="28.5" customHeight="1" thickBot="1">
      <c r="B30" s="141"/>
      <c r="C30" s="1861" t="s">
        <v>290</v>
      </c>
      <c r="D30" s="1918"/>
      <c r="E30" s="137">
        <v>1</v>
      </c>
      <c r="F30" s="148" t="s">
        <v>285</v>
      </c>
      <c r="G30" s="131"/>
      <c r="H30" s="145"/>
      <c r="I30" s="1772" t="s">
        <v>310</v>
      </c>
      <c r="J30" s="1828"/>
      <c r="K30" s="5">
        <v>27</v>
      </c>
      <c r="L30" s="148" t="s">
        <v>285</v>
      </c>
      <c r="M30" s="131"/>
      <c r="N30" s="145"/>
      <c r="O30" s="1828" t="s">
        <v>325</v>
      </c>
      <c r="P30" s="1828"/>
      <c r="Q30" s="5">
        <v>1</v>
      </c>
      <c r="R30" s="148" t="s">
        <v>285</v>
      </c>
      <c r="S30" s="131"/>
      <c r="T30" s="146"/>
      <c r="U30" s="8"/>
      <c r="V30" s="8"/>
      <c r="W30" s="8"/>
      <c r="X30" s="143"/>
      <c r="Z30" s="146"/>
      <c r="AA30" s="8"/>
      <c r="AB30" s="8"/>
      <c r="AC30" s="8"/>
      <c r="AD30" s="143"/>
      <c r="AF30" s="146"/>
      <c r="AG30" s="8"/>
      <c r="AH30" s="8"/>
      <c r="AI30" s="8"/>
      <c r="AJ30" s="143"/>
      <c r="AL30" s="146"/>
      <c r="AM30" s="8"/>
      <c r="AN30" s="8"/>
      <c r="AO30" s="8"/>
      <c r="AP30" s="143"/>
      <c r="AR30" s="146"/>
      <c r="AS30" s="8"/>
      <c r="AT30" s="8"/>
      <c r="AU30" s="8"/>
      <c r="AV30" s="143"/>
      <c r="AX30" s="166"/>
      <c r="AY30" s="2341" t="s">
        <v>399</v>
      </c>
      <c r="AZ30" s="2341"/>
      <c r="BA30" s="191">
        <v>2</v>
      </c>
      <c r="BB30" s="224" t="s">
        <v>285</v>
      </c>
    </row>
    <row r="31" spans="1:54" ht="28.5" customHeight="1">
      <c r="B31" s="141"/>
      <c r="C31" s="2513" t="s">
        <v>293</v>
      </c>
      <c r="D31" s="2514"/>
      <c r="E31" s="137">
        <v>1</v>
      </c>
      <c r="F31" s="148" t="s">
        <v>285</v>
      </c>
      <c r="G31" s="131"/>
      <c r="H31" s="145"/>
      <c r="I31" s="1772" t="s">
        <v>312</v>
      </c>
      <c r="J31" s="1828"/>
      <c r="K31" s="5">
        <v>36</v>
      </c>
      <c r="L31" s="148" t="s">
        <v>285</v>
      </c>
      <c r="M31" s="131"/>
      <c r="N31" s="145"/>
      <c r="O31" s="1828" t="s">
        <v>326</v>
      </c>
      <c r="P31" s="1828"/>
      <c r="Q31" s="5">
        <v>3</v>
      </c>
      <c r="R31" s="148" t="s">
        <v>285</v>
      </c>
      <c r="S31" s="131"/>
      <c r="T31" s="146"/>
      <c r="U31" s="8"/>
      <c r="V31" s="8"/>
      <c r="W31" s="8"/>
      <c r="X31" s="143"/>
      <c r="Z31" s="146"/>
      <c r="AA31" s="8"/>
      <c r="AB31" s="8"/>
      <c r="AC31" s="8"/>
      <c r="AD31" s="143"/>
      <c r="AF31" s="146"/>
      <c r="AG31" s="8"/>
      <c r="AH31" s="8"/>
      <c r="AI31" s="8"/>
      <c r="AJ31" s="143"/>
      <c r="AL31" s="146"/>
      <c r="AM31" s="8"/>
      <c r="AN31" s="8"/>
      <c r="AO31" s="8"/>
      <c r="AP31" s="143"/>
      <c r="AR31" s="146"/>
      <c r="AS31" s="8"/>
      <c r="AT31" s="8"/>
      <c r="AU31" s="8"/>
      <c r="AV31" s="143"/>
      <c r="AX31" s="146"/>
      <c r="AY31" s="8"/>
      <c r="AZ31" s="8"/>
      <c r="BA31" s="8"/>
      <c r="BB31" s="143"/>
    </row>
    <row r="32" spans="1:54" ht="30" customHeight="1" thickBot="1">
      <c r="B32" s="141"/>
      <c r="C32" s="1861" t="s">
        <v>288</v>
      </c>
      <c r="D32" s="1918"/>
      <c r="E32" s="137">
        <v>22</v>
      </c>
      <c r="F32" s="148" t="s">
        <v>285</v>
      </c>
      <c r="G32" s="131"/>
      <c r="H32" s="154"/>
      <c r="I32" s="1828" t="s">
        <v>321</v>
      </c>
      <c r="J32" s="1828"/>
      <c r="K32" s="5">
        <v>8</v>
      </c>
      <c r="L32" s="152" t="s">
        <v>285</v>
      </c>
      <c r="M32" s="187"/>
      <c r="N32" s="166"/>
      <c r="O32" s="2493" t="s">
        <v>327</v>
      </c>
      <c r="P32" s="2493"/>
      <c r="Q32" s="167">
        <v>3</v>
      </c>
      <c r="R32" s="163" t="s">
        <v>285</v>
      </c>
      <c r="S32" s="131"/>
      <c r="T32" s="146"/>
      <c r="U32" s="8"/>
      <c r="V32" s="8"/>
      <c r="W32" s="8"/>
      <c r="X32" s="143"/>
      <c r="Z32" s="146"/>
      <c r="AA32" s="8"/>
      <c r="AB32" s="8"/>
      <c r="AC32" s="8"/>
      <c r="AD32" s="143"/>
      <c r="AF32" s="146"/>
      <c r="AG32" s="8"/>
      <c r="AH32" s="8"/>
      <c r="AI32" s="8"/>
      <c r="AJ32" s="143"/>
      <c r="AL32" s="146"/>
      <c r="AM32" s="8"/>
      <c r="AN32" s="8"/>
      <c r="AO32" s="8"/>
      <c r="AP32" s="143"/>
      <c r="AR32" s="146"/>
      <c r="AS32" s="8"/>
      <c r="AT32" s="8"/>
      <c r="AU32" s="8"/>
      <c r="AV32" s="143"/>
      <c r="AX32" s="146"/>
      <c r="AY32" s="8"/>
      <c r="AZ32" s="8"/>
      <c r="BA32" s="8"/>
      <c r="BB32" s="143"/>
    </row>
    <row r="33" spans="1:54" ht="30" customHeight="1">
      <c r="B33" s="141"/>
      <c r="C33" s="1861" t="s">
        <v>289</v>
      </c>
      <c r="D33" s="1918"/>
      <c r="E33" s="137">
        <v>15</v>
      </c>
      <c r="F33" s="148" t="s">
        <v>285</v>
      </c>
      <c r="G33" s="131"/>
      <c r="H33" s="145"/>
      <c r="I33" s="1772" t="s">
        <v>311</v>
      </c>
      <c r="J33" s="1828"/>
      <c r="K33" s="5">
        <v>4</v>
      </c>
      <c r="L33" s="148" t="s">
        <v>285</v>
      </c>
      <c r="M33" s="131"/>
      <c r="N33" s="146"/>
      <c r="O33" s="8"/>
      <c r="P33" s="8"/>
      <c r="Q33" s="8"/>
      <c r="R33" s="143"/>
      <c r="T33" s="146"/>
      <c r="U33" s="8"/>
      <c r="V33" s="8"/>
      <c r="W33" s="8"/>
      <c r="X33" s="143"/>
      <c r="Z33" s="146"/>
      <c r="AA33" s="8"/>
      <c r="AB33" s="8"/>
      <c r="AC33" s="8"/>
      <c r="AD33" s="143"/>
      <c r="AF33" s="146"/>
      <c r="AG33" s="8"/>
      <c r="AH33" s="8"/>
      <c r="AI33" s="8"/>
      <c r="AJ33" s="143"/>
      <c r="AL33" s="146"/>
      <c r="AM33" s="8"/>
      <c r="AN33" s="8"/>
      <c r="AO33" s="8"/>
      <c r="AP33" s="143"/>
      <c r="AR33" s="146"/>
      <c r="AS33" s="8"/>
      <c r="AT33" s="8"/>
      <c r="AU33" s="8"/>
      <c r="AV33" s="143"/>
      <c r="AX33" s="146"/>
      <c r="AY33" s="8"/>
      <c r="AZ33" s="8"/>
      <c r="BA33" s="8"/>
      <c r="BB33" s="143"/>
    </row>
    <row r="34" spans="1:54" ht="33.75" customHeight="1">
      <c r="B34" s="141"/>
      <c r="C34" s="1861" t="s">
        <v>291</v>
      </c>
      <c r="D34" s="1918"/>
      <c r="E34" s="137">
        <v>2</v>
      </c>
      <c r="F34" s="148" t="s">
        <v>285</v>
      </c>
      <c r="G34" s="131"/>
      <c r="H34" s="145"/>
      <c r="I34" s="1772" t="s">
        <v>317</v>
      </c>
      <c r="J34" s="1828"/>
      <c r="K34" s="5">
        <v>9</v>
      </c>
      <c r="L34" s="148" t="s">
        <v>285</v>
      </c>
      <c r="M34" s="131"/>
      <c r="N34" s="146"/>
      <c r="O34" s="8"/>
      <c r="P34" s="8"/>
      <c r="Q34" s="8"/>
      <c r="R34" s="143"/>
      <c r="T34" s="146"/>
      <c r="U34" s="8"/>
      <c r="V34" s="8"/>
      <c r="W34" s="8"/>
      <c r="X34" s="143"/>
      <c r="Z34" s="146"/>
      <c r="AA34" s="8"/>
      <c r="AB34" s="8"/>
      <c r="AC34" s="8"/>
      <c r="AD34" s="143"/>
      <c r="AF34" s="146"/>
      <c r="AG34" s="8"/>
      <c r="AH34" s="8"/>
      <c r="AI34" s="8"/>
      <c r="AJ34" s="143"/>
      <c r="AL34" s="146"/>
      <c r="AM34" s="8"/>
      <c r="AN34" s="8"/>
      <c r="AO34" s="8"/>
      <c r="AP34" s="143"/>
      <c r="AR34" s="146"/>
      <c r="AS34" s="8"/>
      <c r="AT34" s="8"/>
      <c r="AU34" s="8"/>
      <c r="AV34" s="143"/>
      <c r="AX34" s="146"/>
      <c r="AY34" s="8"/>
      <c r="AZ34" s="8"/>
      <c r="BA34" s="8"/>
      <c r="BB34" s="143"/>
    </row>
    <row r="35" spans="1:54" ht="36.75" customHeight="1" thickBot="1">
      <c r="B35" s="161"/>
      <c r="C35" s="2503" t="s">
        <v>292</v>
      </c>
      <c r="D35" s="2341"/>
      <c r="E35" s="162">
        <v>4</v>
      </c>
      <c r="F35" s="163" t="s">
        <v>285</v>
      </c>
      <c r="G35" s="131"/>
      <c r="H35" s="145"/>
      <c r="I35" s="1772" t="s">
        <v>319</v>
      </c>
      <c r="J35" s="1828"/>
      <c r="K35" s="5">
        <v>1</v>
      </c>
      <c r="L35" s="148" t="s">
        <v>285</v>
      </c>
      <c r="M35" s="131"/>
      <c r="N35" s="146"/>
      <c r="O35" s="8"/>
      <c r="P35" s="8"/>
      <c r="Q35" s="8"/>
      <c r="R35" s="143"/>
      <c r="T35" s="146"/>
      <c r="U35" s="8"/>
      <c r="V35" s="8"/>
      <c r="W35" s="8"/>
      <c r="X35" s="143"/>
      <c r="Z35" s="146"/>
      <c r="AA35" s="8"/>
      <c r="AB35" s="8"/>
      <c r="AC35" s="8"/>
      <c r="AD35" s="143"/>
      <c r="AF35" s="146"/>
      <c r="AG35" s="8"/>
      <c r="AH35" s="8"/>
      <c r="AI35" s="8"/>
      <c r="AJ35" s="143"/>
      <c r="AL35" s="146"/>
      <c r="AM35" s="8"/>
      <c r="AN35" s="8"/>
      <c r="AO35" s="8"/>
      <c r="AP35" s="143"/>
      <c r="AR35" s="146"/>
      <c r="AS35" s="8"/>
      <c r="AT35" s="8"/>
      <c r="AU35" s="8"/>
      <c r="AV35" s="143"/>
      <c r="AX35" s="146"/>
      <c r="AY35" s="8"/>
      <c r="AZ35" s="8"/>
      <c r="BA35" s="8"/>
      <c r="BB35" s="143"/>
    </row>
    <row r="36" spans="1:54" ht="29.25" customHeight="1" thickBot="1">
      <c r="B36" s="142"/>
      <c r="C36" s="131"/>
      <c r="D36" s="132"/>
      <c r="E36" s="132"/>
      <c r="F36" s="150"/>
      <c r="G36" s="131"/>
      <c r="H36" s="166"/>
      <c r="I36" s="2515" t="s">
        <v>306</v>
      </c>
      <c r="J36" s="2515"/>
      <c r="K36" s="167">
        <v>30</v>
      </c>
      <c r="L36" s="163" t="s">
        <v>285</v>
      </c>
      <c r="M36" s="131"/>
      <c r="N36" s="146"/>
      <c r="O36" s="8"/>
      <c r="P36" s="8"/>
      <c r="Q36" s="8"/>
      <c r="R36" s="143"/>
      <c r="T36" s="146"/>
      <c r="U36" s="8"/>
      <c r="V36" s="8"/>
      <c r="W36" s="8"/>
      <c r="X36" s="143"/>
      <c r="Z36" s="146"/>
      <c r="AA36" s="8"/>
      <c r="AB36" s="8"/>
      <c r="AC36" s="8"/>
      <c r="AD36" s="143"/>
      <c r="AF36" s="146"/>
      <c r="AG36" s="8"/>
      <c r="AH36" s="8"/>
      <c r="AI36" s="8"/>
      <c r="AJ36" s="143"/>
      <c r="AL36" s="146"/>
      <c r="AM36" s="8"/>
      <c r="AN36" s="8"/>
      <c r="AO36" s="8"/>
      <c r="AP36" s="143"/>
      <c r="AR36" s="146"/>
      <c r="AS36" s="8"/>
      <c r="AT36" s="8"/>
      <c r="AU36" s="8"/>
      <c r="AV36" s="143"/>
      <c r="AX36" s="146"/>
      <c r="AY36" s="8"/>
      <c r="AZ36" s="8"/>
      <c r="BA36" s="8"/>
      <c r="BB36" s="143"/>
    </row>
    <row r="37" spans="1:54" ht="29.25" customHeight="1" thickBot="1">
      <c r="A37" s="8"/>
      <c r="B37" s="142"/>
      <c r="C37" s="131"/>
      <c r="D37" s="132"/>
      <c r="E37" s="132"/>
      <c r="F37" s="150"/>
      <c r="G37" s="131"/>
      <c r="H37" s="146"/>
      <c r="I37" s="8"/>
      <c r="J37" s="8"/>
      <c r="K37" s="8"/>
      <c r="L37" s="143"/>
      <c r="M37" s="8"/>
      <c r="N37" s="146"/>
      <c r="O37" s="8"/>
      <c r="P37" s="8"/>
      <c r="Q37" s="8"/>
      <c r="R37" s="143"/>
      <c r="T37" s="146"/>
      <c r="U37" s="8"/>
      <c r="V37" s="8"/>
      <c r="W37" s="8"/>
      <c r="X37" s="143"/>
      <c r="Z37" s="146"/>
      <c r="AA37" s="8"/>
      <c r="AB37" s="8"/>
      <c r="AC37" s="8"/>
      <c r="AD37" s="143"/>
      <c r="AF37" s="146"/>
      <c r="AG37" s="8"/>
      <c r="AH37" s="8"/>
      <c r="AI37" s="8"/>
      <c r="AJ37" s="143"/>
      <c r="AL37" s="146"/>
      <c r="AM37" s="8"/>
      <c r="AN37" s="8"/>
      <c r="AO37" s="8"/>
      <c r="AP37" s="143"/>
      <c r="AR37" s="146"/>
      <c r="AS37" s="8"/>
      <c r="AT37" s="8"/>
      <c r="AU37" s="8"/>
      <c r="AV37" s="143"/>
      <c r="AX37" s="146"/>
      <c r="AY37" s="8"/>
      <c r="AZ37" s="8"/>
      <c r="BA37" s="8"/>
      <c r="BB37" s="143"/>
    </row>
    <row r="38" spans="1:54" ht="28.5" customHeight="1" thickBot="1">
      <c r="A38" s="128" t="s">
        <v>299</v>
      </c>
      <c r="B38" s="158"/>
      <c r="C38" s="2502" t="s">
        <v>284</v>
      </c>
      <c r="D38" s="2502"/>
      <c r="E38" s="159">
        <v>2</v>
      </c>
      <c r="F38" s="160" t="s">
        <v>285</v>
      </c>
      <c r="G38" s="131"/>
      <c r="H38" s="164"/>
      <c r="I38" s="2498" t="s">
        <v>313</v>
      </c>
      <c r="J38" s="2094"/>
      <c r="K38" s="165">
        <v>3</v>
      </c>
      <c r="L38" s="182" t="s">
        <v>285</v>
      </c>
      <c r="M38" s="187"/>
      <c r="N38" s="164"/>
      <c r="O38" s="2094" t="s">
        <v>323</v>
      </c>
      <c r="P38" s="2094"/>
      <c r="Q38" s="165">
        <v>9</v>
      </c>
      <c r="R38" s="160" t="s">
        <v>285</v>
      </c>
      <c r="S38" s="131"/>
      <c r="T38" s="164"/>
      <c r="U38" s="2494" t="s">
        <v>333</v>
      </c>
      <c r="V38" s="2495"/>
      <c r="W38" s="165">
        <v>3</v>
      </c>
      <c r="X38" s="160" t="s">
        <v>285</v>
      </c>
      <c r="Y38" s="131"/>
      <c r="Z38" s="177" t="s">
        <v>336</v>
      </c>
      <c r="AA38" s="2491" t="s">
        <v>338</v>
      </c>
      <c r="AB38" s="2453"/>
      <c r="AC38" s="178">
        <v>92</v>
      </c>
      <c r="AD38" s="179" t="s">
        <v>345</v>
      </c>
      <c r="AF38" s="171" t="s">
        <v>336</v>
      </c>
      <c r="AG38" s="2473" t="s">
        <v>336</v>
      </c>
      <c r="AH38" s="2474"/>
      <c r="AI38" s="172" t="s">
        <v>336</v>
      </c>
      <c r="AJ38" s="173" t="s">
        <v>336</v>
      </c>
      <c r="AL38" s="2335" t="s">
        <v>336</v>
      </c>
      <c r="AM38" s="2334" t="s">
        <v>392</v>
      </c>
      <c r="AN38" s="2491"/>
      <c r="AO38" s="1074"/>
      <c r="AP38" s="1078"/>
      <c r="AR38" s="171" t="s">
        <v>336</v>
      </c>
      <c r="AS38" s="2473" t="s">
        <v>336</v>
      </c>
      <c r="AT38" s="2474"/>
      <c r="AU38" s="172" t="s">
        <v>336</v>
      </c>
      <c r="AV38" s="173" t="s">
        <v>336</v>
      </c>
      <c r="AX38" s="177"/>
      <c r="AY38" s="2334" t="s">
        <v>398</v>
      </c>
      <c r="AZ38" s="2334"/>
      <c r="BA38" s="194">
        <v>3</v>
      </c>
      <c r="BB38" s="179" t="s">
        <v>285</v>
      </c>
    </row>
    <row r="39" spans="1:54" ht="29.25" customHeight="1" thickBot="1">
      <c r="B39" s="141"/>
      <c r="C39" s="1861" t="s">
        <v>287</v>
      </c>
      <c r="D39" s="1918"/>
      <c r="E39" s="137">
        <v>34</v>
      </c>
      <c r="F39" s="148" t="s">
        <v>285</v>
      </c>
      <c r="G39" s="131"/>
      <c r="H39" s="145"/>
      <c r="I39" s="1772" t="s">
        <v>308</v>
      </c>
      <c r="J39" s="1828"/>
      <c r="K39" s="5">
        <v>10</v>
      </c>
      <c r="L39" s="152" t="s">
        <v>285</v>
      </c>
      <c r="M39" s="187"/>
      <c r="N39" s="145"/>
      <c r="O39" s="1828" t="s">
        <v>324</v>
      </c>
      <c r="P39" s="1828"/>
      <c r="Q39" s="5">
        <v>13</v>
      </c>
      <c r="R39" s="148" t="s">
        <v>285</v>
      </c>
      <c r="S39" s="131"/>
      <c r="T39" s="166"/>
      <c r="U39" s="2496" t="s">
        <v>334</v>
      </c>
      <c r="V39" s="2497"/>
      <c r="W39" s="167">
        <v>6</v>
      </c>
      <c r="X39" s="163" t="s">
        <v>285</v>
      </c>
      <c r="Y39" s="131"/>
      <c r="Z39" s="180" t="s">
        <v>336</v>
      </c>
      <c r="AA39" s="2516" t="s">
        <v>339</v>
      </c>
      <c r="AB39" s="2516"/>
      <c r="AC39" s="137">
        <v>16</v>
      </c>
      <c r="AD39" s="148" t="s">
        <v>285</v>
      </c>
      <c r="AF39" s="146"/>
      <c r="AG39" s="8"/>
      <c r="AH39" s="8"/>
      <c r="AI39" s="8"/>
      <c r="AJ39" s="143"/>
      <c r="AL39" s="2336"/>
      <c r="AM39" s="2325"/>
      <c r="AN39" s="2430"/>
      <c r="AO39" s="1075">
        <v>1</v>
      </c>
      <c r="AP39" s="1081" t="s">
        <v>285</v>
      </c>
      <c r="AR39" s="146"/>
      <c r="AS39" s="8"/>
      <c r="AT39" s="8"/>
      <c r="AU39" s="8"/>
      <c r="AV39" s="143"/>
      <c r="AX39" s="145"/>
      <c r="AY39" s="2325" t="s">
        <v>401</v>
      </c>
      <c r="AZ39" s="2325"/>
      <c r="BA39" s="190">
        <v>5</v>
      </c>
      <c r="BB39" s="152" t="s">
        <v>285</v>
      </c>
    </row>
    <row r="40" spans="1:54" ht="29.25" customHeight="1">
      <c r="B40" s="141"/>
      <c r="C40" s="1861" t="s">
        <v>290</v>
      </c>
      <c r="D40" s="1918"/>
      <c r="E40" s="137">
        <v>2</v>
      </c>
      <c r="F40" s="148" t="s">
        <v>285</v>
      </c>
      <c r="G40" s="131"/>
      <c r="H40" s="145"/>
      <c r="I40" s="1772" t="s">
        <v>307</v>
      </c>
      <c r="J40" s="1828"/>
      <c r="K40" s="5">
        <v>6</v>
      </c>
      <c r="L40" s="148" t="s">
        <v>285</v>
      </c>
      <c r="M40" s="131"/>
      <c r="N40" s="145"/>
      <c r="O40" s="1828" t="s">
        <v>325</v>
      </c>
      <c r="P40" s="1828"/>
      <c r="Q40" s="5">
        <v>1</v>
      </c>
      <c r="R40" s="148" t="s">
        <v>285</v>
      </c>
      <c r="S40" s="131"/>
      <c r="T40" s="146"/>
      <c r="U40" s="8"/>
      <c r="V40" s="8"/>
      <c r="W40" s="8"/>
      <c r="X40" s="143"/>
      <c r="Z40" s="180" t="s">
        <v>336</v>
      </c>
      <c r="AA40" s="2516" t="s">
        <v>340</v>
      </c>
      <c r="AB40" s="2516"/>
      <c r="AC40" s="137">
        <v>6</v>
      </c>
      <c r="AD40" s="148" t="s">
        <v>285</v>
      </c>
      <c r="AF40" s="146"/>
      <c r="AG40" s="8"/>
      <c r="AH40" s="8"/>
      <c r="AI40" s="8"/>
      <c r="AJ40" s="143"/>
      <c r="AL40" s="2336"/>
      <c r="AM40" s="2325"/>
      <c r="AN40" s="2430"/>
      <c r="AO40" s="1076"/>
      <c r="AP40" s="1079"/>
      <c r="AR40" s="146"/>
      <c r="AS40" s="8"/>
      <c r="AT40" s="8"/>
      <c r="AU40" s="8"/>
      <c r="AV40" s="143"/>
      <c r="AX40" s="145"/>
      <c r="AY40" s="1918" t="s">
        <v>400</v>
      </c>
      <c r="AZ40" s="1918"/>
      <c r="BA40" s="190">
        <v>4</v>
      </c>
      <c r="BB40" s="152" t="s">
        <v>285</v>
      </c>
    </row>
    <row r="41" spans="1:54" ht="30" customHeight="1" thickBot="1">
      <c r="B41" s="141"/>
      <c r="C41" s="1861" t="s">
        <v>288</v>
      </c>
      <c r="D41" s="1918"/>
      <c r="E41" s="137">
        <v>12</v>
      </c>
      <c r="F41" s="148" t="s">
        <v>285</v>
      </c>
      <c r="G41" s="131"/>
      <c r="H41" s="145"/>
      <c r="I41" s="1772" t="s">
        <v>310</v>
      </c>
      <c r="J41" s="1828"/>
      <c r="K41" s="5">
        <v>24</v>
      </c>
      <c r="L41" s="148" t="s">
        <v>285</v>
      </c>
      <c r="M41" s="131"/>
      <c r="N41" s="166"/>
      <c r="O41" s="2493" t="s">
        <v>328</v>
      </c>
      <c r="P41" s="2493"/>
      <c r="Q41" s="167">
        <v>22</v>
      </c>
      <c r="R41" s="163" t="s">
        <v>285</v>
      </c>
      <c r="S41" s="131"/>
      <c r="T41" s="146"/>
      <c r="U41" s="8"/>
      <c r="V41" s="8"/>
      <c r="W41" s="8"/>
      <c r="X41" s="143"/>
      <c r="Z41" s="180" t="s">
        <v>336</v>
      </c>
      <c r="AA41" s="2516" t="s">
        <v>341</v>
      </c>
      <c r="AB41" s="2516"/>
      <c r="AC41" s="137">
        <v>2</v>
      </c>
      <c r="AD41" s="148" t="s">
        <v>285</v>
      </c>
      <c r="AF41" s="146"/>
      <c r="AG41" s="8"/>
      <c r="AH41" s="8"/>
      <c r="AI41" s="8"/>
      <c r="AJ41" s="143"/>
      <c r="AL41" s="2337"/>
      <c r="AM41" s="2326"/>
      <c r="AN41" s="2492"/>
      <c r="AO41" s="1077"/>
      <c r="AP41" s="1080"/>
      <c r="AR41" s="146"/>
      <c r="AS41" s="8"/>
      <c r="AT41" s="8"/>
      <c r="AU41" s="8"/>
      <c r="AV41" s="143"/>
      <c r="AX41" s="166"/>
      <c r="AY41" s="2341" t="s">
        <v>399</v>
      </c>
      <c r="AZ41" s="2341"/>
      <c r="BA41" s="191">
        <v>2</v>
      </c>
      <c r="BB41" s="224" t="s">
        <v>285</v>
      </c>
    </row>
    <row r="42" spans="1:54" ht="30" customHeight="1">
      <c r="B42" s="141"/>
      <c r="C42" s="1861" t="s">
        <v>289</v>
      </c>
      <c r="D42" s="1918"/>
      <c r="E42" s="137">
        <v>29</v>
      </c>
      <c r="F42" s="148" t="s">
        <v>285</v>
      </c>
      <c r="G42" s="131"/>
      <c r="H42" s="145"/>
      <c r="I42" s="1772" t="s">
        <v>309</v>
      </c>
      <c r="J42" s="1828"/>
      <c r="K42" s="5">
        <v>2</v>
      </c>
      <c r="L42" s="148" t="s">
        <v>285</v>
      </c>
      <c r="M42" s="131"/>
      <c r="N42" s="146"/>
      <c r="O42" s="8"/>
      <c r="P42" s="8"/>
      <c r="Q42" s="8"/>
      <c r="R42" s="143"/>
      <c r="T42" s="146"/>
      <c r="U42" s="8"/>
      <c r="V42" s="8"/>
      <c r="W42" s="8"/>
      <c r="X42" s="143"/>
      <c r="Z42" s="180" t="s">
        <v>336</v>
      </c>
      <c r="AA42" s="2516" t="s">
        <v>342</v>
      </c>
      <c r="AB42" s="2516"/>
      <c r="AC42" s="137">
        <v>4</v>
      </c>
      <c r="AD42" s="148" t="s">
        <v>285</v>
      </c>
      <c r="AF42" s="146"/>
      <c r="AG42" s="8"/>
      <c r="AH42" s="8"/>
      <c r="AI42" s="8"/>
      <c r="AJ42" s="143"/>
      <c r="AL42" s="146"/>
      <c r="AM42" s="8"/>
      <c r="AN42" s="8"/>
      <c r="AO42" s="8"/>
      <c r="AP42" s="143"/>
      <c r="AR42" s="146"/>
      <c r="AS42" s="8"/>
      <c r="AT42" s="8"/>
      <c r="AU42" s="8"/>
      <c r="AV42" s="143"/>
      <c r="AX42" s="146"/>
      <c r="AY42" s="8"/>
      <c r="AZ42" s="8"/>
      <c r="BA42" s="8"/>
      <c r="BB42" s="143"/>
    </row>
    <row r="43" spans="1:54" ht="30" customHeight="1">
      <c r="B43" s="141"/>
      <c r="C43" s="1861" t="s">
        <v>291</v>
      </c>
      <c r="D43" s="1918"/>
      <c r="E43" s="137">
        <v>2</v>
      </c>
      <c r="F43" s="148" t="s">
        <v>285</v>
      </c>
      <c r="G43" s="131"/>
      <c r="H43" s="145"/>
      <c r="I43" s="1772" t="s">
        <v>311</v>
      </c>
      <c r="J43" s="1828"/>
      <c r="K43" s="5">
        <v>1</v>
      </c>
      <c r="L43" s="148" t="s">
        <v>285</v>
      </c>
      <c r="M43" s="131"/>
      <c r="N43" s="146"/>
      <c r="O43" s="8"/>
      <c r="P43" s="8"/>
      <c r="Q43" s="8"/>
      <c r="R43" s="143"/>
      <c r="T43" s="146"/>
      <c r="U43" s="8"/>
      <c r="V43" s="8"/>
      <c r="W43" s="8"/>
      <c r="X43" s="143"/>
      <c r="Z43" s="180" t="s">
        <v>336</v>
      </c>
      <c r="AA43" s="2516" t="s">
        <v>343</v>
      </c>
      <c r="AB43" s="2516"/>
      <c r="AC43" s="137">
        <v>4</v>
      </c>
      <c r="AD43" s="148" t="s">
        <v>285</v>
      </c>
      <c r="AF43" s="146"/>
      <c r="AG43" s="8"/>
      <c r="AH43" s="8"/>
      <c r="AI43" s="8"/>
      <c r="AJ43" s="143"/>
      <c r="AL43" s="146"/>
      <c r="AM43" s="8"/>
      <c r="AN43" s="8"/>
      <c r="AO43" s="8"/>
      <c r="AP43" s="143"/>
      <c r="AR43" s="146"/>
      <c r="AS43" s="8"/>
      <c r="AT43" s="8"/>
      <c r="AU43" s="8"/>
      <c r="AV43" s="143"/>
      <c r="AX43" s="146"/>
      <c r="AY43" s="8"/>
      <c r="AZ43" s="8"/>
      <c r="BA43" s="8"/>
      <c r="BB43" s="143"/>
    </row>
    <row r="44" spans="1:54" ht="28.5" customHeight="1" thickBot="1">
      <c r="B44" s="141"/>
      <c r="C44" s="1861" t="s">
        <v>292</v>
      </c>
      <c r="D44" s="1918"/>
      <c r="E44" s="137">
        <v>5</v>
      </c>
      <c r="F44" s="148" t="s">
        <v>285</v>
      </c>
      <c r="G44" s="131"/>
      <c r="H44" s="145"/>
      <c r="I44" s="1772" t="s">
        <v>320</v>
      </c>
      <c r="J44" s="1828"/>
      <c r="K44" s="5">
        <v>15</v>
      </c>
      <c r="L44" s="148" t="s">
        <v>285</v>
      </c>
      <c r="M44" s="131"/>
      <c r="N44" s="146"/>
      <c r="O44" s="8"/>
      <c r="P44" s="8"/>
      <c r="Q44" s="8"/>
      <c r="R44" s="143"/>
      <c r="T44" s="146"/>
      <c r="U44" s="8"/>
      <c r="V44" s="8"/>
      <c r="W44" s="8"/>
      <c r="X44" s="143"/>
      <c r="Z44" s="147" t="s">
        <v>336</v>
      </c>
      <c r="AA44" s="2519" t="s">
        <v>344</v>
      </c>
      <c r="AB44" s="2519"/>
      <c r="AC44" s="162">
        <v>2</v>
      </c>
      <c r="AD44" s="163" t="s">
        <v>285</v>
      </c>
      <c r="AF44" s="146"/>
      <c r="AG44" s="8"/>
      <c r="AH44" s="8"/>
      <c r="AI44" s="8"/>
      <c r="AJ44" s="143"/>
      <c r="AL44" s="146"/>
      <c r="AM44" s="8"/>
      <c r="AN44" s="8"/>
      <c r="AO44" s="8"/>
      <c r="AP44" s="143"/>
      <c r="AR44" s="146"/>
      <c r="AS44" s="8"/>
      <c r="AT44" s="8"/>
      <c r="AU44" s="8"/>
      <c r="AV44" s="143"/>
      <c r="AX44" s="146"/>
      <c r="AY44" s="8"/>
      <c r="AZ44" s="8"/>
      <c r="BA44" s="8"/>
      <c r="BB44" s="143"/>
    </row>
    <row r="45" spans="1:54" ht="27.75" customHeight="1">
      <c r="B45" s="141"/>
      <c r="C45" s="1861" t="s">
        <v>286</v>
      </c>
      <c r="D45" s="1918"/>
      <c r="E45" s="137">
        <v>2</v>
      </c>
      <c r="F45" s="148" t="s">
        <v>285</v>
      </c>
      <c r="G45" s="131"/>
      <c r="H45" s="145"/>
      <c r="I45" s="1772" t="s">
        <v>312</v>
      </c>
      <c r="J45" s="1828"/>
      <c r="K45" s="5">
        <v>43</v>
      </c>
      <c r="L45" s="148" t="s">
        <v>285</v>
      </c>
      <c r="M45" s="131"/>
      <c r="N45" s="146"/>
      <c r="O45" s="8"/>
      <c r="P45" s="8"/>
      <c r="Q45" s="8"/>
      <c r="R45" s="143"/>
      <c r="T45" s="146"/>
      <c r="U45" s="8"/>
      <c r="V45" s="8"/>
      <c r="W45" s="8"/>
      <c r="X45" s="143"/>
      <c r="Z45" s="146"/>
      <c r="AA45" s="8"/>
      <c r="AB45" s="8"/>
      <c r="AC45" s="8"/>
      <c r="AD45" s="143"/>
      <c r="AF45" s="146"/>
      <c r="AG45" s="8"/>
      <c r="AH45" s="8"/>
      <c r="AI45" s="8"/>
      <c r="AJ45" s="143"/>
      <c r="AL45" s="146"/>
      <c r="AM45" s="8"/>
      <c r="AN45" s="8"/>
      <c r="AO45" s="8"/>
      <c r="AP45" s="143"/>
      <c r="AR45" s="146"/>
      <c r="AS45" s="8"/>
      <c r="AT45" s="8"/>
      <c r="AU45" s="8"/>
      <c r="AV45" s="143"/>
      <c r="AX45" s="146"/>
      <c r="AY45" s="8"/>
      <c r="AZ45" s="8"/>
      <c r="BA45" s="8"/>
      <c r="BB45" s="143"/>
    </row>
    <row r="46" spans="1:54" ht="39" customHeight="1" thickBot="1">
      <c r="B46" s="166"/>
      <c r="C46" s="2515" t="s">
        <v>300</v>
      </c>
      <c r="D46" s="2493"/>
      <c r="E46" s="181">
        <v>2</v>
      </c>
      <c r="F46" s="163" t="s">
        <v>285</v>
      </c>
      <c r="G46" s="131"/>
      <c r="H46" s="145"/>
      <c r="I46" s="1772" t="s">
        <v>314</v>
      </c>
      <c r="J46" s="1828"/>
      <c r="K46" s="5">
        <v>2</v>
      </c>
      <c r="L46" s="148" t="s">
        <v>285</v>
      </c>
      <c r="M46" s="131"/>
      <c r="N46" s="146"/>
      <c r="O46" s="8"/>
      <c r="P46" s="8"/>
      <c r="Q46" s="8"/>
      <c r="R46" s="143"/>
      <c r="T46" s="146"/>
      <c r="U46" s="8"/>
      <c r="V46" s="8"/>
      <c r="W46" s="8"/>
      <c r="X46" s="143"/>
      <c r="Z46" s="146"/>
      <c r="AA46" s="8"/>
      <c r="AB46" s="8"/>
      <c r="AC46" s="8"/>
      <c r="AD46" s="143"/>
      <c r="AF46" s="146"/>
      <c r="AG46" s="8"/>
      <c r="AH46" s="8"/>
      <c r="AI46" s="8"/>
      <c r="AJ46" s="143"/>
      <c r="AL46" s="146"/>
      <c r="AM46" s="8"/>
      <c r="AN46" s="8"/>
      <c r="AO46" s="8"/>
      <c r="AP46" s="143"/>
      <c r="AR46" s="146"/>
      <c r="AS46" s="8"/>
      <c r="AT46" s="8"/>
      <c r="AU46" s="8"/>
      <c r="AV46" s="143"/>
      <c r="AX46" s="146"/>
      <c r="AY46" s="8"/>
      <c r="AZ46" s="8"/>
      <c r="BA46" s="8"/>
      <c r="BB46" s="143"/>
    </row>
    <row r="47" spans="1:54" ht="39" customHeight="1">
      <c r="B47" s="146"/>
      <c r="C47" s="134"/>
      <c r="D47" s="135"/>
      <c r="E47" s="136"/>
      <c r="F47" s="150"/>
      <c r="G47" s="131"/>
      <c r="H47" s="145"/>
      <c r="I47" s="1772" t="s">
        <v>319</v>
      </c>
      <c r="J47" s="1828"/>
      <c r="K47" s="5">
        <v>1</v>
      </c>
      <c r="L47" s="148" t="s">
        <v>285</v>
      </c>
      <c r="M47" s="131"/>
      <c r="N47" s="146"/>
      <c r="O47" s="8"/>
      <c r="P47" s="8"/>
      <c r="Q47" s="8"/>
      <c r="R47" s="143"/>
      <c r="T47" s="146"/>
      <c r="U47" s="8"/>
      <c r="V47" s="8"/>
      <c r="W47" s="8"/>
      <c r="X47" s="143"/>
      <c r="Z47" s="146"/>
      <c r="AA47" s="8"/>
      <c r="AB47" s="8"/>
      <c r="AC47" s="8"/>
      <c r="AD47" s="143"/>
      <c r="AF47" s="146"/>
      <c r="AG47" s="8"/>
      <c r="AH47" s="8"/>
      <c r="AI47" s="8"/>
      <c r="AJ47" s="143"/>
      <c r="AL47" s="146"/>
      <c r="AM47" s="8"/>
      <c r="AN47" s="8"/>
      <c r="AO47" s="8"/>
      <c r="AP47" s="143"/>
      <c r="AR47" s="146"/>
      <c r="AS47" s="8"/>
      <c r="AT47" s="8"/>
      <c r="AU47" s="8"/>
      <c r="AV47" s="143"/>
      <c r="AX47" s="146"/>
      <c r="AY47" s="8"/>
      <c r="AZ47" s="8"/>
      <c r="BA47" s="8"/>
      <c r="BB47" s="143"/>
    </row>
    <row r="48" spans="1:54" ht="39" customHeight="1">
      <c r="B48" s="146"/>
      <c r="C48" s="134"/>
      <c r="D48" s="135"/>
      <c r="E48" s="136"/>
      <c r="F48" s="150"/>
      <c r="G48" s="131"/>
      <c r="H48" s="145"/>
      <c r="I48" s="1772" t="s">
        <v>317</v>
      </c>
      <c r="J48" s="1828"/>
      <c r="K48" s="5">
        <v>7</v>
      </c>
      <c r="L48" s="148" t="s">
        <v>285</v>
      </c>
      <c r="M48" s="131"/>
      <c r="N48" s="146"/>
      <c r="O48" s="8"/>
      <c r="P48" s="8"/>
      <c r="Q48" s="8"/>
      <c r="R48" s="143"/>
      <c r="T48" s="146"/>
      <c r="U48" s="8"/>
      <c r="V48" s="8"/>
      <c r="W48" s="8"/>
      <c r="X48" s="143"/>
      <c r="Z48" s="146"/>
      <c r="AA48" s="8"/>
      <c r="AB48" s="8"/>
      <c r="AC48" s="8"/>
      <c r="AD48" s="143"/>
      <c r="AF48" s="146"/>
      <c r="AG48" s="8"/>
      <c r="AH48" s="8"/>
      <c r="AI48" s="8"/>
      <c r="AJ48" s="143"/>
      <c r="AL48" s="146"/>
      <c r="AM48" s="8"/>
      <c r="AN48" s="8"/>
      <c r="AO48" s="8"/>
      <c r="AP48" s="143"/>
      <c r="AR48" s="146"/>
      <c r="AS48" s="8"/>
      <c r="AT48" s="8"/>
      <c r="AU48" s="8"/>
      <c r="AV48" s="143"/>
      <c r="AX48" s="146"/>
      <c r="AY48" s="8"/>
      <c r="AZ48" s="8"/>
      <c r="BA48" s="8"/>
      <c r="BB48" s="143"/>
    </row>
    <row r="49" spans="1:54" ht="39" customHeight="1" thickBot="1">
      <c r="B49" s="146"/>
      <c r="C49" s="134"/>
      <c r="D49" s="135"/>
      <c r="E49" s="136"/>
      <c r="F49" s="150"/>
      <c r="G49" s="131"/>
      <c r="H49" s="166"/>
      <c r="I49" s="2515" t="s">
        <v>306</v>
      </c>
      <c r="J49" s="2515"/>
      <c r="K49" s="167">
        <v>28</v>
      </c>
      <c r="L49" s="163" t="s">
        <v>285</v>
      </c>
      <c r="M49" s="131"/>
      <c r="N49" s="146"/>
      <c r="O49" s="8"/>
      <c r="P49" s="8"/>
      <c r="Q49" s="8"/>
      <c r="R49" s="143"/>
      <c r="T49" s="146"/>
      <c r="U49" s="8"/>
      <c r="V49" s="8"/>
      <c r="W49" s="8"/>
      <c r="X49" s="143"/>
      <c r="Z49" s="146"/>
      <c r="AA49" s="8"/>
      <c r="AB49" s="8"/>
      <c r="AC49" s="8"/>
      <c r="AD49" s="143"/>
      <c r="AF49" s="146"/>
      <c r="AG49" s="8"/>
      <c r="AH49" s="8"/>
      <c r="AI49" s="8"/>
      <c r="AJ49" s="143"/>
      <c r="AL49" s="146"/>
      <c r="AM49" s="8"/>
      <c r="AN49" s="8"/>
      <c r="AO49" s="8"/>
      <c r="AP49" s="143"/>
      <c r="AR49" s="146"/>
      <c r="AS49" s="8"/>
      <c r="AT49" s="8"/>
      <c r="AU49" s="8"/>
      <c r="AV49" s="143"/>
      <c r="AX49" s="146"/>
      <c r="AY49" s="8"/>
      <c r="AZ49" s="8"/>
      <c r="BA49" s="8"/>
      <c r="BB49" s="143"/>
    </row>
    <row r="50" spans="1:54" ht="39" customHeight="1" thickBot="1">
      <c r="B50" s="146"/>
      <c r="C50" s="134"/>
      <c r="D50" s="135"/>
      <c r="E50" s="136"/>
      <c r="F50" s="150"/>
      <c r="G50" s="131"/>
      <c r="H50" s="146"/>
      <c r="I50" s="8"/>
      <c r="J50" s="8"/>
      <c r="K50" s="8"/>
      <c r="L50" s="143"/>
      <c r="M50" s="8"/>
      <c r="N50" s="146"/>
      <c r="O50" s="8"/>
      <c r="P50" s="8"/>
      <c r="Q50" s="8"/>
      <c r="R50" s="143"/>
      <c r="T50" s="146"/>
      <c r="U50" s="8"/>
      <c r="V50" s="8"/>
      <c r="W50" s="8"/>
      <c r="X50" s="143"/>
      <c r="Z50" s="146"/>
      <c r="AA50" s="8"/>
      <c r="AB50" s="8"/>
      <c r="AC50" s="8"/>
      <c r="AD50" s="143"/>
      <c r="AF50" s="146"/>
      <c r="AG50" s="8"/>
      <c r="AH50" s="8"/>
      <c r="AI50" s="8"/>
      <c r="AJ50" s="143"/>
      <c r="AL50" s="146"/>
      <c r="AM50" s="8"/>
      <c r="AN50" s="8"/>
      <c r="AO50" s="8"/>
      <c r="AP50" s="143"/>
      <c r="AR50" s="146"/>
      <c r="AS50" s="8"/>
      <c r="AT50" s="8"/>
      <c r="AU50" s="8"/>
      <c r="AV50" s="143"/>
      <c r="AX50" s="146"/>
      <c r="AY50" s="8"/>
      <c r="AZ50" s="8"/>
      <c r="BA50" s="8"/>
      <c r="BB50" s="143"/>
    </row>
    <row r="51" spans="1:54" ht="34.5" customHeight="1" thickBot="1">
      <c r="A51" s="128" t="s">
        <v>301</v>
      </c>
      <c r="B51" s="1047"/>
      <c r="C51" s="2502" t="s">
        <v>284</v>
      </c>
      <c r="D51" s="2502"/>
      <c r="E51" s="1051">
        <v>1</v>
      </c>
      <c r="F51" s="160" t="s">
        <v>285</v>
      </c>
      <c r="G51" s="131"/>
      <c r="H51" s="164"/>
      <c r="I51" s="2498" t="s">
        <v>315</v>
      </c>
      <c r="J51" s="2094"/>
      <c r="K51" s="165">
        <v>5</v>
      </c>
      <c r="L51" s="182" t="s">
        <v>285</v>
      </c>
      <c r="M51" s="187"/>
      <c r="N51" s="164"/>
      <c r="O51" s="2094" t="s">
        <v>324</v>
      </c>
      <c r="P51" s="2094"/>
      <c r="Q51" s="165">
        <v>14</v>
      </c>
      <c r="R51" s="160" t="s">
        <v>285</v>
      </c>
      <c r="S51" s="131"/>
      <c r="T51" s="164"/>
      <c r="U51" s="2494" t="s">
        <v>333</v>
      </c>
      <c r="V51" s="2495"/>
      <c r="W51" s="165">
        <v>3</v>
      </c>
      <c r="X51" s="160" t="s">
        <v>285</v>
      </c>
      <c r="Y51" s="131"/>
      <c r="Z51" s="171" t="s">
        <v>336</v>
      </c>
      <c r="AA51" s="2473" t="s">
        <v>336</v>
      </c>
      <c r="AB51" s="2474"/>
      <c r="AC51" s="172" t="s">
        <v>336</v>
      </c>
      <c r="AD51" s="173" t="s">
        <v>336</v>
      </c>
      <c r="AF51" s="171" t="s">
        <v>336</v>
      </c>
      <c r="AG51" s="2473" t="s">
        <v>336</v>
      </c>
      <c r="AH51" s="2474"/>
      <c r="AI51" s="172" t="s">
        <v>336</v>
      </c>
      <c r="AJ51" s="173" t="s">
        <v>336</v>
      </c>
      <c r="AL51" s="171" t="s">
        <v>336</v>
      </c>
      <c r="AM51" s="2473" t="s">
        <v>336</v>
      </c>
      <c r="AN51" s="2474"/>
      <c r="AO51" s="172" t="s">
        <v>336</v>
      </c>
      <c r="AP51" s="173" t="s">
        <v>336</v>
      </c>
      <c r="AR51" s="171" t="s">
        <v>336</v>
      </c>
      <c r="AS51" s="2473" t="s">
        <v>336</v>
      </c>
      <c r="AT51" s="2474"/>
      <c r="AU51" s="172" t="s">
        <v>336</v>
      </c>
      <c r="AV51" s="173" t="s">
        <v>336</v>
      </c>
      <c r="AX51" s="164"/>
      <c r="AY51" s="2351" t="s">
        <v>399</v>
      </c>
      <c r="AZ51" s="2351"/>
      <c r="BA51" s="193">
        <v>3</v>
      </c>
      <c r="BB51" s="182" t="s">
        <v>285</v>
      </c>
    </row>
    <row r="52" spans="1:54" ht="51.75" customHeight="1" thickBot="1">
      <c r="B52" s="1048"/>
      <c r="C52" s="1861" t="s">
        <v>289</v>
      </c>
      <c r="D52" s="1918"/>
      <c r="E52" s="1043">
        <v>17</v>
      </c>
      <c r="F52" s="148" t="s">
        <v>285</v>
      </c>
      <c r="G52" s="131"/>
      <c r="H52" s="145"/>
      <c r="I52" s="1772" t="s">
        <v>316</v>
      </c>
      <c r="J52" s="1828"/>
      <c r="K52" s="5">
        <v>12</v>
      </c>
      <c r="L52" s="152" t="s">
        <v>285</v>
      </c>
      <c r="M52" s="187"/>
      <c r="N52" s="166"/>
      <c r="O52" s="2493" t="s">
        <v>325</v>
      </c>
      <c r="P52" s="2493"/>
      <c r="Q52" s="167">
        <v>2</v>
      </c>
      <c r="R52" s="163" t="s">
        <v>285</v>
      </c>
      <c r="S52" s="131"/>
      <c r="T52" s="166"/>
      <c r="U52" s="2496" t="s">
        <v>334</v>
      </c>
      <c r="V52" s="2497"/>
      <c r="W52" s="167">
        <v>4</v>
      </c>
      <c r="X52" s="163" t="s">
        <v>285</v>
      </c>
      <c r="Y52" s="131"/>
      <c r="Z52" s="146"/>
      <c r="AA52" s="8"/>
      <c r="AB52" s="8"/>
      <c r="AC52" s="8"/>
      <c r="AD52" s="143"/>
      <c r="AF52" s="146"/>
      <c r="AG52" s="8"/>
      <c r="AH52" s="8"/>
      <c r="AI52" s="8"/>
      <c r="AJ52" s="143"/>
      <c r="AL52" s="146"/>
      <c r="AM52" s="8"/>
      <c r="AN52" s="8"/>
      <c r="AO52" s="8"/>
      <c r="AP52" s="143"/>
      <c r="AR52" s="146"/>
      <c r="AS52" s="8"/>
      <c r="AT52" s="8"/>
      <c r="AU52" s="8"/>
      <c r="AV52" s="143"/>
      <c r="AX52" s="166"/>
      <c r="AY52" s="2326" t="s">
        <v>401</v>
      </c>
      <c r="AZ52" s="2326"/>
      <c r="BA52" s="191">
        <v>2</v>
      </c>
      <c r="BB52" s="224" t="s">
        <v>285</v>
      </c>
    </row>
    <row r="53" spans="1:54" ht="30.75" customHeight="1">
      <c r="B53" s="1048"/>
      <c r="C53" s="1861" t="s">
        <v>291</v>
      </c>
      <c r="D53" s="1918"/>
      <c r="E53" s="1043">
        <v>2</v>
      </c>
      <c r="F53" s="148" t="s">
        <v>285</v>
      </c>
      <c r="G53" s="131"/>
      <c r="H53" s="145"/>
      <c r="I53" s="1772" t="s">
        <v>317</v>
      </c>
      <c r="J53" s="1828"/>
      <c r="K53" s="5">
        <v>3</v>
      </c>
      <c r="L53" s="152" t="s">
        <v>285</v>
      </c>
      <c r="M53" s="187"/>
      <c r="N53" s="146"/>
      <c r="O53" s="8"/>
      <c r="P53" s="8"/>
      <c r="Q53" s="8"/>
      <c r="R53" s="143"/>
      <c r="T53" s="146"/>
      <c r="U53" s="8"/>
      <c r="V53" s="8"/>
      <c r="W53" s="8"/>
      <c r="X53" s="143"/>
      <c r="Z53" s="146"/>
      <c r="AA53" s="8"/>
      <c r="AB53" s="8"/>
      <c r="AC53" s="8"/>
      <c r="AD53" s="143"/>
      <c r="AF53" s="146"/>
      <c r="AG53" s="8"/>
      <c r="AH53" s="8"/>
      <c r="AI53" s="8"/>
      <c r="AJ53" s="143"/>
      <c r="AL53" s="146"/>
      <c r="AM53" s="8"/>
      <c r="AN53" s="8"/>
      <c r="AO53" s="8"/>
      <c r="AP53" s="143"/>
      <c r="AR53" s="146"/>
      <c r="AS53" s="8"/>
      <c r="AT53" s="8"/>
      <c r="AU53" s="8"/>
      <c r="AV53" s="143"/>
      <c r="AX53" s="146"/>
      <c r="AY53" s="8"/>
      <c r="AZ53" s="8"/>
      <c r="BA53" s="8"/>
      <c r="BB53" s="143"/>
    </row>
    <row r="54" spans="1:54" ht="28.5" customHeight="1">
      <c r="B54" s="1048"/>
      <c r="C54" s="1861" t="s">
        <v>286</v>
      </c>
      <c r="D54" s="1918"/>
      <c r="E54" s="1043">
        <v>2</v>
      </c>
      <c r="F54" s="148" t="s">
        <v>285</v>
      </c>
      <c r="G54" s="131"/>
      <c r="H54" s="145"/>
      <c r="I54" s="1772" t="s">
        <v>311</v>
      </c>
      <c r="J54" s="1828"/>
      <c r="K54" s="5">
        <v>75</v>
      </c>
      <c r="L54" s="148" t="s">
        <v>285</v>
      </c>
      <c r="M54" s="131"/>
      <c r="N54" s="146"/>
      <c r="O54" s="8"/>
      <c r="P54" s="8"/>
      <c r="Q54" s="8"/>
      <c r="R54" s="143"/>
      <c r="T54" s="146"/>
      <c r="U54" s="8"/>
      <c r="V54" s="8"/>
      <c r="W54" s="8"/>
      <c r="X54" s="143"/>
      <c r="Z54" s="146"/>
      <c r="AA54" s="8"/>
      <c r="AB54" s="8"/>
      <c r="AC54" s="8"/>
      <c r="AD54" s="143"/>
      <c r="AF54" s="146"/>
      <c r="AG54" s="8"/>
      <c r="AH54" s="8"/>
      <c r="AI54" s="8"/>
      <c r="AJ54" s="143"/>
      <c r="AL54" s="146"/>
      <c r="AM54" s="8"/>
      <c r="AN54" s="8"/>
      <c r="AO54" s="8"/>
      <c r="AP54" s="143"/>
      <c r="AR54" s="146"/>
      <c r="AS54" s="8"/>
      <c r="AT54" s="8"/>
      <c r="AU54" s="8"/>
      <c r="AV54" s="143"/>
      <c r="AX54" s="146"/>
      <c r="AY54" s="8"/>
      <c r="AZ54" s="8"/>
      <c r="BA54" s="8"/>
      <c r="BB54" s="143"/>
    </row>
    <row r="55" spans="1:54" ht="28.5" customHeight="1" thickBot="1">
      <c r="B55" s="1049"/>
      <c r="C55" s="2503" t="s">
        <v>292</v>
      </c>
      <c r="D55" s="2341"/>
      <c r="E55" s="1050">
        <v>3</v>
      </c>
      <c r="F55" s="163" t="s">
        <v>285</v>
      </c>
      <c r="G55" s="131"/>
      <c r="H55" s="145"/>
      <c r="I55" s="1772" t="s">
        <v>310</v>
      </c>
      <c r="J55" s="1828"/>
      <c r="K55" s="5">
        <v>35</v>
      </c>
      <c r="L55" s="148" t="s">
        <v>285</v>
      </c>
      <c r="M55" s="131"/>
      <c r="N55" s="146"/>
      <c r="O55" s="8"/>
      <c r="P55" s="8"/>
      <c r="Q55" s="8"/>
      <c r="R55" s="143"/>
      <c r="T55" s="146"/>
      <c r="U55" s="8"/>
      <c r="V55" s="8"/>
      <c r="W55" s="8"/>
      <c r="X55" s="143"/>
      <c r="Z55" s="146"/>
      <c r="AA55" s="8"/>
      <c r="AB55" s="8"/>
      <c r="AC55" s="8"/>
      <c r="AD55" s="143"/>
      <c r="AF55" s="146"/>
      <c r="AG55" s="8"/>
      <c r="AH55" s="8"/>
      <c r="AI55" s="8"/>
      <c r="AJ55" s="143"/>
      <c r="AL55" s="146"/>
      <c r="AM55" s="8"/>
      <c r="AN55" s="8"/>
      <c r="AO55" s="8"/>
      <c r="AP55" s="143"/>
      <c r="AR55" s="146"/>
      <c r="AS55" s="8"/>
      <c r="AT55" s="8"/>
      <c r="AU55" s="8"/>
      <c r="AV55" s="143"/>
      <c r="AX55" s="146"/>
      <c r="AY55" s="8"/>
      <c r="AZ55" s="8"/>
      <c r="BA55" s="8"/>
      <c r="BB55" s="143"/>
    </row>
    <row r="56" spans="1:54" ht="28.5" customHeight="1">
      <c r="B56" s="142"/>
      <c r="C56" s="131"/>
      <c r="D56" s="132"/>
      <c r="E56" s="132"/>
      <c r="F56" s="150"/>
      <c r="G56" s="131"/>
      <c r="H56" s="145"/>
      <c r="I56" s="1772" t="s">
        <v>309</v>
      </c>
      <c r="J56" s="1828"/>
      <c r="K56" s="5">
        <v>3</v>
      </c>
      <c r="L56" s="148" t="s">
        <v>285</v>
      </c>
      <c r="M56" s="131"/>
      <c r="N56" s="146"/>
      <c r="O56" s="8"/>
      <c r="P56" s="8"/>
      <c r="Q56" s="8"/>
      <c r="R56" s="143"/>
      <c r="T56" s="146"/>
      <c r="U56" s="8"/>
      <c r="V56" s="8"/>
      <c r="W56" s="8"/>
      <c r="X56" s="143"/>
      <c r="Z56" s="146"/>
      <c r="AA56" s="8"/>
      <c r="AB56" s="8"/>
      <c r="AC56" s="8"/>
      <c r="AD56" s="143"/>
      <c r="AF56" s="146"/>
      <c r="AG56" s="8"/>
      <c r="AH56" s="8"/>
      <c r="AI56" s="8"/>
      <c r="AJ56" s="143"/>
      <c r="AL56" s="146"/>
      <c r="AM56" s="8"/>
      <c r="AN56" s="8"/>
      <c r="AO56" s="8"/>
      <c r="AP56" s="143"/>
      <c r="AR56" s="146"/>
      <c r="AS56" s="8"/>
      <c r="AT56" s="8"/>
      <c r="AU56" s="8"/>
      <c r="AV56" s="143"/>
      <c r="AX56" s="146"/>
      <c r="AY56" s="8"/>
      <c r="AZ56" s="8"/>
      <c r="BA56" s="8"/>
      <c r="BB56" s="143"/>
    </row>
    <row r="57" spans="1:54" ht="28.5" customHeight="1">
      <c r="B57" s="142"/>
      <c r="C57" s="131"/>
      <c r="D57" s="132"/>
      <c r="E57" s="132"/>
      <c r="F57" s="150"/>
      <c r="G57" s="131"/>
      <c r="H57" s="145"/>
      <c r="I57" s="1772" t="s">
        <v>318</v>
      </c>
      <c r="J57" s="1828"/>
      <c r="K57" s="5">
        <v>3</v>
      </c>
      <c r="L57" s="148" t="s">
        <v>285</v>
      </c>
      <c r="M57" s="131"/>
      <c r="N57" s="146"/>
      <c r="O57" s="8"/>
      <c r="P57" s="8"/>
      <c r="Q57" s="8"/>
      <c r="R57" s="143"/>
      <c r="T57" s="146"/>
      <c r="U57" s="8"/>
      <c r="V57" s="8"/>
      <c r="W57" s="8"/>
      <c r="X57" s="143"/>
      <c r="Z57" s="146"/>
      <c r="AA57" s="8"/>
      <c r="AB57" s="8"/>
      <c r="AC57" s="8"/>
      <c r="AD57" s="143"/>
      <c r="AF57" s="146"/>
      <c r="AG57" s="8"/>
      <c r="AH57" s="8"/>
      <c r="AI57" s="8"/>
      <c r="AJ57" s="143"/>
      <c r="AL57" s="146"/>
      <c r="AM57" s="8"/>
      <c r="AN57" s="8"/>
      <c r="AO57" s="8"/>
      <c r="AP57" s="143"/>
      <c r="AR57" s="146"/>
      <c r="AS57" s="8"/>
      <c r="AT57" s="8"/>
      <c r="AU57" s="8"/>
      <c r="AV57" s="143"/>
      <c r="AX57" s="146"/>
      <c r="AY57" s="8"/>
      <c r="AZ57" s="8"/>
      <c r="BA57" s="8"/>
      <c r="BB57" s="143"/>
    </row>
    <row r="58" spans="1:54" ht="28.5" customHeight="1">
      <c r="B58" s="142"/>
      <c r="C58" s="131"/>
      <c r="D58" s="132"/>
      <c r="E58" s="132"/>
      <c r="F58" s="150"/>
      <c r="G58" s="131"/>
      <c r="H58" s="145"/>
      <c r="I58" s="1772" t="s">
        <v>307</v>
      </c>
      <c r="J58" s="1828"/>
      <c r="K58" s="5">
        <v>6</v>
      </c>
      <c r="L58" s="148" t="s">
        <v>285</v>
      </c>
      <c r="M58" s="131"/>
      <c r="N58" s="146"/>
      <c r="O58" s="8"/>
      <c r="P58" s="8"/>
      <c r="Q58" s="8"/>
      <c r="R58" s="143"/>
      <c r="T58" s="146"/>
      <c r="U58" s="8"/>
      <c r="V58" s="8"/>
      <c r="W58" s="8"/>
      <c r="X58" s="143"/>
      <c r="Z58" s="146"/>
      <c r="AA58" s="8"/>
      <c r="AB58" s="8"/>
      <c r="AC58" s="8"/>
      <c r="AD58" s="143"/>
      <c r="AF58" s="146"/>
      <c r="AG58" s="8"/>
      <c r="AH58" s="8"/>
      <c r="AI58" s="8"/>
      <c r="AJ58" s="143"/>
      <c r="AL58" s="146"/>
      <c r="AM58" s="8"/>
      <c r="AN58" s="8"/>
      <c r="AO58" s="8"/>
      <c r="AP58" s="143"/>
      <c r="AR58" s="146"/>
      <c r="AS58" s="8"/>
      <c r="AT58" s="8"/>
      <c r="AU58" s="8"/>
      <c r="AV58" s="143"/>
      <c r="AX58" s="146"/>
      <c r="AY58" s="8"/>
      <c r="AZ58" s="8"/>
      <c r="BA58" s="8"/>
      <c r="BB58" s="143"/>
    </row>
    <row r="59" spans="1:54" ht="28.5" customHeight="1" thickBot="1">
      <c r="B59" s="142"/>
      <c r="C59" s="131"/>
      <c r="D59" s="132"/>
      <c r="E59" s="132"/>
      <c r="F59" s="150"/>
      <c r="G59" s="131"/>
      <c r="H59" s="166"/>
      <c r="I59" s="2515" t="s">
        <v>306</v>
      </c>
      <c r="J59" s="2515"/>
      <c r="K59" s="167">
        <v>31</v>
      </c>
      <c r="L59" s="163" t="s">
        <v>285</v>
      </c>
      <c r="M59" s="131"/>
      <c r="N59" s="146"/>
      <c r="O59" s="8"/>
      <c r="P59" s="8"/>
      <c r="Q59" s="8"/>
      <c r="R59" s="143"/>
      <c r="T59" s="146"/>
      <c r="U59" s="8"/>
      <c r="V59" s="8"/>
      <c r="W59" s="8"/>
      <c r="X59" s="143"/>
      <c r="Z59" s="146"/>
      <c r="AA59" s="8"/>
      <c r="AB59" s="8"/>
      <c r="AC59" s="8"/>
      <c r="AD59" s="143"/>
      <c r="AF59" s="146"/>
      <c r="AG59" s="8"/>
      <c r="AH59" s="8"/>
      <c r="AI59" s="8"/>
      <c r="AJ59" s="143"/>
      <c r="AL59" s="146"/>
      <c r="AM59" s="8"/>
      <c r="AN59" s="8"/>
      <c r="AO59" s="8"/>
      <c r="AP59" s="143"/>
      <c r="AR59" s="146"/>
      <c r="AS59" s="8"/>
      <c r="AT59" s="8"/>
      <c r="AU59" s="8"/>
      <c r="AV59" s="143"/>
      <c r="AX59" s="146"/>
      <c r="AY59" s="8"/>
      <c r="AZ59" s="8"/>
      <c r="BA59" s="8"/>
      <c r="BB59" s="143"/>
    </row>
    <row r="60" spans="1:54" ht="28.5" customHeight="1" thickBot="1">
      <c r="B60" s="142"/>
      <c r="C60" s="131"/>
      <c r="D60" s="132"/>
      <c r="E60" s="132"/>
      <c r="F60" s="150"/>
      <c r="G60" s="131"/>
      <c r="H60" s="146"/>
      <c r="I60" s="8"/>
      <c r="J60" s="8"/>
      <c r="K60" s="8"/>
      <c r="L60" s="143"/>
      <c r="M60" s="8"/>
      <c r="N60" s="146"/>
      <c r="O60" s="8"/>
      <c r="P60" s="8"/>
      <c r="Q60" s="8"/>
      <c r="R60" s="143"/>
      <c r="T60" s="146"/>
      <c r="U60" s="8"/>
      <c r="V60" s="8"/>
      <c r="W60" s="8"/>
      <c r="X60" s="143"/>
      <c r="Z60" s="146"/>
      <c r="AA60" s="8"/>
      <c r="AB60" s="8"/>
      <c r="AC60" s="8"/>
      <c r="AD60" s="143"/>
      <c r="AF60" s="146"/>
      <c r="AG60" s="8"/>
      <c r="AH60" s="8"/>
      <c r="AI60" s="8"/>
      <c r="AJ60" s="143"/>
      <c r="AL60" s="146"/>
      <c r="AM60" s="8"/>
      <c r="AN60" s="8"/>
      <c r="AO60" s="8"/>
      <c r="AP60" s="143"/>
      <c r="AR60" s="146"/>
      <c r="AS60" s="8"/>
      <c r="AT60" s="8"/>
      <c r="AU60" s="8"/>
      <c r="AV60" s="143"/>
      <c r="AX60" s="146"/>
      <c r="AY60" s="8"/>
      <c r="AZ60" s="8"/>
      <c r="BA60" s="8"/>
      <c r="BB60" s="143"/>
    </row>
    <row r="61" spans="1:54" ht="30.75" customHeight="1" thickBot="1">
      <c r="A61" s="128" t="s">
        <v>302</v>
      </c>
      <c r="B61" s="158"/>
      <c r="C61" s="2502" t="s">
        <v>284</v>
      </c>
      <c r="D61" s="2502"/>
      <c r="E61" s="159">
        <v>45</v>
      </c>
      <c r="F61" s="160" t="s">
        <v>285</v>
      </c>
      <c r="G61" s="131"/>
      <c r="H61" s="164"/>
      <c r="I61" s="2498" t="s">
        <v>310</v>
      </c>
      <c r="J61" s="2094"/>
      <c r="K61" s="165">
        <v>46</v>
      </c>
      <c r="L61" s="160" t="s">
        <v>285</v>
      </c>
      <c r="M61" s="131"/>
      <c r="N61" s="164"/>
      <c r="O61" s="2094" t="s">
        <v>324</v>
      </c>
      <c r="P61" s="2094"/>
      <c r="Q61" s="165">
        <v>47</v>
      </c>
      <c r="R61" s="160" t="s">
        <v>285</v>
      </c>
      <c r="S61" s="131"/>
      <c r="T61" s="164"/>
      <c r="U61" s="2494" t="s">
        <v>333</v>
      </c>
      <c r="V61" s="2495"/>
      <c r="W61" s="165">
        <v>19</v>
      </c>
      <c r="X61" s="160" t="s">
        <v>285</v>
      </c>
      <c r="Y61" s="131"/>
      <c r="Z61" s="171" t="s">
        <v>336</v>
      </c>
      <c r="AA61" s="2473" t="s">
        <v>336</v>
      </c>
      <c r="AB61" s="2474"/>
      <c r="AC61" s="172" t="s">
        <v>336</v>
      </c>
      <c r="AD61" s="173" t="s">
        <v>336</v>
      </c>
      <c r="AF61" s="171" t="s">
        <v>336</v>
      </c>
      <c r="AG61" s="2473" t="s">
        <v>336</v>
      </c>
      <c r="AH61" s="2474"/>
      <c r="AI61" s="172" t="s">
        <v>336</v>
      </c>
      <c r="AJ61" s="173" t="s">
        <v>336</v>
      </c>
      <c r="AL61" s="171" t="s">
        <v>336</v>
      </c>
      <c r="AM61" s="2473" t="s">
        <v>336</v>
      </c>
      <c r="AN61" s="2474"/>
      <c r="AO61" s="172" t="s">
        <v>336</v>
      </c>
      <c r="AP61" s="173" t="s">
        <v>336</v>
      </c>
      <c r="AR61" s="171" t="s">
        <v>336</v>
      </c>
      <c r="AS61" s="2473" t="s">
        <v>336</v>
      </c>
      <c r="AT61" s="2474"/>
      <c r="AU61" s="172" t="s">
        <v>336</v>
      </c>
      <c r="AV61" s="173" t="s">
        <v>336</v>
      </c>
      <c r="AX61" s="164"/>
      <c r="AY61" s="2351" t="s">
        <v>399</v>
      </c>
      <c r="AZ61" s="2351"/>
      <c r="BA61" s="193">
        <v>3</v>
      </c>
      <c r="BB61" s="182" t="s">
        <v>285</v>
      </c>
    </row>
    <row r="62" spans="1:54" ht="28.5" customHeight="1" thickBot="1">
      <c r="B62" s="141"/>
      <c r="C62" s="1861" t="s">
        <v>289</v>
      </c>
      <c r="D62" s="1918"/>
      <c r="E62" s="137">
        <v>40</v>
      </c>
      <c r="F62" s="148" t="s">
        <v>285</v>
      </c>
      <c r="G62" s="131"/>
      <c r="H62" s="145"/>
      <c r="I62" s="1772" t="s">
        <v>308</v>
      </c>
      <c r="J62" s="1828"/>
      <c r="K62" s="5">
        <v>51</v>
      </c>
      <c r="L62" s="152" t="s">
        <v>285</v>
      </c>
      <c r="M62" s="187"/>
      <c r="N62" s="145"/>
      <c r="O62" s="1828" t="s">
        <v>323</v>
      </c>
      <c r="P62" s="1828"/>
      <c r="Q62" s="5">
        <v>14</v>
      </c>
      <c r="R62" s="148" t="s">
        <v>285</v>
      </c>
      <c r="S62" s="131"/>
      <c r="T62" s="166"/>
      <c r="U62" s="2496" t="s">
        <v>334</v>
      </c>
      <c r="V62" s="2497"/>
      <c r="W62" s="167">
        <v>3</v>
      </c>
      <c r="X62" s="163" t="s">
        <v>285</v>
      </c>
      <c r="Y62" s="131"/>
      <c r="Z62" s="146"/>
      <c r="AA62" s="8"/>
      <c r="AB62" s="8"/>
      <c r="AC62" s="8"/>
      <c r="AD62" s="143"/>
      <c r="AF62" s="146"/>
      <c r="AG62" s="8"/>
      <c r="AH62" s="8"/>
      <c r="AI62" s="8"/>
      <c r="AJ62" s="143"/>
      <c r="AL62" s="146"/>
      <c r="AM62" s="8"/>
      <c r="AN62" s="8"/>
      <c r="AO62" s="8"/>
      <c r="AP62" s="143"/>
      <c r="AR62" s="146"/>
      <c r="AS62" s="8"/>
      <c r="AT62" s="8"/>
      <c r="AU62" s="8"/>
      <c r="AV62" s="143"/>
      <c r="AX62" s="145"/>
      <c r="AY62" s="1918" t="s">
        <v>400</v>
      </c>
      <c r="AZ62" s="1918"/>
      <c r="BA62" s="190">
        <v>7</v>
      </c>
      <c r="BB62" s="152" t="s">
        <v>285</v>
      </c>
    </row>
    <row r="63" spans="1:54" ht="31.5" customHeight="1">
      <c r="B63" s="141"/>
      <c r="C63" s="1861" t="s">
        <v>291</v>
      </c>
      <c r="D63" s="1918"/>
      <c r="E63" s="137">
        <v>2</v>
      </c>
      <c r="F63" s="148" t="s">
        <v>285</v>
      </c>
      <c r="G63" s="131"/>
      <c r="H63" s="145"/>
      <c r="I63" s="1772" t="s">
        <v>314</v>
      </c>
      <c r="J63" s="1828"/>
      <c r="K63" s="5">
        <v>2</v>
      </c>
      <c r="L63" s="152" t="s">
        <v>285</v>
      </c>
      <c r="M63" s="187"/>
      <c r="N63" s="145"/>
      <c r="O63" s="1828" t="s">
        <v>326</v>
      </c>
      <c r="P63" s="1828"/>
      <c r="Q63" s="5">
        <v>14</v>
      </c>
      <c r="R63" s="148" t="s">
        <v>285</v>
      </c>
      <c r="S63" s="131"/>
      <c r="T63" s="146"/>
      <c r="U63" s="8"/>
      <c r="V63" s="8"/>
      <c r="W63" s="8"/>
      <c r="X63" s="143"/>
      <c r="Z63" s="146"/>
      <c r="AA63" s="8"/>
      <c r="AB63" s="8"/>
      <c r="AC63" s="8"/>
      <c r="AD63" s="143"/>
      <c r="AF63" s="146"/>
      <c r="AG63" s="8"/>
      <c r="AH63" s="8"/>
      <c r="AI63" s="8"/>
      <c r="AJ63" s="143"/>
      <c r="AL63" s="146"/>
      <c r="AM63" s="8"/>
      <c r="AN63" s="8"/>
      <c r="AO63" s="8"/>
      <c r="AP63" s="143"/>
      <c r="AR63" s="146"/>
      <c r="AS63" s="8"/>
      <c r="AT63" s="8"/>
      <c r="AU63" s="8"/>
      <c r="AV63" s="143"/>
      <c r="AX63" s="145"/>
      <c r="AY63" s="1918" t="s">
        <v>398</v>
      </c>
      <c r="AZ63" s="1918"/>
      <c r="BA63" s="190">
        <v>1</v>
      </c>
      <c r="BB63" s="152" t="s">
        <v>285</v>
      </c>
    </row>
    <row r="64" spans="1:54" ht="31.5" customHeight="1" thickBot="1">
      <c r="B64" s="141"/>
      <c r="C64" s="1861" t="s">
        <v>287</v>
      </c>
      <c r="D64" s="1918"/>
      <c r="E64" s="137">
        <v>14</v>
      </c>
      <c r="F64" s="148" t="s">
        <v>285</v>
      </c>
      <c r="G64" s="131"/>
      <c r="H64" s="145"/>
      <c r="I64" s="1772" t="s">
        <v>307</v>
      </c>
      <c r="J64" s="1828"/>
      <c r="K64" s="5">
        <v>6</v>
      </c>
      <c r="L64" s="148" t="s">
        <v>285</v>
      </c>
      <c r="M64" s="131"/>
      <c r="N64" s="145"/>
      <c r="O64" s="1828" t="s">
        <v>327</v>
      </c>
      <c r="P64" s="1828"/>
      <c r="Q64" s="5">
        <v>14</v>
      </c>
      <c r="R64" s="148" t="s">
        <v>285</v>
      </c>
      <c r="S64" s="131"/>
      <c r="T64" s="146"/>
      <c r="U64" s="8"/>
      <c r="V64" s="8"/>
      <c r="W64" s="8"/>
      <c r="X64" s="143"/>
      <c r="Z64" s="146"/>
      <c r="AA64" s="8"/>
      <c r="AB64" s="8"/>
      <c r="AC64" s="8"/>
      <c r="AD64" s="143"/>
      <c r="AF64" s="146"/>
      <c r="AG64" s="8"/>
      <c r="AH64" s="8"/>
      <c r="AI64" s="8"/>
      <c r="AJ64" s="143"/>
      <c r="AL64" s="146"/>
      <c r="AM64" s="8"/>
      <c r="AN64" s="8"/>
      <c r="AO64" s="8"/>
      <c r="AP64" s="143"/>
      <c r="AR64" s="146"/>
      <c r="AS64" s="8"/>
      <c r="AT64" s="8"/>
      <c r="AU64" s="8"/>
      <c r="AV64" s="143"/>
      <c r="AX64" s="166"/>
      <c r="AY64" s="2326" t="s">
        <v>401</v>
      </c>
      <c r="AZ64" s="2326"/>
      <c r="BA64" s="191">
        <v>10</v>
      </c>
      <c r="BB64" s="224" t="s">
        <v>285</v>
      </c>
    </row>
    <row r="65" spans="1:54" ht="31.5" customHeight="1">
      <c r="B65" s="141"/>
      <c r="C65" s="1861" t="s">
        <v>288</v>
      </c>
      <c r="D65" s="1918"/>
      <c r="E65" s="137">
        <v>14</v>
      </c>
      <c r="F65" s="148" t="s">
        <v>285</v>
      </c>
      <c r="G65" s="131"/>
      <c r="H65" s="145"/>
      <c r="I65" s="1772" t="s">
        <v>311</v>
      </c>
      <c r="J65" s="1828"/>
      <c r="K65" s="5">
        <v>8</v>
      </c>
      <c r="L65" s="148" t="s">
        <v>285</v>
      </c>
      <c r="M65" s="131"/>
      <c r="N65" s="145"/>
      <c r="O65" s="1828" t="s">
        <v>329</v>
      </c>
      <c r="P65" s="1828"/>
      <c r="Q65" s="5">
        <v>46</v>
      </c>
      <c r="R65" s="148" t="s">
        <v>285</v>
      </c>
      <c r="S65" s="131"/>
      <c r="T65" s="146"/>
      <c r="U65" s="8"/>
      <c r="V65" s="8"/>
      <c r="W65" s="8"/>
      <c r="X65" s="143"/>
      <c r="Z65" s="146"/>
      <c r="AA65" s="8"/>
      <c r="AB65" s="8"/>
      <c r="AC65" s="8"/>
      <c r="AD65" s="143"/>
      <c r="AF65" s="146"/>
      <c r="AG65" s="8"/>
      <c r="AH65" s="8"/>
      <c r="AI65" s="8"/>
      <c r="AJ65" s="143"/>
      <c r="AL65" s="146"/>
      <c r="AM65" s="8"/>
      <c r="AN65" s="8"/>
      <c r="AO65" s="8"/>
      <c r="AP65" s="143"/>
      <c r="AR65" s="146"/>
      <c r="AS65" s="8"/>
      <c r="AT65" s="8"/>
      <c r="AU65" s="8"/>
      <c r="AV65" s="143"/>
      <c r="AX65" s="146"/>
      <c r="AY65" s="8"/>
      <c r="AZ65" s="8"/>
      <c r="BA65" s="8"/>
      <c r="BB65" s="143"/>
    </row>
    <row r="66" spans="1:54" ht="31.5" customHeight="1" thickBot="1">
      <c r="B66" s="161"/>
      <c r="C66" s="2503" t="s">
        <v>292</v>
      </c>
      <c r="D66" s="2341"/>
      <c r="E66" s="162">
        <v>3</v>
      </c>
      <c r="F66" s="163" t="s">
        <v>285</v>
      </c>
      <c r="G66" s="131"/>
      <c r="H66" s="145"/>
      <c r="I66" s="1772" t="s">
        <v>319</v>
      </c>
      <c r="J66" s="1828"/>
      <c r="K66" s="5">
        <v>1</v>
      </c>
      <c r="L66" s="148" t="s">
        <v>285</v>
      </c>
      <c r="M66" s="131"/>
      <c r="N66" s="166"/>
      <c r="O66" s="2493" t="s">
        <v>325</v>
      </c>
      <c r="P66" s="2493"/>
      <c r="Q66" s="167">
        <v>1</v>
      </c>
      <c r="R66" s="163" t="s">
        <v>285</v>
      </c>
      <c r="S66" s="131"/>
      <c r="T66" s="146"/>
      <c r="U66" s="8"/>
      <c r="V66" s="8"/>
      <c r="W66" s="8"/>
      <c r="X66" s="143"/>
      <c r="Z66" s="146"/>
      <c r="AA66" s="8"/>
      <c r="AB66" s="8"/>
      <c r="AC66" s="8"/>
      <c r="AD66" s="143"/>
      <c r="AF66" s="146"/>
      <c r="AG66" s="8"/>
      <c r="AH66" s="8"/>
      <c r="AI66" s="8"/>
      <c r="AJ66" s="143"/>
      <c r="AL66" s="146"/>
      <c r="AM66" s="8"/>
      <c r="AN66" s="8"/>
      <c r="AO66" s="8"/>
      <c r="AP66" s="143"/>
      <c r="AR66" s="146"/>
      <c r="AS66" s="8"/>
      <c r="AT66" s="8"/>
      <c r="AU66" s="8"/>
      <c r="AV66" s="143"/>
      <c r="AX66" s="146"/>
      <c r="AY66" s="8"/>
      <c r="AZ66" s="8"/>
      <c r="BA66" s="8"/>
      <c r="BB66" s="143"/>
    </row>
    <row r="67" spans="1:54" ht="31.5" customHeight="1">
      <c r="B67" s="142"/>
      <c r="C67" s="131"/>
      <c r="D67" s="132"/>
      <c r="E67" s="132"/>
      <c r="F67" s="150"/>
      <c r="G67" s="131"/>
      <c r="H67" s="145"/>
      <c r="I67" s="1772" t="s">
        <v>317</v>
      </c>
      <c r="J67" s="1828"/>
      <c r="K67" s="5">
        <v>1</v>
      </c>
      <c r="L67" s="148" t="s">
        <v>285</v>
      </c>
      <c r="M67" s="131"/>
      <c r="N67" s="146"/>
      <c r="O67" s="8"/>
      <c r="P67" s="8"/>
      <c r="Q67" s="8"/>
      <c r="R67" s="143"/>
      <c r="T67" s="146"/>
      <c r="U67" s="8"/>
      <c r="V67" s="8"/>
      <c r="W67" s="8"/>
      <c r="X67" s="143"/>
      <c r="Z67" s="146"/>
      <c r="AA67" s="8"/>
      <c r="AB67" s="8"/>
      <c r="AC67" s="8"/>
      <c r="AD67" s="143"/>
      <c r="AF67" s="146"/>
      <c r="AG67" s="8"/>
      <c r="AH67" s="8"/>
      <c r="AI67" s="8"/>
      <c r="AJ67" s="143"/>
      <c r="AL67" s="146"/>
      <c r="AM67" s="8"/>
      <c r="AN67" s="8"/>
      <c r="AO67" s="8"/>
      <c r="AP67" s="143"/>
      <c r="AR67" s="146"/>
      <c r="AS67" s="8"/>
      <c r="AT67" s="8"/>
      <c r="AU67" s="8"/>
      <c r="AV67" s="143"/>
      <c r="AX67" s="146"/>
      <c r="AY67" s="8"/>
      <c r="AZ67" s="8"/>
      <c r="BA67" s="8"/>
      <c r="BB67" s="143"/>
    </row>
    <row r="68" spans="1:54" ht="31.5" customHeight="1">
      <c r="B68" s="142"/>
      <c r="C68" s="131"/>
      <c r="D68" s="132"/>
      <c r="E68" s="132"/>
      <c r="F68" s="150"/>
      <c r="G68" s="131"/>
      <c r="H68" s="145"/>
      <c r="I68" s="1772" t="s">
        <v>320</v>
      </c>
      <c r="J68" s="1828"/>
      <c r="K68" s="5">
        <v>1</v>
      </c>
      <c r="L68" s="148" t="s">
        <v>285</v>
      </c>
      <c r="M68" s="131"/>
      <c r="N68" s="146"/>
      <c r="O68" s="8"/>
      <c r="P68" s="8"/>
      <c r="Q68" s="8"/>
      <c r="R68" s="143"/>
      <c r="T68" s="146"/>
      <c r="U68" s="8"/>
      <c r="V68" s="8"/>
      <c r="W68" s="8"/>
      <c r="X68" s="143"/>
      <c r="Z68" s="146"/>
      <c r="AA68" s="8"/>
      <c r="AB68" s="8"/>
      <c r="AC68" s="8"/>
      <c r="AD68" s="143"/>
      <c r="AF68" s="146"/>
      <c r="AG68" s="8"/>
      <c r="AH68" s="8"/>
      <c r="AI68" s="8"/>
      <c r="AJ68" s="143"/>
      <c r="AL68" s="146"/>
      <c r="AM68" s="8"/>
      <c r="AN68" s="8"/>
      <c r="AO68" s="8"/>
      <c r="AP68" s="143"/>
      <c r="AR68" s="146"/>
      <c r="AS68" s="8"/>
      <c r="AT68" s="8"/>
      <c r="AU68" s="8"/>
      <c r="AV68" s="143"/>
      <c r="AX68" s="146"/>
      <c r="AY68" s="8"/>
      <c r="AZ68" s="8"/>
      <c r="BA68" s="8"/>
      <c r="BB68" s="143"/>
    </row>
    <row r="69" spans="1:54" ht="31.5" customHeight="1" thickBot="1">
      <c r="B69" s="142"/>
      <c r="C69" s="131"/>
      <c r="D69" s="132"/>
      <c r="E69" s="132"/>
      <c r="F69" s="150"/>
      <c r="G69" s="131"/>
      <c r="H69" s="166"/>
      <c r="I69" s="2515" t="s">
        <v>306</v>
      </c>
      <c r="J69" s="2515"/>
      <c r="K69" s="167">
        <v>24</v>
      </c>
      <c r="L69" s="163" t="s">
        <v>285</v>
      </c>
      <c r="M69" s="131"/>
      <c r="N69" s="146"/>
      <c r="O69" s="8"/>
      <c r="P69" s="8"/>
      <c r="Q69" s="8"/>
      <c r="R69" s="143"/>
      <c r="T69" s="146"/>
      <c r="U69" s="8"/>
      <c r="V69" s="8"/>
      <c r="W69" s="8"/>
      <c r="X69" s="143"/>
      <c r="Z69" s="146"/>
      <c r="AA69" s="8"/>
      <c r="AB69" s="8"/>
      <c r="AC69" s="8"/>
      <c r="AD69" s="143"/>
      <c r="AF69" s="146"/>
      <c r="AG69" s="8"/>
      <c r="AH69" s="8"/>
      <c r="AI69" s="8"/>
      <c r="AJ69" s="143"/>
      <c r="AL69" s="146"/>
      <c r="AM69" s="8"/>
      <c r="AN69" s="8"/>
      <c r="AO69" s="8"/>
      <c r="AP69" s="143"/>
      <c r="AR69" s="146"/>
      <c r="AS69" s="8"/>
      <c r="AT69" s="8"/>
      <c r="AU69" s="8"/>
      <c r="AV69" s="143"/>
      <c r="AX69" s="146"/>
      <c r="AY69" s="8"/>
      <c r="AZ69" s="8"/>
      <c r="BA69" s="8"/>
      <c r="BB69" s="143"/>
    </row>
    <row r="70" spans="1:54" ht="31.5" customHeight="1" thickBot="1">
      <c r="B70" s="142"/>
      <c r="C70" s="131"/>
      <c r="D70" s="132"/>
      <c r="E70" s="132"/>
      <c r="F70" s="150"/>
      <c r="G70" s="131"/>
      <c r="H70" s="146"/>
      <c r="I70" s="8"/>
      <c r="J70" s="8"/>
      <c r="K70" s="8"/>
      <c r="L70" s="143"/>
      <c r="M70" s="8"/>
      <c r="N70" s="146"/>
      <c r="O70" s="8"/>
      <c r="P70" s="8"/>
      <c r="Q70" s="8"/>
      <c r="R70" s="143"/>
      <c r="T70" s="146"/>
      <c r="U70" s="8"/>
      <c r="V70" s="8"/>
      <c r="W70" s="8"/>
      <c r="X70" s="143"/>
      <c r="Z70" s="146"/>
      <c r="AA70" s="8"/>
      <c r="AB70" s="8"/>
      <c r="AC70" s="8"/>
      <c r="AD70" s="143"/>
      <c r="AF70" s="146"/>
      <c r="AG70" s="8"/>
      <c r="AH70" s="8"/>
      <c r="AI70" s="8"/>
      <c r="AJ70" s="143"/>
      <c r="AL70" s="146"/>
      <c r="AM70" s="8"/>
      <c r="AN70" s="8"/>
      <c r="AO70" s="8"/>
      <c r="AP70" s="143"/>
      <c r="AR70" s="146"/>
      <c r="AS70" s="8"/>
      <c r="AT70" s="8"/>
      <c r="AU70" s="8"/>
      <c r="AV70" s="143"/>
      <c r="AX70" s="146"/>
      <c r="AY70" s="8"/>
      <c r="AZ70" s="8"/>
      <c r="BA70" s="8"/>
      <c r="BB70" s="143"/>
    </row>
    <row r="71" spans="1:54" ht="31.5" customHeight="1" thickBot="1">
      <c r="A71" s="128" t="s">
        <v>303</v>
      </c>
      <c r="B71" s="158"/>
      <c r="C71" s="2502" t="s">
        <v>284</v>
      </c>
      <c r="D71" s="2502"/>
      <c r="E71" s="159">
        <v>5</v>
      </c>
      <c r="F71" s="160" t="s">
        <v>285</v>
      </c>
      <c r="G71" s="131"/>
      <c r="H71" s="164"/>
      <c r="I71" s="2498" t="s">
        <v>310</v>
      </c>
      <c r="J71" s="2094"/>
      <c r="K71" s="165">
        <v>42</v>
      </c>
      <c r="L71" s="160" t="s">
        <v>285</v>
      </c>
      <c r="M71" s="131"/>
      <c r="N71" s="164"/>
      <c r="O71" s="2494" t="s">
        <v>324</v>
      </c>
      <c r="P71" s="2495"/>
      <c r="Q71" s="165">
        <v>21</v>
      </c>
      <c r="R71" s="160" t="s">
        <v>285</v>
      </c>
      <c r="S71" s="131"/>
      <c r="T71" s="164"/>
      <c r="U71" s="2494" t="s">
        <v>333</v>
      </c>
      <c r="V71" s="2495"/>
      <c r="W71" s="165">
        <v>21</v>
      </c>
      <c r="X71" s="160" t="s">
        <v>285</v>
      </c>
      <c r="Y71" s="131"/>
      <c r="Z71" s="171" t="s">
        <v>336</v>
      </c>
      <c r="AA71" s="2473" t="s">
        <v>336</v>
      </c>
      <c r="AB71" s="2474"/>
      <c r="AC71" s="172" t="s">
        <v>336</v>
      </c>
      <c r="AD71" s="173" t="s">
        <v>336</v>
      </c>
      <c r="AF71" s="171" t="s">
        <v>336</v>
      </c>
      <c r="AG71" s="2473" t="s">
        <v>336</v>
      </c>
      <c r="AH71" s="2474"/>
      <c r="AI71" s="172" t="s">
        <v>336</v>
      </c>
      <c r="AJ71" s="173" t="s">
        <v>336</v>
      </c>
      <c r="AL71" s="171" t="s">
        <v>336</v>
      </c>
      <c r="AM71" s="2473" t="s">
        <v>336</v>
      </c>
      <c r="AN71" s="2474"/>
      <c r="AO71" s="172" t="s">
        <v>336</v>
      </c>
      <c r="AP71" s="173" t="s">
        <v>336</v>
      </c>
      <c r="AR71" s="171" t="s">
        <v>336</v>
      </c>
      <c r="AS71" s="2473" t="s">
        <v>336</v>
      </c>
      <c r="AT71" s="2474"/>
      <c r="AU71" s="172" t="s">
        <v>336</v>
      </c>
      <c r="AV71" s="173" t="s">
        <v>336</v>
      </c>
      <c r="AX71" s="164"/>
      <c r="AY71" s="2351" t="s">
        <v>399</v>
      </c>
      <c r="AZ71" s="2351"/>
      <c r="BA71" s="193">
        <v>3</v>
      </c>
      <c r="BB71" s="182" t="s">
        <v>285</v>
      </c>
    </row>
    <row r="72" spans="1:54" ht="31.5" customHeight="1" thickBot="1">
      <c r="B72" s="141"/>
      <c r="C72" s="1861" t="s">
        <v>289</v>
      </c>
      <c r="D72" s="1918"/>
      <c r="E72" s="137">
        <v>42</v>
      </c>
      <c r="F72" s="148" t="s">
        <v>285</v>
      </c>
      <c r="G72" s="131"/>
      <c r="H72" s="145"/>
      <c r="I72" s="1772" t="s">
        <v>308</v>
      </c>
      <c r="J72" s="1828"/>
      <c r="K72" s="5">
        <v>60</v>
      </c>
      <c r="L72" s="152" t="s">
        <v>285</v>
      </c>
      <c r="M72" s="187"/>
      <c r="N72" s="145"/>
      <c r="O72" s="1961" t="s">
        <v>323</v>
      </c>
      <c r="P72" s="1963"/>
      <c r="Q72" s="5">
        <v>21</v>
      </c>
      <c r="R72" s="148" t="s">
        <v>285</v>
      </c>
      <c r="S72" s="131"/>
      <c r="T72" s="166"/>
      <c r="U72" s="2496" t="s">
        <v>334</v>
      </c>
      <c r="V72" s="2497"/>
      <c r="W72" s="167">
        <v>3</v>
      </c>
      <c r="X72" s="163" t="s">
        <v>285</v>
      </c>
      <c r="Y72" s="131"/>
      <c r="Z72" s="146"/>
      <c r="AA72" s="8"/>
      <c r="AB72" s="8"/>
      <c r="AC72" s="8"/>
      <c r="AD72" s="143"/>
      <c r="AF72" s="146"/>
      <c r="AG72" s="8"/>
      <c r="AH72" s="8"/>
      <c r="AI72" s="8"/>
      <c r="AJ72" s="143"/>
      <c r="AL72" s="146"/>
      <c r="AM72" s="8"/>
      <c r="AN72" s="8"/>
      <c r="AO72" s="8"/>
      <c r="AP72" s="143"/>
      <c r="AR72" s="146"/>
      <c r="AS72" s="8"/>
      <c r="AT72" s="8"/>
      <c r="AU72" s="8"/>
      <c r="AV72" s="143"/>
      <c r="AX72" s="145"/>
      <c r="AY72" s="1918" t="s">
        <v>400</v>
      </c>
      <c r="AZ72" s="1918"/>
      <c r="BA72" s="190">
        <v>7</v>
      </c>
      <c r="BB72" s="152" t="s">
        <v>285</v>
      </c>
    </row>
    <row r="73" spans="1:54" ht="31.5" customHeight="1" thickBot="1">
      <c r="B73" s="141"/>
      <c r="C73" s="1861" t="s">
        <v>291</v>
      </c>
      <c r="D73" s="1918"/>
      <c r="E73" s="137">
        <v>2</v>
      </c>
      <c r="F73" s="148" t="s">
        <v>285</v>
      </c>
      <c r="G73" s="131"/>
      <c r="H73" s="145"/>
      <c r="I73" s="1772" t="s">
        <v>314</v>
      </c>
      <c r="J73" s="1828"/>
      <c r="K73" s="5">
        <v>2</v>
      </c>
      <c r="L73" s="152" t="s">
        <v>285</v>
      </c>
      <c r="M73" s="187"/>
      <c r="N73" s="145"/>
      <c r="O73" s="1961" t="s">
        <v>326</v>
      </c>
      <c r="P73" s="1963"/>
      <c r="Q73" s="5">
        <v>21</v>
      </c>
      <c r="R73" s="148" t="s">
        <v>285</v>
      </c>
      <c r="S73" s="131"/>
      <c r="T73" s="146"/>
      <c r="U73" s="8"/>
      <c r="V73" s="8"/>
      <c r="W73" s="8"/>
      <c r="X73" s="143"/>
      <c r="Z73" s="146"/>
      <c r="AA73" s="8"/>
      <c r="AB73" s="8"/>
      <c r="AC73" s="8"/>
      <c r="AD73" s="143"/>
      <c r="AF73" s="146"/>
      <c r="AG73" s="8"/>
      <c r="AH73" s="8"/>
      <c r="AI73" s="8"/>
      <c r="AJ73" s="143"/>
      <c r="AL73" s="146"/>
      <c r="AM73" s="8"/>
      <c r="AN73" s="8"/>
      <c r="AO73" s="8"/>
      <c r="AP73" s="143"/>
      <c r="AR73" s="146"/>
      <c r="AS73" s="8"/>
      <c r="AT73" s="8"/>
      <c r="AU73" s="8"/>
      <c r="AV73" s="143"/>
      <c r="AX73" s="166"/>
      <c r="AY73" s="2326" t="s">
        <v>401</v>
      </c>
      <c r="AZ73" s="2326"/>
      <c r="BA73" s="191">
        <v>16</v>
      </c>
      <c r="BB73" s="224" t="s">
        <v>285</v>
      </c>
    </row>
    <row r="74" spans="1:54" ht="31.5" customHeight="1">
      <c r="B74" s="141"/>
      <c r="C74" s="1861" t="s">
        <v>287</v>
      </c>
      <c r="D74" s="1918"/>
      <c r="E74" s="137">
        <v>21</v>
      </c>
      <c r="F74" s="148" t="s">
        <v>285</v>
      </c>
      <c r="G74" s="131"/>
      <c r="H74" s="145"/>
      <c r="I74" s="1772" t="s">
        <v>311</v>
      </c>
      <c r="J74" s="1828"/>
      <c r="K74" s="5">
        <v>1</v>
      </c>
      <c r="L74" s="148" t="s">
        <v>285</v>
      </c>
      <c r="M74" s="131"/>
      <c r="N74" s="145"/>
      <c r="O74" s="1961" t="s">
        <v>327</v>
      </c>
      <c r="P74" s="1963"/>
      <c r="Q74" s="5">
        <v>21</v>
      </c>
      <c r="R74" s="148" t="s">
        <v>285</v>
      </c>
      <c r="S74" s="131"/>
      <c r="T74" s="146"/>
      <c r="U74" s="8"/>
      <c r="V74" s="8"/>
      <c r="W74" s="8"/>
      <c r="X74" s="143"/>
      <c r="Z74" s="146"/>
      <c r="AA74" s="8"/>
      <c r="AB74" s="8"/>
      <c r="AC74" s="8"/>
      <c r="AD74" s="143"/>
      <c r="AF74" s="146"/>
      <c r="AG74" s="8"/>
      <c r="AH74" s="8"/>
      <c r="AI74" s="8"/>
      <c r="AJ74" s="143"/>
      <c r="AL74" s="146"/>
      <c r="AM74" s="8"/>
      <c r="AN74" s="8"/>
      <c r="AO74" s="8"/>
      <c r="AP74" s="143"/>
      <c r="AR74" s="146"/>
      <c r="AS74" s="8"/>
      <c r="AT74" s="8"/>
      <c r="AU74" s="8"/>
      <c r="AV74" s="143"/>
      <c r="AX74" s="146"/>
      <c r="AY74" s="8"/>
      <c r="AZ74" s="8"/>
      <c r="BA74" s="8"/>
      <c r="BB74" s="143"/>
    </row>
    <row r="75" spans="1:54" ht="31.5" customHeight="1">
      <c r="B75" s="141"/>
      <c r="C75" s="1861" t="s">
        <v>288</v>
      </c>
      <c r="D75" s="1918"/>
      <c r="E75" s="137">
        <v>21</v>
      </c>
      <c r="F75" s="148" t="s">
        <v>285</v>
      </c>
      <c r="G75" s="131"/>
      <c r="H75" s="145"/>
      <c r="I75" s="1772" t="s">
        <v>320</v>
      </c>
      <c r="J75" s="1828"/>
      <c r="K75" s="5">
        <v>2</v>
      </c>
      <c r="L75" s="148" t="s">
        <v>285</v>
      </c>
      <c r="M75" s="131"/>
      <c r="N75" s="145"/>
      <c r="O75" s="1961" t="s">
        <v>329</v>
      </c>
      <c r="P75" s="1963"/>
      <c r="Q75" s="5">
        <v>1</v>
      </c>
      <c r="R75" s="148" t="s">
        <v>285</v>
      </c>
      <c r="S75" s="131"/>
      <c r="T75" s="146"/>
      <c r="U75" s="8"/>
      <c r="V75" s="8"/>
      <c r="W75" s="8"/>
      <c r="X75" s="143"/>
      <c r="Z75" s="146"/>
      <c r="AA75" s="8"/>
      <c r="AB75" s="8"/>
      <c r="AC75" s="8"/>
      <c r="AD75" s="143"/>
      <c r="AF75" s="146"/>
      <c r="AG75" s="8"/>
      <c r="AH75" s="8"/>
      <c r="AI75" s="8"/>
      <c r="AJ75" s="143"/>
      <c r="AL75" s="146"/>
      <c r="AM75" s="8"/>
      <c r="AN75" s="8"/>
      <c r="AO75" s="8"/>
      <c r="AP75" s="143"/>
      <c r="AR75" s="146"/>
      <c r="AS75" s="8"/>
      <c r="AT75" s="8"/>
      <c r="AU75" s="8"/>
      <c r="AV75" s="143"/>
      <c r="AX75" s="146"/>
      <c r="AY75" s="8"/>
      <c r="AZ75" s="8"/>
      <c r="BA75" s="8"/>
      <c r="BB75" s="143"/>
    </row>
    <row r="76" spans="1:54" ht="31.5" customHeight="1" thickBot="1">
      <c r="B76" s="161"/>
      <c r="C76" s="2503" t="s">
        <v>292</v>
      </c>
      <c r="D76" s="2341"/>
      <c r="E76" s="162">
        <v>3</v>
      </c>
      <c r="F76" s="163" t="s">
        <v>285</v>
      </c>
      <c r="G76" s="131"/>
      <c r="H76" s="145"/>
      <c r="I76" s="1772" t="s">
        <v>319</v>
      </c>
      <c r="J76" s="1828"/>
      <c r="K76" s="5">
        <v>1</v>
      </c>
      <c r="L76" s="148" t="s">
        <v>285</v>
      </c>
      <c r="M76" s="131"/>
      <c r="N76" s="166"/>
      <c r="O76" s="2496" t="s">
        <v>325</v>
      </c>
      <c r="P76" s="2497"/>
      <c r="Q76" s="167">
        <v>1</v>
      </c>
      <c r="R76" s="163" t="s">
        <v>285</v>
      </c>
      <c r="S76" s="131"/>
      <c r="T76" s="146"/>
      <c r="U76" s="8"/>
      <c r="V76" s="8"/>
      <c r="W76" s="8"/>
      <c r="X76" s="143"/>
      <c r="Z76" s="146"/>
      <c r="AA76" s="8"/>
      <c r="AB76" s="8"/>
      <c r="AC76" s="8"/>
      <c r="AD76" s="143"/>
      <c r="AF76" s="146"/>
      <c r="AG76" s="8"/>
      <c r="AH76" s="8"/>
      <c r="AI76" s="8"/>
      <c r="AJ76" s="143"/>
      <c r="AL76" s="146"/>
      <c r="AM76" s="8"/>
      <c r="AN76" s="8"/>
      <c r="AO76" s="8"/>
      <c r="AP76" s="143"/>
      <c r="AR76" s="146"/>
      <c r="AS76" s="8"/>
      <c r="AT76" s="8"/>
      <c r="AU76" s="8"/>
      <c r="AV76" s="143"/>
      <c r="AX76" s="146"/>
      <c r="AY76" s="8"/>
      <c r="AZ76" s="8"/>
      <c r="BA76" s="8"/>
      <c r="BB76" s="143"/>
    </row>
    <row r="77" spans="1:54" ht="31.5" customHeight="1">
      <c r="B77" s="142"/>
      <c r="C77" s="131"/>
      <c r="D77" s="132"/>
      <c r="E77" s="132"/>
      <c r="F77" s="150"/>
      <c r="G77" s="131"/>
      <c r="H77" s="145"/>
      <c r="I77" s="1772" t="s">
        <v>318</v>
      </c>
      <c r="J77" s="1828"/>
      <c r="K77" s="5">
        <v>1</v>
      </c>
      <c r="L77" s="152" t="s">
        <v>285</v>
      </c>
      <c r="M77" s="187"/>
      <c r="N77" s="146"/>
      <c r="O77" s="8"/>
      <c r="P77" s="8"/>
      <c r="Q77" s="8"/>
      <c r="R77" s="143"/>
      <c r="T77" s="146"/>
      <c r="U77" s="8"/>
      <c r="V77" s="8"/>
      <c r="W77" s="8"/>
      <c r="X77" s="143"/>
      <c r="Z77" s="146"/>
      <c r="AA77" s="8"/>
      <c r="AB77" s="8"/>
      <c r="AC77" s="8"/>
      <c r="AD77" s="143"/>
      <c r="AF77" s="146"/>
      <c r="AG77" s="8"/>
      <c r="AH77" s="8"/>
      <c r="AI77" s="8"/>
      <c r="AJ77" s="143"/>
      <c r="AL77" s="146"/>
      <c r="AM77" s="8"/>
      <c r="AN77" s="8"/>
      <c r="AO77" s="8"/>
      <c r="AP77" s="143"/>
      <c r="AR77" s="146"/>
      <c r="AS77" s="8"/>
      <c r="AT77" s="8"/>
      <c r="AU77" s="8"/>
      <c r="AV77" s="143"/>
      <c r="AX77" s="146"/>
      <c r="AY77" s="8"/>
      <c r="AZ77" s="8"/>
      <c r="BA77" s="8"/>
      <c r="BB77" s="143"/>
    </row>
    <row r="78" spans="1:54" ht="31.5" customHeight="1">
      <c r="B78" s="142"/>
      <c r="C78" s="131"/>
      <c r="D78" s="132"/>
      <c r="E78" s="132"/>
      <c r="F78" s="150"/>
      <c r="G78" s="131"/>
      <c r="H78" s="145"/>
      <c r="I78" s="1772" t="s">
        <v>309</v>
      </c>
      <c r="J78" s="1828"/>
      <c r="K78" s="5">
        <v>1</v>
      </c>
      <c r="L78" s="152" t="s">
        <v>285</v>
      </c>
      <c r="M78" s="187"/>
      <c r="N78" s="146"/>
      <c r="O78" s="8"/>
      <c r="P78" s="8"/>
      <c r="Q78" s="8"/>
      <c r="R78" s="143"/>
      <c r="T78" s="146"/>
      <c r="U78" s="8"/>
      <c r="V78" s="8"/>
      <c r="W78" s="8"/>
      <c r="X78" s="143"/>
      <c r="Z78" s="146"/>
      <c r="AA78" s="8"/>
      <c r="AB78" s="8"/>
      <c r="AC78" s="8"/>
      <c r="AD78" s="143"/>
      <c r="AF78" s="146"/>
      <c r="AG78" s="8"/>
      <c r="AH78" s="8"/>
      <c r="AI78" s="8"/>
      <c r="AJ78" s="143"/>
      <c r="AL78" s="146"/>
      <c r="AM78" s="8"/>
      <c r="AN78" s="8"/>
      <c r="AO78" s="8"/>
      <c r="AP78" s="143"/>
      <c r="AR78" s="146"/>
      <c r="AS78" s="8"/>
      <c r="AT78" s="8"/>
      <c r="AU78" s="8"/>
      <c r="AV78" s="143"/>
      <c r="AX78" s="146"/>
      <c r="AY78" s="8"/>
      <c r="AZ78" s="8"/>
      <c r="BA78" s="8"/>
      <c r="BB78" s="143"/>
    </row>
    <row r="79" spans="1:54" ht="31.5" customHeight="1" thickBot="1">
      <c r="B79" s="142"/>
      <c r="C79" s="131"/>
      <c r="D79" s="132"/>
      <c r="E79" s="132"/>
      <c r="F79" s="150"/>
      <c r="G79" s="131"/>
      <c r="H79" s="166"/>
      <c r="I79" s="2515" t="s">
        <v>306</v>
      </c>
      <c r="J79" s="2515"/>
      <c r="K79" s="167">
        <v>23</v>
      </c>
      <c r="L79" s="163" t="s">
        <v>285</v>
      </c>
      <c r="M79" s="131"/>
      <c r="N79" s="146"/>
      <c r="O79" s="8"/>
      <c r="P79" s="8"/>
      <c r="Q79" s="8"/>
      <c r="R79" s="143"/>
      <c r="T79" s="146"/>
      <c r="U79" s="8"/>
      <c r="V79" s="8"/>
      <c r="W79" s="8"/>
      <c r="X79" s="143"/>
      <c r="Z79" s="146"/>
      <c r="AA79" s="8"/>
      <c r="AB79" s="8"/>
      <c r="AC79" s="8"/>
      <c r="AD79" s="143"/>
      <c r="AF79" s="146"/>
      <c r="AG79" s="8"/>
      <c r="AH79" s="8"/>
      <c r="AI79" s="8"/>
      <c r="AJ79" s="143"/>
      <c r="AL79" s="146"/>
      <c r="AM79" s="8"/>
      <c r="AN79" s="8"/>
      <c r="AO79" s="8"/>
      <c r="AP79" s="143"/>
      <c r="AR79" s="146"/>
      <c r="AS79" s="8"/>
      <c r="AT79" s="8"/>
      <c r="AU79" s="8"/>
      <c r="AV79" s="143"/>
      <c r="AX79" s="146"/>
      <c r="AY79" s="8"/>
      <c r="AZ79" s="8"/>
      <c r="BA79" s="8"/>
      <c r="BB79" s="143"/>
    </row>
    <row r="80" spans="1:54" ht="31.5" customHeight="1" thickBot="1">
      <c r="B80" s="142"/>
      <c r="C80" s="131"/>
      <c r="D80" s="132"/>
      <c r="E80" s="132"/>
      <c r="F80" s="150"/>
      <c r="G80" s="131"/>
      <c r="H80" s="146"/>
      <c r="I80" s="8"/>
      <c r="J80" s="8"/>
      <c r="K80" s="8"/>
      <c r="L80" s="143"/>
      <c r="M80" s="8"/>
      <c r="N80" s="146"/>
      <c r="O80" s="8"/>
      <c r="P80" s="8"/>
      <c r="Q80" s="8"/>
      <c r="R80" s="143"/>
      <c r="T80" s="146"/>
      <c r="U80" s="8"/>
      <c r="V80" s="8"/>
      <c r="W80" s="8"/>
      <c r="X80" s="143"/>
      <c r="Z80" s="146"/>
      <c r="AA80" s="8"/>
      <c r="AB80" s="8"/>
      <c r="AC80" s="8"/>
      <c r="AD80" s="143"/>
      <c r="AF80" s="146"/>
      <c r="AG80" s="8"/>
      <c r="AH80" s="8"/>
      <c r="AI80" s="8"/>
      <c r="AJ80" s="143"/>
      <c r="AL80" s="146"/>
      <c r="AM80" s="8"/>
      <c r="AN80" s="8"/>
      <c r="AO80" s="8"/>
      <c r="AP80" s="143"/>
      <c r="AR80" s="146"/>
      <c r="AS80" s="8"/>
      <c r="AT80" s="8"/>
      <c r="AU80" s="8"/>
      <c r="AV80" s="143"/>
      <c r="AX80" s="146"/>
      <c r="AY80" s="8"/>
      <c r="AZ80" s="8"/>
      <c r="BA80" s="8"/>
      <c r="BB80" s="143"/>
    </row>
    <row r="81" spans="1:54" ht="32.25" customHeight="1" thickBot="1">
      <c r="A81" s="128" t="s">
        <v>304</v>
      </c>
      <c r="B81" s="158"/>
      <c r="C81" s="2502" t="s">
        <v>284</v>
      </c>
      <c r="D81" s="2502"/>
      <c r="E81" s="159">
        <v>5</v>
      </c>
      <c r="F81" s="160" t="s">
        <v>285</v>
      </c>
      <c r="G81" s="131"/>
      <c r="H81" s="164"/>
      <c r="I81" s="2498" t="s">
        <v>308</v>
      </c>
      <c r="J81" s="2094"/>
      <c r="K81" s="165">
        <v>60</v>
      </c>
      <c r="L81" s="182" t="s">
        <v>285</v>
      </c>
      <c r="M81" s="187"/>
      <c r="N81" s="164"/>
      <c r="O81" s="2094" t="s">
        <v>324</v>
      </c>
      <c r="P81" s="2094"/>
      <c r="Q81" s="165">
        <v>21</v>
      </c>
      <c r="R81" s="160" t="s">
        <v>285</v>
      </c>
      <c r="S81" s="131"/>
      <c r="T81" s="164"/>
      <c r="U81" s="2494" t="s">
        <v>333</v>
      </c>
      <c r="V81" s="2495"/>
      <c r="W81" s="165">
        <v>22</v>
      </c>
      <c r="X81" s="160" t="s">
        <v>285</v>
      </c>
      <c r="Y81" s="131"/>
      <c r="Z81" s="171" t="s">
        <v>336</v>
      </c>
      <c r="AA81" s="2473" t="s">
        <v>336</v>
      </c>
      <c r="AB81" s="2474"/>
      <c r="AC81" s="172" t="s">
        <v>336</v>
      </c>
      <c r="AD81" s="173" t="s">
        <v>336</v>
      </c>
      <c r="AF81" s="171" t="s">
        <v>336</v>
      </c>
      <c r="AG81" s="2473" t="s">
        <v>336</v>
      </c>
      <c r="AH81" s="2474"/>
      <c r="AI81" s="172" t="s">
        <v>336</v>
      </c>
      <c r="AJ81" s="173" t="s">
        <v>336</v>
      </c>
      <c r="AL81" s="171" t="s">
        <v>336</v>
      </c>
      <c r="AM81" s="2473" t="s">
        <v>336</v>
      </c>
      <c r="AN81" s="2474"/>
      <c r="AO81" s="172" t="s">
        <v>336</v>
      </c>
      <c r="AP81" s="173" t="s">
        <v>336</v>
      </c>
      <c r="AR81" s="171" t="s">
        <v>336</v>
      </c>
      <c r="AS81" s="2473" t="s">
        <v>336</v>
      </c>
      <c r="AT81" s="2474"/>
      <c r="AU81" s="172" t="s">
        <v>336</v>
      </c>
      <c r="AV81" s="173" t="s">
        <v>336</v>
      </c>
      <c r="AX81" s="164"/>
      <c r="AY81" s="2351" t="s">
        <v>399</v>
      </c>
      <c r="AZ81" s="2351"/>
      <c r="BA81" s="193">
        <v>3</v>
      </c>
      <c r="BB81" s="182" t="s">
        <v>285</v>
      </c>
    </row>
    <row r="82" spans="1:54" ht="32.25" customHeight="1" thickBot="1">
      <c r="B82" s="141"/>
      <c r="C82" s="1861" t="s">
        <v>289</v>
      </c>
      <c r="D82" s="1918"/>
      <c r="E82" s="137">
        <v>44</v>
      </c>
      <c r="F82" s="148" t="s">
        <v>285</v>
      </c>
      <c r="G82" s="131"/>
      <c r="H82" s="145"/>
      <c r="I82" s="1772" t="s">
        <v>310</v>
      </c>
      <c r="J82" s="1828"/>
      <c r="K82" s="5">
        <v>42</v>
      </c>
      <c r="L82" s="148" t="s">
        <v>285</v>
      </c>
      <c r="M82" s="131"/>
      <c r="N82" s="145"/>
      <c r="O82" s="1828" t="s">
        <v>323</v>
      </c>
      <c r="P82" s="1828"/>
      <c r="Q82" s="5">
        <v>21</v>
      </c>
      <c r="R82" s="148" t="s">
        <v>285</v>
      </c>
      <c r="S82" s="131"/>
      <c r="T82" s="166"/>
      <c r="U82" s="2496" t="s">
        <v>334</v>
      </c>
      <c r="V82" s="2497"/>
      <c r="W82" s="167">
        <v>3</v>
      </c>
      <c r="X82" s="163" t="s">
        <v>285</v>
      </c>
      <c r="Y82" s="131"/>
      <c r="Z82" s="146"/>
      <c r="AA82" s="8"/>
      <c r="AB82" s="8"/>
      <c r="AC82" s="8"/>
      <c r="AD82" s="143"/>
      <c r="AF82" s="146"/>
      <c r="AG82" s="8"/>
      <c r="AH82" s="8"/>
      <c r="AI82" s="8"/>
      <c r="AJ82" s="143"/>
      <c r="AL82" s="146"/>
      <c r="AM82" s="8"/>
      <c r="AN82" s="8"/>
      <c r="AO82" s="8"/>
      <c r="AP82" s="143"/>
      <c r="AR82" s="146"/>
      <c r="AS82" s="8"/>
      <c r="AT82" s="8"/>
      <c r="AU82" s="8"/>
      <c r="AV82" s="143"/>
      <c r="AX82" s="145"/>
      <c r="AY82" s="1918" t="s">
        <v>400</v>
      </c>
      <c r="AZ82" s="1918"/>
      <c r="BA82" s="190">
        <v>7</v>
      </c>
      <c r="BB82" s="152" t="s">
        <v>285</v>
      </c>
    </row>
    <row r="83" spans="1:54" ht="32.25" customHeight="1" thickBot="1">
      <c r="B83" s="141"/>
      <c r="C83" s="1861" t="s">
        <v>291</v>
      </c>
      <c r="D83" s="1918"/>
      <c r="E83" s="137">
        <v>2</v>
      </c>
      <c r="F83" s="148" t="s">
        <v>285</v>
      </c>
      <c r="G83" s="131"/>
      <c r="H83" s="145"/>
      <c r="I83" s="1772" t="s">
        <v>314</v>
      </c>
      <c r="J83" s="1828"/>
      <c r="K83" s="5">
        <v>2</v>
      </c>
      <c r="L83" s="152" t="s">
        <v>285</v>
      </c>
      <c r="M83" s="187"/>
      <c r="N83" s="145"/>
      <c r="O83" s="1828" t="s">
        <v>326</v>
      </c>
      <c r="P83" s="1828"/>
      <c r="Q83" s="5">
        <v>21</v>
      </c>
      <c r="R83" s="148" t="s">
        <v>285</v>
      </c>
      <c r="S83" s="131"/>
      <c r="T83" s="146"/>
      <c r="U83" s="8"/>
      <c r="V83" s="8"/>
      <c r="W83" s="8"/>
      <c r="X83" s="143"/>
      <c r="Z83" s="146"/>
      <c r="AA83" s="8"/>
      <c r="AB83" s="8"/>
      <c r="AC83" s="8"/>
      <c r="AD83" s="143"/>
      <c r="AF83" s="146"/>
      <c r="AG83" s="8"/>
      <c r="AH83" s="8"/>
      <c r="AI83" s="8"/>
      <c r="AJ83" s="143"/>
      <c r="AL83" s="146"/>
      <c r="AM83" s="8"/>
      <c r="AN83" s="8"/>
      <c r="AO83" s="8"/>
      <c r="AP83" s="143"/>
      <c r="AR83" s="146"/>
      <c r="AS83" s="8"/>
      <c r="AT83" s="8"/>
      <c r="AU83" s="8"/>
      <c r="AV83" s="143"/>
      <c r="AX83" s="166"/>
      <c r="AY83" s="2326" t="s">
        <v>401</v>
      </c>
      <c r="AZ83" s="2326"/>
      <c r="BA83" s="191">
        <v>16</v>
      </c>
      <c r="BB83" s="224" t="s">
        <v>285</v>
      </c>
    </row>
    <row r="84" spans="1:54" ht="32.25" customHeight="1">
      <c r="B84" s="141"/>
      <c r="C84" s="1861" t="s">
        <v>287</v>
      </c>
      <c r="D84" s="1918"/>
      <c r="E84" s="137">
        <v>21</v>
      </c>
      <c r="F84" s="148" t="s">
        <v>285</v>
      </c>
      <c r="G84" s="131"/>
      <c r="H84" s="145"/>
      <c r="I84" s="1772" t="s">
        <v>319</v>
      </c>
      <c r="J84" s="1828"/>
      <c r="K84" s="5">
        <v>1</v>
      </c>
      <c r="L84" s="148" t="s">
        <v>285</v>
      </c>
      <c r="M84" s="131"/>
      <c r="N84" s="145"/>
      <c r="O84" s="1828" t="s">
        <v>327</v>
      </c>
      <c r="P84" s="1828"/>
      <c r="Q84" s="5">
        <v>21</v>
      </c>
      <c r="R84" s="148" t="s">
        <v>285</v>
      </c>
      <c r="S84" s="131"/>
      <c r="T84" s="146"/>
      <c r="U84" s="8"/>
      <c r="V84" s="8"/>
      <c r="W84" s="8"/>
      <c r="X84" s="143"/>
      <c r="Z84" s="146"/>
      <c r="AA84" s="8"/>
      <c r="AB84" s="8"/>
      <c r="AC84" s="8"/>
      <c r="AD84" s="143"/>
      <c r="AF84" s="146"/>
      <c r="AG84" s="8"/>
      <c r="AH84" s="8"/>
      <c r="AI84" s="8"/>
      <c r="AJ84" s="143"/>
      <c r="AL84" s="146"/>
      <c r="AM84" s="8"/>
      <c r="AN84" s="8"/>
      <c r="AO84" s="8"/>
      <c r="AP84" s="143"/>
      <c r="AR84" s="146"/>
      <c r="AS84" s="8"/>
      <c r="AT84" s="8"/>
      <c r="AU84" s="8"/>
      <c r="AV84" s="143"/>
      <c r="AX84" s="146"/>
      <c r="AY84" s="8"/>
      <c r="AZ84" s="8"/>
      <c r="BA84" s="8"/>
      <c r="BB84" s="143"/>
    </row>
    <row r="85" spans="1:54" ht="32.25" customHeight="1">
      <c r="B85" s="141"/>
      <c r="C85" s="1861" t="s">
        <v>288</v>
      </c>
      <c r="D85" s="1918"/>
      <c r="E85" s="137">
        <v>21</v>
      </c>
      <c r="F85" s="148" t="s">
        <v>285</v>
      </c>
      <c r="G85" s="131"/>
      <c r="H85" s="145"/>
      <c r="I85" s="1772" t="s">
        <v>318</v>
      </c>
      <c r="J85" s="1828"/>
      <c r="K85" s="5">
        <v>1</v>
      </c>
      <c r="L85" s="152" t="s">
        <v>285</v>
      </c>
      <c r="M85" s="187"/>
      <c r="N85" s="145"/>
      <c r="O85" s="1828" t="s">
        <v>329</v>
      </c>
      <c r="P85" s="1828"/>
      <c r="Q85" s="5">
        <v>1</v>
      </c>
      <c r="R85" s="148" t="s">
        <v>285</v>
      </c>
      <c r="S85" s="131"/>
      <c r="T85" s="146"/>
      <c r="U85" s="8"/>
      <c r="V85" s="8"/>
      <c r="W85" s="8"/>
      <c r="X85" s="143"/>
      <c r="Z85" s="146"/>
      <c r="AA85" s="8"/>
      <c r="AB85" s="8"/>
      <c r="AC85" s="8"/>
      <c r="AD85" s="143"/>
      <c r="AF85" s="146"/>
      <c r="AG85" s="8"/>
      <c r="AH85" s="8"/>
      <c r="AI85" s="8"/>
      <c r="AJ85" s="143"/>
      <c r="AL85" s="146"/>
      <c r="AM85" s="8"/>
      <c r="AN85" s="8"/>
      <c r="AO85" s="8"/>
      <c r="AP85" s="143"/>
      <c r="AR85" s="146"/>
      <c r="AS85" s="8"/>
      <c r="AT85" s="8"/>
      <c r="AU85" s="8"/>
      <c r="AV85" s="143"/>
      <c r="AX85" s="146"/>
      <c r="AY85" s="8"/>
      <c r="AZ85" s="8"/>
      <c r="BA85" s="8"/>
      <c r="BB85" s="143"/>
    </row>
    <row r="86" spans="1:54" ht="32.25" customHeight="1" thickBot="1">
      <c r="B86" s="161"/>
      <c r="C86" s="2503" t="s">
        <v>292</v>
      </c>
      <c r="D86" s="2341"/>
      <c r="E86" s="162">
        <v>3</v>
      </c>
      <c r="F86" s="163" t="s">
        <v>285</v>
      </c>
      <c r="G86" s="131"/>
      <c r="H86" s="145"/>
      <c r="I86" s="1772" t="s">
        <v>309</v>
      </c>
      <c r="J86" s="1828"/>
      <c r="K86" s="5">
        <v>1</v>
      </c>
      <c r="L86" s="152" t="s">
        <v>285</v>
      </c>
      <c r="M86" s="187"/>
      <c r="N86" s="166"/>
      <c r="O86" s="2493" t="s">
        <v>325</v>
      </c>
      <c r="P86" s="2493"/>
      <c r="Q86" s="167">
        <v>1</v>
      </c>
      <c r="R86" s="163" t="s">
        <v>285</v>
      </c>
      <c r="S86" s="131"/>
      <c r="T86" s="146"/>
      <c r="U86" s="8"/>
      <c r="V86" s="8"/>
      <c r="W86" s="8"/>
      <c r="X86" s="143"/>
      <c r="Z86" s="146"/>
      <c r="AA86" s="8"/>
      <c r="AB86" s="8"/>
      <c r="AC86" s="8"/>
      <c r="AD86" s="143"/>
      <c r="AF86" s="146"/>
      <c r="AG86" s="8"/>
      <c r="AH86" s="8"/>
      <c r="AI86" s="8"/>
      <c r="AJ86" s="143"/>
      <c r="AL86" s="146"/>
      <c r="AM86" s="8"/>
      <c r="AN86" s="8"/>
      <c r="AO86" s="8"/>
      <c r="AP86" s="143"/>
      <c r="AR86" s="146"/>
      <c r="AS86" s="8"/>
      <c r="AT86" s="8"/>
      <c r="AU86" s="8"/>
      <c r="AV86" s="143"/>
      <c r="AX86" s="146"/>
      <c r="AY86" s="8"/>
      <c r="AZ86" s="8"/>
      <c r="BA86" s="8"/>
      <c r="BB86" s="143"/>
    </row>
    <row r="87" spans="1:54" ht="32.25" customHeight="1">
      <c r="B87" s="142"/>
      <c r="C87" s="131"/>
      <c r="D87" s="132"/>
      <c r="E87" s="132"/>
      <c r="F87" s="150"/>
      <c r="G87" s="131"/>
      <c r="H87" s="145"/>
      <c r="I87" s="1772" t="s">
        <v>320</v>
      </c>
      <c r="J87" s="1828"/>
      <c r="K87" s="5">
        <v>2</v>
      </c>
      <c r="L87" s="148" t="s">
        <v>285</v>
      </c>
      <c r="M87" s="131"/>
      <c r="N87" s="146"/>
      <c r="O87" s="8"/>
      <c r="P87" s="8"/>
      <c r="Q87" s="8"/>
      <c r="R87" s="143"/>
      <c r="T87" s="146"/>
      <c r="U87" s="8"/>
      <c r="V87" s="8"/>
      <c r="W87" s="8"/>
      <c r="X87" s="143"/>
      <c r="Z87" s="146"/>
      <c r="AA87" s="8"/>
      <c r="AB87" s="8"/>
      <c r="AC87" s="8"/>
      <c r="AD87" s="143"/>
      <c r="AF87" s="146"/>
      <c r="AG87" s="8"/>
      <c r="AH87" s="8"/>
      <c r="AI87" s="8"/>
      <c r="AJ87" s="143"/>
      <c r="AL87" s="146"/>
      <c r="AM87" s="8"/>
      <c r="AN87" s="8"/>
      <c r="AO87" s="8"/>
      <c r="AP87" s="143"/>
      <c r="AR87" s="146"/>
      <c r="AS87" s="8"/>
      <c r="AT87" s="8"/>
      <c r="AU87" s="8"/>
      <c r="AV87" s="143"/>
      <c r="AX87" s="146"/>
      <c r="AY87" s="8"/>
      <c r="AZ87" s="8"/>
      <c r="BA87" s="8"/>
      <c r="BB87" s="143"/>
    </row>
    <row r="88" spans="1:54" ht="32.25" customHeight="1">
      <c r="B88" s="142"/>
      <c r="C88" s="131"/>
      <c r="D88" s="132"/>
      <c r="E88" s="132"/>
      <c r="F88" s="150"/>
      <c r="G88" s="131"/>
      <c r="H88" s="145"/>
      <c r="I88" s="1772" t="s">
        <v>311</v>
      </c>
      <c r="J88" s="1828"/>
      <c r="K88" s="5">
        <v>1</v>
      </c>
      <c r="L88" s="148" t="s">
        <v>285</v>
      </c>
      <c r="M88" s="131"/>
      <c r="N88" s="146"/>
      <c r="O88" s="8"/>
      <c r="P88" s="8"/>
      <c r="Q88" s="8"/>
      <c r="R88" s="143"/>
      <c r="T88" s="146"/>
      <c r="U88" s="8"/>
      <c r="V88" s="8"/>
      <c r="W88" s="8"/>
      <c r="X88" s="143"/>
      <c r="Z88" s="146"/>
      <c r="AA88" s="8"/>
      <c r="AB88" s="8"/>
      <c r="AC88" s="8"/>
      <c r="AD88" s="143"/>
      <c r="AF88" s="146"/>
      <c r="AG88" s="8"/>
      <c r="AH88" s="8"/>
      <c r="AI88" s="8"/>
      <c r="AJ88" s="143"/>
      <c r="AL88" s="146"/>
      <c r="AM88" s="8"/>
      <c r="AN88" s="8"/>
      <c r="AO88" s="8"/>
      <c r="AP88" s="143"/>
      <c r="AR88" s="146"/>
      <c r="AS88" s="8"/>
      <c r="AT88" s="8"/>
      <c r="AU88" s="8"/>
      <c r="AV88" s="143"/>
      <c r="AX88" s="146"/>
      <c r="AY88" s="8"/>
      <c r="AZ88" s="8"/>
      <c r="BA88" s="8"/>
      <c r="BB88" s="143"/>
    </row>
    <row r="89" spans="1:54" ht="32.25" customHeight="1" thickBot="1">
      <c r="B89" s="142"/>
      <c r="C89" s="131"/>
      <c r="D89" s="132"/>
      <c r="E89" s="132"/>
      <c r="F89" s="150"/>
      <c r="G89" s="131"/>
      <c r="H89" s="166"/>
      <c r="I89" s="2515" t="s">
        <v>306</v>
      </c>
      <c r="J89" s="2515"/>
      <c r="K89" s="167">
        <v>23</v>
      </c>
      <c r="L89" s="163" t="s">
        <v>285</v>
      </c>
      <c r="M89" s="131"/>
      <c r="N89" s="146"/>
      <c r="O89" s="8"/>
      <c r="P89" s="8"/>
      <c r="Q89" s="8"/>
      <c r="R89" s="143"/>
      <c r="T89" s="146"/>
      <c r="U89" s="8"/>
      <c r="V89" s="8"/>
      <c r="W89" s="8"/>
      <c r="X89" s="143"/>
      <c r="Z89" s="146"/>
      <c r="AA89" s="8"/>
      <c r="AB89" s="8"/>
      <c r="AC89" s="8"/>
      <c r="AD89" s="143"/>
      <c r="AF89" s="146"/>
      <c r="AG89" s="8"/>
      <c r="AH89" s="8"/>
      <c r="AI89" s="8"/>
      <c r="AJ89" s="143"/>
      <c r="AL89" s="146"/>
      <c r="AM89" s="8"/>
      <c r="AN89" s="8"/>
      <c r="AO89" s="8"/>
      <c r="AP89" s="143"/>
      <c r="AR89" s="146"/>
      <c r="AS89" s="8"/>
      <c r="AT89" s="8"/>
      <c r="AU89" s="8"/>
      <c r="AV89" s="143"/>
      <c r="AX89" s="146"/>
      <c r="AY89" s="8"/>
      <c r="AZ89" s="8"/>
      <c r="BA89" s="8"/>
      <c r="BB89" s="143"/>
    </row>
    <row r="90" spans="1:54" ht="32.25" customHeight="1" thickBot="1">
      <c r="B90" s="142"/>
      <c r="C90" s="131"/>
      <c r="D90" s="132"/>
      <c r="E90" s="132"/>
      <c r="F90" s="150"/>
      <c r="G90" s="131"/>
      <c r="H90" s="146"/>
      <c r="I90" s="8"/>
      <c r="J90" s="8"/>
      <c r="K90" s="8"/>
      <c r="L90" s="143"/>
      <c r="M90" s="8"/>
      <c r="N90" s="146"/>
      <c r="O90" s="8"/>
      <c r="P90" s="8"/>
      <c r="Q90" s="8"/>
      <c r="R90" s="143"/>
      <c r="T90" s="146"/>
      <c r="U90" s="8"/>
      <c r="V90" s="8"/>
      <c r="W90" s="8"/>
      <c r="X90" s="143"/>
      <c r="Z90" s="146"/>
      <c r="AA90" s="8"/>
      <c r="AB90" s="8"/>
      <c r="AC90" s="8"/>
      <c r="AD90" s="143"/>
      <c r="AF90" s="146"/>
      <c r="AG90" s="8"/>
      <c r="AH90" s="8"/>
      <c r="AI90" s="8"/>
      <c r="AJ90" s="143"/>
      <c r="AL90" s="146"/>
      <c r="AM90" s="8"/>
      <c r="AN90" s="8"/>
      <c r="AO90" s="8"/>
      <c r="AP90" s="143"/>
      <c r="AR90" s="146"/>
      <c r="AS90" s="8"/>
      <c r="AT90" s="8"/>
      <c r="AU90" s="8"/>
      <c r="AV90" s="143"/>
      <c r="AX90" s="146"/>
      <c r="AY90" s="8"/>
      <c r="AZ90" s="8"/>
      <c r="BA90" s="8"/>
      <c r="BB90" s="143"/>
    </row>
    <row r="91" spans="1:54" ht="32.25" customHeight="1" thickBot="1">
      <c r="A91" s="128" t="s">
        <v>305</v>
      </c>
      <c r="B91" s="158"/>
      <c r="C91" s="2508" t="s">
        <v>284</v>
      </c>
      <c r="D91" s="2509"/>
      <c r="E91" s="159">
        <v>15</v>
      </c>
      <c r="F91" s="160" t="s">
        <v>285</v>
      </c>
      <c r="G91" s="131"/>
      <c r="H91" s="145"/>
      <c r="I91" s="1772" t="s">
        <v>307</v>
      </c>
      <c r="J91" s="1828"/>
      <c r="K91" s="5">
        <v>30</v>
      </c>
      <c r="L91" s="148" t="s">
        <v>285</v>
      </c>
      <c r="M91" s="131"/>
      <c r="N91" s="164"/>
      <c r="O91" s="2094" t="s">
        <v>324</v>
      </c>
      <c r="P91" s="2094"/>
      <c r="Q91" s="165">
        <v>20</v>
      </c>
      <c r="R91" s="160" t="s">
        <v>285</v>
      </c>
      <c r="S91" s="131"/>
      <c r="T91" s="164"/>
      <c r="U91" s="2494" t="s">
        <v>333</v>
      </c>
      <c r="V91" s="2495"/>
      <c r="W91" s="165">
        <v>36</v>
      </c>
      <c r="X91" s="160" t="s">
        <v>285</v>
      </c>
      <c r="Y91" s="131"/>
      <c r="Z91" s="171" t="s">
        <v>336</v>
      </c>
      <c r="AA91" s="2473" t="s">
        <v>336</v>
      </c>
      <c r="AB91" s="2474"/>
      <c r="AC91" s="172" t="s">
        <v>336</v>
      </c>
      <c r="AD91" s="173" t="s">
        <v>336</v>
      </c>
      <c r="AF91" s="171" t="s">
        <v>336</v>
      </c>
      <c r="AG91" s="2473" t="s">
        <v>336</v>
      </c>
      <c r="AH91" s="2474"/>
      <c r="AI91" s="172" t="s">
        <v>336</v>
      </c>
      <c r="AJ91" s="173" t="s">
        <v>336</v>
      </c>
      <c r="AL91" s="171" t="s">
        <v>336</v>
      </c>
      <c r="AM91" s="2473" t="s">
        <v>336</v>
      </c>
      <c r="AN91" s="2474"/>
      <c r="AO91" s="172" t="s">
        <v>336</v>
      </c>
      <c r="AP91" s="173" t="s">
        <v>336</v>
      </c>
      <c r="AR91" s="171" t="s">
        <v>336</v>
      </c>
      <c r="AS91" s="2473" t="s">
        <v>336</v>
      </c>
      <c r="AT91" s="2474"/>
      <c r="AU91" s="172" t="s">
        <v>336</v>
      </c>
      <c r="AV91" s="173" t="s">
        <v>336</v>
      </c>
      <c r="AX91" s="164"/>
      <c r="AY91" s="2351" t="s">
        <v>399</v>
      </c>
      <c r="AZ91" s="2351"/>
      <c r="BA91" s="193">
        <v>3</v>
      </c>
      <c r="BB91" s="182" t="s">
        <v>285</v>
      </c>
    </row>
    <row r="92" spans="1:54" ht="32.25" customHeight="1" thickBot="1">
      <c r="B92" s="141"/>
      <c r="C92" s="1861" t="s">
        <v>289</v>
      </c>
      <c r="D92" s="1918"/>
      <c r="E92" s="137">
        <v>69</v>
      </c>
      <c r="F92" s="148" t="s">
        <v>285</v>
      </c>
      <c r="G92" s="131"/>
      <c r="H92" s="145"/>
      <c r="I92" s="1772" t="s">
        <v>308</v>
      </c>
      <c r="J92" s="1828"/>
      <c r="K92" s="5">
        <v>9</v>
      </c>
      <c r="L92" s="152" t="s">
        <v>285</v>
      </c>
      <c r="M92" s="187"/>
      <c r="N92" s="145"/>
      <c r="O92" s="1828" t="s">
        <v>323</v>
      </c>
      <c r="P92" s="1828"/>
      <c r="Q92" s="5">
        <v>25</v>
      </c>
      <c r="R92" s="148" t="s">
        <v>285</v>
      </c>
      <c r="S92" s="131"/>
      <c r="T92" s="166"/>
      <c r="U92" s="2496" t="s">
        <v>334</v>
      </c>
      <c r="V92" s="2497"/>
      <c r="W92" s="167">
        <v>3</v>
      </c>
      <c r="X92" s="163" t="s">
        <v>285</v>
      </c>
      <c r="Y92" s="131"/>
      <c r="Z92" s="146"/>
      <c r="AA92" s="8"/>
      <c r="AB92" s="8"/>
      <c r="AC92" s="8"/>
      <c r="AD92" s="143"/>
      <c r="AF92" s="146"/>
      <c r="AG92" s="8"/>
      <c r="AH92" s="8"/>
      <c r="AI92" s="8"/>
      <c r="AJ92" s="143"/>
      <c r="AL92" s="146"/>
      <c r="AM92" s="8"/>
      <c r="AN92" s="8"/>
      <c r="AO92" s="8"/>
      <c r="AP92" s="143"/>
      <c r="AR92" s="146"/>
      <c r="AS92" s="8"/>
      <c r="AT92" s="8"/>
      <c r="AU92" s="8"/>
      <c r="AV92" s="143"/>
      <c r="AX92" s="145"/>
      <c r="AY92" s="1918" t="s">
        <v>400</v>
      </c>
      <c r="AZ92" s="1918"/>
      <c r="BA92" s="190">
        <v>1</v>
      </c>
      <c r="BB92" s="152" t="s">
        <v>285</v>
      </c>
    </row>
    <row r="93" spans="1:54" ht="32.25" customHeight="1" thickBot="1">
      <c r="B93" s="141"/>
      <c r="C93" s="1861" t="s">
        <v>291</v>
      </c>
      <c r="D93" s="1918"/>
      <c r="E93" s="137">
        <v>7</v>
      </c>
      <c r="F93" s="148" t="s">
        <v>285</v>
      </c>
      <c r="G93" s="131"/>
      <c r="H93" s="145"/>
      <c r="I93" s="1772" t="s">
        <v>311</v>
      </c>
      <c r="J93" s="1828"/>
      <c r="K93" s="5">
        <v>6</v>
      </c>
      <c r="L93" s="148" t="s">
        <v>285</v>
      </c>
      <c r="M93" s="131"/>
      <c r="N93" s="145"/>
      <c r="O93" s="1828" t="s">
        <v>326</v>
      </c>
      <c r="P93" s="1828"/>
      <c r="Q93" s="5">
        <v>25</v>
      </c>
      <c r="R93" s="148" t="s">
        <v>285</v>
      </c>
      <c r="S93" s="131"/>
      <c r="T93" s="146"/>
      <c r="U93" s="8"/>
      <c r="V93" s="8"/>
      <c r="W93" s="8"/>
      <c r="X93" s="143"/>
      <c r="Z93" s="146"/>
      <c r="AA93" s="8"/>
      <c r="AB93" s="8"/>
      <c r="AC93" s="8"/>
      <c r="AD93" s="143"/>
      <c r="AF93" s="146"/>
      <c r="AG93" s="8"/>
      <c r="AH93" s="8"/>
      <c r="AI93" s="8"/>
      <c r="AJ93" s="143"/>
      <c r="AL93" s="146"/>
      <c r="AM93" s="8"/>
      <c r="AN93" s="8"/>
      <c r="AO93" s="8"/>
      <c r="AP93" s="143"/>
      <c r="AR93" s="146"/>
      <c r="AS93" s="8"/>
      <c r="AT93" s="8"/>
      <c r="AU93" s="8"/>
      <c r="AV93" s="143"/>
      <c r="AX93" s="166"/>
      <c r="AY93" s="2326" t="s">
        <v>401</v>
      </c>
      <c r="AZ93" s="2326"/>
      <c r="BA93" s="191">
        <v>31</v>
      </c>
      <c r="BB93" s="224" t="s">
        <v>285</v>
      </c>
    </row>
    <row r="94" spans="1:54" ht="32.25" customHeight="1">
      <c r="B94" s="141"/>
      <c r="C94" s="1861" t="s">
        <v>287</v>
      </c>
      <c r="D94" s="1918"/>
      <c r="E94" s="137">
        <v>25</v>
      </c>
      <c r="F94" s="148" t="s">
        <v>285</v>
      </c>
      <c r="G94" s="131"/>
      <c r="H94" s="145"/>
      <c r="I94" s="1772" t="s">
        <v>310</v>
      </c>
      <c r="J94" s="1828"/>
      <c r="K94" s="5">
        <v>40</v>
      </c>
      <c r="L94" s="148" t="s">
        <v>285</v>
      </c>
      <c r="M94" s="131"/>
      <c r="N94" s="145"/>
      <c r="O94" s="1828" t="s">
        <v>327</v>
      </c>
      <c r="P94" s="1828"/>
      <c r="Q94" s="5">
        <v>25</v>
      </c>
      <c r="R94" s="148" t="s">
        <v>285</v>
      </c>
      <c r="S94" s="131"/>
      <c r="T94" s="146"/>
      <c r="U94" s="8"/>
      <c r="V94" s="8"/>
      <c r="W94" s="8"/>
      <c r="X94" s="143"/>
      <c r="Z94" s="146"/>
      <c r="AA94" s="8"/>
      <c r="AB94" s="8"/>
      <c r="AC94" s="8"/>
      <c r="AD94" s="143"/>
      <c r="AF94" s="146"/>
      <c r="AG94" s="8"/>
      <c r="AH94" s="8"/>
      <c r="AI94" s="8"/>
      <c r="AJ94" s="143"/>
      <c r="AL94" s="146"/>
      <c r="AM94" s="8"/>
      <c r="AN94" s="8"/>
      <c r="AO94" s="8"/>
      <c r="AP94" s="143"/>
      <c r="AR94" s="146"/>
      <c r="AS94" s="8"/>
      <c r="AT94" s="8"/>
      <c r="AU94" s="8"/>
      <c r="AV94" s="143"/>
      <c r="AX94" s="146"/>
      <c r="AY94" s="8"/>
      <c r="AZ94" s="8"/>
      <c r="BA94" s="8"/>
      <c r="BB94" s="143"/>
    </row>
    <row r="95" spans="1:54" ht="32.25" customHeight="1">
      <c r="B95" s="141"/>
      <c r="C95" s="1861" t="s">
        <v>288</v>
      </c>
      <c r="D95" s="1918"/>
      <c r="E95" s="137">
        <v>27</v>
      </c>
      <c r="F95" s="148" t="s">
        <v>285</v>
      </c>
      <c r="G95" s="131"/>
      <c r="H95" s="145"/>
      <c r="I95" s="1772" t="s">
        <v>319</v>
      </c>
      <c r="J95" s="1828"/>
      <c r="K95" s="5">
        <v>1</v>
      </c>
      <c r="L95" s="148" t="s">
        <v>285</v>
      </c>
      <c r="M95" s="131"/>
      <c r="N95" s="145"/>
      <c r="O95" s="1828" t="s">
        <v>329</v>
      </c>
      <c r="P95" s="1828"/>
      <c r="Q95" s="5">
        <v>1</v>
      </c>
      <c r="R95" s="148" t="s">
        <v>285</v>
      </c>
      <c r="S95" s="131"/>
      <c r="T95" s="146"/>
      <c r="U95" s="8"/>
      <c r="V95" s="8"/>
      <c r="W95" s="8"/>
      <c r="X95" s="143"/>
      <c r="Z95" s="146"/>
      <c r="AA95" s="8"/>
      <c r="AB95" s="8"/>
      <c r="AC95" s="8"/>
      <c r="AD95" s="143"/>
      <c r="AF95" s="146"/>
      <c r="AG95" s="8"/>
      <c r="AH95" s="8"/>
      <c r="AI95" s="8"/>
      <c r="AJ95" s="143"/>
      <c r="AL95" s="146"/>
      <c r="AM95" s="8"/>
      <c r="AN95" s="8"/>
      <c r="AO95" s="8"/>
      <c r="AP95" s="143"/>
      <c r="AR95" s="146"/>
      <c r="AS95" s="8"/>
      <c r="AT95" s="8"/>
      <c r="AU95" s="8"/>
      <c r="AV95" s="143"/>
      <c r="AX95" s="146"/>
      <c r="AY95" s="8"/>
      <c r="AZ95" s="8"/>
      <c r="BA95" s="8"/>
      <c r="BB95" s="143"/>
    </row>
    <row r="96" spans="1:54" ht="32.25" customHeight="1" thickBot="1">
      <c r="B96" s="141"/>
      <c r="C96" s="1861" t="s">
        <v>292</v>
      </c>
      <c r="D96" s="1918"/>
      <c r="E96" s="137">
        <v>3</v>
      </c>
      <c r="F96" s="148" t="s">
        <v>285</v>
      </c>
      <c r="G96" s="131"/>
      <c r="H96" s="145"/>
      <c r="I96" s="1772" t="s">
        <v>312</v>
      </c>
      <c r="J96" s="1828"/>
      <c r="K96" s="5">
        <v>29</v>
      </c>
      <c r="L96" s="148" t="s">
        <v>285</v>
      </c>
      <c r="M96" s="131"/>
      <c r="N96" s="166"/>
      <c r="O96" s="2493" t="s">
        <v>325</v>
      </c>
      <c r="P96" s="2493"/>
      <c r="Q96" s="167">
        <v>8</v>
      </c>
      <c r="R96" s="163" t="s">
        <v>285</v>
      </c>
      <c r="S96" s="131"/>
      <c r="T96" s="146"/>
      <c r="U96" s="8"/>
      <c r="V96" s="8"/>
      <c r="W96" s="8"/>
      <c r="X96" s="143"/>
      <c r="Z96" s="146"/>
      <c r="AA96" s="8"/>
      <c r="AB96" s="8"/>
      <c r="AC96" s="8"/>
      <c r="AD96" s="143"/>
      <c r="AF96" s="146"/>
      <c r="AG96" s="8"/>
      <c r="AH96" s="8"/>
      <c r="AI96" s="8"/>
      <c r="AJ96" s="143"/>
      <c r="AL96" s="146"/>
      <c r="AM96" s="8"/>
      <c r="AN96" s="8"/>
      <c r="AO96" s="8"/>
      <c r="AP96" s="143"/>
      <c r="AR96" s="146"/>
      <c r="AS96" s="8"/>
      <c r="AT96" s="8"/>
      <c r="AU96" s="8"/>
      <c r="AV96" s="143"/>
      <c r="AX96" s="146"/>
      <c r="AY96" s="8"/>
      <c r="AZ96" s="8"/>
      <c r="BA96" s="8"/>
      <c r="BB96" s="143"/>
    </row>
    <row r="97" spans="1:54" ht="32.25" customHeight="1" thickBot="1">
      <c r="B97" s="161"/>
      <c r="C97" s="2503" t="s">
        <v>286</v>
      </c>
      <c r="D97" s="2341"/>
      <c r="E97" s="162">
        <v>2</v>
      </c>
      <c r="F97" s="163" t="s">
        <v>285</v>
      </c>
      <c r="G97" s="131"/>
      <c r="H97" s="145"/>
      <c r="I97" s="1772" t="s">
        <v>320</v>
      </c>
      <c r="J97" s="1828"/>
      <c r="K97" s="5">
        <v>2</v>
      </c>
      <c r="L97" s="148" t="s">
        <v>285</v>
      </c>
      <c r="M97" s="131"/>
      <c r="N97" s="146"/>
      <c r="O97" s="8"/>
      <c r="P97" s="8"/>
      <c r="Q97" s="8"/>
      <c r="R97" s="143"/>
      <c r="T97" s="146"/>
      <c r="U97" s="8"/>
      <c r="V97" s="8"/>
      <c r="W97" s="8"/>
      <c r="X97" s="143"/>
      <c r="Z97" s="146"/>
      <c r="AA97" s="8"/>
      <c r="AB97" s="8"/>
      <c r="AC97" s="8"/>
      <c r="AD97" s="143"/>
      <c r="AF97" s="146"/>
      <c r="AG97" s="8"/>
      <c r="AH97" s="8"/>
      <c r="AI97" s="8"/>
      <c r="AJ97" s="143"/>
      <c r="AL97" s="146"/>
      <c r="AM97" s="8"/>
      <c r="AN97" s="8"/>
      <c r="AO97" s="8"/>
      <c r="AP97" s="143"/>
      <c r="AR97" s="146"/>
      <c r="AS97" s="8"/>
      <c r="AT97" s="8"/>
      <c r="AU97" s="8"/>
      <c r="AV97" s="143"/>
      <c r="AX97" s="146"/>
      <c r="AY97" s="8"/>
      <c r="AZ97" s="8"/>
      <c r="BA97" s="8"/>
      <c r="BB97" s="143"/>
    </row>
    <row r="98" spans="1:54" ht="32.25" customHeight="1">
      <c r="B98" s="146"/>
      <c r="C98" s="8"/>
      <c r="D98" s="8"/>
      <c r="E98" s="8"/>
      <c r="F98" s="143"/>
      <c r="G98" s="8"/>
      <c r="H98" s="145"/>
      <c r="I98" s="1772" t="s">
        <v>306</v>
      </c>
      <c r="J98" s="1772"/>
      <c r="K98" s="5">
        <v>23</v>
      </c>
      <c r="L98" s="148" t="s">
        <v>285</v>
      </c>
      <c r="M98" s="131"/>
      <c r="N98" s="146"/>
      <c r="O98" s="8"/>
      <c r="P98" s="8"/>
      <c r="Q98" s="8"/>
      <c r="R98" s="143"/>
      <c r="T98" s="146"/>
      <c r="U98" s="8"/>
      <c r="V98" s="8"/>
      <c r="W98" s="8"/>
      <c r="X98" s="143"/>
      <c r="Z98" s="146"/>
      <c r="AA98" s="8"/>
      <c r="AB98" s="8"/>
      <c r="AC98" s="8"/>
      <c r="AD98" s="143"/>
      <c r="AF98" s="146"/>
      <c r="AG98" s="8"/>
      <c r="AH98" s="8"/>
      <c r="AI98" s="8"/>
      <c r="AJ98" s="143"/>
      <c r="AL98" s="146"/>
      <c r="AM98" s="8"/>
      <c r="AN98" s="8"/>
      <c r="AO98" s="8"/>
      <c r="AP98" s="143"/>
      <c r="AR98" s="146"/>
      <c r="AS98" s="8"/>
      <c r="AT98" s="8"/>
      <c r="AU98" s="8"/>
      <c r="AV98" s="143"/>
      <c r="AX98" s="146"/>
      <c r="AY98" s="8"/>
      <c r="AZ98" s="8"/>
      <c r="BA98" s="8"/>
      <c r="BB98" s="143"/>
    </row>
    <row r="99" spans="1:54" ht="32.25" customHeight="1" thickBot="1">
      <c r="B99" s="146"/>
      <c r="C99" s="8"/>
      <c r="D99" s="8"/>
      <c r="E99" s="8"/>
      <c r="F99" s="143"/>
      <c r="G99" s="8"/>
      <c r="H99" s="146"/>
      <c r="I99" s="8"/>
      <c r="J99" s="8"/>
      <c r="K99" s="8"/>
      <c r="L99" s="143"/>
      <c r="M99" s="8"/>
      <c r="N99" s="146"/>
      <c r="O99" s="8"/>
      <c r="P99" s="8"/>
      <c r="Q99" s="8"/>
      <c r="R99" s="143"/>
      <c r="T99" s="146"/>
      <c r="U99" s="8"/>
      <c r="V99" s="8"/>
      <c r="W99" s="8"/>
      <c r="X99" s="143"/>
      <c r="Z99" s="146"/>
      <c r="AA99" s="8"/>
      <c r="AB99" s="8"/>
      <c r="AC99" s="8"/>
      <c r="AD99" s="143"/>
      <c r="AF99" s="146"/>
      <c r="AG99" s="8"/>
      <c r="AH99" s="8"/>
      <c r="AI99" s="8"/>
      <c r="AJ99" s="143"/>
      <c r="AL99" s="146"/>
      <c r="AM99" s="8"/>
      <c r="AN99" s="8"/>
      <c r="AO99" s="8"/>
      <c r="AP99" s="143"/>
      <c r="AR99" s="146"/>
      <c r="AS99" s="8"/>
      <c r="AT99" s="8"/>
      <c r="AU99" s="8"/>
      <c r="AV99" s="143"/>
      <c r="AX99" s="146"/>
      <c r="AY99" s="8"/>
      <c r="AZ99" s="8"/>
      <c r="BA99" s="8"/>
      <c r="BB99" s="143"/>
    </row>
    <row r="100" spans="1:54" ht="43.5" customHeight="1" thickBot="1">
      <c r="A100" s="128" t="s">
        <v>335</v>
      </c>
      <c r="B100" s="171" t="s">
        <v>336</v>
      </c>
      <c r="C100" s="2473" t="s">
        <v>336</v>
      </c>
      <c r="D100" s="2474"/>
      <c r="E100" s="172" t="s">
        <v>336</v>
      </c>
      <c r="F100" s="183" t="s">
        <v>336</v>
      </c>
      <c r="G100" s="187"/>
      <c r="H100" s="171" t="s">
        <v>336</v>
      </c>
      <c r="I100" s="2473" t="s">
        <v>336</v>
      </c>
      <c r="J100" s="2474"/>
      <c r="K100" s="172" t="s">
        <v>336</v>
      </c>
      <c r="L100" s="183" t="s">
        <v>336</v>
      </c>
      <c r="M100" s="187"/>
      <c r="N100" s="171" t="s">
        <v>336</v>
      </c>
      <c r="O100" s="2473" t="s">
        <v>336</v>
      </c>
      <c r="P100" s="2474"/>
      <c r="Q100" s="172" t="s">
        <v>336</v>
      </c>
      <c r="R100" s="183" t="s">
        <v>336</v>
      </c>
      <c r="S100" s="187"/>
      <c r="T100" s="164"/>
      <c r="U100" s="2494" t="s">
        <v>333</v>
      </c>
      <c r="V100" s="2495"/>
      <c r="W100" s="165">
        <v>3</v>
      </c>
      <c r="X100" s="160" t="s">
        <v>285</v>
      </c>
      <c r="Y100" s="131"/>
      <c r="Z100" s="171" t="s">
        <v>336</v>
      </c>
      <c r="AA100" s="2473" t="s">
        <v>336</v>
      </c>
      <c r="AB100" s="2474"/>
      <c r="AC100" s="172" t="s">
        <v>336</v>
      </c>
      <c r="AD100" s="173" t="s">
        <v>336</v>
      </c>
      <c r="AF100" s="177" t="s">
        <v>336</v>
      </c>
      <c r="AG100" s="2334" t="s">
        <v>346</v>
      </c>
      <c r="AH100" s="2334"/>
      <c r="AI100" s="178">
        <v>9</v>
      </c>
      <c r="AJ100" s="160" t="s">
        <v>285</v>
      </c>
      <c r="AL100" s="171" t="s">
        <v>336</v>
      </c>
      <c r="AM100" s="2473" t="s">
        <v>336</v>
      </c>
      <c r="AN100" s="2474"/>
      <c r="AO100" s="172" t="s">
        <v>336</v>
      </c>
      <c r="AP100" s="173" t="s">
        <v>336</v>
      </c>
      <c r="AR100" s="171" t="s">
        <v>336</v>
      </c>
      <c r="AS100" s="2473" t="s">
        <v>336</v>
      </c>
      <c r="AT100" s="2474"/>
      <c r="AU100" s="172" t="s">
        <v>336</v>
      </c>
      <c r="AV100" s="173" t="s">
        <v>336</v>
      </c>
      <c r="AX100" s="171" t="s">
        <v>336</v>
      </c>
      <c r="AY100" s="2473" t="s">
        <v>336</v>
      </c>
      <c r="AZ100" s="2474"/>
      <c r="BA100" s="172" t="s">
        <v>336</v>
      </c>
      <c r="BB100" s="173" t="s">
        <v>336</v>
      </c>
    </row>
    <row r="101" spans="1:54" ht="43.5" customHeight="1" thickBot="1">
      <c r="T101" s="166"/>
      <c r="U101" s="2496" t="s">
        <v>334</v>
      </c>
      <c r="V101" s="2497"/>
      <c r="W101" s="167">
        <v>4</v>
      </c>
      <c r="X101" s="163" t="s">
        <v>285</v>
      </c>
      <c r="Y101" s="131"/>
      <c r="AF101" s="180" t="s">
        <v>336</v>
      </c>
      <c r="AG101" s="2325" t="s">
        <v>347</v>
      </c>
      <c r="AH101" s="2325"/>
      <c r="AI101" s="5">
        <v>8</v>
      </c>
      <c r="AJ101" s="148" t="s">
        <v>285</v>
      </c>
    </row>
    <row r="102" spans="1:54" ht="43.5" customHeight="1">
      <c r="AF102" s="180" t="s">
        <v>336</v>
      </c>
      <c r="AG102" s="2325" t="s">
        <v>348</v>
      </c>
      <c r="AH102" s="2325"/>
      <c r="AI102" s="5">
        <v>252</v>
      </c>
      <c r="AJ102" s="148" t="s">
        <v>345</v>
      </c>
    </row>
    <row r="103" spans="1:54" ht="43.5" customHeight="1">
      <c r="AF103" s="180" t="s">
        <v>336</v>
      </c>
      <c r="AG103" s="2325" t="s">
        <v>349</v>
      </c>
      <c r="AH103" s="2325"/>
      <c r="AI103" s="5">
        <v>2</v>
      </c>
      <c r="AJ103" s="148" t="s">
        <v>285</v>
      </c>
    </row>
    <row r="104" spans="1:54" ht="53.25" customHeight="1">
      <c r="AF104" s="180" t="s">
        <v>336</v>
      </c>
      <c r="AG104" s="2325" t="s">
        <v>350</v>
      </c>
      <c r="AH104" s="2325"/>
      <c r="AI104" s="5">
        <v>252</v>
      </c>
      <c r="AJ104" s="148" t="s">
        <v>285</v>
      </c>
    </row>
    <row r="105" spans="1:54" ht="43.5" customHeight="1">
      <c r="AF105" s="180" t="s">
        <v>336</v>
      </c>
      <c r="AG105" s="2325" t="s">
        <v>351</v>
      </c>
      <c r="AH105" s="2325"/>
      <c r="AI105" s="5">
        <v>203</v>
      </c>
      <c r="AJ105" s="148" t="s">
        <v>285</v>
      </c>
    </row>
    <row r="106" spans="1:54" ht="53.25" customHeight="1">
      <c r="AF106" s="180" t="s">
        <v>336</v>
      </c>
      <c r="AG106" s="2325" t="s">
        <v>352</v>
      </c>
      <c r="AH106" s="2325"/>
      <c r="AI106" s="5">
        <v>6</v>
      </c>
      <c r="AJ106" s="148" t="s">
        <v>285</v>
      </c>
    </row>
    <row r="107" spans="1:54" ht="30" customHeight="1">
      <c r="AF107" s="180" t="s">
        <v>336</v>
      </c>
      <c r="AG107" s="2325" t="s">
        <v>353</v>
      </c>
      <c r="AH107" s="2325"/>
      <c r="AI107" s="189">
        <v>7</v>
      </c>
      <c r="AJ107" s="148" t="s">
        <v>285</v>
      </c>
    </row>
    <row r="108" spans="1:54" ht="27.75" customHeight="1">
      <c r="AF108" s="180" t="s">
        <v>336</v>
      </c>
      <c r="AG108" s="2325" t="s">
        <v>354</v>
      </c>
      <c r="AH108" s="2325"/>
      <c r="AI108" s="5">
        <v>14</v>
      </c>
      <c r="AJ108" s="148" t="s">
        <v>345</v>
      </c>
    </row>
    <row r="109" spans="1:54" ht="27.75" customHeight="1">
      <c r="AF109" s="180" t="s">
        <v>336</v>
      </c>
      <c r="AG109" s="2325" t="s">
        <v>355</v>
      </c>
      <c r="AH109" s="2325"/>
      <c r="AI109" s="5">
        <v>6</v>
      </c>
      <c r="AJ109" s="148" t="s">
        <v>285</v>
      </c>
    </row>
    <row r="110" spans="1:54" ht="18" customHeight="1">
      <c r="AF110" s="180" t="s">
        <v>336</v>
      </c>
      <c r="AG110" s="2325" t="s">
        <v>356</v>
      </c>
      <c r="AH110" s="2325"/>
      <c r="AI110" s="5">
        <v>6</v>
      </c>
      <c r="AJ110" s="148" t="s">
        <v>285</v>
      </c>
    </row>
    <row r="111" spans="1:54" ht="26.25" customHeight="1">
      <c r="AF111" s="180" t="s">
        <v>336</v>
      </c>
      <c r="AG111" s="2325" t="s">
        <v>341</v>
      </c>
      <c r="AH111" s="2325"/>
      <c r="AI111" s="5">
        <v>2</v>
      </c>
      <c r="AJ111" s="148" t="s">
        <v>285</v>
      </c>
    </row>
    <row r="112" spans="1:54" ht="29.25" customHeight="1">
      <c r="AF112" s="180" t="s">
        <v>336</v>
      </c>
      <c r="AG112" s="2325" t="s">
        <v>357</v>
      </c>
      <c r="AH112" s="2325"/>
      <c r="AI112" s="5">
        <v>186</v>
      </c>
      <c r="AJ112" s="148" t="s">
        <v>345</v>
      </c>
    </row>
    <row r="113" spans="1:54" ht="51.75" customHeight="1">
      <c r="AF113" s="180" t="s">
        <v>336</v>
      </c>
      <c r="AG113" s="2325" t="s">
        <v>362</v>
      </c>
      <c r="AH113" s="2325"/>
      <c r="AI113" s="5">
        <v>6</v>
      </c>
      <c r="AJ113" s="148" t="s">
        <v>285</v>
      </c>
    </row>
    <row r="114" spans="1:54" ht="16.5" customHeight="1">
      <c r="AF114" s="180" t="s">
        <v>336</v>
      </c>
      <c r="AG114" s="2325" t="s">
        <v>358</v>
      </c>
      <c r="AH114" s="2325"/>
      <c r="AI114" s="5">
        <v>186</v>
      </c>
      <c r="AJ114" s="148" t="s">
        <v>345</v>
      </c>
    </row>
    <row r="115" spans="1:54" ht="33" customHeight="1">
      <c r="AF115" s="180" t="s">
        <v>336</v>
      </c>
      <c r="AG115" s="2325" t="s">
        <v>359</v>
      </c>
      <c r="AH115" s="2325"/>
      <c r="AI115" s="5">
        <v>6</v>
      </c>
      <c r="AJ115" s="148" t="s">
        <v>285</v>
      </c>
    </row>
    <row r="116" spans="1:54" ht="50.25" customHeight="1">
      <c r="AF116" s="180" t="s">
        <v>336</v>
      </c>
      <c r="AG116" s="2325" t="s">
        <v>360</v>
      </c>
      <c r="AH116" s="2325"/>
      <c r="AI116" s="5">
        <v>1</v>
      </c>
      <c r="AJ116" s="148" t="s">
        <v>285</v>
      </c>
    </row>
    <row r="117" spans="1:54" ht="53.25" customHeight="1">
      <c r="AF117" s="180" t="s">
        <v>336</v>
      </c>
      <c r="AG117" s="2325" t="s">
        <v>361</v>
      </c>
      <c r="AH117" s="2325"/>
      <c r="AI117" s="5">
        <v>1</v>
      </c>
      <c r="AJ117" s="148" t="s">
        <v>285</v>
      </c>
    </row>
    <row r="118" spans="1:54" ht="24" customHeight="1" thickBot="1">
      <c r="AF118" s="147" t="s">
        <v>336</v>
      </c>
      <c r="AG118" s="2326" t="s">
        <v>363</v>
      </c>
      <c r="AH118" s="2326"/>
      <c r="AI118" s="167">
        <v>30</v>
      </c>
      <c r="AJ118" s="163" t="s">
        <v>285</v>
      </c>
    </row>
    <row r="119" spans="1:54" ht="13.5" thickBot="1"/>
    <row r="120" spans="1:54" ht="40.5" customHeight="1">
      <c r="A120" s="128" t="s">
        <v>47</v>
      </c>
      <c r="B120" s="548"/>
      <c r="C120" s="2502" t="s">
        <v>284</v>
      </c>
      <c r="D120" s="2502"/>
      <c r="E120" s="540">
        <f>E7+E28+E38+E51+E61+E71+E81+E91</f>
        <v>82</v>
      </c>
      <c r="F120" s="160" t="s">
        <v>285</v>
      </c>
      <c r="H120" s="145"/>
      <c r="I120" s="1772" t="s">
        <v>310</v>
      </c>
      <c r="J120" s="1828"/>
      <c r="K120" s="5">
        <f>K21+K10+K30+K55+K61+K71+K82+K94</f>
        <v>256</v>
      </c>
      <c r="L120" s="148" t="s">
        <v>285</v>
      </c>
      <c r="N120" s="164"/>
      <c r="O120" s="2494" t="s">
        <v>323</v>
      </c>
      <c r="P120" s="2495"/>
      <c r="Q120" s="165">
        <f>Q7+Q18+Q28+Q38+Q62+Q72+Q82+Q92</f>
        <v>137</v>
      </c>
      <c r="R120" s="160" t="s">
        <v>285</v>
      </c>
      <c r="T120" s="164"/>
      <c r="U120" s="2494" t="s">
        <v>333</v>
      </c>
      <c r="V120" s="2495"/>
      <c r="W120" s="165">
        <f>W91+W81+W71+W61+W51+W38+W28+W18+W7</f>
        <v>108</v>
      </c>
      <c r="X120" s="160" t="s">
        <v>285</v>
      </c>
      <c r="Z120" s="543" t="s">
        <v>336</v>
      </c>
      <c r="AA120" s="2516" t="s">
        <v>341</v>
      </c>
      <c r="AB120" s="2516"/>
      <c r="AC120" s="538">
        <v>2</v>
      </c>
      <c r="AD120" s="148" t="s">
        <v>285</v>
      </c>
      <c r="AL120" s="2327" t="s">
        <v>336</v>
      </c>
      <c r="AM120" s="2334" t="s">
        <v>392</v>
      </c>
      <c r="AN120" s="2491"/>
      <c r="AO120" s="212"/>
      <c r="AP120" s="2520" t="s">
        <v>285</v>
      </c>
      <c r="AR120" s="542"/>
      <c r="AS120" s="2325" t="s">
        <v>394</v>
      </c>
      <c r="AT120" s="2325"/>
      <c r="AU120" s="554">
        <v>1</v>
      </c>
      <c r="AV120" s="553" t="s">
        <v>285</v>
      </c>
      <c r="AX120" s="542"/>
      <c r="AY120" s="2334" t="s">
        <v>398</v>
      </c>
      <c r="AZ120" s="2334"/>
      <c r="BA120" s="541">
        <f>BA63+BA38+BA7</f>
        <v>5</v>
      </c>
      <c r="BB120" s="544" t="s">
        <v>285</v>
      </c>
    </row>
    <row r="121" spans="1:54" ht="40.5" customHeight="1">
      <c r="B121" s="549"/>
      <c r="C121" s="1861" t="s">
        <v>287</v>
      </c>
      <c r="D121" s="1918"/>
      <c r="E121" s="538">
        <f>E8+E18+E29+E39+E64+E74+E84+E94</f>
        <v>170</v>
      </c>
      <c r="F121" s="148" t="s">
        <v>285</v>
      </c>
      <c r="H121" s="145"/>
      <c r="I121" s="1772" t="s">
        <v>309</v>
      </c>
      <c r="J121" s="1828"/>
      <c r="K121" s="5">
        <f>K9+K42+K56+K78+K86</f>
        <v>11</v>
      </c>
      <c r="L121" s="148" t="s">
        <v>285</v>
      </c>
      <c r="N121" s="145"/>
      <c r="O121" s="1961" t="s">
        <v>328</v>
      </c>
      <c r="P121" s="1963"/>
      <c r="Q121" s="5">
        <f>Q8+Q41</f>
        <v>29</v>
      </c>
      <c r="R121" s="148" t="s">
        <v>285</v>
      </c>
      <c r="Z121" s="855"/>
      <c r="AA121" s="2516" t="s">
        <v>2194</v>
      </c>
      <c r="AB121" s="2516"/>
      <c r="AC121" s="854">
        <v>21</v>
      </c>
      <c r="AD121" s="148" t="s">
        <v>345</v>
      </c>
      <c r="AL121" s="2328"/>
      <c r="AM121" s="2325"/>
      <c r="AN121" s="2430"/>
      <c r="AO121" s="631">
        <v>1</v>
      </c>
      <c r="AP121" s="2521"/>
      <c r="AR121" s="2336"/>
      <c r="AS121" s="2325" t="s">
        <v>395</v>
      </c>
      <c r="AT121" s="2325"/>
      <c r="AU121" s="215"/>
      <c r="AV121" s="2418" t="s">
        <v>285</v>
      </c>
      <c r="AX121" s="145"/>
      <c r="AY121" s="2325" t="s">
        <v>401</v>
      </c>
      <c r="AZ121" s="2325"/>
      <c r="BA121" s="538">
        <f>BA93+BA83+BA73+BA64+BA52+BA39+BA29</f>
        <v>83</v>
      </c>
      <c r="BB121" s="545" t="s">
        <v>285</v>
      </c>
    </row>
    <row r="122" spans="1:54" ht="40.5" customHeight="1">
      <c r="B122" s="549"/>
      <c r="C122" s="2513" t="s">
        <v>293</v>
      </c>
      <c r="D122" s="2514"/>
      <c r="E122" s="538">
        <f>E9+E31</f>
        <v>2</v>
      </c>
      <c r="F122" s="148" t="s">
        <v>285</v>
      </c>
      <c r="H122" s="145"/>
      <c r="I122" s="1772" t="s">
        <v>318</v>
      </c>
      <c r="J122" s="1828"/>
      <c r="K122" s="5">
        <f>K57+K77+K85</f>
        <v>5</v>
      </c>
      <c r="L122" s="545" t="s">
        <v>285</v>
      </c>
      <c r="N122" s="145"/>
      <c r="O122" s="1961" t="s">
        <v>324</v>
      </c>
      <c r="P122" s="1963"/>
      <c r="Q122" s="5">
        <f>Q9+Q19+Q29+Q39+Q51+Q61+Q71+Q81+Q91</f>
        <v>154</v>
      </c>
      <c r="R122" s="148" t="s">
        <v>285</v>
      </c>
      <c r="AL122" s="2328"/>
      <c r="AM122" s="2325"/>
      <c r="AN122" s="2430"/>
      <c r="AO122" s="631"/>
      <c r="AP122" s="2521"/>
      <c r="AR122" s="2336"/>
      <c r="AS122" s="2325"/>
      <c r="AT122" s="2325"/>
      <c r="AU122" s="631">
        <v>1</v>
      </c>
      <c r="AV122" s="2418"/>
      <c r="AX122" s="145"/>
      <c r="AY122" s="1918" t="s">
        <v>400</v>
      </c>
      <c r="AZ122" s="1918"/>
      <c r="BA122" s="538">
        <f>BA92+BA82+BA72+BA62+BA40+BA19+BA28+BA9</f>
        <v>44</v>
      </c>
      <c r="BB122" s="545" t="s">
        <v>285</v>
      </c>
    </row>
    <row r="123" spans="1:54" ht="40.5" customHeight="1" thickBot="1">
      <c r="B123" s="549"/>
      <c r="C123" s="1861" t="s">
        <v>288</v>
      </c>
      <c r="D123" s="1918"/>
      <c r="E123" s="538">
        <f>E10+E19+E32+E41+E65+E75+E85+E95</f>
        <v>147</v>
      </c>
      <c r="F123" s="148" t="s">
        <v>285</v>
      </c>
      <c r="H123" s="145"/>
      <c r="I123" s="1772" t="s">
        <v>311</v>
      </c>
      <c r="J123" s="1828"/>
      <c r="K123" s="5">
        <f>K11+K22+K33+K43+K54+K65+K74+K88+K93</f>
        <v>108</v>
      </c>
      <c r="L123" s="148" t="s">
        <v>285</v>
      </c>
      <c r="N123" s="145"/>
      <c r="O123" s="1961" t="s">
        <v>329</v>
      </c>
      <c r="P123" s="1963"/>
      <c r="Q123" s="5">
        <f>Q10+Q65+Q75+Q85+Q95</f>
        <v>54</v>
      </c>
      <c r="R123" s="148" t="s">
        <v>285</v>
      </c>
      <c r="AL123" s="2329"/>
      <c r="AM123" s="2326"/>
      <c r="AN123" s="2492"/>
      <c r="AO123" s="632"/>
      <c r="AP123" s="2522"/>
      <c r="AR123" s="2336"/>
      <c r="AS123" s="2325"/>
      <c r="AT123" s="2325"/>
      <c r="AU123" s="633"/>
      <c r="AV123" s="2418"/>
      <c r="AX123" s="166"/>
      <c r="AY123" s="2341" t="s">
        <v>399</v>
      </c>
      <c r="AZ123" s="2341"/>
      <c r="BA123" s="539">
        <f>BA91+BA81+BA71+BA61+BA51+BA41+BA30+BA18+BA8</f>
        <v>24</v>
      </c>
      <c r="BB123" s="547" t="s">
        <v>285</v>
      </c>
    </row>
    <row r="124" spans="1:54" ht="40.5" customHeight="1" thickBot="1">
      <c r="B124" s="549"/>
      <c r="C124" s="1861" t="s">
        <v>289</v>
      </c>
      <c r="D124" s="1918"/>
      <c r="E124" s="538">
        <f>E11+E21+E33+E42+E52+E62+E72+E82+E92</f>
        <v>276</v>
      </c>
      <c r="F124" s="148" t="s">
        <v>285</v>
      </c>
      <c r="H124" s="145"/>
      <c r="I124" s="1772" t="s">
        <v>312</v>
      </c>
      <c r="J124" s="1828"/>
      <c r="K124" s="5">
        <f>K12+K23+K31+K45+K96</f>
        <v>122</v>
      </c>
      <c r="L124" s="148" t="s">
        <v>285</v>
      </c>
      <c r="N124" s="145"/>
      <c r="O124" s="1961" t="s">
        <v>330</v>
      </c>
      <c r="P124" s="1963"/>
      <c r="Q124" s="5">
        <f>Q11+Q30+Q40+Q52+Q66+Q76+Q86+Q96</f>
        <v>18</v>
      </c>
      <c r="R124" s="148" t="s">
        <v>285</v>
      </c>
      <c r="AR124" s="166"/>
      <c r="AS124" s="2325" t="s">
        <v>396</v>
      </c>
      <c r="AT124" s="2325"/>
      <c r="AU124" s="554">
        <v>7</v>
      </c>
      <c r="AV124" s="553" t="s">
        <v>285</v>
      </c>
    </row>
    <row r="125" spans="1:54" ht="40.5" customHeight="1" thickBot="1">
      <c r="B125" s="549"/>
      <c r="C125" s="1861" t="s">
        <v>291</v>
      </c>
      <c r="D125" s="1918"/>
      <c r="E125" s="538">
        <f>E12+E22+E34+E43+E53+E63+E73+E83+E93</f>
        <v>23</v>
      </c>
      <c r="F125" s="149" t="s">
        <v>285</v>
      </c>
      <c r="H125" s="164"/>
      <c r="I125" s="2498" t="s">
        <v>307</v>
      </c>
      <c r="J125" s="2094"/>
      <c r="K125" s="165">
        <f>K7+K28+K40+K58+K64+K91</f>
        <v>62</v>
      </c>
      <c r="L125" s="160" t="s">
        <v>285</v>
      </c>
      <c r="N125" s="166"/>
      <c r="O125" s="2496" t="s">
        <v>331</v>
      </c>
      <c r="P125" s="2497"/>
      <c r="Q125" s="167">
        <f>Q12</f>
        <v>1</v>
      </c>
      <c r="R125" s="163" t="s">
        <v>285</v>
      </c>
    </row>
    <row r="126" spans="1:54" ht="40.5" customHeight="1" thickBot="1">
      <c r="B126" s="550"/>
      <c r="C126" s="2503" t="s">
        <v>292</v>
      </c>
      <c r="D126" s="2341"/>
      <c r="E126" s="539">
        <f>E13+E23+E35+E44+E66+E76+E86+E96+E55</f>
        <v>30</v>
      </c>
      <c r="F126" s="163" t="s">
        <v>285</v>
      </c>
      <c r="H126" s="145"/>
      <c r="I126" s="1772" t="s">
        <v>308</v>
      </c>
      <c r="J126" s="1828"/>
      <c r="K126" s="5">
        <f>K8+K19+K39+K62+K72+K92</f>
        <v>139</v>
      </c>
      <c r="L126" s="148" t="s">
        <v>285</v>
      </c>
      <c r="N126" s="145"/>
      <c r="O126" s="1828" t="s">
        <v>326</v>
      </c>
      <c r="P126" s="1828"/>
      <c r="Q126" s="5">
        <f>Q31+Q63+Q73+Q83+Q93</f>
        <v>84</v>
      </c>
      <c r="R126" s="148" t="s">
        <v>285</v>
      </c>
    </row>
    <row r="127" spans="1:54" ht="40.5" customHeight="1" thickBot="1">
      <c r="B127" s="549"/>
      <c r="C127" s="1861" t="s">
        <v>290</v>
      </c>
      <c r="D127" s="1918"/>
      <c r="E127" s="538">
        <f>E20+E30+E40</f>
        <v>4</v>
      </c>
      <c r="F127" s="148" t="s">
        <v>285</v>
      </c>
      <c r="H127" s="145"/>
      <c r="I127" s="1772" t="s">
        <v>314</v>
      </c>
      <c r="J127" s="1828"/>
      <c r="K127" s="5">
        <f>K20+K46+K63+K73+K83</f>
        <v>10</v>
      </c>
      <c r="L127" s="148" t="s">
        <v>285</v>
      </c>
      <c r="N127" s="166"/>
      <c r="O127" s="2493" t="s">
        <v>327</v>
      </c>
      <c r="P127" s="2493"/>
      <c r="Q127" s="167">
        <f>Q94+Q84+Q74+Q64+Q32</f>
        <v>84</v>
      </c>
      <c r="R127" s="163" t="s">
        <v>285</v>
      </c>
    </row>
    <row r="128" spans="1:54" ht="40.5" customHeight="1">
      <c r="B128" s="549"/>
      <c r="C128" s="1861" t="s">
        <v>286</v>
      </c>
      <c r="D128" s="1918"/>
      <c r="E128" s="538">
        <f>E45+E54+E97</f>
        <v>6</v>
      </c>
      <c r="F128" s="148" t="s">
        <v>285</v>
      </c>
      <c r="H128" s="164"/>
      <c r="I128" s="2498" t="s">
        <v>313</v>
      </c>
      <c r="J128" s="2094"/>
      <c r="K128" s="165">
        <f>K18+K38</f>
        <v>6</v>
      </c>
      <c r="L128" s="160" t="s">
        <v>285</v>
      </c>
    </row>
    <row r="129" spans="2:12" ht="40.5" customHeight="1" thickBot="1">
      <c r="B129" s="166"/>
      <c r="C129" s="2515" t="s">
        <v>300</v>
      </c>
      <c r="D129" s="2493"/>
      <c r="E129" s="181">
        <f>E46</f>
        <v>2</v>
      </c>
      <c r="F129" s="163" t="s">
        <v>285</v>
      </c>
      <c r="H129" s="145"/>
      <c r="I129" s="1828" t="s">
        <v>321</v>
      </c>
      <c r="J129" s="1828"/>
      <c r="K129" s="5">
        <f>K13+K24+K32</f>
        <v>20</v>
      </c>
      <c r="L129" s="545" t="s">
        <v>285</v>
      </c>
    </row>
    <row r="130" spans="2:12" ht="40.5" customHeight="1">
      <c r="H130" s="145"/>
      <c r="I130" s="1772" t="s">
        <v>317</v>
      </c>
      <c r="J130" s="1828"/>
      <c r="K130" s="5">
        <f>K14+K25+K34+K48+K67+K53</f>
        <v>22</v>
      </c>
      <c r="L130" s="148" t="s">
        <v>285</v>
      </c>
    </row>
    <row r="131" spans="2:12" ht="40.5" customHeight="1" thickBot="1">
      <c r="H131" s="166"/>
      <c r="I131" s="2515" t="s">
        <v>306</v>
      </c>
      <c r="J131" s="2515"/>
      <c r="K131" s="167">
        <f>K15+K26+K36+K49+K59+K69+K79+K89+K98</f>
        <v>206</v>
      </c>
      <c r="L131" s="163" t="s">
        <v>285</v>
      </c>
    </row>
    <row r="132" spans="2:12" ht="40.5" customHeight="1" thickBot="1">
      <c r="H132" s="145"/>
      <c r="I132" s="1772" t="s">
        <v>319</v>
      </c>
      <c r="J132" s="1828"/>
      <c r="K132" s="5">
        <f>K95+K84+K76+K66+K47+K35</f>
        <v>6</v>
      </c>
      <c r="L132" s="148" t="s">
        <v>285</v>
      </c>
    </row>
    <row r="133" spans="2:12" ht="40.5" customHeight="1">
      <c r="H133" s="164"/>
      <c r="I133" s="2498" t="s">
        <v>315</v>
      </c>
      <c r="J133" s="2094"/>
      <c r="K133" s="165">
        <f>K51</f>
        <v>5</v>
      </c>
      <c r="L133" s="546" t="s">
        <v>285</v>
      </c>
    </row>
    <row r="134" spans="2:12" ht="40.5" customHeight="1">
      <c r="H134" s="145"/>
      <c r="I134" s="1772" t="s">
        <v>316</v>
      </c>
      <c r="J134" s="1828"/>
      <c r="K134" s="5">
        <f>K52</f>
        <v>12</v>
      </c>
      <c r="L134" s="545" t="s">
        <v>285</v>
      </c>
    </row>
    <row r="135" spans="2:12" ht="40.5" customHeight="1"/>
    <row r="136" spans="2:12" ht="40.5" customHeight="1"/>
    <row r="137" spans="2:12" ht="40.5" customHeight="1"/>
    <row r="138" spans="2:12" ht="40.5" customHeight="1"/>
    <row r="139" spans="2:12" ht="40.5" customHeight="1"/>
    <row r="140" spans="2:12" ht="40.5" customHeight="1"/>
    <row r="141" spans="2:12" ht="40.5" customHeight="1"/>
    <row r="142" spans="2:12" ht="40.5" customHeight="1"/>
    <row r="143" spans="2:12" ht="40.5" customHeight="1"/>
  </sheetData>
  <mergeCells count="373">
    <mergeCell ref="AV121:AV123"/>
    <mergeCell ref="AS124:AT124"/>
    <mergeCell ref="AY120:AZ120"/>
    <mergeCell ref="AY121:AZ121"/>
    <mergeCell ref="AY122:AZ122"/>
    <mergeCell ref="AY123:AZ123"/>
    <mergeCell ref="U120:V120"/>
    <mergeCell ref="AA120:AB120"/>
    <mergeCell ref="AM120:AN123"/>
    <mergeCell ref="AP120:AP123"/>
    <mergeCell ref="AL120:AL123"/>
    <mergeCell ref="AS120:AT120"/>
    <mergeCell ref="AR121:AR123"/>
    <mergeCell ref="AS121:AT123"/>
    <mergeCell ref="AA121:AB121"/>
    <mergeCell ref="I133:J133"/>
    <mergeCell ref="I134:J134"/>
    <mergeCell ref="O120:P120"/>
    <mergeCell ref="O121:P121"/>
    <mergeCell ref="O122:P122"/>
    <mergeCell ref="O123:P123"/>
    <mergeCell ref="O124:P124"/>
    <mergeCell ref="O125:P125"/>
    <mergeCell ref="O126:P126"/>
    <mergeCell ref="O127:P127"/>
    <mergeCell ref="I131:J131"/>
    <mergeCell ref="I132:J132"/>
    <mergeCell ref="C129:D129"/>
    <mergeCell ref="I125:J125"/>
    <mergeCell ref="I126:J126"/>
    <mergeCell ref="I121:J121"/>
    <mergeCell ref="I120:J120"/>
    <mergeCell ref="I123:J123"/>
    <mergeCell ref="I124:J124"/>
    <mergeCell ref="I129:J129"/>
    <mergeCell ref="I130:J130"/>
    <mergeCell ref="I127:J127"/>
    <mergeCell ref="I128:J128"/>
    <mergeCell ref="I122:J122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AG91:AH91"/>
    <mergeCell ref="O96:P96"/>
    <mergeCell ref="U28:V28"/>
    <mergeCell ref="U29:V29"/>
    <mergeCell ref="U38:V38"/>
    <mergeCell ref="U39:V39"/>
    <mergeCell ref="AG18:AH18"/>
    <mergeCell ref="AG28:AH28"/>
    <mergeCell ref="AG38:AH38"/>
    <mergeCell ref="AG51:AH51"/>
    <mergeCell ref="AG61:AH61"/>
    <mergeCell ref="U82:V82"/>
    <mergeCell ref="U91:V91"/>
    <mergeCell ref="U92:V92"/>
    <mergeCell ref="O82:P82"/>
    <mergeCell ref="AA81:AB81"/>
    <mergeCell ref="AA91:AB91"/>
    <mergeCell ref="AA40:AB40"/>
    <mergeCell ref="AA41:AB41"/>
    <mergeCell ref="O81:P81"/>
    <mergeCell ref="O52:P52"/>
    <mergeCell ref="O61:P61"/>
    <mergeCell ref="O63:P63"/>
    <mergeCell ref="O62:P62"/>
    <mergeCell ref="T5:X5"/>
    <mergeCell ref="U6:V6"/>
    <mergeCell ref="U7:V7"/>
    <mergeCell ref="U8:V8"/>
    <mergeCell ref="U18:V18"/>
    <mergeCell ref="AG71:AH71"/>
    <mergeCell ref="AG81:AH81"/>
    <mergeCell ref="U51:V51"/>
    <mergeCell ref="U52:V52"/>
    <mergeCell ref="U61:V61"/>
    <mergeCell ref="U62:V62"/>
    <mergeCell ref="U71:V71"/>
    <mergeCell ref="U72:V72"/>
    <mergeCell ref="U81:V81"/>
    <mergeCell ref="AF5:AJ5"/>
    <mergeCell ref="AG6:AH6"/>
    <mergeCell ref="AG7:AH7"/>
    <mergeCell ref="AA42:AB42"/>
    <mergeCell ref="AA43:AB43"/>
    <mergeCell ref="AA44:AB44"/>
    <mergeCell ref="AA51:AB51"/>
    <mergeCell ref="AA61:AB61"/>
    <mergeCell ref="AA71:AB71"/>
    <mergeCell ref="Z5:AD5"/>
    <mergeCell ref="AA6:AB6"/>
    <mergeCell ref="AA7:AB7"/>
    <mergeCell ref="AA18:AB18"/>
    <mergeCell ref="AA28:AB28"/>
    <mergeCell ref="AA38:AB38"/>
    <mergeCell ref="AA39:AB39"/>
    <mergeCell ref="O11:P11"/>
    <mergeCell ref="O12:P12"/>
    <mergeCell ref="O51:P51"/>
    <mergeCell ref="O30:P30"/>
    <mergeCell ref="O18:P18"/>
    <mergeCell ref="O19:P19"/>
    <mergeCell ref="O9:P9"/>
    <mergeCell ref="O10:P10"/>
    <mergeCell ref="O28:P28"/>
    <mergeCell ref="O29:P29"/>
    <mergeCell ref="O31:P31"/>
    <mergeCell ref="O32:P32"/>
    <mergeCell ref="O38:P38"/>
    <mergeCell ref="O39:P39"/>
    <mergeCell ref="O40:P40"/>
    <mergeCell ref="I74:J74"/>
    <mergeCell ref="I76:J76"/>
    <mergeCell ref="I77:J77"/>
    <mergeCell ref="I78:J78"/>
    <mergeCell ref="I94:J94"/>
    <mergeCell ref="I95:J95"/>
    <mergeCell ref="I85:J85"/>
    <mergeCell ref="I86:J86"/>
    <mergeCell ref="I87:J87"/>
    <mergeCell ref="I89:J89"/>
    <mergeCell ref="O83:P83"/>
    <mergeCell ref="I97:J97"/>
    <mergeCell ref="I98:J98"/>
    <mergeCell ref="I13:J13"/>
    <mergeCell ref="I14:J14"/>
    <mergeCell ref="I24:J24"/>
    <mergeCell ref="I25:J25"/>
    <mergeCell ref="I32:J32"/>
    <mergeCell ref="I33:J33"/>
    <mergeCell ref="I34:J34"/>
    <mergeCell ref="I35:J35"/>
    <mergeCell ref="I45:J45"/>
    <mergeCell ref="I44:J44"/>
    <mergeCell ref="I46:J46"/>
    <mergeCell ref="I47:J47"/>
    <mergeCell ref="I48:J48"/>
    <mergeCell ref="I91:J91"/>
    <mergeCell ref="I92:J92"/>
    <mergeCell ref="I93:J93"/>
    <mergeCell ref="I96:J96"/>
    <mergeCell ref="I79:J79"/>
    <mergeCell ref="I81:J81"/>
    <mergeCell ref="I82:J82"/>
    <mergeCell ref="I83:J83"/>
    <mergeCell ref="I55:J55"/>
    <mergeCell ref="I59:J59"/>
    <mergeCell ref="I56:J56"/>
    <mergeCell ref="I68:J68"/>
    <mergeCell ref="I40:J40"/>
    <mergeCell ref="I43:J43"/>
    <mergeCell ref="I42:J42"/>
    <mergeCell ref="I51:J51"/>
    <mergeCell ref="I69:J69"/>
    <mergeCell ref="I64:J64"/>
    <mergeCell ref="I26:J26"/>
    <mergeCell ref="C54:D54"/>
    <mergeCell ref="C46:D46"/>
    <mergeCell ref="C51:D51"/>
    <mergeCell ref="C52:D52"/>
    <mergeCell ref="C41:D41"/>
    <mergeCell ref="C42:D42"/>
    <mergeCell ref="C43:D43"/>
    <mergeCell ref="C44:D44"/>
    <mergeCell ref="C45:D45"/>
    <mergeCell ref="C53:D53"/>
    <mergeCell ref="I36:J36"/>
    <mergeCell ref="I41:J41"/>
    <mergeCell ref="I49:J49"/>
    <mergeCell ref="I28:J28"/>
    <mergeCell ref="I29:J29"/>
    <mergeCell ref="I31:J31"/>
    <mergeCell ref="I38:J38"/>
    <mergeCell ref="I39:J39"/>
    <mergeCell ref="I12:J12"/>
    <mergeCell ref="I15:J15"/>
    <mergeCell ref="I18:J18"/>
    <mergeCell ref="I9:J9"/>
    <mergeCell ref="I10:J10"/>
    <mergeCell ref="I11:J11"/>
    <mergeCell ref="C21:D21"/>
    <mergeCell ref="C22:D22"/>
    <mergeCell ref="C23:D23"/>
    <mergeCell ref="I23:J23"/>
    <mergeCell ref="I19:J19"/>
    <mergeCell ref="I20:J20"/>
    <mergeCell ref="I21:J21"/>
    <mergeCell ref="I22:J22"/>
    <mergeCell ref="C7:D7"/>
    <mergeCell ref="C8:D8"/>
    <mergeCell ref="C10:D10"/>
    <mergeCell ref="C11:D11"/>
    <mergeCell ref="C20:D20"/>
    <mergeCell ref="C19:D19"/>
    <mergeCell ref="C31:D31"/>
    <mergeCell ref="C32:D32"/>
    <mergeCell ref="C33:D33"/>
    <mergeCell ref="C9:D9"/>
    <mergeCell ref="C18:D18"/>
    <mergeCell ref="C12:D12"/>
    <mergeCell ref="C13:D13"/>
    <mergeCell ref="A3:B3"/>
    <mergeCell ref="I7:J7"/>
    <mergeCell ref="I8:J8"/>
    <mergeCell ref="B5:F5"/>
    <mergeCell ref="C97:D97"/>
    <mergeCell ref="C81:D81"/>
    <mergeCell ref="C91:D91"/>
    <mergeCell ref="C92:D92"/>
    <mergeCell ref="C93:D93"/>
    <mergeCell ref="C94:D94"/>
    <mergeCell ref="C82:D82"/>
    <mergeCell ref="C83:D83"/>
    <mergeCell ref="C84:D84"/>
    <mergeCell ref="C85:D85"/>
    <mergeCell ref="C86:D86"/>
    <mergeCell ref="C95:D95"/>
    <mergeCell ref="C96:D96"/>
    <mergeCell ref="C75:D75"/>
    <mergeCell ref="C76:D76"/>
    <mergeCell ref="C65:D65"/>
    <mergeCell ref="J3:L3"/>
    <mergeCell ref="C6:D6"/>
    <mergeCell ref="H5:L5"/>
    <mergeCell ref="I6:J6"/>
    <mergeCell ref="N5:R5"/>
    <mergeCell ref="O6:P6"/>
    <mergeCell ref="O7:P7"/>
    <mergeCell ref="O8:P8"/>
    <mergeCell ref="C73:D73"/>
    <mergeCell ref="C74:D74"/>
    <mergeCell ref="C40:D40"/>
    <mergeCell ref="C30:D30"/>
    <mergeCell ref="C28:D28"/>
    <mergeCell ref="C29:D29"/>
    <mergeCell ref="I52:J52"/>
    <mergeCell ref="I53:J53"/>
    <mergeCell ref="I54:J54"/>
    <mergeCell ref="I30:J30"/>
    <mergeCell ref="C38:D38"/>
    <mergeCell ref="C39:D39"/>
    <mergeCell ref="C34:D34"/>
    <mergeCell ref="C35:D35"/>
    <mergeCell ref="C55:D55"/>
    <mergeCell ref="C66:D66"/>
    <mergeCell ref="C71:D71"/>
    <mergeCell ref="C72:D72"/>
    <mergeCell ref="C61:D61"/>
    <mergeCell ref="C62:D62"/>
    <mergeCell ref="C63:D63"/>
    <mergeCell ref="C64:D64"/>
    <mergeCell ref="I57:J57"/>
    <mergeCell ref="I58:J58"/>
    <mergeCell ref="I100:J100"/>
    <mergeCell ref="C100:D100"/>
    <mergeCell ref="AG112:AH112"/>
    <mergeCell ref="AG113:AH113"/>
    <mergeCell ref="AG114:AH114"/>
    <mergeCell ref="U101:V101"/>
    <mergeCell ref="U100:V100"/>
    <mergeCell ref="AG100:AH100"/>
    <mergeCell ref="I65:J65"/>
    <mergeCell ref="I66:J66"/>
    <mergeCell ref="I67:J67"/>
    <mergeCell ref="I88:J88"/>
    <mergeCell ref="I61:J61"/>
    <mergeCell ref="I62:J62"/>
    <mergeCell ref="I63:J63"/>
    <mergeCell ref="I71:J71"/>
    <mergeCell ref="I72:J72"/>
    <mergeCell ref="I73:J73"/>
    <mergeCell ref="I84:J84"/>
    <mergeCell ref="I75:J75"/>
    <mergeCell ref="AG116:AH116"/>
    <mergeCell ref="AG115:AH115"/>
    <mergeCell ref="AG101:AH101"/>
    <mergeCell ref="AG102:AH102"/>
    <mergeCell ref="AG103:AH103"/>
    <mergeCell ref="AG104:AH104"/>
    <mergeCell ref="AG105:AH105"/>
    <mergeCell ref="AG106:AH106"/>
    <mergeCell ref="AG107:AH107"/>
    <mergeCell ref="AG108:AH108"/>
    <mergeCell ref="AG109:AH109"/>
    <mergeCell ref="AG117:AH117"/>
    <mergeCell ref="AG118:AH118"/>
    <mergeCell ref="AG111:AH111"/>
    <mergeCell ref="AG110:AH110"/>
    <mergeCell ref="O100:P100"/>
    <mergeCell ref="AA100:AB100"/>
    <mergeCell ref="O41:P41"/>
    <mergeCell ref="O84:P84"/>
    <mergeCell ref="O85:P85"/>
    <mergeCell ref="O86:P86"/>
    <mergeCell ref="O91:P91"/>
    <mergeCell ref="O92:P92"/>
    <mergeCell ref="O93:P93"/>
    <mergeCell ref="O64:P64"/>
    <mergeCell ref="O65:P65"/>
    <mergeCell ref="O66:P66"/>
    <mergeCell ref="O71:P71"/>
    <mergeCell ref="O72:P72"/>
    <mergeCell ref="O73:P73"/>
    <mergeCell ref="O74:P74"/>
    <mergeCell ref="O75:P75"/>
    <mergeCell ref="O94:P94"/>
    <mergeCell ref="O95:P95"/>
    <mergeCell ref="O76:P76"/>
    <mergeCell ref="AS28:AT28"/>
    <mergeCell ref="AS38:AT38"/>
    <mergeCell ref="AS51:AT51"/>
    <mergeCell ref="AS61:AT61"/>
    <mergeCell ref="AS71:AT71"/>
    <mergeCell ref="AS81:AT81"/>
    <mergeCell ref="AS91:AT91"/>
    <mergeCell ref="AS100:AT100"/>
    <mergeCell ref="AL5:AP5"/>
    <mergeCell ref="AM6:AN6"/>
    <mergeCell ref="AM7:AN7"/>
    <mergeCell ref="AL38:AL41"/>
    <mergeCell ref="AM51:AN51"/>
    <mergeCell ref="AM18:AN18"/>
    <mergeCell ref="AM28:AN28"/>
    <mergeCell ref="AM38:AN41"/>
    <mergeCell ref="AM61:AN61"/>
    <mergeCell ref="AM71:AN71"/>
    <mergeCell ref="AM81:AN81"/>
    <mergeCell ref="AM91:AN91"/>
    <mergeCell ref="AM100:AN100"/>
    <mergeCell ref="AX5:BB5"/>
    <mergeCell ref="AY6:AZ6"/>
    <mergeCell ref="AY7:AZ7"/>
    <mergeCell ref="AY8:AZ8"/>
    <mergeCell ref="AY9:AZ9"/>
    <mergeCell ref="AY18:AZ18"/>
    <mergeCell ref="AY19:AZ19"/>
    <mergeCell ref="AS18:AT18"/>
    <mergeCell ref="AR5:AV5"/>
    <mergeCell ref="AS6:AT6"/>
    <mergeCell ref="AS7:AT7"/>
    <mergeCell ref="AS11:AT11"/>
    <mergeCell ref="AS8:AT10"/>
    <mergeCell ref="AR8:AR10"/>
    <mergeCell ref="AY82:AZ82"/>
    <mergeCell ref="AY83:AZ83"/>
    <mergeCell ref="AY100:AZ100"/>
    <mergeCell ref="AY91:AZ91"/>
    <mergeCell ref="AY92:AZ92"/>
    <mergeCell ref="AY93:AZ93"/>
    <mergeCell ref="A4:BB4"/>
    <mergeCell ref="AY52:AZ52"/>
    <mergeCell ref="AY61:AZ61"/>
    <mergeCell ref="AY62:AZ62"/>
    <mergeCell ref="AY64:AZ64"/>
    <mergeCell ref="AY63:AZ63"/>
    <mergeCell ref="AY71:AZ71"/>
    <mergeCell ref="AY72:AZ72"/>
    <mergeCell ref="AY73:AZ73"/>
    <mergeCell ref="AY81:AZ81"/>
    <mergeCell ref="AY28:AZ28"/>
    <mergeCell ref="AY29:AZ29"/>
    <mergeCell ref="AY30:AZ30"/>
    <mergeCell ref="AY38:AZ38"/>
    <mergeCell ref="AY39:AZ39"/>
    <mergeCell ref="AY40:AZ40"/>
    <mergeCell ref="AY41:AZ41"/>
    <mergeCell ref="AY51:AZ5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"/>
  <sheetViews>
    <sheetView topLeftCell="A67" zoomScale="80" zoomScaleNormal="80" workbookViewId="0">
      <selection activeCell="J83" sqref="J83"/>
    </sheetView>
  </sheetViews>
  <sheetFormatPr baseColWidth="10" defaultColWidth="11.42578125" defaultRowHeight="12.75"/>
  <cols>
    <col min="1" max="1" width="15.140625" style="641" customWidth="1"/>
    <col min="2" max="2" width="17.28515625" style="641" customWidth="1"/>
    <col min="3" max="3" width="17.42578125" style="641" customWidth="1"/>
    <col min="4" max="4" width="15" style="641" customWidth="1"/>
    <col min="5" max="6" width="11.42578125" style="641"/>
    <col min="7" max="7" width="25.7109375" style="641" customWidth="1"/>
    <col min="8" max="8" width="16.85546875" style="641" customWidth="1"/>
    <col min="9" max="9" width="15.28515625" style="641" customWidth="1"/>
    <col min="10" max="11" width="11.42578125" style="641"/>
    <col min="12" max="12" width="26" style="641" bestFit="1" customWidth="1"/>
    <col min="13" max="13" width="23.85546875" style="641" bestFit="1" customWidth="1"/>
    <col min="14" max="14" width="17" style="641" bestFit="1" customWidth="1"/>
    <col min="15" max="15" width="21.140625" style="641" customWidth="1"/>
    <col min="16" max="16384" width="11.42578125" style="641"/>
  </cols>
  <sheetData>
    <row r="1" spans="1:16">
      <c r="A1" s="695" t="s">
        <v>14</v>
      </c>
      <c r="B1" s="696" t="s">
        <v>275</v>
      </c>
      <c r="C1" s="696"/>
      <c r="D1" s="696"/>
      <c r="E1" s="689"/>
      <c r="F1" s="689"/>
      <c r="G1" s="689"/>
      <c r="H1" s="692" t="s">
        <v>17</v>
      </c>
      <c r="I1" s="691" t="s">
        <v>1473</v>
      </c>
      <c r="J1" s="691"/>
      <c r="K1" s="690"/>
    </row>
    <row r="2" spans="1:16">
      <c r="A2" s="695" t="s">
        <v>15</v>
      </c>
      <c r="B2" s="694" t="s">
        <v>277</v>
      </c>
      <c r="C2" s="694"/>
      <c r="D2" s="694"/>
      <c r="E2" s="693"/>
      <c r="F2" s="693"/>
      <c r="G2" s="693"/>
      <c r="H2" s="692" t="s">
        <v>16</v>
      </c>
      <c r="I2" s="691">
        <v>13</v>
      </c>
      <c r="J2" s="691"/>
      <c r="K2" s="690"/>
    </row>
    <row r="3" spans="1:16">
      <c r="A3" s="2550" t="s">
        <v>279</v>
      </c>
      <c r="B3" s="2550"/>
      <c r="C3" s="689"/>
      <c r="D3" s="689"/>
      <c r="E3" s="689"/>
      <c r="F3" s="689"/>
      <c r="G3" s="689"/>
      <c r="H3" s="689"/>
      <c r="I3" s="2557"/>
      <c r="J3" s="2557"/>
      <c r="K3" s="2558"/>
    </row>
    <row r="4" spans="1:16">
      <c r="A4" s="2559" t="s">
        <v>280</v>
      </c>
      <c r="B4" s="2560"/>
      <c r="C4" s="2560"/>
      <c r="D4" s="2560"/>
      <c r="E4" s="2560"/>
      <c r="F4" s="2560"/>
      <c r="G4" s="2560"/>
      <c r="H4" s="2560"/>
      <c r="I4" s="2560"/>
      <c r="J4" s="2560"/>
      <c r="K4" s="2560"/>
    </row>
    <row r="5" spans="1:16">
      <c r="A5" s="2556" t="s">
        <v>1349</v>
      </c>
      <c r="B5" s="2556"/>
      <c r="C5" s="2556"/>
      <c r="D5" s="2556"/>
      <c r="E5" s="2556"/>
      <c r="F5" s="2556"/>
      <c r="G5" s="2556" t="s">
        <v>296</v>
      </c>
      <c r="H5" s="2556"/>
      <c r="I5" s="2556"/>
      <c r="J5" s="2556"/>
      <c r="K5" s="2556"/>
    </row>
    <row r="6" spans="1:16">
      <c r="A6" s="665" t="s">
        <v>297</v>
      </c>
      <c r="B6" s="645" t="s">
        <v>774</v>
      </c>
      <c r="C6" s="665" t="s">
        <v>742</v>
      </c>
      <c r="D6" s="665" t="s">
        <v>775</v>
      </c>
      <c r="E6" s="665" t="s">
        <v>46</v>
      </c>
      <c r="F6" s="665" t="s">
        <v>42</v>
      </c>
      <c r="G6" s="653" t="s">
        <v>297</v>
      </c>
      <c r="H6" s="653" t="s">
        <v>110</v>
      </c>
      <c r="I6" s="665" t="s">
        <v>46</v>
      </c>
      <c r="J6" s="665" t="s">
        <v>47</v>
      </c>
      <c r="K6" s="665" t="s">
        <v>42</v>
      </c>
      <c r="L6" s="678" t="s">
        <v>1348</v>
      </c>
    </row>
    <row r="7" spans="1:16" ht="15.75" customHeight="1">
      <c r="A7" s="2551" t="s">
        <v>776</v>
      </c>
      <c r="B7" s="2546" t="s">
        <v>777</v>
      </c>
      <c r="C7" s="2531"/>
      <c r="D7" s="651">
        <v>2</v>
      </c>
      <c r="E7" s="651">
        <f>2+1+1+1</f>
        <v>5</v>
      </c>
      <c r="F7" s="655" t="s">
        <v>285</v>
      </c>
      <c r="G7" s="645" t="s">
        <v>778</v>
      </c>
      <c r="H7" s="651">
        <v>3.24</v>
      </c>
      <c r="I7" s="651">
        <v>1</v>
      </c>
      <c r="J7" s="680">
        <f>H7*I7</f>
        <v>3.24</v>
      </c>
      <c r="K7" s="655" t="s">
        <v>48</v>
      </c>
      <c r="L7" s="653" t="s">
        <v>297</v>
      </c>
      <c r="M7" s="665" t="s">
        <v>47</v>
      </c>
      <c r="N7" s="665" t="s">
        <v>42</v>
      </c>
      <c r="O7" s="667"/>
      <c r="P7" s="668"/>
    </row>
    <row r="8" spans="1:16" ht="15.75" customHeight="1">
      <c r="A8" s="2552"/>
      <c r="B8" s="2546"/>
      <c r="C8" s="2531"/>
      <c r="D8" s="651">
        <v>3</v>
      </c>
      <c r="E8" s="651">
        <f>11+13+17+18</f>
        <v>59</v>
      </c>
      <c r="F8" s="655" t="s">
        <v>285</v>
      </c>
      <c r="G8" s="645" t="s">
        <v>779</v>
      </c>
      <c r="H8" s="651">
        <f>(2*3.24)+(4*3.6)</f>
        <v>20.880000000000003</v>
      </c>
      <c r="I8" s="651">
        <v>2</v>
      </c>
      <c r="J8" s="680">
        <f>H8*I8</f>
        <v>41.760000000000005</v>
      </c>
      <c r="K8" s="655" t="s">
        <v>48</v>
      </c>
      <c r="L8" s="645" t="s">
        <v>778</v>
      </c>
      <c r="M8" s="646">
        <v>3.24</v>
      </c>
      <c r="N8" s="645" t="s">
        <v>48</v>
      </c>
      <c r="O8" s="667"/>
      <c r="P8" s="668"/>
    </row>
    <row r="9" spans="1:16" ht="15.75" customHeight="1">
      <c r="A9" s="2552"/>
      <c r="B9" s="2546"/>
      <c r="C9" s="2531"/>
      <c r="D9" s="651">
        <v>4</v>
      </c>
      <c r="E9" s="651">
        <f>7+5+12+5</f>
        <v>29</v>
      </c>
      <c r="F9" s="655" t="s">
        <v>285</v>
      </c>
      <c r="G9" s="645" t="s">
        <v>780</v>
      </c>
      <c r="H9" s="651">
        <f>(4*3.24)+(4*3.6)</f>
        <v>27.36</v>
      </c>
      <c r="I9" s="651">
        <v>1</v>
      </c>
      <c r="J9" s="680">
        <f>I9*H9</f>
        <v>27.36</v>
      </c>
      <c r="K9" s="655" t="s">
        <v>48</v>
      </c>
      <c r="L9" s="645" t="s">
        <v>779</v>
      </c>
      <c r="M9" s="646">
        <v>41.760000000000005</v>
      </c>
      <c r="N9" s="645" t="s">
        <v>48</v>
      </c>
      <c r="O9" s="667"/>
      <c r="P9" s="668"/>
    </row>
    <row r="10" spans="1:16" ht="15.75" customHeight="1">
      <c r="A10" s="2552"/>
      <c r="B10" s="2546"/>
      <c r="C10" s="2531"/>
      <c r="D10" s="651">
        <v>6</v>
      </c>
      <c r="E10" s="651">
        <f>1+1+1+1</f>
        <v>4</v>
      </c>
      <c r="F10" s="655" t="s">
        <v>285</v>
      </c>
      <c r="G10" s="645" t="s">
        <v>781</v>
      </c>
      <c r="H10" s="651">
        <f>(4*3.24)+(3*3.6)</f>
        <v>23.76</v>
      </c>
      <c r="I10" s="651">
        <v>1</v>
      </c>
      <c r="J10" s="651">
        <f>I10*H10</f>
        <v>23.76</v>
      </c>
      <c r="K10" s="655" t="s">
        <v>48</v>
      </c>
      <c r="L10" s="645" t="s">
        <v>780</v>
      </c>
      <c r="M10" s="646">
        <v>27.36</v>
      </c>
      <c r="N10" s="645" t="s">
        <v>48</v>
      </c>
      <c r="O10" s="667"/>
      <c r="P10" s="668"/>
    </row>
    <row r="11" spans="1:16" ht="15.75" customHeight="1">
      <c r="A11" s="2552"/>
      <c r="B11" s="2546"/>
      <c r="C11" s="2531"/>
      <c r="D11" s="651">
        <v>8</v>
      </c>
      <c r="E11" s="651">
        <f>1+1+1+1</f>
        <v>4</v>
      </c>
      <c r="F11" s="655" t="s">
        <v>285</v>
      </c>
      <c r="G11" s="645" t="s">
        <v>782</v>
      </c>
      <c r="H11" s="651">
        <f>2*3.24</f>
        <v>6.48</v>
      </c>
      <c r="I11" s="651">
        <v>1</v>
      </c>
      <c r="J11" s="651">
        <f t="shared" ref="J11:J19" si="0">H11*I11</f>
        <v>6.48</v>
      </c>
      <c r="K11" s="655" t="s">
        <v>48</v>
      </c>
      <c r="L11" s="645" t="s">
        <v>781</v>
      </c>
      <c r="M11" s="646">
        <v>23.76</v>
      </c>
      <c r="N11" s="645" t="s">
        <v>48</v>
      </c>
      <c r="O11" s="667"/>
      <c r="P11" s="668"/>
    </row>
    <row r="12" spans="1:16" ht="15.75" customHeight="1">
      <c r="A12" s="2552"/>
      <c r="B12" s="2541" t="s">
        <v>783</v>
      </c>
      <c r="C12" s="2554"/>
      <c r="D12" s="680">
        <v>2</v>
      </c>
      <c r="E12" s="651">
        <f>2+1+1+1</f>
        <v>5</v>
      </c>
      <c r="F12" s="655" t="s">
        <v>285</v>
      </c>
      <c r="G12" s="662" t="s">
        <v>784</v>
      </c>
      <c r="H12" s="651">
        <f>4*3.24</f>
        <v>12.96</v>
      </c>
      <c r="I12" s="651">
        <v>1</v>
      </c>
      <c r="J12" s="651">
        <f t="shared" si="0"/>
        <v>12.96</v>
      </c>
      <c r="K12" s="655" t="s">
        <v>48</v>
      </c>
      <c r="L12" s="645" t="s">
        <v>782</v>
      </c>
      <c r="M12" s="646">
        <f>6.48+J12</f>
        <v>19.440000000000001</v>
      </c>
      <c r="N12" s="645" t="s">
        <v>48</v>
      </c>
      <c r="O12" s="667"/>
      <c r="P12" s="668"/>
    </row>
    <row r="13" spans="1:16" ht="15.75" customHeight="1">
      <c r="A13" s="2552"/>
      <c r="B13" s="2542"/>
      <c r="C13" s="2555"/>
      <c r="D13" s="680">
        <v>3</v>
      </c>
      <c r="E13" s="651">
        <f>34+24+30+30</f>
        <v>118</v>
      </c>
      <c r="F13" s="655" t="s">
        <v>285</v>
      </c>
      <c r="G13" s="662" t="s">
        <v>785</v>
      </c>
      <c r="H13" s="651">
        <f>2*3.24</f>
        <v>6.48</v>
      </c>
      <c r="I13" s="680">
        <v>1</v>
      </c>
      <c r="J13" s="651">
        <f t="shared" si="0"/>
        <v>6.48</v>
      </c>
      <c r="K13" s="655" t="s">
        <v>48</v>
      </c>
      <c r="L13" s="662" t="s">
        <v>785</v>
      </c>
      <c r="M13" s="646">
        <v>6.48</v>
      </c>
      <c r="N13" s="645" t="s">
        <v>48</v>
      </c>
      <c r="O13" s="667"/>
      <c r="P13" s="668"/>
    </row>
    <row r="14" spans="1:16" ht="15.75" customHeight="1">
      <c r="A14" s="2552"/>
      <c r="B14" s="2542"/>
      <c r="C14" s="2555"/>
      <c r="D14" s="680">
        <v>4</v>
      </c>
      <c r="E14" s="651">
        <f>11+11+13+13</f>
        <v>48</v>
      </c>
      <c r="F14" s="655" t="s">
        <v>285</v>
      </c>
      <c r="G14" s="662" t="s">
        <v>786</v>
      </c>
      <c r="H14" s="651">
        <f>5*3.6</f>
        <v>18</v>
      </c>
      <c r="I14" s="651">
        <v>2</v>
      </c>
      <c r="J14" s="651">
        <f t="shared" si="0"/>
        <v>36</v>
      </c>
      <c r="K14" s="655" t="s">
        <v>48</v>
      </c>
      <c r="L14" s="662" t="s">
        <v>786</v>
      </c>
      <c r="M14" s="1458">
        <v>54.000002651473594</v>
      </c>
      <c r="N14" s="645" t="s">
        <v>48</v>
      </c>
      <c r="O14" s="667"/>
      <c r="P14" s="668"/>
    </row>
    <row r="15" spans="1:16" ht="15.75" customHeight="1">
      <c r="A15" s="2552"/>
      <c r="B15" s="2543"/>
      <c r="C15" s="2555"/>
      <c r="D15" s="680">
        <v>6</v>
      </c>
      <c r="E15" s="651">
        <f>2+2+2+2</f>
        <v>8</v>
      </c>
      <c r="F15" s="655" t="s">
        <v>285</v>
      </c>
      <c r="G15" s="662" t="s">
        <v>787</v>
      </c>
      <c r="H15" s="651">
        <f>3*3.6</f>
        <v>10.8</v>
      </c>
      <c r="I15" s="651">
        <v>1</v>
      </c>
      <c r="J15" s="651">
        <f t="shared" si="0"/>
        <v>10.8</v>
      </c>
      <c r="K15" s="655" t="s">
        <v>48</v>
      </c>
      <c r="L15" s="645" t="s">
        <v>789</v>
      </c>
      <c r="M15" s="646">
        <v>12.96</v>
      </c>
      <c r="N15" s="645" t="s">
        <v>48</v>
      </c>
      <c r="O15" s="667"/>
      <c r="P15" s="668"/>
    </row>
    <row r="16" spans="1:16" ht="15.75" customHeight="1">
      <c r="A16" s="2552"/>
      <c r="B16" s="2541" t="s">
        <v>305</v>
      </c>
      <c r="C16" s="2538"/>
      <c r="D16" s="651">
        <v>3</v>
      </c>
      <c r="E16" s="651">
        <v>25</v>
      </c>
      <c r="F16" s="655" t="s">
        <v>285</v>
      </c>
      <c r="G16" s="662" t="s">
        <v>788</v>
      </c>
      <c r="H16" s="651">
        <v>3.6</v>
      </c>
      <c r="I16" s="651">
        <v>2</v>
      </c>
      <c r="J16" s="651">
        <f t="shared" si="0"/>
        <v>7.2</v>
      </c>
      <c r="K16" s="655" t="s">
        <v>48</v>
      </c>
      <c r="L16" s="645" t="s">
        <v>790</v>
      </c>
      <c r="M16" s="646">
        <v>12.96</v>
      </c>
      <c r="N16" s="645" t="s">
        <v>48</v>
      </c>
      <c r="O16" s="667"/>
      <c r="P16" s="668"/>
    </row>
    <row r="17" spans="1:16" ht="15.75" customHeight="1">
      <c r="A17" s="2552"/>
      <c r="B17" s="2542"/>
      <c r="C17" s="2539"/>
      <c r="D17" s="651">
        <v>4</v>
      </c>
      <c r="E17" s="651">
        <v>11</v>
      </c>
      <c r="F17" s="655" t="s">
        <v>285</v>
      </c>
      <c r="G17" s="645" t="s">
        <v>789</v>
      </c>
      <c r="H17" s="651">
        <f>(4*3.24)</f>
        <v>12.96</v>
      </c>
      <c r="I17" s="651">
        <v>1</v>
      </c>
      <c r="J17" s="651">
        <f t="shared" si="0"/>
        <v>12.96</v>
      </c>
      <c r="K17" s="655" t="s">
        <v>48</v>
      </c>
      <c r="L17" s="645" t="s">
        <v>793</v>
      </c>
      <c r="M17" s="646">
        <v>54</v>
      </c>
      <c r="N17" s="645" t="s">
        <v>48</v>
      </c>
      <c r="O17" s="667"/>
      <c r="P17" s="668"/>
    </row>
    <row r="18" spans="1:16" ht="15.75" customHeight="1">
      <c r="A18" s="2553"/>
      <c r="B18" s="2543"/>
      <c r="C18" s="2540"/>
      <c r="D18" s="651">
        <v>6</v>
      </c>
      <c r="E18" s="651">
        <v>1</v>
      </c>
      <c r="F18" s="655" t="s">
        <v>285</v>
      </c>
      <c r="G18" s="645" t="s">
        <v>790</v>
      </c>
      <c r="H18" s="651">
        <f>(3.24*4)</f>
        <v>12.96</v>
      </c>
      <c r="I18" s="651">
        <v>1</v>
      </c>
      <c r="J18" s="651">
        <f t="shared" si="0"/>
        <v>12.96</v>
      </c>
      <c r="K18" s="655" t="s">
        <v>48</v>
      </c>
      <c r="L18" s="642"/>
      <c r="M18" s="677"/>
      <c r="N18" s="676"/>
      <c r="O18" s="667"/>
      <c r="P18" s="668"/>
    </row>
    <row r="19" spans="1:16" ht="15.75" customHeight="1">
      <c r="A19" s="2525" t="s">
        <v>791</v>
      </c>
      <c r="B19" s="2546" t="s">
        <v>792</v>
      </c>
      <c r="C19" s="2531"/>
      <c r="D19" s="680">
        <v>2</v>
      </c>
      <c r="E19" s="651">
        <f>2+1</f>
        <v>3</v>
      </c>
      <c r="F19" s="655" t="s">
        <v>285</v>
      </c>
      <c r="G19" s="645" t="s">
        <v>793</v>
      </c>
      <c r="H19" s="651">
        <f>(5*3.6)</f>
        <v>18</v>
      </c>
      <c r="I19" s="651">
        <v>3</v>
      </c>
      <c r="J19" s="651">
        <f t="shared" si="0"/>
        <v>54</v>
      </c>
      <c r="K19" s="655" t="s">
        <v>48</v>
      </c>
      <c r="L19" s="678"/>
      <c r="N19" s="676"/>
      <c r="O19" s="667"/>
      <c r="P19" s="668"/>
    </row>
    <row r="20" spans="1:16" ht="15.75" customHeight="1">
      <c r="A20" s="2526"/>
      <c r="B20" s="2546"/>
      <c r="C20" s="2531"/>
      <c r="D20" s="680">
        <v>3</v>
      </c>
      <c r="E20" s="651">
        <f>2+2</f>
        <v>4</v>
      </c>
      <c r="F20" s="655" t="s">
        <v>285</v>
      </c>
      <c r="G20" s="667"/>
      <c r="H20" s="667">
        <v>3.24</v>
      </c>
      <c r="I20" s="667"/>
      <c r="J20" s="667"/>
      <c r="K20" s="667"/>
      <c r="L20" s="642"/>
      <c r="N20" s="676"/>
      <c r="O20" s="667"/>
      <c r="P20" s="668"/>
    </row>
    <row r="21" spans="1:16" ht="15.75" customHeight="1">
      <c r="A21" s="2526"/>
      <c r="B21" s="2546"/>
      <c r="C21" s="2531"/>
      <c r="D21" s="680">
        <v>10</v>
      </c>
      <c r="E21" s="651">
        <f>1+1</f>
        <v>2</v>
      </c>
      <c r="F21" s="655" t="s">
        <v>285</v>
      </c>
      <c r="G21" s="667"/>
      <c r="H21" s="667"/>
      <c r="I21" s="667"/>
      <c r="J21" s="667"/>
      <c r="K21" s="667"/>
      <c r="L21" s="642"/>
      <c r="N21" s="676"/>
      <c r="O21" s="667"/>
      <c r="P21" s="668"/>
    </row>
    <row r="22" spans="1:16" ht="15.75" customHeight="1">
      <c r="A22" s="2526"/>
      <c r="B22" s="2541" t="s">
        <v>295</v>
      </c>
      <c r="C22" s="2538"/>
      <c r="D22" s="651">
        <v>2</v>
      </c>
      <c r="E22" s="651">
        <v>1</v>
      </c>
      <c r="F22" s="655" t="s">
        <v>285</v>
      </c>
      <c r="G22" s="667"/>
      <c r="H22" s="667"/>
      <c r="I22" s="667"/>
      <c r="J22" s="667"/>
      <c r="K22" s="667"/>
      <c r="L22" s="678"/>
      <c r="N22" s="676"/>
      <c r="O22" s="667"/>
      <c r="P22" s="668"/>
    </row>
    <row r="23" spans="1:16" ht="15.75" customHeight="1">
      <c r="A23" s="2526"/>
      <c r="B23" s="2542"/>
      <c r="C23" s="2539"/>
      <c r="D23" s="651">
        <v>3</v>
      </c>
      <c r="E23" s="651">
        <v>6</v>
      </c>
      <c r="F23" s="655" t="s">
        <v>285</v>
      </c>
      <c r="G23" s="667"/>
      <c r="H23" s="667"/>
      <c r="I23" s="667"/>
      <c r="J23" s="667"/>
      <c r="K23" s="667"/>
      <c r="L23" s="667"/>
      <c r="M23" s="641">
        <f>+M8/2</f>
        <v>1.62</v>
      </c>
      <c r="N23" s="676"/>
      <c r="O23" s="667"/>
      <c r="P23" s="668"/>
    </row>
    <row r="24" spans="1:16" ht="15.75" customHeight="1">
      <c r="A24" s="2526"/>
      <c r="B24" s="2542"/>
      <c r="C24" s="2539"/>
      <c r="D24" s="651">
        <v>4</v>
      </c>
      <c r="E24" s="651">
        <v>3</v>
      </c>
      <c r="F24" s="655" t="s">
        <v>285</v>
      </c>
      <c r="G24" s="2545" t="s">
        <v>794</v>
      </c>
      <c r="H24" s="2545"/>
      <c r="I24" s="2545"/>
      <c r="J24" s="667"/>
      <c r="K24" s="667"/>
      <c r="L24" s="667"/>
      <c r="M24" s="677">
        <f>+M9/7</f>
        <v>5.9657142857142862</v>
      </c>
      <c r="N24" s="676"/>
      <c r="O24" s="667"/>
      <c r="P24" s="668"/>
    </row>
    <row r="25" spans="1:16" ht="15.75" customHeight="1">
      <c r="A25" s="2526"/>
      <c r="B25" s="2543"/>
      <c r="C25" s="2540"/>
      <c r="D25" s="651">
        <v>10</v>
      </c>
      <c r="E25" s="651">
        <v>1</v>
      </c>
      <c r="F25" s="655" t="s">
        <v>285</v>
      </c>
      <c r="G25" s="645" t="s">
        <v>795</v>
      </c>
      <c r="H25" s="2544" t="s">
        <v>796</v>
      </c>
      <c r="I25" s="2544"/>
      <c r="J25" s="667"/>
      <c r="K25" s="667"/>
      <c r="L25" s="667"/>
      <c r="M25" s="677">
        <f>+M10/9</f>
        <v>3.04</v>
      </c>
      <c r="N25" s="676"/>
      <c r="O25" s="667"/>
      <c r="P25" s="668"/>
    </row>
    <row r="26" spans="1:16" ht="15.75" customHeight="1">
      <c r="A26" s="2526"/>
      <c r="B26" s="2541" t="s">
        <v>299</v>
      </c>
      <c r="C26" s="2538"/>
      <c r="D26" s="651">
        <v>2</v>
      </c>
      <c r="E26" s="651">
        <v>9</v>
      </c>
      <c r="F26" s="655" t="s">
        <v>285</v>
      </c>
      <c r="G26" s="697">
        <v>8</v>
      </c>
      <c r="H26" s="698">
        <v>8</v>
      </c>
      <c r="I26" s="699"/>
      <c r="J26" s="667"/>
      <c r="K26" s="667"/>
      <c r="L26" s="667"/>
      <c r="M26" s="677">
        <f>+M11/8</f>
        <v>2.97</v>
      </c>
      <c r="N26" s="676"/>
      <c r="O26" s="667"/>
      <c r="P26" s="668"/>
    </row>
    <row r="27" spans="1:16" ht="15.75" customHeight="1">
      <c r="A27" s="2526"/>
      <c r="B27" s="2542"/>
      <c r="C27" s="2539"/>
      <c r="D27" s="651">
        <v>3</v>
      </c>
      <c r="E27" s="651">
        <v>1</v>
      </c>
      <c r="F27" s="655" t="s">
        <v>285</v>
      </c>
      <c r="G27" s="667"/>
      <c r="H27" s="667"/>
      <c r="I27" s="667"/>
      <c r="J27" s="667"/>
      <c r="K27" s="667"/>
      <c r="M27" s="677">
        <f>+M12/3</f>
        <v>6.48</v>
      </c>
    </row>
    <row r="28" spans="1:16" ht="15.75" customHeight="1">
      <c r="A28" s="2526"/>
      <c r="B28" s="2542"/>
      <c r="C28" s="2539"/>
      <c r="D28" s="651">
        <v>4</v>
      </c>
      <c r="E28" s="651">
        <v>4</v>
      </c>
      <c r="F28" s="655" t="s">
        <v>285</v>
      </c>
      <c r="G28" s="667"/>
      <c r="H28" s="667"/>
      <c r="I28" s="667"/>
      <c r="J28" s="667"/>
      <c r="K28" s="667"/>
      <c r="M28" s="641">
        <f>+M13/3</f>
        <v>2.16</v>
      </c>
    </row>
    <row r="29" spans="1:16" ht="15.75" customHeight="1">
      <c r="A29" s="2526"/>
      <c r="B29" s="2542"/>
      <c r="C29" s="2539"/>
      <c r="D29" s="651">
        <v>6</v>
      </c>
      <c r="E29" s="651">
        <v>1</v>
      </c>
      <c r="F29" s="655" t="s">
        <v>285</v>
      </c>
      <c r="G29" s="667"/>
      <c r="H29" s="667"/>
      <c r="I29" s="667"/>
      <c r="J29" s="667"/>
      <c r="K29" s="667"/>
      <c r="M29" s="641">
        <f>+M14/5</f>
        <v>10.800000530294719</v>
      </c>
    </row>
    <row r="30" spans="1:16" ht="15.75" customHeight="1">
      <c r="A30" s="2526"/>
      <c r="B30" s="2542"/>
      <c r="C30" s="2539"/>
      <c r="D30" s="651">
        <v>8</v>
      </c>
      <c r="E30" s="651">
        <v>2</v>
      </c>
      <c r="F30" s="655" t="s">
        <v>285</v>
      </c>
      <c r="G30" s="667"/>
      <c r="H30" s="667"/>
      <c r="I30" s="667"/>
      <c r="J30" s="667"/>
      <c r="K30" s="667"/>
      <c r="M30" s="677">
        <f>+M15/5</f>
        <v>2.5920000000000001</v>
      </c>
    </row>
    <row r="31" spans="1:16" ht="15.75" customHeight="1">
      <c r="A31" s="2526"/>
      <c r="B31" s="2543"/>
      <c r="C31" s="2540"/>
      <c r="D31" s="651">
        <v>10</v>
      </c>
      <c r="E31" s="651">
        <v>3</v>
      </c>
      <c r="F31" s="655" t="s">
        <v>285</v>
      </c>
      <c r="G31" s="2545" t="s">
        <v>797</v>
      </c>
      <c r="H31" s="2545"/>
      <c r="I31" s="2545"/>
      <c r="J31" s="2545"/>
      <c r="K31" s="2545"/>
      <c r="M31" s="677">
        <f>+M16/5</f>
        <v>2.5920000000000001</v>
      </c>
    </row>
    <row r="32" spans="1:16" ht="15.75" customHeight="1">
      <c r="A32" s="2526"/>
      <c r="B32" s="2541" t="s">
        <v>301</v>
      </c>
      <c r="C32" s="2538"/>
      <c r="D32" s="651">
        <v>2</v>
      </c>
      <c r="E32" s="651">
        <v>2</v>
      </c>
      <c r="F32" s="655" t="s">
        <v>285</v>
      </c>
      <c r="G32" s="688" t="s">
        <v>798</v>
      </c>
      <c r="H32" s="688" t="s">
        <v>774</v>
      </c>
      <c r="I32" s="688" t="s">
        <v>46</v>
      </c>
      <c r="J32" s="687" t="s">
        <v>799</v>
      </c>
      <c r="K32" s="645" t="s">
        <v>42</v>
      </c>
      <c r="M32" s="641">
        <f>+M17/4</f>
        <v>13.5</v>
      </c>
    </row>
    <row r="33" spans="1:16" ht="15.75" customHeight="1">
      <c r="A33" s="2526"/>
      <c r="B33" s="2542"/>
      <c r="C33" s="2539"/>
      <c r="D33" s="651">
        <v>3</v>
      </c>
      <c r="E33" s="651">
        <v>3</v>
      </c>
      <c r="F33" s="655" t="s">
        <v>285</v>
      </c>
      <c r="G33" s="655" t="s">
        <v>800</v>
      </c>
      <c r="H33" s="655" t="s">
        <v>801</v>
      </c>
      <c r="I33" s="660">
        <v>1</v>
      </c>
      <c r="J33" s="680">
        <f>4.7*1.7*2.5</f>
        <v>19.975000000000001</v>
      </c>
      <c r="K33" s="655" t="s">
        <v>49</v>
      </c>
    </row>
    <row r="34" spans="1:16" ht="15.75" customHeight="1">
      <c r="A34" s="2526"/>
      <c r="B34" s="2542"/>
      <c r="C34" s="2539"/>
      <c r="D34" s="651">
        <v>4</v>
      </c>
      <c r="E34" s="651">
        <v>3</v>
      </c>
      <c r="F34" s="655" t="s">
        <v>285</v>
      </c>
      <c r="G34" s="655" t="s">
        <v>802</v>
      </c>
      <c r="H34" s="655" t="s">
        <v>801</v>
      </c>
      <c r="I34" s="660">
        <v>1</v>
      </c>
      <c r="J34" s="680">
        <v>138.55000000000001</v>
      </c>
      <c r="K34" s="655" t="s">
        <v>49</v>
      </c>
    </row>
    <row r="35" spans="1:16" ht="15.75" customHeight="1">
      <c r="A35" s="2526"/>
      <c r="B35" s="2542"/>
      <c r="C35" s="2539"/>
      <c r="D35" s="651">
        <v>6</v>
      </c>
      <c r="E35" s="651">
        <v>3</v>
      </c>
      <c r="F35" s="655" t="s">
        <v>285</v>
      </c>
      <c r="G35" s="655" t="s">
        <v>803</v>
      </c>
      <c r="H35" s="655" t="s">
        <v>801</v>
      </c>
      <c r="I35" s="660">
        <v>1</v>
      </c>
      <c r="J35" s="680">
        <v>8</v>
      </c>
      <c r="K35" s="655" t="s">
        <v>49</v>
      </c>
    </row>
    <row r="36" spans="1:16" ht="15.75" customHeight="1">
      <c r="A36" s="2526"/>
      <c r="B36" s="2543"/>
      <c r="C36" s="2540"/>
      <c r="D36" s="651">
        <v>8</v>
      </c>
      <c r="E36" s="651">
        <v>2</v>
      </c>
      <c r="F36" s="655" t="s">
        <v>285</v>
      </c>
      <c r="G36" s="667"/>
      <c r="H36" s="667"/>
      <c r="I36" s="667"/>
      <c r="J36" s="667"/>
      <c r="K36" s="667"/>
    </row>
    <row r="37" spans="1:16" ht="15.75" customHeight="1">
      <c r="A37" s="2526"/>
      <c r="B37" s="2546" t="s">
        <v>804</v>
      </c>
      <c r="C37" s="2531"/>
      <c r="D37" s="680">
        <v>2</v>
      </c>
      <c r="E37" s="651">
        <f>2+2+2</f>
        <v>6</v>
      </c>
      <c r="F37" s="655" t="s">
        <v>285</v>
      </c>
      <c r="G37" s="667"/>
      <c r="H37" s="667"/>
      <c r="I37" s="667"/>
      <c r="J37" s="667"/>
      <c r="K37" s="667"/>
      <c r="L37" s="678"/>
      <c r="M37" s="677"/>
      <c r="N37" s="676"/>
      <c r="O37" s="667"/>
      <c r="P37" s="668"/>
    </row>
    <row r="38" spans="1:16" ht="15.75" customHeight="1">
      <c r="A38" s="2526"/>
      <c r="B38" s="2546"/>
      <c r="C38" s="2531"/>
      <c r="D38" s="680">
        <v>6</v>
      </c>
      <c r="E38" s="651">
        <f>2+3+3</f>
        <v>8</v>
      </c>
      <c r="F38" s="655" t="s">
        <v>285</v>
      </c>
      <c r="G38" s="667"/>
      <c r="H38" s="667"/>
      <c r="I38" s="667"/>
      <c r="J38" s="667"/>
      <c r="K38" s="667"/>
      <c r="L38" s="642"/>
      <c r="M38" s="677"/>
      <c r="N38" s="676"/>
      <c r="O38" s="667"/>
      <c r="P38" s="668"/>
    </row>
    <row r="39" spans="1:16" ht="15.75" customHeight="1">
      <c r="A39" s="2526"/>
      <c r="B39" s="685" t="s">
        <v>305</v>
      </c>
      <c r="C39" s="652"/>
      <c r="D39" s="651">
        <v>6</v>
      </c>
      <c r="E39" s="651">
        <v>5</v>
      </c>
      <c r="F39" s="655" t="s">
        <v>285</v>
      </c>
      <c r="G39" s="667"/>
      <c r="H39" s="667"/>
      <c r="I39" s="667"/>
      <c r="J39" s="667"/>
      <c r="K39" s="667"/>
      <c r="L39" s="678"/>
      <c r="M39" s="677"/>
      <c r="N39" s="676"/>
      <c r="O39" s="667"/>
      <c r="P39" s="668"/>
    </row>
    <row r="40" spans="1:16" ht="15.75" customHeight="1">
      <c r="A40" s="2526"/>
      <c r="B40" s="2541" t="s">
        <v>335</v>
      </c>
      <c r="C40" s="2538"/>
      <c r="D40" s="651">
        <v>3</v>
      </c>
      <c r="E40" s="651">
        <v>1</v>
      </c>
      <c r="F40" s="655" t="s">
        <v>285</v>
      </c>
      <c r="G40" s="667"/>
      <c r="H40" s="686"/>
      <c r="I40" s="667"/>
      <c r="J40" s="667"/>
      <c r="K40" s="667"/>
      <c r="L40" s="642"/>
      <c r="M40" s="677"/>
      <c r="N40" s="676"/>
      <c r="O40" s="667"/>
      <c r="P40" s="668"/>
    </row>
    <row r="41" spans="1:16" ht="15.75" customHeight="1">
      <c r="A41" s="2527"/>
      <c r="B41" s="2543"/>
      <c r="C41" s="2540"/>
      <c r="D41" s="651">
        <v>6</v>
      </c>
      <c r="E41" s="651">
        <v>15</v>
      </c>
      <c r="F41" s="655" t="s">
        <v>285</v>
      </c>
      <c r="G41" s="2545" t="s">
        <v>805</v>
      </c>
      <c r="H41" s="2545"/>
      <c r="I41" s="2545"/>
      <c r="J41" s="2545"/>
      <c r="K41" s="667"/>
      <c r="L41" s="678"/>
      <c r="M41" s="677"/>
      <c r="N41" s="676"/>
      <c r="O41" s="667"/>
      <c r="P41" s="668"/>
    </row>
    <row r="42" spans="1:16" ht="15.75" customHeight="1">
      <c r="A42" s="2525" t="s">
        <v>806</v>
      </c>
      <c r="B42" s="2541" t="s">
        <v>281</v>
      </c>
      <c r="C42" s="2538"/>
      <c r="D42" s="651">
        <v>2</v>
      </c>
      <c r="E42" s="651">
        <v>2</v>
      </c>
      <c r="F42" s="655" t="s">
        <v>285</v>
      </c>
      <c r="G42" s="645" t="s">
        <v>798</v>
      </c>
      <c r="H42" s="645" t="s">
        <v>774</v>
      </c>
      <c r="I42" s="645" t="s">
        <v>807</v>
      </c>
      <c r="J42" s="665" t="s">
        <v>808</v>
      </c>
      <c r="K42" s="667"/>
      <c r="L42" s="667"/>
      <c r="M42" s="677"/>
      <c r="N42" s="676"/>
      <c r="O42" s="667"/>
      <c r="P42" s="668"/>
    </row>
    <row r="43" spans="1:16" ht="15.75" customHeight="1">
      <c r="A43" s="2526"/>
      <c r="B43" s="2543"/>
      <c r="C43" s="2540"/>
      <c r="D43" s="651">
        <v>3</v>
      </c>
      <c r="E43" s="651">
        <v>1</v>
      </c>
      <c r="F43" s="655" t="s">
        <v>285</v>
      </c>
      <c r="G43" s="655" t="s">
        <v>809</v>
      </c>
      <c r="H43" s="655" t="s">
        <v>801</v>
      </c>
      <c r="I43" s="660">
        <v>3</v>
      </c>
      <c r="J43" s="655" t="s">
        <v>810</v>
      </c>
      <c r="K43" s="667"/>
    </row>
    <row r="44" spans="1:16" ht="15.75" customHeight="1">
      <c r="A44" s="2526"/>
      <c r="B44" s="2546" t="s">
        <v>811</v>
      </c>
      <c r="C44" s="2531"/>
      <c r="D44" s="680">
        <v>2</v>
      </c>
      <c r="E44" s="651">
        <f>2+3+4+6</f>
        <v>15</v>
      </c>
      <c r="F44" s="655" t="s">
        <v>285</v>
      </c>
      <c r="G44" s="655" t="s">
        <v>800</v>
      </c>
      <c r="H44" s="655" t="s">
        <v>801</v>
      </c>
      <c r="I44" s="660">
        <v>2</v>
      </c>
      <c r="J44" s="659" t="s">
        <v>812</v>
      </c>
      <c r="K44" s="667"/>
      <c r="L44" s="678"/>
      <c r="M44" s="677"/>
      <c r="N44" s="676"/>
      <c r="O44" s="667"/>
      <c r="P44" s="668"/>
    </row>
    <row r="45" spans="1:16" ht="15.75" customHeight="1">
      <c r="A45" s="2526"/>
      <c r="B45" s="2546"/>
      <c r="C45" s="2531"/>
      <c r="D45" s="680">
        <v>3</v>
      </c>
      <c r="E45" s="651">
        <f>1+2+3+1</f>
        <v>7</v>
      </c>
      <c r="F45" s="655" t="s">
        <v>285</v>
      </c>
      <c r="G45" s="655" t="s">
        <v>813</v>
      </c>
      <c r="H45" s="655" t="s">
        <v>801</v>
      </c>
      <c r="I45" s="660">
        <v>1</v>
      </c>
      <c r="J45" s="655" t="s">
        <v>810</v>
      </c>
      <c r="K45" s="667"/>
      <c r="L45" s="642"/>
      <c r="M45" s="677"/>
      <c r="N45" s="676"/>
      <c r="O45" s="667"/>
      <c r="P45" s="668"/>
    </row>
    <row r="46" spans="1:16" ht="15.75" customHeight="1">
      <c r="A46" s="2526"/>
      <c r="B46" s="2546"/>
      <c r="C46" s="2531"/>
      <c r="D46" s="651">
        <v>4</v>
      </c>
      <c r="E46" s="651">
        <f>1+1+1+2</f>
        <v>5</v>
      </c>
      <c r="F46" s="655" t="s">
        <v>285</v>
      </c>
      <c r="G46" s="667"/>
      <c r="H46" s="667"/>
      <c r="I46" s="667"/>
      <c r="J46" s="667"/>
      <c r="K46" s="667"/>
      <c r="L46" s="642"/>
      <c r="M46" s="677"/>
      <c r="N46" s="676"/>
      <c r="O46" s="667"/>
      <c r="P46" s="668"/>
    </row>
    <row r="47" spans="1:16" ht="15.75" customHeight="1">
      <c r="A47" s="2526"/>
      <c r="B47" s="2541" t="s">
        <v>814</v>
      </c>
      <c r="C47" s="2538"/>
      <c r="D47" s="651">
        <v>2</v>
      </c>
      <c r="E47" s="651">
        <f>5+6+6+6</f>
        <v>23</v>
      </c>
      <c r="F47" s="655" t="s">
        <v>285</v>
      </c>
      <c r="G47" s="667"/>
      <c r="H47" s="667"/>
      <c r="I47" s="667"/>
      <c r="J47" s="667"/>
      <c r="K47" s="667"/>
      <c r="L47" s="678"/>
      <c r="M47" s="677"/>
      <c r="N47" s="676"/>
      <c r="O47" s="667"/>
      <c r="P47" s="668"/>
    </row>
    <row r="48" spans="1:16" ht="15.75" customHeight="1">
      <c r="A48" s="2526"/>
      <c r="B48" s="2543"/>
      <c r="C48" s="2540"/>
      <c r="D48" s="651">
        <v>4</v>
      </c>
      <c r="E48" s="651">
        <f>4+3+3+3</f>
        <v>13</v>
      </c>
      <c r="F48" s="655" t="s">
        <v>285</v>
      </c>
      <c r="G48" s="667"/>
      <c r="H48" s="667"/>
      <c r="I48" s="667"/>
      <c r="J48" s="667"/>
      <c r="K48" s="667"/>
      <c r="L48" s="642"/>
      <c r="M48" s="677"/>
      <c r="N48" s="676"/>
      <c r="O48" s="667"/>
      <c r="P48" s="668"/>
    </row>
    <row r="49" spans="1:16" ht="15.75" customHeight="1">
      <c r="A49" s="2527"/>
      <c r="B49" s="685" t="s">
        <v>335</v>
      </c>
      <c r="C49" s="652"/>
      <c r="D49" s="651">
        <v>4</v>
      </c>
      <c r="E49" s="651">
        <v>2</v>
      </c>
      <c r="F49" s="655" t="s">
        <v>285</v>
      </c>
      <c r="G49" s="667"/>
      <c r="H49" s="667"/>
      <c r="I49" s="667"/>
      <c r="J49" s="667"/>
      <c r="K49" s="667"/>
      <c r="L49" s="678"/>
      <c r="M49" s="677"/>
      <c r="N49" s="676"/>
      <c r="O49" s="667"/>
      <c r="P49" s="668"/>
    </row>
    <row r="50" spans="1:16" ht="15.75" customHeight="1">
      <c r="A50" s="684"/>
      <c r="B50" s="683"/>
      <c r="C50" s="682"/>
      <c r="D50" s="681"/>
      <c r="E50" s="680"/>
      <c r="F50" s="679"/>
      <c r="G50" s="667"/>
      <c r="H50" s="667"/>
      <c r="I50" s="667"/>
      <c r="J50" s="667"/>
      <c r="K50" s="667"/>
      <c r="L50" s="678"/>
      <c r="M50" s="677"/>
      <c r="N50" s="676"/>
      <c r="O50" s="667"/>
      <c r="P50" s="668"/>
    </row>
    <row r="51" spans="1:16" ht="15.75" customHeight="1">
      <c r="A51" s="2524" t="s">
        <v>1347</v>
      </c>
      <c r="B51" s="2533" t="s">
        <v>815</v>
      </c>
      <c r="C51" s="2534"/>
      <c r="D51" s="2535"/>
      <c r="E51" s="646">
        <f>E7+E12+E1</f>
        <v>10</v>
      </c>
      <c r="F51" s="645" t="s">
        <v>285</v>
      </c>
      <c r="G51" s="2545" t="s">
        <v>816</v>
      </c>
      <c r="H51" s="2545"/>
      <c r="I51" s="2545"/>
      <c r="J51" s="2545"/>
      <c r="K51" s="667"/>
    </row>
    <row r="52" spans="1:16" ht="15.75" customHeight="1">
      <c r="A52" s="2524"/>
      <c r="B52" s="2533" t="s">
        <v>817</v>
      </c>
      <c r="C52" s="2534"/>
      <c r="D52" s="2535"/>
      <c r="E52" s="646">
        <f>E8+E13+E16</f>
        <v>202</v>
      </c>
      <c r="F52" s="645" t="s">
        <v>285</v>
      </c>
      <c r="G52" s="645" t="s">
        <v>774</v>
      </c>
      <c r="H52" s="645" t="s">
        <v>818</v>
      </c>
      <c r="I52" s="645" t="s">
        <v>46</v>
      </c>
      <c r="J52" s="645" t="s">
        <v>42</v>
      </c>
      <c r="K52" s="667"/>
    </row>
    <row r="53" spans="1:16" ht="15.75" customHeight="1">
      <c r="A53" s="2524"/>
      <c r="B53" s="2533" t="s">
        <v>819</v>
      </c>
      <c r="C53" s="2534"/>
      <c r="D53" s="2535"/>
      <c r="E53" s="646">
        <f>E9+E14+E17</f>
        <v>88</v>
      </c>
      <c r="F53" s="645" t="s">
        <v>285</v>
      </c>
      <c r="G53" s="655" t="s">
        <v>820</v>
      </c>
      <c r="H53" s="651">
        <v>1</v>
      </c>
      <c r="I53" s="660">
        <v>1</v>
      </c>
      <c r="J53" s="655" t="s">
        <v>285</v>
      </c>
      <c r="K53" s="667"/>
    </row>
    <row r="54" spans="1:16" ht="15.75" customHeight="1">
      <c r="A54" s="2524"/>
      <c r="B54" s="2533" t="s">
        <v>821</v>
      </c>
      <c r="C54" s="2534"/>
      <c r="D54" s="2535"/>
      <c r="E54" s="646">
        <f>E10+E15+E18</f>
        <v>13</v>
      </c>
      <c r="F54" s="645" t="s">
        <v>285</v>
      </c>
      <c r="G54" s="655" t="s">
        <v>801</v>
      </c>
      <c r="H54" s="651">
        <v>3</v>
      </c>
      <c r="I54" s="660">
        <v>1</v>
      </c>
      <c r="J54" s="655" t="s">
        <v>285</v>
      </c>
      <c r="K54" s="667"/>
    </row>
    <row r="55" spans="1:16" ht="15.75" customHeight="1">
      <c r="A55" s="2524"/>
      <c r="B55" s="2533" t="s">
        <v>822</v>
      </c>
      <c r="C55" s="2534"/>
      <c r="D55" s="2535"/>
      <c r="E55" s="646">
        <f>E11</f>
        <v>4</v>
      </c>
      <c r="F55" s="645" t="s">
        <v>285</v>
      </c>
      <c r="G55" s="655" t="s">
        <v>801</v>
      </c>
      <c r="H55" s="651">
        <v>2</v>
      </c>
      <c r="I55" s="660">
        <v>1</v>
      </c>
      <c r="J55" s="655" t="s">
        <v>285</v>
      </c>
      <c r="K55" s="667"/>
    </row>
    <row r="56" spans="1:16" ht="15.75" customHeight="1">
      <c r="A56" s="675"/>
      <c r="G56" s="655" t="s">
        <v>801</v>
      </c>
      <c r="H56" s="651">
        <v>4</v>
      </c>
      <c r="I56" s="660">
        <v>4</v>
      </c>
      <c r="J56" s="655" t="s">
        <v>285</v>
      </c>
      <c r="K56" s="667"/>
    </row>
    <row r="57" spans="1:16" ht="15.75" customHeight="1">
      <c r="A57" s="2547" t="s">
        <v>1346</v>
      </c>
      <c r="B57" s="2533" t="s">
        <v>815</v>
      </c>
      <c r="C57" s="2534"/>
      <c r="D57" s="2535"/>
      <c r="E57" s="646">
        <f>E19+E22+E26+E32+E37</f>
        <v>21</v>
      </c>
      <c r="F57" s="645" t="s">
        <v>285</v>
      </c>
      <c r="G57" s="674" t="s">
        <v>824</v>
      </c>
      <c r="H57" s="655" t="s">
        <v>825</v>
      </c>
      <c r="I57" s="660">
        <v>2</v>
      </c>
      <c r="J57" s="655" t="s">
        <v>285</v>
      </c>
      <c r="K57" s="667"/>
    </row>
    <row r="58" spans="1:16" ht="15.75" customHeight="1">
      <c r="A58" s="2548"/>
      <c r="B58" s="2533" t="s">
        <v>817</v>
      </c>
      <c r="C58" s="2534"/>
      <c r="D58" s="2535"/>
      <c r="E58" s="646">
        <f>E20+E23+E27+E33+E40</f>
        <v>15</v>
      </c>
      <c r="F58" s="645" t="s">
        <v>285</v>
      </c>
      <c r="G58" s="668"/>
      <c r="H58" s="668"/>
      <c r="I58" s="669"/>
      <c r="J58" s="668"/>
      <c r="K58" s="667"/>
    </row>
    <row r="59" spans="1:16" ht="15.75" customHeight="1">
      <c r="A59" s="2548"/>
      <c r="B59" s="2533" t="s">
        <v>819</v>
      </c>
      <c r="C59" s="2534"/>
      <c r="D59" s="2535"/>
      <c r="E59" s="646">
        <f>E24+E28+E34</f>
        <v>10</v>
      </c>
      <c r="F59" s="645" t="s">
        <v>285</v>
      </c>
      <c r="G59" s="668"/>
      <c r="H59" s="668"/>
      <c r="I59" s="669"/>
      <c r="J59" s="668"/>
      <c r="K59" s="667"/>
    </row>
    <row r="60" spans="1:16" ht="15.75" customHeight="1">
      <c r="A60" s="2548"/>
      <c r="B60" s="2533" t="s">
        <v>821</v>
      </c>
      <c r="C60" s="2534"/>
      <c r="D60" s="2535"/>
      <c r="E60" s="646">
        <f>E29+E35+E38+E39+E41</f>
        <v>32</v>
      </c>
      <c r="F60" s="645" t="s">
        <v>285</v>
      </c>
      <c r="G60" s="668"/>
      <c r="H60" s="668"/>
      <c r="I60" s="669"/>
      <c r="J60" s="668"/>
      <c r="K60" s="667"/>
    </row>
    <row r="61" spans="1:16" ht="15.75" customHeight="1">
      <c r="A61" s="2548"/>
      <c r="B61" s="2533" t="s">
        <v>822</v>
      </c>
      <c r="C61" s="2534"/>
      <c r="D61" s="2535"/>
      <c r="E61" s="646">
        <f>E30+E36</f>
        <v>4</v>
      </c>
      <c r="F61" s="645" t="s">
        <v>285</v>
      </c>
      <c r="G61" s="668"/>
      <c r="H61" s="668"/>
      <c r="I61" s="669"/>
      <c r="J61" s="668"/>
      <c r="K61" s="667"/>
    </row>
    <row r="62" spans="1:16" ht="15.75" customHeight="1">
      <c r="A62" s="2549"/>
      <c r="B62" s="2533" t="s">
        <v>823</v>
      </c>
      <c r="C62" s="2534"/>
      <c r="D62" s="2535"/>
      <c r="E62" s="646">
        <f>E21+E25+E31</f>
        <v>6</v>
      </c>
      <c r="F62" s="645" t="s">
        <v>285</v>
      </c>
      <c r="G62" s="668"/>
      <c r="H62" s="668"/>
      <c r="I62" s="669"/>
      <c r="J62" s="668"/>
      <c r="K62" s="667"/>
    </row>
    <row r="63" spans="1:16" ht="15.75" customHeight="1">
      <c r="A63" s="649"/>
      <c r="E63" s="670"/>
      <c r="F63" s="650"/>
      <c r="G63" s="668"/>
      <c r="H63" s="668"/>
      <c r="I63" s="669"/>
      <c r="J63" s="668"/>
      <c r="K63" s="667"/>
    </row>
    <row r="64" spans="1:16" ht="15.75" customHeight="1">
      <c r="A64" s="2551" t="s">
        <v>1345</v>
      </c>
      <c r="B64" s="2533" t="s">
        <v>815</v>
      </c>
      <c r="C64" s="2534"/>
      <c r="D64" s="2535"/>
      <c r="E64" s="646">
        <f>E42+E44+E47</f>
        <v>40</v>
      </c>
      <c r="F64" s="645" t="s">
        <v>285</v>
      </c>
      <c r="G64" s="668"/>
      <c r="H64" s="668"/>
      <c r="I64" s="669"/>
      <c r="J64" s="668"/>
      <c r="K64" s="667"/>
    </row>
    <row r="65" spans="1:17" ht="15.75" customHeight="1">
      <c r="A65" s="2552"/>
      <c r="B65" s="2533" t="s">
        <v>817</v>
      </c>
      <c r="C65" s="2534"/>
      <c r="D65" s="2535"/>
      <c r="E65" s="646">
        <f>E43+E45</f>
        <v>8</v>
      </c>
      <c r="F65" s="645" t="s">
        <v>285</v>
      </c>
      <c r="G65" s="668"/>
      <c r="H65" s="668"/>
      <c r="I65" s="669"/>
      <c r="J65" s="668"/>
      <c r="K65" s="667"/>
    </row>
    <row r="66" spans="1:17" ht="15.75" customHeight="1">
      <c r="A66" s="2553"/>
      <c r="B66" s="2533" t="s">
        <v>819</v>
      </c>
      <c r="C66" s="2534"/>
      <c r="D66" s="2535"/>
      <c r="E66" s="646">
        <f>E46+E48+E49</f>
        <v>20</v>
      </c>
      <c r="F66" s="645" t="s">
        <v>285</v>
      </c>
      <c r="G66" s="668"/>
      <c r="H66" s="668"/>
      <c r="I66" s="669"/>
      <c r="J66" s="668"/>
      <c r="K66" s="667"/>
    </row>
    <row r="67" spans="1:17" ht="15.75" customHeight="1">
      <c r="A67" s="649"/>
      <c r="B67" s="673"/>
      <c r="C67" s="672"/>
      <c r="D67" s="671"/>
      <c r="E67" s="670"/>
      <c r="F67" s="655"/>
      <c r="G67" s="668"/>
      <c r="H67" s="668"/>
      <c r="I67" s="669"/>
      <c r="J67" s="668"/>
      <c r="K67" s="667"/>
    </row>
    <row r="68" spans="1:17" ht="18" customHeight="1">
      <c r="A68" s="2556" t="s">
        <v>1749</v>
      </c>
      <c r="B68" s="2556"/>
      <c r="C68" s="2556"/>
      <c r="D68" s="2556"/>
      <c r="E68" s="2556"/>
      <c r="F68" s="2556"/>
      <c r="G68" s="666"/>
      <c r="H68" s="666"/>
      <c r="I68" s="666"/>
      <c r="J68" s="666"/>
      <c r="K68" s="666"/>
    </row>
    <row r="69" spans="1:17" ht="18" customHeight="1">
      <c r="A69" s="665" t="s">
        <v>297</v>
      </c>
      <c r="B69" s="645" t="s">
        <v>774</v>
      </c>
      <c r="C69" s="665" t="s">
        <v>742</v>
      </c>
      <c r="D69" s="665" t="s">
        <v>775</v>
      </c>
      <c r="E69" s="665" t="s">
        <v>46</v>
      </c>
      <c r="F69" s="664" t="s">
        <v>42</v>
      </c>
      <c r="G69" s="663"/>
      <c r="H69" s="663"/>
      <c r="I69" s="663"/>
      <c r="J69" s="663"/>
      <c r="K69" s="663"/>
    </row>
    <row r="70" spans="1:17" ht="18" customHeight="1">
      <c r="A70" s="2525" t="s">
        <v>826</v>
      </c>
      <c r="B70" s="2541" t="s">
        <v>281</v>
      </c>
      <c r="C70" s="2538"/>
      <c r="D70" s="655" t="s">
        <v>746</v>
      </c>
      <c r="E70" s="651">
        <v>9</v>
      </c>
      <c r="F70" s="655" t="s">
        <v>285</v>
      </c>
    </row>
    <row r="71" spans="1:17" ht="18" customHeight="1">
      <c r="A71" s="2526"/>
      <c r="B71" s="2543"/>
      <c r="C71" s="2540"/>
      <c r="D71" s="655" t="s">
        <v>827</v>
      </c>
      <c r="E71" s="651">
        <v>1</v>
      </c>
      <c r="F71" s="655" t="s">
        <v>285</v>
      </c>
    </row>
    <row r="72" spans="1:17" ht="18" customHeight="1">
      <c r="A72" s="2526"/>
      <c r="B72" s="2541" t="s">
        <v>294</v>
      </c>
      <c r="C72" s="2538"/>
      <c r="D72" s="655" t="s">
        <v>746</v>
      </c>
      <c r="E72" s="651">
        <v>10</v>
      </c>
      <c r="F72" s="655" t="s">
        <v>285</v>
      </c>
      <c r="G72" s="2545" t="s">
        <v>828</v>
      </c>
      <c r="H72" s="2545"/>
      <c r="I72" s="2545"/>
    </row>
    <row r="73" spans="1:17" ht="18" customHeight="1">
      <c r="A73" s="2526"/>
      <c r="B73" s="2542"/>
      <c r="C73" s="2539"/>
      <c r="D73" s="651">
        <v>1</v>
      </c>
      <c r="E73" s="651">
        <v>1</v>
      </c>
      <c r="F73" s="655" t="s">
        <v>285</v>
      </c>
      <c r="G73" s="645" t="s">
        <v>818</v>
      </c>
      <c r="H73" s="645" t="s">
        <v>110</v>
      </c>
      <c r="I73" s="662" t="s">
        <v>42</v>
      </c>
      <c r="J73" s="648"/>
    </row>
    <row r="74" spans="1:17" ht="18" customHeight="1">
      <c r="A74" s="2526"/>
      <c r="B74" s="2543"/>
      <c r="C74" s="2540"/>
      <c r="D74" s="655" t="s">
        <v>829</v>
      </c>
      <c r="E74" s="651">
        <v>1</v>
      </c>
      <c r="F74" s="655" t="s">
        <v>285</v>
      </c>
      <c r="G74" s="655" t="s">
        <v>830</v>
      </c>
      <c r="H74" s="651">
        <v>82</v>
      </c>
      <c r="I74" s="659" t="s">
        <v>48</v>
      </c>
      <c r="J74" s="648"/>
    </row>
    <row r="75" spans="1:17" ht="18" customHeight="1">
      <c r="A75" s="2526"/>
      <c r="B75" s="2541" t="s">
        <v>295</v>
      </c>
      <c r="C75" s="2538"/>
      <c r="D75" s="655" t="s">
        <v>746</v>
      </c>
      <c r="E75" s="651">
        <v>15</v>
      </c>
      <c r="F75" s="655" t="s">
        <v>285</v>
      </c>
      <c r="J75" s="648"/>
    </row>
    <row r="76" spans="1:17" ht="18" customHeight="1">
      <c r="A76" s="2526"/>
      <c r="B76" s="2543"/>
      <c r="C76" s="2540"/>
      <c r="D76" s="655" t="s">
        <v>829</v>
      </c>
      <c r="E76" s="651">
        <v>2</v>
      </c>
      <c r="F76" s="655" t="s">
        <v>285</v>
      </c>
    </row>
    <row r="77" spans="1:17" ht="18" customHeight="1">
      <c r="A77" s="2526"/>
      <c r="B77" s="2541" t="s">
        <v>299</v>
      </c>
      <c r="C77" s="2538"/>
      <c r="D77" s="655" t="s">
        <v>746</v>
      </c>
      <c r="E77" s="651">
        <v>10</v>
      </c>
      <c r="F77" s="655" t="s">
        <v>285</v>
      </c>
    </row>
    <row r="78" spans="1:17" ht="18" customHeight="1">
      <c r="A78" s="2526"/>
      <c r="B78" s="2542"/>
      <c r="C78" s="2539"/>
      <c r="D78" s="651">
        <v>1</v>
      </c>
      <c r="E78" s="651">
        <v>1</v>
      </c>
      <c r="F78" s="655" t="s">
        <v>285</v>
      </c>
    </row>
    <row r="79" spans="1:17" ht="18" customHeight="1">
      <c r="A79" s="2526"/>
      <c r="B79" s="2543"/>
      <c r="C79" s="2540"/>
      <c r="D79" s="651">
        <v>2</v>
      </c>
      <c r="E79" s="651">
        <v>1</v>
      </c>
      <c r="F79" s="655" t="s">
        <v>285</v>
      </c>
    </row>
    <row r="80" spans="1:17" ht="18" customHeight="1">
      <c r="A80" s="2526"/>
      <c r="B80" s="2541" t="s">
        <v>301</v>
      </c>
      <c r="C80" s="2538"/>
      <c r="D80" s="655" t="s">
        <v>746</v>
      </c>
      <c r="E80" s="651">
        <v>21</v>
      </c>
      <c r="F80" s="655" t="s">
        <v>285</v>
      </c>
      <c r="G80" s="2528" t="s">
        <v>831</v>
      </c>
      <c r="H80" s="2529"/>
      <c r="I80" s="2529"/>
      <c r="J80" s="2529"/>
      <c r="K80" s="2530"/>
      <c r="M80" s="2528" t="s">
        <v>831</v>
      </c>
      <c r="N80" s="2529"/>
      <c r="O80" s="2529"/>
      <c r="P80" s="2529"/>
      <c r="Q80" s="2530"/>
    </row>
    <row r="81" spans="1:18" ht="18" customHeight="1">
      <c r="A81" s="2526"/>
      <c r="B81" s="2542"/>
      <c r="C81" s="2539"/>
      <c r="D81" s="655" t="s">
        <v>827</v>
      </c>
      <c r="E81" s="651">
        <v>1</v>
      </c>
      <c r="F81" s="655" t="s">
        <v>285</v>
      </c>
      <c r="G81" s="645" t="s">
        <v>832</v>
      </c>
      <c r="H81" s="662" t="s">
        <v>742</v>
      </c>
      <c r="I81" s="662" t="s">
        <v>509</v>
      </c>
      <c r="J81" s="662" t="s">
        <v>110</v>
      </c>
      <c r="K81" s="662" t="s">
        <v>42</v>
      </c>
      <c r="L81" s="641" t="s">
        <v>3114</v>
      </c>
      <c r="M81" s="645" t="s">
        <v>832</v>
      </c>
      <c r="N81" s="662" t="s">
        <v>742</v>
      </c>
      <c r="O81" s="662" t="s">
        <v>0</v>
      </c>
      <c r="P81" s="662" t="s">
        <v>110</v>
      </c>
      <c r="Q81" s="662" t="s">
        <v>42</v>
      </c>
    </row>
    <row r="82" spans="1:18" ht="18" customHeight="1">
      <c r="A82" s="2526"/>
      <c r="B82" s="2542"/>
      <c r="C82" s="2539"/>
      <c r="D82" s="651">
        <v>1</v>
      </c>
      <c r="E82" s="651">
        <v>1</v>
      </c>
      <c r="F82" s="655" t="s">
        <v>285</v>
      </c>
      <c r="G82" s="655" t="s">
        <v>833</v>
      </c>
      <c r="H82" s="654"/>
      <c r="I82" s="661" t="s">
        <v>829</v>
      </c>
      <c r="J82" s="660">
        <f>6.475+8.2295+32.1373+3.3165+1.9974+4.5511+1.233+0.35+1.2259+1.9662+1.027+1.68+0.6904+0.81+1.6223</f>
        <v>67.311599999999999</v>
      </c>
      <c r="K82" s="655" t="s">
        <v>48</v>
      </c>
      <c r="L82" s="641">
        <f>J82/9</f>
        <v>7.4790666666666663</v>
      </c>
      <c r="M82" s="2532" t="s">
        <v>834</v>
      </c>
      <c r="N82" s="2531"/>
      <c r="O82" s="655" t="s">
        <v>835</v>
      </c>
      <c r="P82" s="651">
        <v>17</v>
      </c>
      <c r="Q82" s="655" t="s">
        <v>285</v>
      </c>
    </row>
    <row r="83" spans="1:18" ht="18" customHeight="1">
      <c r="A83" s="2526"/>
      <c r="B83" s="2543"/>
      <c r="C83" s="2540"/>
      <c r="D83" s="651">
        <v>2</v>
      </c>
      <c r="E83" s="651">
        <v>1</v>
      </c>
      <c r="F83" s="655" t="s">
        <v>285</v>
      </c>
      <c r="G83" s="2532" t="s">
        <v>836</v>
      </c>
      <c r="H83" s="2531"/>
      <c r="I83" s="651">
        <v>1</v>
      </c>
      <c r="J83" s="660">
        <f>0.6458+7.2232+1.202+0.27733+0.76+1.77+7.31+4.98+0.36+2.17+5.31+5.21+6.52+6.52+7.61+7.7+2.36+2.77+0.28+0.25+38.9</f>
        <v>110.12833000000001</v>
      </c>
      <c r="K83" s="655" t="s">
        <v>48</v>
      </c>
      <c r="L83" s="641">
        <f>J83/9</f>
        <v>12.236481111111111</v>
      </c>
      <c r="M83" s="2532"/>
      <c r="N83" s="2531"/>
      <c r="O83" s="655" t="s">
        <v>837</v>
      </c>
      <c r="P83" s="651">
        <v>23</v>
      </c>
      <c r="Q83" s="655" t="s">
        <v>285</v>
      </c>
    </row>
    <row r="84" spans="1:18" ht="18" customHeight="1">
      <c r="A84" s="2526"/>
      <c r="B84" s="2541" t="s">
        <v>838</v>
      </c>
      <c r="C84" s="2538"/>
      <c r="D84" s="655" t="s">
        <v>746</v>
      </c>
      <c r="E84" s="651">
        <f>13*3</f>
        <v>39</v>
      </c>
      <c r="F84" s="655" t="s">
        <v>285</v>
      </c>
      <c r="G84" s="2532"/>
      <c r="H84" s="2531"/>
      <c r="I84" s="655" t="s">
        <v>839</v>
      </c>
      <c r="J84" s="660">
        <f>2.2522+9.45+5.13+5.84+2.19+1.75+1.87+3.8+0.62+0.32+0.3+0.24+3.44</f>
        <v>37.202199999999998</v>
      </c>
      <c r="K84" s="655" t="s">
        <v>48</v>
      </c>
      <c r="L84" s="641">
        <f>J84/9</f>
        <v>4.1335777777777771</v>
      </c>
      <c r="M84" s="2532"/>
      <c r="N84" s="2531"/>
      <c r="O84" s="655" t="s">
        <v>840</v>
      </c>
      <c r="P84" s="651">
        <v>3</v>
      </c>
      <c r="Q84" s="655" t="s">
        <v>285</v>
      </c>
    </row>
    <row r="85" spans="1:18" ht="18" customHeight="1">
      <c r="A85" s="2526"/>
      <c r="B85" s="2542"/>
      <c r="C85" s="2539"/>
      <c r="D85" s="655" t="s">
        <v>827</v>
      </c>
      <c r="E85" s="651">
        <f>2*3</f>
        <v>6</v>
      </c>
      <c r="F85" s="655" t="s">
        <v>285</v>
      </c>
      <c r="G85" s="2532"/>
      <c r="H85" s="2531"/>
      <c r="I85" s="651">
        <v>2</v>
      </c>
      <c r="J85" s="660">
        <f>0.15+0.08+41.9+41.9+3.12+3.54+0.33+0.39+0.92+0.97+13.4</f>
        <v>106.70000000000002</v>
      </c>
      <c r="K85" s="655" t="s">
        <v>48</v>
      </c>
      <c r="L85" s="641">
        <f>J85/9</f>
        <v>11.855555555555558</v>
      </c>
      <c r="M85" s="2532"/>
      <c r="N85" s="2531"/>
      <c r="O85" s="659" t="s">
        <v>841</v>
      </c>
      <c r="P85" s="651">
        <v>193</v>
      </c>
      <c r="Q85" s="655" t="s">
        <v>285</v>
      </c>
    </row>
    <row r="86" spans="1:18" ht="18" customHeight="1">
      <c r="A86" s="2526"/>
      <c r="B86" s="2543"/>
      <c r="C86" s="2540"/>
      <c r="D86" s="655" t="s">
        <v>839</v>
      </c>
      <c r="E86" s="651">
        <f>1*3</f>
        <v>3</v>
      </c>
      <c r="F86" s="655" t="s">
        <v>285</v>
      </c>
      <c r="G86" s="2536"/>
      <c r="H86" s="2531"/>
      <c r="I86" s="651" t="s">
        <v>829</v>
      </c>
      <c r="J86" s="660">
        <f>41.63+3.97+0.42</f>
        <v>46.02</v>
      </c>
      <c r="K86" s="655" t="s">
        <v>48</v>
      </c>
      <c r="L86" s="641">
        <f>J86/9</f>
        <v>5.1133333333333333</v>
      </c>
      <c r="M86" s="2532"/>
      <c r="N86" s="2531"/>
      <c r="O86" s="659" t="s">
        <v>842</v>
      </c>
      <c r="P86" s="660">
        <v>126.43</v>
      </c>
      <c r="Q86" s="659" t="s">
        <v>48</v>
      </c>
      <c r="R86" s="641">
        <f>P86/9</f>
        <v>14.047777777777778</v>
      </c>
    </row>
    <row r="87" spans="1:18" ht="18" customHeight="1">
      <c r="A87" s="2526"/>
      <c r="B87" s="2541" t="s">
        <v>305</v>
      </c>
      <c r="C87" s="2538"/>
      <c r="D87" s="655" t="s">
        <v>746</v>
      </c>
      <c r="E87" s="651">
        <v>14</v>
      </c>
      <c r="F87" s="655" t="s">
        <v>285</v>
      </c>
      <c r="G87" s="644">
        <f>E84/3</f>
        <v>13</v>
      </c>
      <c r="H87" s="642"/>
      <c r="I87" s="643"/>
      <c r="J87" s="643"/>
      <c r="K87" s="644"/>
      <c r="L87" s="641" t="s">
        <v>3115</v>
      </c>
      <c r="M87" s="2532"/>
      <c r="N87" s="2531"/>
      <c r="O87" s="659" t="s">
        <v>843</v>
      </c>
      <c r="P87" s="660">
        <v>161.16999999999999</v>
      </c>
      <c r="Q87" s="659" t="s">
        <v>48</v>
      </c>
      <c r="R87" s="641">
        <f>P87/9</f>
        <v>17.907777777777778</v>
      </c>
    </row>
    <row r="88" spans="1:18" ht="18" customHeight="1">
      <c r="A88" s="2526"/>
      <c r="B88" s="2542"/>
      <c r="C88" s="2539"/>
      <c r="D88" s="655" t="s">
        <v>827</v>
      </c>
      <c r="E88" s="651">
        <v>1</v>
      </c>
      <c r="F88" s="655" t="s">
        <v>285</v>
      </c>
      <c r="G88" s="644">
        <f>E85/3</f>
        <v>2</v>
      </c>
      <c r="H88" s="642"/>
      <c r="I88" s="643"/>
      <c r="J88" s="643"/>
      <c r="K88" s="644"/>
      <c r="M88" s="658"/>
      <c r="N88" s="657"/>
      <c r="O88" s="656"/>
    </row>
    <row r="89" spans="1:18" ht="18" customHeight="1">
      <c r="A89" s="2527"/>
      <c r="B89" s="2543"/>
      <c r="C89" s="2540"/>
      <c r="D89" s="655" t="s">
        <v>829</v>
      </c>
      <c r="E89" s="651">
        <v>1</v>
      </c>
      <c r="F89" s="655" t="s">
        <v>285</v>
      </c>
      <c r="G89" s="644">
        <f>E86/3</f>
        <v>1</v>
      </c>
      <c r="H89" s="642"/>
      <c r="I89" s="643"/>
      <c r="J89" s="643"/>
      <c r="K89" s="644"/>
    </row>
    <row r="90" spans="1:18" ht="18" customHeight="1">
      <c r="A90" s="2525" t="s">
        <v>844</v>
      </c>
      <c r="B90" s="2541" t="s">
        <v>281</v>
      </c>
      <c r="C90" s="2538"/>
      <c r="D90" s="655" t="s">
        <v>746</v>
      </c>
      <c r="E90" s="651">
        <v>1</v>
      </c>
      <c r="F90" s="655" t="s">
        <v>285</v>
      </c>
      <c r="G90" s="644"/>
      <c r="H90" s="642"/>
      <c r="I90" s="642"/>
      <c r="J90" s="642"/>
      <c r="K90" s="644"/>
    </row>
    <row r="91" spans="1:18" ht="18" customHeight="1">
      <c r="A91" s="2526"/>
      <c r="B91" s="2542"/>
      <c r="C91" s="2539"/>
      <c r="D91" s="655" t="s">
        <v>827</v>
      </c>
      <c r="E91" s="651">
        <v>2</v>
      </c>
      <c r="F91" s="655" t="s">
        <v>285</v>
      </c>
      <c r="G91" s="642"/>
      <c r="H91" s="642"/>
      <c r="I91" s="642"/>
      <c r="J91" s="642"/>
      <c r="K91" s="642"/>
    </row>
    <row r="92" spans="1:18" ht="18" customHeight="1">
      <c r="A92" s="2526"/>
      <c r="B92" s="2543"/>
      <c r="C92" s="2540"/>
      <c r="D92" s="655" t="s">
        <v>829</v>
      </c>
      <c r="E92" s="651">
        <v>4</v>
      </c>
      <c r="F92" s="655" t="s">
        <v>285</v>
      </c>
    </row>
    <row r="93" spans="1:18" ht="18" customHeight="1">
      <c r="A93" s="2526"/>
      <c r="B93" s="2541" t="s">
        <v>294</v>
      </c>
      <c r="C93" s="2538"/>
      <c r="D93" s="655" t="s">
        <v>827</v>
      </c>
      <c r="E93" s="651">
        <v>3</v>
      </c>
      <c r="F93" s="655" t="s">
        <v>285</v>
      </c>
    </row>
    <row r="94" spans="1:18" ht="18" customHeight="1">
      <c r="A94" s="2526"/>
      <c r="B94" s="2542"/>
      <c r="C94" s="2539"/>
      <c r="D94" s="655" t="s">
        <v>829</v>
      </c>
      <c r="E94" s="651">
        <v>3</v>
      </c>
      <c r="F94" s="655" t="s">
        <v>285</v>
      </c>
    </row>
    <row r="95" spans="1:18" ht="18" customHeight="1">
      <c r="A95" s="2526"/>
      <c r="B95" s="2542"/>
      <c r="C95" s="2539"/>
      <c r="D95" s="651">
        <v>2</v>
      </c>
      <c r="E95" s="651">
        <v>1</v>
      </c>
      <c r="F95" s="655" t="s">
        <v>285</v>
      </c>
    </row>
    <row r="96" spans="1:18" ht="18" customHeight="1">
      <c r="A96" s="2526"/>
      <c r="B96" s="2543"/>
      <c r="C96" s="2540"/>
      <c r="D96" s="655" t="s">
        <v>845</v>
      </c>
      <c r="E96" s="651">
        <v>1</v>
      </c>
      <c r="F96" s="655" t="s">
        <v>285</v>
      </c>
    </row>
    <row r="97" spans="1:10" ht="18" customHeight="1">
      <c r="A97" s="2526"/>
      <c r="B97" s="2541" t="s">
        <v>295</v>
      </c>
      <c r="C97" s="2538"/>
      <c r="D97" s="655" t="s">
        <v>827</v>
      </c>
      <c r="E97" s="651">
        <v>2</v>
      </c>
      <c r="F97" s="655" t="s">
        <v>285</v>
      </c>
    </row>
    <row r="98" spans="1:10" ht="18" customHeight="1">
      <c r="A98" s="2526"/>
      <c r="B98" s="2542"/>
      <c r="C98" s="2539"/>
      <c r="D98" s="655" t="s">
        <v>829</v>
      </c>
      <c r="E98" s="651">
        <v>6</v>
      </c>
      <c r="F98" s="655" t="s">
        <v>285</v>
      </c>
    </row>
    <row r="99" spans="1:10" ht="18" customHeight="1">
      <c r="A99" s="2526"/>
      <c r="B99" s="2543"/>
      <c r="C99" s="2540"/>
      <c r="D99" s="655" t="s">
        <v>845</v>
      </c>
      <c r="E99" s="651">
        <v>2</v>
      </c>
      <c r="F99" s="655" t="s">
        <v>285</v>
      </c>
    </row>
    <row r="100" spans="1:10" ht="18" customHeight="1">
      <c r="A100" s="2526"/>
      <c r="B100" s="2541" t="s">
        <v>299</v>
      </c>
      <c r="C100" s="2538"/>
      <c r="D100" s="655" t="s">
        <v>827</v>
      </c>
      <c r="E100" s="651">
        <v>3</v>
      </c>
      <c r="F100" s="655" t="s">
        <v>285</v>
      </c>
    </row>
    <row r="101" spans="1:10" ht="18" customHeight="1">
      <c r="A101" s="2526"/>
      <c r="B101" s="2542"/>
      <c r="C101" s="2539"/>
      <c r="D101" s="655" t="s">
        <v>829</v>
      </c>
      <c r="E101" s="651">
        <v>6</v>
      </c>
      <c r="F101" s="655" t="s">
        <v>285</v>
      </c>
    </row>
    <row r="102" spans="1:10" ht="18" customHeight="1">
      <c r="A102" s="2526"/>
      <c r="B102" s="2543"/>
      <c r="C102" s="2540"/>
      <c r="D102" s="651">
        <v>4</v>
      </c>
      <c r="E102" s="651">
        <v>1</v>
      </c>
      <c r="F102" s="655" t="s">
        <v>285</v>
      </c>
    </row>
    <row r="103" spans="1:10" ht="18" customHeight="1">
      <c r="A103" s="2526"/>
      <c r="B103" s="2541" t="s">
        <v>301</v>
      </c>
      <c r="C103" s="2538"/>
      <c r="D103" s="655" t="s">
        <v>746</v>
      </c>
      <c r="E103" s="651">
        <v>2</v>
      </c>
      <c r="F103" s="655" t="s">
        <v>285</v>
      </c>
    </row>
    <row r="104" spans="1:10" ht="18" customHeight="1">
      <c r="A104" s="2526"/>
      <c r="B104" s="2542"/>
      <c r="C104" s="2539"/>
      <c r="D104" s="655" t="s">
        <v>827</v>
      </c>
      <c r="E104" s="651">
        <v>2</v>
      </c>
      <c r="F104" s="655" t="s">
        <v>285</v>
      </c>
    </row>
    <row r="105" spans="1:10" ht="18" customHeight="1">
      <c r="A105" s="2526"/>
      <c r="B105" s="2542"/>
      <c r="C105" s="2539"/>
      <c r="D105" s="655" t="s">
        <v>829</v>
      </c>
      <c r="E105" s="651">
        <v>7</v>
      </c>
      <c r="F105" s="655" t="s">
        <v>285</v>
      </c>
    </row>
    <row r="106" spans="1:10" ht="18" customHeight="1">
      <c r="A106" s="2526"/>
      <c r="B106" s="2542"/>
      <c r="C106" s="2539"/>
      <c r="D106" s="651">
        <v>3</v>
      </c>
      <c r="E106" s="651">
        <v>1</v>
      </c>
      <c r="F106" s="655" t="s">
        <v>285</v>
      </c>
    </row>
    <row r="107" spans="1:10" ht="18" customHeight="1">
      <c r="A107" s="2526"/>
      <c r="B107" s="2543"/>
      <c r="C107" s="2540"/>
      <c r="D107" s="651">
        <v>4</v>
      </c>
      <c r="E107" s="651">
        <v>1</v>
      </c>
      <c r="F107" s="655" t="s">
        <v>285</v>
      </c>
    </row>
    <row r="108" spans="1:10" ht="18" customHeight="1">
      <c r="A108" s="2526"/>
      <c r="B108" s="2541" t="s">
        <v>846</v>
      </c>
      <c r="C108" s="2538"/>
      <c r="D108" s="655" t="s">
        <v>827</v>
      </c>
      <c r="E108" s="651">
        <f>(4*3)+4</f>
        <v>16</v>
      </c>
      <c r="F108" s="655" t="s">
        <v>285</v>
      </c>
      <c r="G108" s="641">
        <f>E108/4</f>
        <v>4</v>
      </c>
    </row>
    <row r="109" spans="1:10" ht="18" customHeight="1">
      <c r="A109" s="2526"/>
      <c r="B109" s="2542"/>
      <c r="C109" s="2539"/>
      <c r="D109" s="655" t="s">
        <v>829</v>
      </c>
      <c r="E109" s="651">
        <f>(10*3)+10</f>
        <v>40</v>
      </c>
      <c r="F109" s="655" t="s">
        <v>285</v>
      </c>
      <c r="G109" s="641">
        <f>E109/4</f>
        <v>10</v>
      </c>
    </row>
    <row r="110" spans="1:10" ht="18" customHeight="1">
      <c r="A110" s="2527"/>
      <c r="B110" s="2543"/>
      <c r="C110" s="2540"/>
      <c r="D110" s="651">
        <v>2</v>
      </c>
      <c r="E110" s="651">
        <f>(1*3)+1</f>
        <v>4</v>
      </c>
      <c r="F110" s="655" t="s">
        <v>285</v>
      </c>
      <c r="G110" s="641">
        <f>E110/4</f>
        <v>1</v>
      </c>
      <c r="H110" s="642"/>
      <c r="I110" s="642"/>
      <c r="J110" s="642"/>
    </row>
    <row r="111" spans="1:10" ht="18" customHeight="1">
      <c r="A111" s="654"/>
      <c r="B111" s="653"/>
      <c r="C111" s="652"/>
      <c r="D111" s="651"/>
      <c r="E111" s="651"/>
      <c r="F111" s="650"/>
      <c r="G111" s="642"/>
      <c r="H111" s="642"/>
      <c r="I111" s="642"/>
      <c r="J111" s="642"/>
    </row>
    <row r="112" spans="1:10" ht="18" customHeight="1">
      <c r="A112" s="2524" t="s">
        <v>1344</v>
      </c>
      <c r="B112" s="2523" t="s">
        <v>847</v>
      </c>
      <c r="C112" s="2523"/>
      <c r="D112" s="2523"/>
      <c r="E112" s="646">
        <f>E70+E72+E75+E77+E80+E84+E87</f>
        <v>118</v>
      </c>
      <c r="F112" s="645" t="s">
        <v>285</v>
      </c>
      <c r="G112" s="644"/>
      <c r="H112" s="2537"/>
      <c r="I112" s="2537"/>
      <c r="J112" s="2537"/>
    </row>
    <row r="113" spans="1:10" ht="18" customHeight="1">
      <c r="A113" s="2524"/>
      <c r="B113" s="2523" t="s">
        <v>848</v>
      </c>
      <c r="C113" s="2523"/>
      <c r="D113" s="2523"/>
      <c r="E113" s="646">
        <f>E71+E81+E85+E88</f>
        <v>9</v>
      </c>
      <c r="F113" s="645" t="s">
        <v>285</v>
      </c>
      <c r="G113" s="644"/>
      <c r="H113" s="2537"/>
      <c r="I113" s="2537"/>
      <c r="J113" s="2537"/>
    </row>
    <row r="114" spans="1:10" ht="18" customHeight="1">
      <c r="A114" s="2524"/>
      <c r="B114" s="2523" t="s">
        <v>849</v>
      </c>
      <c r="C114" s="2523"/>
      <c r="D114" s="2523"/>
      <c r="E114" s="646">
        <f>E73+E78+E82</f>
        <v>3</v>
      </c>
      <c r="F114" s="645" t="s">
        <v>285</v>
      </c>
      <c r="G114" s="644"/>
      <c r="H114" s="2537"/>
      <c r="I114" s="2537"/>
      <c r="J114" s="2537"/>
    </row>
    <row r="115" spans="1:10" ht="18" customHeight="1">
      <c r="A115" s="2524"/>
      <c r="B115" s="2523" t="s">
        <v>850</v>
      </c>
      <c r="C115" s="2523"/>
      <c r="D115" s="2523"/>
      <c r="E115" s="646">
        <f>E86</f>
        <v>3</v>
      </c>
      <c r="F115" s="645" t="s">
        <v>285</v>
      </c>
      <c r="G115" s="644"/>
      <c r="H115" s="2537"/>
      <c r="I115" s="2537"/>
      <c r="J115" s="2537"/>
    </row>
    <row r="116" spans="1:10" ht="18" customHeight="1">
      <c r="A116" s="2524"/>
      <c r="B116" s="2523" t="s">
        <v>851</v>
      </c>
      <c r="C116" s="2523"/>
      <c r="D116" s="2523"/>
      <c r="E116" s="646">
        <f>E74+E76+E89</f>
        <v>4</v>
      </c>
      <c r="F116" s="645" t="s">
        <v>285</v>
      </c>
      <c r="G116" s="644"/>
      <c r="H116" s="2537"/>
      <c r="I116" s="2537"/>
      <c r="J116" s="2537"/>
    </row>
    <row r="117" spans="1:10" ht="18" customHeight="1">
      <c r="A117" s="2524"/>
      <c r="B117" s="2523" t="s">
        <v>852</v>
      </c>
      <c r="C117" s="2523"/>
      <c r="D117" s="2523"/>
      <c r="E117" s="646">
        <f>E79+E83</f>
        <v>2</v>
      </c>
      <c r="F117" s="645" t="s">
        <v>285</v>
      </c>
      <c r="G117" s="643"/>
      <c r="H117" s="2537"/>
      <c r="I117" s="2537"/>
      <c r="J117" s="2537"/>
    </row>
    <row r="118" spans="1:10" ht="18" customHeight="1">
      <c r="A118" s="649"/>
      <c r="B118" s="648"/>
      <c r="E118" s="645"/>
      <c r="F118" s="647"/>
      <c r="G118" s="644"/>
      <c r="H118" s="2537"/>
      <c r="I118" s="2537"/>
      <c r="J118" s="2537"/>
    </row>
    <row r="119" spans="1:10" ht="18.75" customHeight="1">
      <c r="A119" s="2524" t="s">
        <v>1343</v>
      </c>
      <c r="B119" s="2523" t="s">
        <v>847</v>
      </c>
      <c r="C119" s="2523"/>
      <c r="D119" s="2523"/>
      <c r="E119" s="646">
        <f>E90+E103</f>
        <v>3</v>
      </c>
      <c r="F119" s="645" t="s">
        <v>285</v>
      </c>
      <c r="G119" s="644"/>
      <c r="H119" s="2537"/>
      <c r="I119" s="2537"/>
      <c r="J119" s="2537"/>
    </row>
    <row r="120" spans="1:10" ht="18.75" customHeight="1">
      <c r="A120" s="2524"/>
      <c r="B120" s="2523" t="s">
        <v>848</v>
      </c>
      <c r="C120" s="2523"/>
      <c r="D120" s="2523"/>
      <c r="E120" s="646">
        <f>E91+E93+E97+E100+E104+E108</f>
        <v>28</v>
      </c>
      <c r="F120" s="645" t="s">
        <v>285</v>
      </c>
      <c r="G120" s="644"/>
      <c r="H120" s="2537"/>
      <c r="I120" s="2537"/>
      <c r="J120" s="2537"/>
    </row>
    <row r="121" spans="1:10" ht="18.75" customHeight="1">
      <c r="A121" s="2524"/>
      <c r="B121" s="2523" t="s">
        <v>851</v>
      </c>
      <c r="C121" s="2523"/>
      <c r="D121" s="2523"/>
      <c r="E121" s="646">
        <f>E92+E94+E98+E101+E105+E109</f>
        <v>66</v>
      </c>
      <c r="F121" s="645" t="s">
        <v>285</v>
      </c>
      <c r="G121" s="644"/>
      <c r="H121" s="642"/>
      <c r="I121" s="642"/>
      <c r="J121" s="642"/>
    </row>
    <row r="122" spans="1:10" ht="18.75" customHeight="1">
      <c r="A122" s="2524"/>
      <c r="B122" s="2523" t="s">
        <v>852</v>
      </c>
      <c r="C122" s="2523"/>
      <c r="D122" s="2523"/>
      <c r="E122" s="646">
        <f>E95+E110</f>
        <v>5</v>
      </c>
      <c r="F122" s="645" t="s">
        <v>285</v>
      </c>
      <c r="G122" s="644"/>
      <c r="H122" s="642"/>
      <c r="I122" s="642"/>
      <c r="J122" s="642"/>
    </row>
    <row r="123" spans="1:10" ht="18.75" customHeight="1">
      <c r="A123" s="2524"/>
      <c r="B123" s="2523" t="s">
        <v>853</v>
      </c>
      <c r="C123" s="2523"/>
      <c r="D123" s="2523"/>
      <c r="E123" s="646">
        <f>E96+E99</f>
        <v>3</v>
      </c>
      <c r="F123" s="645" t="s">
        <v>285</v>
      </c>
      <c r="G123" s="644"/>
      <c r="H123" s="642"/>
      <c r="I123" s="642"/>
      <c r="J123" s="642"/>
    </row>
    <row r="124" spans="1:10" ht="18.75" customHeight="1">
      <c r="A124" s="2524"/>
      <c r="B124" s="2523" t="s">
        <v>854</v>
      </c>
      <c r="C124" s="2523"/>
      <c r="D124" s="2523"/>
      <c r="E124" s="646">
        <f>E106</f>
        <v>1</v>
      </c>
      <c r="F124" s="645" t="s">
        <v>285</v>
      </c>
      <c r="G124" s="643"/>
      <c r="H124" s="642"/>
      <c r="I124" s="642"/>
      <c r="J124" s="642"/>
    </row>
    <row r="125" spans="1:10" ht="18.75" customHeight="1">
      <c r="A125" s="2524"/>
      <c r="B125" s="2523" t="s">
        <v>855</v>
      </c>
      <c r="C125" s="2523"/>
      <c r="D125" s="2523"/>
      <c r="E125" s="646">
        <f>E102+E107</f>
        <v>2</v>
      </c>
      <c r="F125" s="645" t="s">
        <v>285</v>
      </c>
      <c r="G125" s="644"/>
      <c r="H125" s="642"/>
      <c r="I125" s="642"/>
      <c r="J125" s="642"/>
    </row>
    <row r="126" spans="1:10" ht="18.75" customHeight="1">
      <c r="G126" s="644"/>
      <c r="H126" s="642"/>
      <c r="I126" s="642"/>
      <c r="J126" s="642"/>
    </row>
    <row r="127" spans="1:10" ht="18.75" customHeight="1">
      <c r="G127" s="644"/>
      <c r="H127" s="642"/>
      <c r="I127" s="642"/>
      <c r="J127" s="642"/>
    </row>
    <row r="128" spans="1:10" ht="18.75" customHeight="1">
      <c r="G128" s="643"/>
      <c r="H128" s="642"/>
      <c r="I128" s="642"/>
      <c r="J128" s="642"/>
    </row>
    <row r="129" spans="7:10" ht="18.75" customHeight="1">
      <c r="G129" s="643"/>
      <c r="H129" s="642"/>
      <c r="I129" s="642"/>
      <c r="J129" s="642"/>
    </row>
    <row r="130" spans="7:10" ht="18.75" customHeight="1">
      <c r="G130" s="644"/>
      <c r="H130" s="642"/>
      <c r="I130" s="642"/>
      <c r="J130" s="642"/>
    </row>
    <row r="131" spans="7:10" ht="18.75" customHeight="1">
      <c r="G131" s="644"/>
      <c r="H131" s="642"/>
      <c r="I131" s="642"/>
      <c r="J131" s="642"/>
    </row>
    <row r="132" spans="7:10" ht="18.75" customHeight="1">
      <c r="G132" s="643"/>
      <c r="H132" s="642"/>
      <c r="I132" s="642"/>
      <c r="J132" s="642"/>
    </row>
    <row r="133" spans="7:10" ht="18.75" customHeight="1"/>
    <row r="134" spans="7:10" ht="12" customHeight="1"/>
    <row r="135" spans="7:10" ht="12" customHeight="1"/>
    <row r="136" spans="7:10" ht="12" customHeight="1"/>
    <row r="137" spans="7:10" ht="12" customHeight="1"/>
    <row r="138" spans="7:10" ht="12" customHeight="1"/>
    <row r="139" spans="7:10" ht="12" customHeight="1"/>
    <row r="140" spans="7:10" ht="12" customHeight="1"/>
    <row r="141" spans="7:10" ht="12" customHeight="1"/>
    <row r="142" spans="7:10" ht="12" customHeight="1"/>
    <row r="143" spans="7:10" ht="12" customHeight="1"/>
    <row r="144" spans="7:10" ht="12" customHeight="1"/>
  </sheetData>
  <mergeCells count="114">
    <mergeCell ref="A3:B3"/>
    <mergeCell ref="A7:A18"/>
    <mergeCell ref="C12:C15"/>
    <mergeCell ref="A70:A89"/>
    <mergeCell ref="C72:C74"/>
    <mergeCell ref="C75:C76"/>
    <mergeCell ref="A68:F68"/>
    <mergeCell ref="A64:A66"/>
    <mergeCell ref="I3:K3"/>
    <mergeCell ref="A4:K4"/>
    <mergeCell ref="A5:F5"/>
    <mergeCell ref="G5:K5"/>
    <mergeCell ref="B7:B11"/>
    <mergeCell ref="A42:A49"/>
    <mergeCell ref="B51:D51"/>
    <mergeCell ref="B52:D52"/>
    <mergeCell ref="A19:A41"/>
    <mergeCell ref="B37:B38"/>
    <mergeCell ref="C37:C38"/>
    <mergeCell ref="B40:B41"/>
    <mergeCell ref="C40:C41"/>
    <mergeCell ref="B19:B21"/>
    <mergeCell ref="C19:C21"/>
    <mergeCell ref="C32:C36"/>
    <mergeCell ref="B12:B15"/>
    <mergeCell ref="B16:B18"/>
    <mergeCell ref="C16:C18"/>
    <mergeCell ref="C7:C11"/>
    <mergeCell ref="B22:B25"/>
    <mergeCell ref="B26:B31"/>
    <mergeCell ref="B32:B36"/>
    <mergeCell ref="C22:C25"/>
    <mergeCell ref="C26:C31"/>
    <mergeCell ref="H120:J120"/>
    <mergeCell ref="G72:I72"/>
    <mergeCell ref="G80:K80"/>
    <mergeCell ref="H112:J112"/>
    <mergeCell ref="H113:J113"/>
    <mergeCell ref="C84:C86"/>
    <mergeCell ref="B84:B86"/>
    <mergeCell ref="C87:C89"/>
    <mergeCell ref="A51:A55"/>
    <mergeCell ref="B57:D57"/>
    <mergeCell ref="B58:D58"/>
    <mergeCell ref="B59:D59"/>
    <mergeCell ref="B60:D60"/>
    <mergeCell ref="B61:D61"/>
    <mergeCell ref="A57:A62"/>
    <mergeCell ref="B62:D62"/>
    <mergeCell ref="H118:J118"/>
    <mergeCell ref="H119:J119"/>
    <mergeCell ref="B90:B92"/>
    <mergeCell ref="B93:B96"/>
    <mergeCell ref="B97:B99"/>
    <mergeCell ref="C90:C92"/>
    <mergeCell ref="H114:J114"/>
    <mergeCell ref="H115:J115"/>
    <mergeCell ref="H25:I25"/>
    <mergeCell ref="G24:I24"/>
    <mergeCell ref="G31:K31"/>
    <mergeCell ref="G41:J41"/>
    <mergeCell ref="G51:J51"/>
    <mergeCell ref="B64:D64"/>
    <mergeCell ref="B70:B71"/>
    <mergeCell ref="B72:B74"/>
    <mergeCell ref="B75:B76"/>
    <mergeCell ref="C70:C71"/>
    <mergeCell ref="B53:D53"/>
    <mergeCell ref="B54:D54"/>
    <mergeCell ref="B55:D55"/>
    <mergeCell ref="B44:B46"/>
    <mergeCell ref="B47:B48"/>
    <mergeCell ref="C47:C48"/>
    <mergeCell ref="B42:B43"/>
    <mergeCell ref="C42:C43"/>
    <mergeCell ref="C44:C46"/>
    <mergeCell ref="H117:J117"/>
    <mergeCell ref="C93:C96"/>
    <mergeCell ref="C97:C99"/>
    <mergeCell ref="B87:B89"/>
    <mergeCell ref="C77:C79"/>
    <mergeCell ref="B77:B79"/>
    <mergeCell ref="C100:C102"/>
    <mergeCell ref="B100:B102"/>
    <mergeCell ref="C80:C83"/>
    <mergeCell ref="B80:B83"/>
    <mergeCell ref="B117:D117"/>
    <mergeCell ref="C103:C107"/>
    <mergeCell ref="B103:B107"/>
    <mergeCell ref="C108:C110"/>
    <mergeCell ref="B108:B110"/>
    <mergeCell ref="M80:Q80"/>
    <mergeCell ref="N82:N87"/>
    <mergeCell ref="M82:M87"/>
    <mergeCell ref="B65:D65"/>
    <mergeCell ref="B66:D66"/>
    <mergeCell ref="H83:H86"/>
    <mergeCell ref="G83:G86"/>
    <mergeCell ref="B115:D115"/>
    <mergeCell ref="B116:D116"/>
    <mergeCell ref="H116:J116"/>
    <mergeCell ref="B119:D119"/>
    <mergeCell ref="B120:D120"/>
    <mergeCell ref="A112:A117"/>
    <mergeCell ref="A90:A110"/>
    <mergeCell ref="A119:A125"/>
    <mergeCell ref="B121:D121"/>
    <mergeCell ref="B122:D122"/>
    <mergeCell ref="B123:D123"/>
    <mergeCell ref="B124:D124"/>
    <mergeCell ref="B125:D125"/>
    <mergeCell ref="B112:D112"/>
    <mergeCell ref="B113:D113"/>
    <mergeCell ref="B114:D114"/>
  </mergeCells>
  <pageMargins left="0.7" right="0.7" top="0.75" bottom="0.75" header="0.3" footer="0.3"/>
  <pageSetup orientation="portrait" horizontalDpi="1200" verticalDpi="1200" r:id="rId1"/>
  <ignoredErrors>
    <ignoredError sqref="H12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topLeftCell="A4" zoomScale="73" zoomScaleNormal="73" workbookViewId="0">
      <selection activeCell="M9" sqref="M9"/>
    </sheetView>
  </sheetViews>
  <sheetFormatPr baseColWidth="10" defaultRowHeight="12.75"/>
  <cols>
    <col min="1" max="1" width="18.5703125" customWidth="1"/>
    <col min="3" max="3" width="26.140625" bestFit="1" customWidth="1"/>
    <col min="4" max="4" width="14.85546875" bestFit="1" customWidth="1"/>
    <col min="6" max="6" width="16.7109375" bestFit="1" customWidth="1"/>
    <col min="8" max="8" width="16.140625" bestFit="1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13</v>
      </c>
      <c r="O2" s="331"/>
    </row>
    <row r="3" spans="1:15" ht="15.75">
      <c r="A3" s="492"/>
      <c r="B3" s="492"/>
      <c r="C3" s="492"/>
      <c r="D3" s="493"/>
      <c r="E3" s="493"/>
      <c r="F3" s="494"/>
      <c r="G3" s="493"/>
      <c r="H3" s="493"/>
      <c r="I3" s="493"/>
      <c r="J3" s="493"/>
      <c r="K3" s="493"/>
      <c r="L3" s="493"/>
      <c r="M3" s="492"/>
      <c r="N3" s="493"/>
      <c r="O3" s="493"/>
    </row>
    <row r="4" spans="1:15">
      <c r="A4" s="2562" t="s">
        <v>856</v>
      </c>
      <c r="B4" s="2562"/>
      <c r="C4" s="2562"/>
      <c r="D4" s="2562"/>
      <c r="E4" s="2562"/>
      <c r="F4" s="2563" t="s">
        <v>857</v>
      </c>
      <c r="G4" s="2564"/>
      <c r="H4" s="2564"/>
      <c r="I4" s="2564"/>
      <c r="J4" s="2565"/>
    </row>
    <row r="5" spans="1:15" ht="18" customHeight="1">
      <c r="A5" s="485" t="s">
        <v>742</v>
      </c>
      <c r="B5" s="485" t="s">
        <v>858</v>
      </c>
      <c r="C5" s="485" t="s">
        <v>0</v>
      </c>
      <c r="D5" s="495" t="s">
        <v>47</v>
      </c>
      <c r="E5" s="485" t="s">
        <v>42</v>
      </c>
      <c r="F5" s="485" t="s">
        <v>742</v>
      </c>
      <c r="G5" s="485" t="s">
        <v>858</v>
      </c>
      <c r="H5" s="485" t="s">
        <v>0</v>
      </c>
      <c r="I5" s="495" t="s">
        <v>47</v>
      </c>
      <c r="J5" s="485" t="s">
        <v>42</v>
      </c>
    </row>
    <row r="6" spans="1:15" ht="37.5" customHeight="1">
      <c r="A6" s="422" t="s">
        <v>859</v>
      </c>
      <c r="B6" s="1861" t="s">
        <v>860</v>
      </c>
      <c r="C6" s="418" t="s">
        <v>861</v>
      </c>
      <c r="D6" s="415">
        <f>6+6+2+1+6+6+1+8+5+39+13</f>
        <v>93</v>
      </c>
      <c r="E6" s="418" t="s">
        <v>285</v>
      </c>
      <c r="F6" s="422" t="s">
        <v>862</v>
      </c>
      <c r="G6" s="1861" t="s">
        <v>863</v>
      </c>
      <c r="H6" s="422" t="s">
        <v>864</v>
      </c>
      <c r="I6" s="415">
        <v>9</v>
      </c>
      <c r="J6" s="418" t="s">
        <v>285</v>
      </c>
      <c r="L6">
        <v>9</v>
      </c>
      <c r="M6">
        <f>ROUNDDOWN(I6/4,0)</f>
        <v>2</v>
      </c>
    </row>
    <row r="7" spans="1:15" ht="37.5" customHeight="1">
      <c r="A7" s="422" t="s">
        <v>865</v>
      </c>
      <c r="B7" s="1861"/>
      <c r="C7" s="418" t="s">
        <v>866</v>
      </c>
      <c r="D7" s="415">
        <f>5+5+2+1+6+6+1+8+5+30+10</f>
        <v>79</v>
      </c>
      <c r="E7" s="418" t="s">
        <v>285</v>
      </c>
      <c r="F7" s="422" t="s">
        <v>867</v>
      </c>
      <c r="G7" s="1861"/>
      <c r="H7" s="422" t="s">
        <v>868</v>
      </c>
      <c r="I7" s="415">
        <v>2</v>
      </c>
      <c r="J7" s="418" t="s">
        <v>285</v>
      </c>
      <c r="L7">
        <v>9</v>
      </c>
      <c r="M7">
        <f>ROUNDUP(I7/4,0)</f>
        <v>1</v>
      </c>
    </row>
    <row r="8" spans="1:15" ht="37.5" customHeight="1">
      <c r="A8" s="422" t="s">
        <v>869</v>
      </c>
      <c r="B8" s="1861"/>
      <c r="C8" s="418" t="s">
        <v>870</v>
      </c>
      <c r="D8" s="415">
        <f>2+2+2+1+2+2+1+2+2+5+6+2</f>
        <v>29</v>
      </c>
      <c r="E8" s="418" t="s">
        <v>285</v>
      </c>
      <c r="F8" s="418" t="s">
        <v>871</v>
      </c>
      <c r="G8" s="1861"/>
      <c r="H8" s="422" t="s">
        <v>872</v>
      </c>
      <c r="I8" s="415">
        <v>3</v>
      </c>
      <c r="J8" s="418" t="s">
        <v>285</v>
      </c>
      <c r="L8">
        <v>3</v>
      </c>
      <c r="M8">
        <f>ROUNDUP(I8/4,0)</f>
        <v>1</v>
      </c>
    </row>
    <row r="9" spans="1:15" ht="37.5" customHeight="1">
      <c r="A9" s="422" t="s">
        <v>873</v>
      </c>
      <c r="B9" s="1861"/>
      <c r="C9" s="255" t="s">
        <v>874</v>
      </c>
      <c r="D9" s="415">
        <f>2+2+2+1+4+4+1+4+5+12+4</f>
        <v>41</v>
      </c>
      <c r="E9" s="418" t="s">
        <v>285</v>
      </c>
      <c r="F9" s="418" t="s">
        <v>875</v>
      </c>
      <c r="G9" s="1861"/>
      <c r="H9" s="422" t="s">
        <v>876</v>
      </c>
      <c r="I9" s="415">
        <v>6</v>
      </c>
      <c r="J9" s="418" t="s">
        <v>285</v>
      </c>
      <c r="L9">
        <v>3</v>
      </c>
      <c r="M9">
        <f>ROUNDDOWN(I9/4,0)</f>
        <v>1</v>
      </c>
    </row>
    <row r="10" spans="1:15" ht="37.5" customHeight="1">
      <c r="A10" s="422" t="s">
        <v>877</v>
      </c>
      <c r="B10" s="1861"/>
      <c r="C10" s="255" t="s">
        <v>878</v>
      </c>
      <c r="D10" s="415">
        <f>1+1+2+1+1+2+2+2+2</f>
        <v>14</v>
      </c>
      <c r="E10" s="418" t="s">
        <v>285</v>
      </c>
      <c r="F10" s="422" t="s">
        <v>879</v>
      </c>
      <c r="G10" s="1861"/>
      <c r="H10" s="422" t="s">
        <v>880</v>
      </c>
      <c r="I10" s="415">
        <v>6</v>
      </c>
      <c r="J10" s="418" t="s">
        <v>285</v>
      </c>
      <c r="L10">
        <v>1</v>
      </c>
      <c r="M10">
        <f>ROUNDDOWN(I10/4,0)</f>
        <v>1</v>
      </c>
    </row>
    <row r="11" spans="1:15" ht="37.5" customHeight="1">
      <c r="A11" s="422" t="s">
        <v>881</v>
      </c>
      <c r="B11" s="1861"/>
      <c r="C11" s="255" t="s">
        <v>882</v>
      </c>
      <c r="D11" s="415">
        <f>5+5+2+1+6+6+1+8+5+30+10</f>
        <v>79</v>
      </c>
      <c r="E11" s="418" t="s">
        <v>285</v>
      </c>
      <c r="F11" s="418" t="s">
        <v>883</v>
      </c>
      <c r="G11" s="1861"/>
      <c r="H11" s="422" t="s">
        <v>884</v>
      </c>
      <c r="I11" s="415">
        <v>5</v>
      </c>
      <c r="J11" s="418" t="s">
        <v>285</v>
      </c>
      <c r="L11">
        <f t="shared" ref="L11:L17" si="0">ROUNDUP(D11/9,0)</f>
        <v>9</v>
      </c>
      <c r="M11">
        <f>ROUNDDOWN(I11/4,0)</f>
        <v>1</v>
      </c>
    </row>
    <row r="12" spans="1:15" ht="37.5" customHeight="1">
      <c r="A12" s="496" t="s">
        <v>885</v>
      </c>
      <c r="B12" s="1861"/>
      <c r="C12" s="255" t="s">
        <v>886</v>
      </c>
      <c r="D12" s="415">
        <f>5+5+2+1+8+8+1+6+5+24+8</f>
        <v>73</v>
      </c>
      <c r="E12" s="418" t="s">
        <v>285</v>
      </c>
      <c r="F12" s="422" t="s">
        <v>887</v>
      </c>
      <c r="G12" s="1861"/>
      <c r="H12" s="422" t="s">
        <v>888</v>
      </c>
      <c r="I12" s="415">
        <f>4*2.4</f>
        <v>9.6</v>
      </c>
      <c r="J12" s="418" t="s">
        <v>345</v>
      </c>
      <c r="L12">
        <v>8</v>
      </c>
      <c r="M12">
        <f>ROUNDDOWN(I12/4,0)</f>
        <v>2</v>
      </c>
    </row>
    <row r="13" spans="1:15" ht="37.5" customHeight="1">
      <c r="A13" s="422" t="s">
        <v>889</v>
      </c>
      <c r="B13" s="1861"/>
      <c r="C13" s="255" t="s">
        <v>890</v>
      </c>
      <c r="D13" s="415">
        <f>3+3+2+1+2+2+1+2+5+12+4</f>
        <v>37</v>
      </c>
      <c r="E13" s="418" t="s">
        <v>285</v>
      </c>
      <c r="F13" s="418" t="s">
        <v>891</v>
      </c>
      <c r="G13" s="1861"/>
      <c r="H13" s="422" t="s">
        <v>892</v>
      </c>
      <c r="I13" s="415">
        <v>2</v>
      </c>
      <c r="J13" s="418" t="s">
        <v>285</v>
      </c>
      <c r="L13">
        <f t="shared" si="0"/>
        <v>5</v>
      </c>
      <c r="M13">
        <f>ROUNDUP(I13/4,0)</f>
        <v>1</v>
      </c>
    </row>
    <row r="14" spans="1:15" ht="37.5" customHeight="1">
      <c r="A14" s="497" t="s">
        <v>893</v>
      </c>
      <c r="B14" s="1861"/>
      <c r="C14" s="255" t="s">
        <v>894</v>
      </c>
      <c r="D14" s="415">
        <f>4+4+2+1+6+6+1+6+5+7+9</f>
        <v>51</v>
      </c>
      <c r="E14" s="418" t="s">
        <v>285</v>
      </c>
      <c r="F14" s="498" t="s">
        <v>895</v>
      </c>
      <c r="G14" s="1861"/>
      <c r="H14" s="422" t="s">
        <v>896</v>
      </c>
      <c r="I14" s="415">
        <v>3</v>
      </c>
      <c r="J14" s="418" t="s">
        <v>285</v>
      </c>
      <c r="L14">
        <f t="shared" si="0"/>
        <v>6</v>
      </c>
      <c r="M14">
        <f>ROUNDUP(I14/4,0)</f>
        <v>1</v>
      </c>
    </row>
    <row r="15" spans="1:15" ht="37.5" customHeight="1">
      <c r="A15" s="422" t="s">
        <v>897</v>
      </c>
      <c r="B15" s="1861"/>
      <c r="C15" s="255" t="s">
        <v>898</v>
      </c>
      <c r="D15" s="415">
        <f>4+4+2+1+6+6+1+6+5+27+4</f>
        <v>66</v>
      </c>
      <c r="E15" s="418" t="s">
        <v>285</v>
      </c>
      <c r="F15" s="418" t="s">
        <v>899</v>
      </c>
      <c r="G15" s="1861"/>
      <c r="H15" s="422" t="s">
        <v>900</v>
      </c>
      <c r="I15" s="415">
        <v>10</v>
      </c>
      <c r="J15" s="418" t="s">
        <v>285</v>
      </c>
      <c r="L15">
        <f t="shared" si="0"/>
        <v>8</v>
      </c>
      <c r="M15">
        <v>3</v>
      </c>
    </row>
    <row r="16" spans="1:15" ht="37.5" customHeight="1">
      <c r="A16" s="422" t="s">
        <v>901</v>
      </c>
      <c r="B16" s="1861"/>
      <c r="C16" s="255" t="s">
        <v>902</v>
      </c>
      <c r="D16" s="415">
        <f>3+3+2+1+2+2+1+2+5+12+4</f>
        <v>37</v>
      </c>
      <c r="E16" s="418" t="s">
        <v>285</v>
      </c>
      <c r="F16" s="2566" t="s">
        <v>903</v>
      </c>
      <c r="G16" s="2561"/>
      <c r="H16" s="2561"/>
      <c r="I16" s="499">
        <f>SUM(I6:I15)</f>
        <v>55.6</v>
      </c>
      <c r="J16" s="499" t="s">
        <v>285</v>
      </c>
      <c r="L16">
        <f t="shared" si="0"/>
        <v>5</v>
      </c>
      <c r="M16" s="1210">
        <f>SUM(M6:M15)</f>
        <v>14</v>
      </c>
    </row>
    <row r="17" spans="1:13" ht="37.5" customHeight="1">
      <c r="A17" s="500"/>
      <c r="B17" s="2407"/>
      <c r="C17" s="501" t="s">
        <v>904</v>
      </c>
      <c r="D17" s="417">
        <f>6+6+2+1+6+6+1+8+5+39+13</f>
        <v>93</v>
      </c>
      <c r="E17" s="418" t="s">
        <v>285</v>
      </c>
      <c r="F17" s="8"/>
      <c r="G17" s="490"/>
      <c r="H17" s="8"/>
      <c r="I17" s="8"/>
      <c r="J17" s="134"/>
      <c r="L17">
        <f t="shared" si="0"/>
        <v>11</v>
      </c>
      <c r="M17" s="1210">
        <f>M16*4</f>
        <v>56</v>
      </c>
    </row>
    <row r="18" spans="1:13" ht="37.5" customHeight="1">
      <c r="A18" s="2561" t="s">
        <v>905</v>
      </c>
      <c r="B18" s="2561"/>
      <c r="C18" s="2561"/>
      <c r="D18" s="499">
        <f>SUM(D6:D17)</f>
        <v>692</v>
      </c>
      <c r="E18" s="499" t="s">
        <v>285</v>
      </c>
      <c r="F18" s="459"/>
      <c r="G18" s="8"/>
      <c r="H18" s="8"/>
      <c r="I18" s="8"/>
      <c r="J18" s="8"/>
      <c r="L18" s="1210">
        <f>SUM(L6:L17)</f>
        <v>77</v>
      </c>
    </row>
    <row r="19" spans="1:13" ht="18" customHeight="1">
      <c r="L19" s="1210">
        <f>L18*9</f>
        <v>693</v>
      </c>
    </row>
    <row r="20" spans="1:13" ht="18" customHeight="1"/>
    <row r="21" spans="1:13" ht="18" customHeight="1"/>
    <row r="22" spans="1:13" ht="18" customHeight="1"/>
    <row r="23" spans="1:13" ht="18" customHeight="1"/>
    <row r="24" spans="1:13" ht="18" customHeight="1"/>
    <row r="25" spans="1:13" ht="18" customHeight="1"/>
  </sheetData>
  <mergeCells count="7">
    <mergeCell ref="A18:C18"/>
    <mergeCell ref="B1:G1"/>
    <mergeCell ref="A4:E4"/>
    <mergeCell ref="F4:J4"/>
    <mergeCell ref="B6:B17"/>
    <mergeCell ref="G6:G15"/>
    <mergeCell ref="F16:H16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E1" workbookViewId="0">
      <selection activeCell="K2" sqref="K2"/>
    </sheetView>
  </sheetViews>
  <sheetFormatPr baseColWidth="10" defaultRowHeight="12.75"/>
  <cols>
    <col min="1" max="1" width="24.42578125" bestFit="1" customWidth="1"/>
    <col min="2" max="2" width="27.28515625" bestFit="1" customWidth="1"/>
    <col min="3" max="3" width="15" customWidth="1"/>
    <col min="4" max="4" width="13.42578125" bestFit="1" customWidth="1"/>
    <col min="5" max="5" width="19.140625" bestFit="1" customWidth="1"/>
    <col min="6" max="6" width="13.42578125" bestFit="1" customWidth="1"/>
    <col min="7" max="7" width="13.42578125" customWidth="1"/>
    <col min="10" max="10" width="29.5703125" bestFit="1" customWidth="1"/>
    <col min="11" max="11" width="17" bestFit="1" customWidth="1"/>
    <col min="12" max="12" width="13.85546875" bestFit="1" customWidth="1"/>
  </cols>
  <sheetData>
    <row r="1" spans="1:14">
      <c r="A1" s="23" t="s">
        <v>14</v>
      </c>
      <c r="B1" s="19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>
      <c r="A2" s="23" t="s">
        <v>15</v>
      </c>
      <c r="B2" s="19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15</v>
      </c>
      <c r="L2" s="18"/>
      <c r="M2" s="24"/>
    </row>
    <row r="3" spans="1:14">
      <c r="A3" s="2273" t="s">
        <v>739</v>
      </c>
      <c r="B3" s="2273"/>
      <c r="C3" s="2273"/>
      <c r="D3" s="17"/>
      <c r="E3" s="17"/>
      <c r="F3" s="17"/>
      <c r="G3" s="17"/>
      <c r="H3" s="17"/>
      <c r="I3" s="17"/>
      <c r="J3" s="17"/>
      <c r="K3" s="2569"/>
      <c r="L3" s="2569"/>
      <c r="M3" s="2570"/>
    </row>
    <row r="4" spans="1:14">
      <c r="A4" s="1984" t="s">
        <v>740</v>
      </c>
      <c r="B4" s="1984"/>
      <c r="C4" s="1984"/>
      <c r="D4" s="1984"/>
      <c r="E4" s="1984"/>
      <c r="F4" s="1984"/>
      <c r="G4" s="1984"/>
      <c r="H4" s="1984"/>
      <c r="I4" s="1984"/>
      <c r="J4" s="1984" t="s">
        <v>741</v>
      </c>
      <c r="K4" s="1984"/>
      <c r="L4" s="1984"/>
      <c r="M4" s="1984"/>
    </row>
    <row r="5" spans="1:14">
      <c r="A5" s="471" t="s">
        <v>478</v>
      </c>
      <c r="B5" s="471" t="s">
        <v>742</v>
      </c>
      <c r="C5" s="471" t="s">
        <v>481</v>
      </c>
      <c r="D5" s="471" t="s">
        <v>482</v>
      </c>
      <c r="E5" s="471" t="s">
        <v>483</v>
      </c>
      <c r="F5" s="471" t="s">
        <v>21</v>
      </c>
      <c r="G5" s="471" t="s">
        <v>46</v>
      </c>
      <c r="H5" s="477" t="s">
        <v>47</v>
      </c>
      <c r="I5" s="47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6.75" customHeight="1">
      <c r="A6" s="416"/>
      <c r="B6" s="418" t="s">
        <v>744</v>
      </c>
      <c r="C6" s="416">
        <v>9</v>
      </c>
      <c r="D6" s="416">
        <v>0.28000000000000003</v>
      </c>
      <c r="E6" s="416">
        <v>0.18</v>
      </c>
      <c r="F6" s="416">
        <v>1.94</v>
      </c>
      <c r="G6" s="416">
        <f>((E6*F6)+(D6*F6))*9</f>
        <v>8.0315999999999992</v>
      </c>
      <c r="H6" s="416">
        <f>4*G6</f>
        <v>32.126399999999997</v>
      </c>
      <c r="I6" s="475" t="s">
        <v>55</v>
      </c>
      <c r="J6" s="420" t="s">
        <v>745</v>
      </c>
      <c r="K6" s="478" t="s">
        <v>746</v>
      </c>
      <c r="L6" s="711">
        <v>8</v>
      </c>
      <c r="M6" s="420" t="s">
        <v>285</v>
      </c>
    </row>
    <row r="7" spans="1:14" ht="38.25" customHeight="1">
      <c r="A7" s="416"/>
      <c r="B7" s="418" t="s">
        <v>744</v>
      </c>
      <c r="C7" s="416">
        <v>1</v>
      </c>
      <c r="D7" s="416">
        <v>0.32</v>
      </c>
      <c r="E7" s="416">
        <v>0.18</v>
      </c>
      <c r="F7" s="416">
        <v>1.94</v>
      </c>
      <c r="G7" s="416">
        <f>((E7*F7)+(D7*F7))</f>
        <v>0.97</v>
      </c>
      <c r="H7" s="475">
        <f>G7*4</f>
        <v>3.88</v>
      </c>
      <c r="I7" s="475" t="s">
        <v>55</v>
      </c>
      <c r="J7" s="420" t="s">
        <v>747</v>
      </c>
      <c r="K7" s="420" t="s">
        <v>748</v>
      </c>
      <c r="L7" s="754">
        <f>4*4</f>
        <v>16</v>
      </c>
      <c r="M7" s="420" t="s">
        <v>285</v>
      </c>
    </row>
    <row r="8" spans="1:14">
      <c r="B8" s="1984" t="s">
        <v>749</v>
      </c>
      <c r="C8" s="1984"/>
      <c r="D8" s="1984"/>
      <c r="E8" s="1984"/>
      <c r="F8" s="1984"/>
      <c r="G8" s="1984"/>
      <c r="J8" s="1984" t="s">
        <v>750</v>
      </c>
      <c r="K8" s="1984"/>
      <c r="L8" s="1984"/>
      <c r="M8" s="1984"/>
    </row>
    <row r="9" spans="1:14">
      <c r="B9" s="471" t="s">
        <v>742</v>
      </c>
      <c r="C9" s="471" t="s">
        <v>751</v>
      </c>
      <c r="D9" s="471" t="s">
        <v>21</v>
      </c>
      <c r="E9" s="479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753</v>
      </c>
      <c r="C10" s="478" t="s">
        <v>754</v>
      </c>
      <c r="D10" s="416">
        <v>2.6</v>
      </c>
      <c r="E10" s="473">
        <v>32</v>
      </c>
      <c r="F10" s="711">
        <f>D10*E10</f>
        <v>83.2</v>
      </c>
      <c r="G10" s="420" t="s">
        <v>48</v>
      </c>
      <c r="J10" s="2418" t="s">
        <v>755</v>
      </c>
      <c r="K10" s="1861" t="s">
        <v>746</v>
      </c>
      <c r="L10" s="2567">
        <f>2*43</f>
        <v>86</v>
      </c>
      <c r="M10" s="1861" t="s">
        <v>285</v>
      </c>
    </row>
    <row r="11" spans="1:14">
      <c r="B11" s="420" t="s">
        <v>756</v>
      </c>
      <c r="C11" s="416" t="s">
        <v>757</v>
      </c>
      <c r="D11" s="416">
        <f>2*(1.94+1.74)</f>
        <v>7.3599999999999994</v>
      </c>
      <c r="E11" s="473">
        <v>4</v>
      </c>
      <c r="F11" s="711">
        <f>D11*E11</f>
        <v>29.439999999999998</v>
      </c>
      <c r="G11" s="420" t="s">
        <v>48</v>
      </c>
      <c r="J11" s="2422"/>
      <c r="K11" s="2004"/>
      <c r="L11" s="2568"/>
      <c r="M11" s="2407"/>
    </row>
    <row r="12" spans="1:14">
      <c r="B12" s="420" t="s">
        <v>758</v>
      </c>
      <c r="C12" s="416">
        <v>1.74</v>
      </c>
      <c r="D12" s="416">
        <f>1.94*2</f>
        <v>3.88</v>
      </c>
      <c r="E12" s="416">
        <f>C12*D12</f>
        <v>6.7511999999999999</v>
      </c>
      <c r="F12" s="711">
        <f>E12*4</f>
        <v>27.004799999999999</v>
      </c>
      <c r="G12" s="420" t="s">
        <v>55</v>
      </c>
      <c r="J12" s="1984" t="s">
        <v>759</v>
      </c>
      <c r="K12" s="1984"/>
      <c r="L12" s="1984"/>
      <c r="M12" s="1984"/>
      <c r="N12" s="1984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0.333*20</f>
        <v>6.66</v>
      </c>
      <c r="M14" s="711">
        <f>L14*8</f>
        <v>53.28</v>
      </c>
      <c r="N14" s="420" t="s">
        <v>48</v>
      </c>
    </row>
    <row r="15" spans="1:14">
      <c r="J15" s="475" t="s">
        <v>763</v>
      </c>
      <c r="K15" s="420" t="s">
        <v>764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L17*43</f>
        <v>12.9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(0.28*9)+0.32+(0.29*6)</f>
        <v>4.58</v>
      </c>
      <c r="M18" s="711">
        <f>L18*16</f>
        <v>73.28</v>
      </c>
      <c r="N18" s="475" t="s">
        <v>48</v>
      </c>
    </row>
    <row r="19" spans="10:14">
      <c r="J19" s="475" t="s">
        <v>769</v>
      </c>
      <c r="K19" s="475" t="s">
        <v>768</v>
      </c>
      <c r="L19" s="416">
        <v>4.4000000000000004</v>
      </c>
      <c r="M19" s="711">
        <f>L19*4</f>
        <v>17.600000000000001</v>
      </c>
      <c r="N19" s="475" t="s">
        <v>48</v>
      </c>
    </row>
  </sheetData>
  <mergeCells count="11">
    <mergeCell ref="A3:C3"/>
    <mergeCell ref="K3:M3"/>
    <mergeCell ref="A4:I4"/>
    <mergeCell ref="J4:M4"/>
    <mergeCell ref="B8:G8"/>
    <mergeCell ref="J8:M8"/>
    <mergeCell ref="J10:J11"/>
    <mergeCell ref="K10:K11"/>
    <mergeCell ref="L10:L11"/>
    <mergeCell ref="M10:M11"/>
    <mergeCell ref="J12:N12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E1" workbookViewId="0">
      <selection activeCell="K2" sqref="K2"/>
    </sheetView>
  </sheetViews>
  <sheetFormatPr baseColWidth="10" defaultRowHeight="12.75"/>
  <cols>
    <col min="1" max="1" width="24.42578125" bestFit="1" customWidth="1"/>
    <col min="2" max="2" width="27.28515625" bestFit="1" customWidth="1"/>
    <col min="3" max="3" width="15.42578125" customWidth="1"/>
    <col min="4" max="4" width="14" bestFit="1" customWidth="1"/>
    <col min="5" max="5" width="19.140625" bestFit="1" customWidth="1"/>
    <col min="6" max="6" width="13.42578125" bestFit="1" customWidth="1"/>
    <col min="7" max="7" width="13.42578125" customWidth="1"/>
    <col min="10" max="10" width="28.5703125" customWidth="1"/>
    <col min="11" max="11" width="17" bestFit="1" customWidth="1"/>
    <col min="12" max="12" width="14" bestFit="1" customWidth="1"/>
  </cols>
  <sheetData>
    <row r="1" spans="1:14">
      <c r="A1" s="2571" t="s">
        <v>14</v>
      </c>
      <c r="B1" s="2571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>
      <c r="A2" s="2572" t="s">
        <v>15</v>
      </c>
      <c r="B2" s="2572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16</v>
      </c>
      <c r="L2" s="18"/>
      <c r="M2" s="24"/>
    </row>
    <row r="3" spans="1:14">
      <c r="A3" s="2273" t="s">
        <v>739</v>
      </c>
      <c r="B3" s="2273"/>
      <c r="C3" s="2273"/>
      <c r="D3" s="17"/>
      <c r="E3" s="17"/>
      <c r="F3" s="17"/>
      <c r="G3" s="17"/>
      <c r="H3" s="17"/>
      <c r="I3" s="17"/>
      <c r="J3" s="17"/>
      <c r="K3" s="2569"/>
      <c r="L3" s="2569"/>
      <c r="M3" s="2570"/>
    </row>
    <row r="4" spans="1:14">
      <c r="A4" s="1984" t="s">
        <v>740</v>
      </c>
      <c r="B4" s="1984"/>
      <c r="C4" s="1984"/>
      <c r="D4" s="1984"/>
      <c r="E4" s="1984"/>
      <c r="F4" s="1984"/>
      <c r="G4" s="1984"/>
      <c r="H4" s="1984"/>
      <c r="I4" s="1984"/>
      <c r="J4" s="1984" t="s">
        <v>741</v>
      </c>
      <c r="K4" s="1984"/>
      <c r="L4" s="1984"/>
      <c r="M4" s="1984"/>
    </row>
    <row r="5" spans="1:14">
      <c r="A5" s="480" t="s">
        <v>478</v>
      </c>
      <c r="B5" s="481" t="s">
        <v>742</v>
      </c>
      <c r="C5" s="481" t="s">
        <v>481</v>
      </c>
      <c r="D5" s="481" t="s">
        <v>482</v>
      </c>
      <c r="E5" s="481" t="s">
        <v>483</v>
      </c>
      <c r="F5" s="481" t="s">
        <v>21</v>
      </c>
      <c r="G5" s="471" t="s">
        <v>46</v>
      </c>
      <c r="H5" s="477" t="s">
        <v>47</v>
      </c>
      <c r="I5" s="48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5.25" customHeight="1">
      <c r="A6" s="5"/>
      <c r="B6" s="418" t="s">
        <v>744</v>
      </c>
      <c r="C6" s="415">
        <v>9</v>
      </c>
      <c r="D6" s="415">
        <v>0.28000000000000003</v>
      </c>
      <c r="E6" s="415">
        <v>0.18</v>
      </c>
      <c r="F6" s="415">
        <v>1.94</v>
      </c>
      <c r="G6" s="415">
        <f>((E6*F6)+(D6*F6))*9</f>
        <v>8.0315999999999992</v>
      </c>
      <c r="H6" s="755">
        <f>4*G6</f>
        <v>32.126399999999997</v>
      </c>
      <c r="I6" s="255" t="s">
        <v>1263</v>
      </c>
      <c r="J6" s="418" t="s">
        <v>745</v>
      </c>
      <c r="K6" s="482" t="s">
        <v>746</v>
      </c>
      <c r="L6" s="755">
        <f>8*4</f>
        <v>32</v>
      </c>
      <c r="M6" s="418" t="s">
        <v>285</v>
      </c>
    </row>
    <row r="7" spans="1:14" ht="36" customHeight="1">
      <c r="A7" s="5"/>
      <c r="B7" s="418" t="s">
        <v>744</v>
      </c>
      <c r="C7" s="415">
        <v>1</v>
      </c>
      <c r="D7" s="415">
        <v>0.32</v>
      </c>
      <c r="E7" s="415">
        <v>0.18</v>
      </c>
      <c r="F7" s="415">
        <v>1.94</v>
      </c>
      <c r="G7" s="415">
        <f>((E7*F7)+(D7*F7))</f>
        <v>0.97</v>
      </c>
      <c r="H7" s="755">
        <f>G7*4</f>
        <v>3.88</v>
      </c>
      <c r="I7" s="255" t="s">
        <v>1263</v>
      </c>
      <c r="J7" s="418" t="s">
        <v>747</v>
      </c>
      <c r="K7" s="418" t="s">
        <v>748</v>
      </c>
      <c r="L7" s="757">
        <f>4*4</f>
        <v>16</v>
      </c>
      <c r="M7" s="418" t="s">
        <v>285</v>
      </c>
    </row>
    <row r="8" spans="1:14">
      <c r="B8" s="1984" t="s">
        <v>770</v>
      </c>
      <c r="C8" s="1984"/>
      <c r="D8" s="1984"/>
      <c r="E8" s="1984"/>
      <c r="F8" s="1984"/>
      <c r="G8" s="1984"/>
      <c r="J8" s="1984" t="s">
        <v>750</v>
      </c>
      <c r="K8" s="1984"/>
      <c r="L8" s="1984"/>
      <c r="M8" s="1984"/>
    </row>
    <row r="9" spans="1:14">
      <c r="B9" s="471" t="s">
        <v>742</v>
      </c>
      <c r="C9" s="471" t="s">
        <v>751</v>
      </c>
      <c r="D9" s="471" t="s">
        <v>21</v>
      </c>
      <c r="E9" s="483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758</v>
      </c>
      <c r="C10" s="416">
        <v>2.2799999999999998</v>
      </c>
      <c r="D10" s="484">
        <f>1.94*2</f>
        <v>3.88</v>
      </c>
      <c r="E10" s="416">
        <f>C10*D10</f>
        <v>8.8463999999999992</v>
      </c>
      <c r="F10" s="756">
        <f>E10*4</f>
        <v>35.385599999999997</v>
      </c>
      <c r="G10" s="420" t="s">
        <v>55</v>
      </c>
      <c r="J10" s="2422" t="s">
        <v>755</v>
      </c>
      <c r="K10" s="1861" t="s">
        <v>746</v>
      </c>
      <c r="L10" s="2567">
        <f>2*39</f>
        <v>78</v>
      </c>
      <c r="M10" s="1861" t="s">
        <v>285</v>
      </c>
    </row>
    <row r="11" spans="1:14">
      <c r="B11" s="420" t="s">
        <v>756</v>
      </c>
      <c r="C11" s="552" t="s">
        <v>757</v>
      </c>
      <c r="D11" s="416">
        <v>1.94</v>
      </c>
      <c r="E11" s="473" t="s">
        <v>771</v>
      </c>
      <c r="F11" s="711">
        <f>D11*16</f>
        <v>31.04</v>
      </c>
      <c r="G11" s="420" t="s">
        <v>48</v>
      </c>
      <c r="J11" s="2417"/>
      <c r="K11" s="2004"/>
      <c r="L11" s="2568"/>
      <c r="M11" s="2407"/>
    </row>
    <row r="12" spans="1:14">
      <c r="J12" s="1984" t="s">
        <v>759</v>
      </c>
      <c r="K12" s="1984"/>
      <c r="L12" s="1984"/>
      <c r="M12" s="1984"/>
      <c r="N12" s="1984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(0.333*18)+0.367*2</f>
        <v>6.7280000000000006</v>
      </c>
      <c r="M14" s="711">
        <f>L14*8</f>
        <v>53.824000000000005</v>
      </c>
      <c r="N14" s="420" t="s">
        <v>48</v>
      </c>
    </row>
    <row r="15" spans="1:14">
      <c r="J15" s="475" t="s">
        <v>763</v>
      </c>
      <c r="K15" s="420" t="s">
        <v>772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L17*39</f>
        <v>11.7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(0.333*18)+0.367*2+(0.3371*2)</f>
        <v>7.4022000000000006</v>
      </c>
      <c r="M18" s="711">
        <f>L18*8</f>
        <v>59.217600000000004</v>
      </c>
      <c r="N18" s="475" t="s">
        <v>48</v>
      </c>
    </row>
    <row r="19" spans="10:14">
      <c r="J19" s="475" t="s">
        <v>773</v>
      </c>
      <c r="K19" s="475" t="s">
        <v>768</v>
      </c>
      <c r="L19" s="416">
        <f>(0.333*18)+0.367*2+(0.3371*8)</f>
        <v>9.4248000000000012</v>
      </c>
      <c r="M19" s="711">
        <f>L19*8</f>
        <v>75.398400000000009</v>
      </c>
      <c r="N19" s="475" t="s">
        <v>48</v>
      </c>
    </row>
  </sheetData>
  <mergeCells count="13">
    <mergeCell ref="A1:B1"/>
    <mergeCell ref="A2:B2"/>
    <mergeCell ref="A3:C3"/>
    <mergeCell ref="K3:M3"/>
    <mergeCell ref="A4:I4"/>
    <mergeCell ref="J4:M4"/>
    <mergeCell ref="J12:N12"/>
    <mergeCell ref="B8:G8"/>
    <mergeCell ref="J8:M8"/>
    <mergeCell ref="J10:J11"/>
    <mergeCell ref="K10:K11"/>
    <mergeCell ref="L10:L11"/>
    <mergeCell ref="M10:M1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"/>
  <sheetViews>
    <sheetView topLeftCell="A4" workbookViewId="0">
      <selection activeCell="L7" sqref="L7"/>
    </sheetView>
  </sheetViews>
  <sheetFormatPr baseColWidth="10" defaultRowHeight="12.75"/>
  <cols>
    <col min="1" max="1" width="22.7109375" customWidth="1"/>
    <col min="5" max="5" width="19.5703125" customWidth="1"/>
    <col min="6" max="6" width="12.140625" bestFit="1" customWidth="1"/>
    <col min="7" max="7" width="15.28515625" bestFit="1" customWidth="1"/>
    <col min="8" max="8" width="12.7109375" bestFit="1" customWidth="1"/>
    <col min="9" max="9" width="11.7109375" customWidth="1"/>
    <col min="10" max="10" width="34.42578125" bestFit="1" customWidth="1"/>
  </cols>
  <sheetData>
    <row r="1" spans="1:15" ht="15.75">
      <c r="A1" s="318" t="s">
        <v>14</v>
      </c>
      <c r="B1" s="1583" t="s">
        <v>275</v>
      </c>
      <c r="C1" s="1583"/>
      <c r="D1" s="1583"/>
      <c r="E1" s="1583"/>
      <c r="F1" s="1583"/>
      <c r="G1" s="1583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18</v>
      </c>
      <c r="O2" s="331"/>
    </row>
    <row r="4" spans="1:15">
      <c r="A4" s="2573" t="s">
        <v>1039</v>
      </c>
      <c r="B4" s="2573"/>
      <c r="C4" s="2573"/>
      <c r="D4" s="2573"/>
      <c r="E4" s="2573"/>
      <c r="F4" s="2573"/>
      <c r="G4" s="2573"/>
      <c r="J4" s="1984" t="s">
        <v>1040</v>
      </c>
      <c r="K4" s="1984"/>
      <c r="L4" s="1984"/>
      <c r="M4" s="1984"/>
    </row>
    <row r="5" spans="1:15" ht="25.5">
      <c r="A5" s="520" t="s">
        <v>742</v>
      </c>
      <c r="B5" s="520" t="s">
        <v>858</v>
      </c>
      <c r="C5" s="521" t="s">
        <v>907</v>
      </c>
      <c r="D5" s="521" t="s">
        <v>908</v>
      </c>
      <c r="E5" s="521" t="s">
        <v>1041</v>
      </c>
      <c r="F5" s="511" t="s">
        <v>921</v>
      </c>
      <c r="G5" s="520" t="s">
        <v>42</v>
      </c>
      <c r="H5" s="758" t="s">
        <v>965</v>
      </c>
      <c r="J5" s="485" t="s">
        <v>742</v>
      </c>
      <c r="K5" s="485" t="s">
        <v>858</v>
      </c>
      <c r="L5" s="495" t="s">
        <v>3</v>
      </c>
      <c r="M5" s="485" t="s">
        <v>42</v>
      </c>
    </row>
    <row r="6" spans="1:15">
      <c r="A6" s="2422" t="s">
        <v>1042</v>
      </c>
      <c r="B6" s="416">
        <v>1</v>
      </c>
      <c r="C6" s="416">
        <v>62.55</v>
      </c>
      <c r="D6" s="416">
        <v>2.64</v>
      </c>
      <c r="E6" s="415">
        <v>23.973164999999995</v>
      </c>
      <c r="F6" s="416">
        <f t="shared" ref="F6:F12" si="0">(C6*D6)+E6</f>
        <v>189.105165</v>
      </c>
      <c r="G6" s="420" t="s">
        <v>55</v>
      </c>
      <c r="J6" s="420" t="s">
        <v>1043</v>
      </c>
      <c r="K6" s="471" t="s">
        <v>1044</v>
      </c>
      <c r="L6" s="476">
        <v>520</v>
      </c>
      <c r="M6" s="476" t="s">
        <v>285</v>
      </c>
    </row>
    <row r="7" spans="1:15">
      <c r="A7" s="2423"/>
      <c r="B7" s="416">
        <v>2</v>
      </c>
      <c r="C7" s="416">
        <v>57.917000000000002</v>
      </c>
      <c r="D7" s="416">
        <v>3.24</v>
      </c>
      <c r="E7" s="415">
        <v>28.417124999999999</v>
      </c>
      <c r="F7" s="416">
        <f t="shared" si="0"/>
        <v>216.06820500000001</v>
      </c>
      <c r="G7" s="420" t="s">
        <v>55</v>
      </c>
      <c r="H7" s="2574" t="s">
        <v>1477</v>
      </c>
      <c r="I7" s="2574"/>
      <c r="J7" s="1194" t="s">
        <v>2930</v>
      </c>
      <c r="K7" s="5"/>
      <c r="L7" s="5">
        <v>0.68580000000000008</v>
      </c>
      <c r="M7" s="5"/>
    </row>
    <row r="8" spans="1:15">
      <c r="A8" s="2423"/>
      <c r="B8" s="416">
        <v>3</v>
      </c>
      <c r="C8" s="416">
        <v>92.311999999999998</v>
      </c>
      <c r="D8" s="416">
        <v>3.24</v>
      </c>
      <c r="E8" s="415">
        <v>45.393619999999999</v>
      </c>
      <c r="F8" s="416">
        <f t="shared" si="0"/>
        <v>344.48450000000003</v>
      </c>
      <c r="G8" s="420" t="s">
        <v>55</v>
      </c>
      <c r="H8" s="2574"/>
      <c r="I8" s="2574"/>
      <c r="J8" s="5"/>
      <c r="K8" s="5"/>
      <c r="L8" s="1205">
        <f>L6*L7</f>
        <v>356.61600000000004</v>
      </c>
      <c r="M8" s="5"/>
    </row>
    <row r="9" spans="1:15">
      <c r="A9" s="2423"/>
      <c r="B9" s="416">
        <v>4</v>
      </c>
      <c r="C9" s="416">
        <v>91.710999999999999</v>
      </c>
      <c r="D9" s="416">
        <v>3.24</v>
      </c>
      <c r="E9" s="415">
        <v>33.716940000000001</v>
      </c>
      <c r="F9" s="416">
        <f t="shared" si="0"/>
        <v>330.86058000000003</v>
      </c>
      <c r="G9" s="420" t="s">
        <v>55</v>
      </c>
      <c r="H9" s="2574"/>
      <c r="I9" s="2574"/>
      <c r="L9">
        <f>L6/4</f>
        <v>130</v>
      </c>
    </row>
    <row r="10" spans="1:15">
      <c r="A10" s="2423"/>
      <c r="B10" s="416">
        <v>5</v>
      </c>
      <c r="C10" s="416">
        <v>24.55</v>
      </c>
      <c r="D10" s="416">
        <v>3.6</v>
      </c>
      <c r="E10" s="415">
        <v>0</v>
      </c>
      <c r="F10" s="416">
        <f t="shared" si="0"/>
        <v>88.38000000000001</v>
      </c>
      <c r="G10" s="420" t="s">
        <v>55</v>
      </c>
      <c r="H10" s="2574"/>
      <c r="I10" s="2574"/>
    </row>
    <row r="11" spans="1:15">
      <c r="A11" s="2423"/>
      <c r="B11" s="420" t="s">
        <v>1037</v>
      </c>
      <c r="C11" s="416">
        <v>72.566000000000003</v>
      </c>
      <c r="D11" s="416">
        <v>3.6</v>
      </c>
      <c r="E11" s="415">
        <v>281.87306999999998</v>
      </c>
      <c r="F11" s="416">
        <f t="shared" si="0"/>
        <v>543.11067000000003</v>
      </c>
      <c r="G11" s="420" t="s">
        <v>55</v>
      </c>
      <c r="H11" s="2574"/>
      <c r="I11" s="2574"/>
    </row>
    <row r="12" spans="1:15">
      <c r="A12" s="2417"/>
      <c r="B12" s="416">
        <v>9</v>
      </c>
      <c r="C12" s="416">
        <v>72.566000000000003</v>
      </c>
      <c r="D12" s="416">
        <v>3.6</v>
      </c>
      <c r="E12" s="415">
        <v>94.830119999999994</v>
      </c>
      <c r="F12" s="416">
        <f t="shared" si="0"/>
        <v>356.06772000000001</v>
      </c>
      <c r="G12" s="420" t="s">
        <v>55</v>
      </c>
      <c r="H12" s="2574"/>
      <c r="I12" s="2574"/>
    </row>
    <row r="13" spans="1:15">
      <c r="A13" s="1985" t="s">
        <v>1045</v>
      </c>
      <c r="B13" s="1985"/>
      <c r="C13" s="1985"/>
      <c r="D13" s="1985"/>
      <c r="E13" s="1985"/>
      <c r="F13" s="476">
        <f>SUM(F6:F12)</f>
        <v>2068.0768400000002</v>
      </c>
      <c r="G13" s="476" t="s">
        <v>55</v>
      </c>
      <c r="H13" s="2574"/>
      <c r="I13" s="2574"/>
    </row>
    <row r="14" spans="1:15">
      <c r="A14" s="135"/>
      <c r="B14" s="8"/>
      <c r="C14" s="135"/>
      <c r="D14" s="135"/>
      <c r="E14" s="132">
        <f>F11/3</f>
        <v>181.03689</v>
      </c>
      <c r="F14" s="135"/>
      <c r="G14" s="134"/>
      <c r="H14" s="2574"/>
      <c r="I14" s="2574"/>
    </row>
    <row r="15" spans="1:15">
      <c r="F15" s="30"/>
      <c r="H15" s="2574"/>
      <c r="I15" s="2574"/>
    </row>
    <row r="16" spans="1:15">
      <c r="F16" s="30"/>
      <c r="H16" s="2574"/>
      <c r="I16" s="2574"/>
    </row>
    <row r="21" spans="1:9">
      <c r="A21" s="2410" t="s">
        <v>1046</v>
      </c>
      <c r="B21" s="2410"/>
      <c r="C21" s="2410"/>
      <c r="D21" s="2410"/>
      <c r="E21" s="2410"/>
      <c r="F21" s="2410"/>
      <c r="G21" s="2410"/>
      <c r="H21" s="2410"/>
      <c r="I21" s="2410"/>
    </row>
    <row r="22" spans="1:9">
      <c r="A22" s="485" t="s">
        <v>742</v>
      </c>
      <c r="B22" s="421" t="s">
        <v>478</v>
      </c>
      <c r="C22" s="485" t="s">
        <v>858</v>
      </c>
      <c r="D22" s="495" t="s">
        <v>918</v>
      </c>
      <c r="E22" s="495" t="s">
        <v>544</v>
      </c>
      <c r="F22" s="485" t="s">
        <v>919</v>
      </c>
      <c r="G22" s="479" t="s">
        <v>920</v>
      </c>
      <c r="H22" s="481" t="s">
        <v>921</v>
      </c>
      <c r="I22" s="485" t="s">
        <v>42</v>
      </c>
    </row>
    <row r="23" spans="1:9">
      <c r="A23" s="2325"/>
      <c r="B23" s="420" t="s">
        <v>922</v>
      </c>
      <c r="C23" s="522">
        <v>1</v>
      </c>
      <c r="D23" s="415">
        <v>3.1349999999999998</v>
      </c>
      <c r="E23" s="417">
        <v>2.64</v>
      </c>
      <c r="F23" s="417">
        <f>D23*E23</f>
        <v>8.2764000000000006</v>
      </c>
      <c r="G23" s="417">
        <v>4.429125</v>
      </c>
      <c r="H23" s="415">
        <f>F23-G23</f>
        <v>3.8472750000000007</v>
      </c>
      <c r="I23" s="423" t="s">
        <v>55</v>
      </c>
    </row>
    <row r="24" spans="1:9">
      <c r="A24" s="2325"/>
      <c r="B24" s="420" t="s">
        <v>924</v>
      </c>
      <c r="C24" s="523"/>
      <c r="D24" s="415">
        <v>1.5</v>
      </c>
      <c r="E24" s="417">
        <v>2.64</v>
      </c>
      <c r="F24" s="415">
        <f>D24*E24</f>
        <v>3.96</v>
      </c>
      <c r="G24" s="415">
        <f>1.5*1.395</f>
        <v>2.0925000000000002</v>
      </c>
      <c r="H24" s="415">
        <f>(F24-G24)*6</f>
        <v>11.204999999999998</v>
      </c>
      <c r="I24" s="423" t="s">
        <v>55</v>
      </c>
    </row>
    <row r="25" spans="1:9">
      <c r="A25" s="2325"/>
      <c r="B25" s="420" t="s">
        <v>925</v>
      </c>
      <c r="C25" s="523"/>
      <c r="D25" s="415">
        <v>0.75</v>
      </c>
      <c r="E25" s="417">
        <v>2.64</v>
      </c>
      <c r="F25" s="415">
        <f>D25*E25</f>
        <v>1.98</v>
      </c>
      <c r="G25" s="415">
        <v>0.47250000000000003</v>
      </c>
      <c r="H25" s="415">
        <f>(F25-G25)*4</f>
        <v>6.0299999999999994</v>
      </c>
      <c r="I25" s="423" t="s">
        <v>55</v>
      </c>
    </row>
    <row r="26" spans="1:9">
      <c r="A26" s="2325"/>
      <c r="B26" s="420" t="s">
        <v>928</v>
      </c>
      <c r="C26" s="524"/>
      <c r="D26" s="416">
        <v>2.3220000000000001</v>
      </c>
      <c r="E26" s="417">
        <v>2.64</v>
      </c>
      <c r="F26" s="415">
        <f>D26*E26</f>
        <v>6.1300800000000004</v>
      </c>
      <c r="G26" s="416">
        <f>2.322*1.395</f>
        <v>3.2391900000000002</v>
      </c>
      <c r="H26" s="415">
        <f>(F26-G26)</f>
        <v>2.8908900000000002</v>
      </c>
      <c r="I26" s="423" t="s">
        <v>55</v>
      </c>
    </row>
    <row r="27" spans="1:9">
      <c r="A27" s="2394" t="s">
        <v>914</v>
      </c>
      <c r="B27" s="2395"/>
      <c r="C27" s="2395"/>
      <c r="D27" s="2395"/>
      <c r="E27" s="2395"/>
      <c r="F27" s="2395"/>
      <c r="G27" s="2396"/>
      <c r="H27" s="503">
        <f>SUM(H23:H26)</f>
        <v>23.973164999999995</v>
      </c>
      <c r="I27" s="503" t="s">
        <v>55</v>
      </c>
    </row>
    <row r="28" spans="1:9">
      <c r="A28" s="2325"/>
      <c r="B28" s="418" t="s">
        <v>924</v>
      </c>
      <c r="C28" s="2004">
        <v>2</v>
      </c>
      <c r="D28" s="415">
        <v>1.5</v>
      </c>
      <c r="E28" s="417">
        <v>2.64</v>
      </c>
      <c r="F28" s="415">
        <f>D28*E28</f>
        <v>3.96</v>
      </c>
      <c r="G28" s="415">
        <f>1.5*1.395</f>
        <v>2.0925000000000002</v>
      </c>
      <c r="H28" s="415">
        <f>(F28-G28)*9</f>
        <v>16.807499999999997</v>
      </c>
      <c r="I28" s="418" t="s">
        <v>55</v>
      </c>
    </row>
    <row r="29" spans="1:9">
      <c r="A29" s="2325"/>
      <c r="B29" s="418" t="s">
        <v>930</v>
      </c>
      <c r="C29" s="2313"/>
      <c r="D29" s="254">
        <v>1.7330000000000001</v>
      </c>
      <c r="E29" s="417">
        <v>2.64</v>
      </c>
      <c r="F29" s="415">
        <f>D29*E29</f>
        <v>4.5751200000000001</v>
      </c>
      <c r="G29" s="415">
        <f>1.733*1.395</f>
        <v>2.417535</v>
      </c>
      <c r="H29" s="415">
        <f>(F29-G29)</f>
        <v>2.1575850000000001</v>
      </c>
      <c r="I29" s="418" t="s">
        <v>55</v>
      </c>
    </row>
    <row r="30" spans="1:9">
      <c r="A30" s="2325"/>
      <c r="B30" s="418" t="s">
        <v>931</v>
      </c>
      <c r="C30" s="2313"/>
      <c r="D30" s="254">
        <v>2.3879999999999999</v>
      </c>
      <c r="E30" s="417">
        <v>2.64</v>
      </c>
      <c r="F30" s="254">
        <f>D30*E30</f>
        <v>6.3043199999999997</v>
      </c>
      <c r="G30" s="415">
        <f>2.388*1.395</f>
        <v>3.3312599999999999</v>
      </c>
      <c r="H30" s="415">
        <f>(F30-G30)</f>
        <v>2.9730599999999998</v>
      </c>
      <c r="I30" s="418" t="s">
        <v>55</v>
      </c>
    </row>
    <row r="31" spans="1:9">
      <c r="A31" s="2325"/>
      <c r="B31" s="418" t="s">
        <v>934</v>
      </c>
      <c r="C31" s="2314"/>
      <c r="D31" s="254">
        <v>2.6019999999999999</v>
      </c>
      <c r="E31" s="417">
        <v>2.64</v>
      </c>
      <c r="F31" s="254">
        <f>D31*E31</f>
        <v>6.8692799999999998</v>
      </c>
      <c r="G31" s="416">
        <f>2.602*1.395</f>
        <v>3.6297899999999998</v>
      </c>
      <c r="H31" s="415">
        <f>(F31-G31)*2</f>
        <v>6.47898</v>
      </c>
      <c r="I31" s="418" t="s">
        <v>55</v>
      </c>
    </row>
    <row r="32" spans="1:9">
      <c r="A32" s="2394" t="s">
        <v>917</v>
      </c>
      <c r="B32" s="2395"/>
      <c r="C32" s="2395"/>
      <c r="D32" s="2395"/>
      <c r="E32" s="2395"/>
      <c r="F32" s="2395"/>
      <c r="G32" s="2396"/>
      <c r="H32" s="503">
        <f>SUM(H28:H31)</f>
        <v>28.417124999999999</v>
      </c>
      <c r="I32" s="503" t="s">
        <v>55</v>
      </c>
    </row>
    <row r="33" spans="1:9">
      <c r="A33" s="2325"/>
      <c r="B33" s="418" t="s">
        <v>924</v>
      </c>
      <c r="C33" s="1918">
        <v>3</v>
      </c>
      <c r="D33" s="415">
        <v>1.5</v>
      </c>
      <c r="E33" s="417">
        <v>2.64</v>
      </c>
      <c r="F33" s="415">
        <f t="shared" ref="F33:F40" si="1">D33*E33</f>
        <v>3.96</v>
      </c>
      <c r="G33" s="415">
        <f>1.5*1.395</f>
        <v>2.0925000000000002</v>
      </c>
      <c r="H33" s="415">
        <f>(F33-G33)*10</f>
        <v>18.674999999999997</v>
      </c>
      <c r="I33" s="418" t="s">
        <v>55</v>
      </c>
    </row>
    <row r="34" spans="1:9">
      <c r="A34" s="2325"/>
      <c r="B34" s="418" t="s">
        <v>925</v>
      </c>
      <c r="C34" s="1918"/>
      <c r="D34" s="415">
        <v>0.75</v>
      </c>
      <c r="E34" s="417">
        <v>2.64</v>
      </c>
      <c r="F34" s="415">
        <f t="shared" si="1"/>
        <v>1.98</v>
      </c>
      <c r="G34" s="415">
        <v>0.47250000000000003</v>
      </c>
      <c r="H34" s="415">
        <f>(F34-G34)*3</f>
        <v>4.5224999999999991</v>
      </c>
      <c r="I34" s="418" t="s">
        <v>55</v>
      </c>
    </row>
    <row r="35" spans="1:9">
      <c r="A35" s="2325"/>
      <c r="B35" s="418" t="s">
        <v>934</v>
      </c>
      <c r="C35" s="1918"/>
      <c r="D35" s="254">
        <v>2.6019999999999999</v>
      </c>
      <c r="E35" s="417">
        <v>2.64</v>
      </c>
      <c r="F35" s="254">
        <f t="shared" si="1"/>
        <v>6.8692799999999998</v>
      </c>
      <c r="G35" s="416">
        <f>2.602*1.395</f>
        <v>3.6297899999999998</v>
      </c>
      <c r="H35" s="415">
        <f>(F35-G35)*2</f>
        <v>6.47898</v>
      </c>
      <c r="I35" s="418" t="s">
        <v>55</v>
      </c>
    </row>
    <row r="36" spans="1:9">
      <c r="A36" s="2325"/>
      <c r="B36" s="418" t="s">
        <v>938</v>
      </c>
      <c r="C36" s="1918"/>
      <c r="D36" s="254">
        <v>2.044</v>
      </c>
      <c r="E36" s="417">
        <v>2.64</v>
      </c>
      <c r="F36" s="254">
        <f t="shared" si="1"/>
        <v>5.3961600000000001</v>
      </c>
      <c r="G36" s="416">
        <f>2.044*1.395</f>
        <v>2.8513800000000002</v>
      </c>
      <c r="H36" s="415">
        <f>(F36-G36)</f>
        <v>2.5447799999999998</v>
      </c>
      <c r="I36" s="418" t="s">
        <v>55</v>
      </c>
    </row>
    <row r="37" spans="1:9">
      <c r="A37" s="2325"/>
      <c r="B37" s="418" t="s">
        <v>939</v>
      </c>
      <c r="C37" s="1918"/>
      <c r="D37" s="254">
        <v>2.968</v>
      </c>
      <c r="E37" s="417">
        <v>2.64</v>
      </c>
      <c r="F37" s="254">
        <f t="shared" si="1"/>
        <v>7.8355200000000007</v>
      </c>
      <c r="G37" s="416">
        <f>2.968*1.395</f>
        <v>4.1403600000000003</v>
      </c>
      <c r="H37" s="415">
        <f>(F37-G37)</f>
        <v>3.6951600000000004</v>
      </c>
      <c r="I37" s="418" t="s">
        <v>55</v>
      </c>
    </row>
    <row r="38" spans="1:9">
      <c r="A38" s="2325"/>
      <c r="B38" s="418" t="s">
        <v>940</v>
      </c>
      <c r="C38" s="1918"/>
      <c r="D38" s="254">
        <v>1.81</v>
      </c>
      <c r="E38" s="417">
        <v>2.64</v>
      </c>
      <c r="F38" s="254">
        <f t="shared" si="1"/>
        <v>4.7784000000000004</v>
      </c>
      <c r="G38" s="416">
        <f>1.81*2.02</f>
        <v>3.6562000000000001</v>
      </c>
      <c r="H38" s="415">
        <f>(F38-G38)</f>
        <v>1.1222000000000003</v>
      </c>
      <c r="I38" s="418" t="s">
        <v>55</v>
      </c>
    </row>
    <row r="39" spans="1:9">
      <c r="A39" s="2325"/>
      <c r="B39" s="418" t="s">
        <v>941</v>
      </c>
      <c r="C39" s="1918"/>
      <c r="D39" s="415">
        <v>1.5</v>
      </c>
      <c r="E39" s="417">
        <v>2.64</v>
      </c>
      <c r="F39" s="415">
        <f t="shared" si="1"/>
        <v>3.96</v>
      </c>
      <c r="G39" s="415">
        <f>3.525/3</f>
        <v>1.175</v>
      </c>
      <c r="H39" s="415">
        <f>(F39-G39)*2</f>
        <v>5.57</v>
      </c>
      <c r="I39" s="418" t="s">
        <v>55</v>
      </c>
    </row>
    <row r="40" spans="1:9">
      <c r="A40" s="2325"/>
      <c r="B40" s="418" t="s">
        <v>942</v>
      </c>
      <c r="C40" s="1918"/>
      <c r="D40" s="415">
        <v>1.5</v>
      </c>
      <c r="E40" s="417">
        <v>2.64</v>
      </c>
      <c r="F40" s="415">
        <f t="shared" si="1"/>
        <v>3.96</v>
      </c>
      <c r="G40" s="415">
        <f>3.525/3</f>
        <v>1.175</v>
      </c>
      <c r="H40" s="415">
        <f>(F40-G40)</f>
        <v>2.7850000000000001</v>
      </c>
      <c r="I40" s="418" t="s">
        <v>55</v>
      </c>
    </row>
    <row r="41" spans="1:9">
      <c r="A41" s="2394" t="s">
        <v>926</v>
      </c>
      <c r="B41" s="2395"/>
      <c r="C41" s="2395"/>
      <c r="D41" s="2395"/>
      <c r="E41" s="2395"/>
      <c r="F41" s="2395"/>
      <c r="G41" s="2396"/>
      <c r="H41" s="503">
        <f>SUM(H33:H40)</f>
        <v>45.393619999999999</v>
      </c>
      <c r="I41" s="503" t="s">
        <v>55</v>
      </c>
    </row>
    <row r="42" spans="1:9">
      <c r="A42" s="2323" t="s">
        <v>909</v>
      </c>
      <c r="B42" s="418" t="s">
        <v>924</v>
      </c>
      <c r="C42" s="2004">
        <v>4</v>
      </c>
      <c r="D42" s="415">
        <v>1.5</v>
      </c>
      <c r="E42" s="415">
        <v>2.35</v>
      </c>
      <c r="F42" s="415">
        <f>D42*E42</f>
        <v>3.5250000000000004</v>
      </c>
      <c r="G42" s="415">
        <f>1.5*1.395</f>
        <v>2.0925000000000002</v>
      </c>
      <c r="H42" s="415">
        <f>(F42-G42)*12</f>
        <v>17.190000000000001</v>
      </c>
      <c r="I42" s="418" t="s">
        <v>55</v>
      </c>
    </row>
    <row r="43" spans="1:9">
      <c r="A43" s="2321"/>
      <c r="B43" s="418" t="s">
        <v>925</v>
      </c>
      <c r="C43" s="2313"/>
      <c r="D43" s="415">
        <v>0.75</v>
      </c>
      <c r="E43" s="415">
        <v>2.35</v>
      </c>
      <c r="F43" s="415">
        <f>D43*E43</f>
        <v>1.7625000000000002</v>
      </c>
      <c r="G43" s="415">
        <v>0.47250000000000003</v>
      </c>
      <c r="H43" s="415">
        <f>(F43-G43)</f>
        <v>1.29</v>
      </c>
      <c r="I43" s="418" t="s">
        <v>55</v>
      </c>
    </row>
    <row r="44" spans="1:9">
      <c r="A44" s="2321"/>
      <c r="B44" s="418" t="s">
        <v>934</v>
      </c>
      <c r="C44" s="2313"/>
      <c r="D44" s="254">
        <v>2.6019999999999999</v>
      </c>
      <c r="E44" s="415">
        <v>2.35</v>
      </c>
      <c r="F44" s="254">
        <f>D44*E44</f>
        <v>6.1147</v>
      </c>
      <c r="G44" s="416">
        <f>2.602*1.395</f>
        <v>3.6297899999999998</v>
      </c>
      <c r="H44" s="415">
        <f>(F44-G44)*4</f>
        <v>9.9396400000000007</v>
      </c>
      <c r="I44" s="418" t="s">
        <v>55</v>
      </c>
    </row>
    <row r="45" spans="1:9">
      <c r="A45" s="2321"/>
      <c r="B45" s="418" t="s">
        <v>940</v>
      </c>
      <c r="C45" s="2313"/>
      <c r="D45" s="254">
        <v>1.81</v>
      </c>
      <c r="E45" s="415">
        <v>2.35</v>
      </c>
      <c r="F45" s="254">
        <f>D45*E45</f>
        <v>4.2535000000000007</v>
      </c>
      <c r="G45" s="416">
        <f>1.81*2.02</f>
        <v>3.6562000000000001</v>
      </c>
      <c r="H45" s="415">
        <f>(F45-G45)</f>
        <v>0.59730000000000061</v>
      </c>
      <c r="I45" s="418" t="s">
        <v>55</v>
      </c>
    </row>
    <row r="46" spans="1:9">
      <c r="A46" s="2321"/>
      <c r="B46" s="418" t="s">
        <v>941</v>
      </c>
      <c r="C46" s="2313"/>
      <c r="D46" s="415">
        <v>1.5</v>
      </c>
      <c r="E46" s="415">
        <v>2.35</v>
      </c>
      <c r="F46" s="415">
        <f>D46*E46</f>
        <v>3.5250000000000004</v>
      </c>
      <c r="G46" s="415">
        <f>3.525/3</f>
        <v>1.175</v>
      </c>
      <c r="H46" s="415">
        <f>(F46-G46)*2</f>
        <v>4.7000000000000011</v>
      </c>
      <c r="I46" s="418" t="s">
        <v>55</v>
      </c>
    </row>
    <row r="47" spans="1:9">
      <c r="A47" s="2394" t="s">
        <v>929</v>
      </c>
      <c r="B47" s="2395"/>
      <c r="C47" s="2395"/>
      <c r="D47" s="2395"/>
      <c r="E47" s="2395"/>
      <c r="F47" s="2395"/>
      <c r="G47" s="2396"/>
      <c r="H47" s="503">
        <f>SUM(H42:H46)</f>
        <v>33.716940000000001</v>
      </c>
      <c r="I47" s="503" t="s">
        <v>55</v>
      </c>
    </row>
    <row r="48" spans="1:9">
      <c r="A48" s="2325" t="s">
        <v>909</v>
      </c>
      <c r="B48" s="420" t="s">
        <v>946</v>
      </c>
      <c r="C48" s="1861" t="s">
        <v>947</v>
      </c>
      <c r="D48" s="254">
        <v>5.1059999999999999</v>
      </c>
      <c r="E48" s="415">
        <v>2.71</v>
      </c>
      <c r="F48" s="415">
        <f>D48*E48</f>
        <v>13.837259999999999</v>
      </c>
      <c r="G48" s="416">
        <f>5.106*1.1</f>
        <v>5.6166</v>
      </c>
      <c r="H48" s="415">
        <f>(F48-G48)*2</f>
        <v>16.441319999999997</v>
      </c>
      <c r="I48" s="418" t="s">
        <v>55</v>
      </c>
    </row>
    <row r="49" spans="1:9">
      <c r="A49" s="2325"/>
      <c r="B49" s="420" t="s">
        <v>948</v>
      </c>
      <c r="C49" s="1918"/>
      <c r="D49" s="254">
        <v>1</v>
      </c>
      <c r="E49" s="415">
        <v>2.71</v>
      </c>
      <c r="F49" s="415">
        <f t="shared" ref="F49:F54" si="2">D49*E49</f>
        <v>2.71</v>
      </c>
      <c r="G49" s="416">
        <v>1.1000000000000001</v>
      </c>
      <c r="H49" s="415">
        <f>(F49-G49)</f>
        <v>1.6099999999999999</v>
      </c>
      <c r="I49" s="418" t="s">
        <v>55</v>
      </c>
    </row>
    <row r="50" spans="1:9">
      <c r="A50" s="2325"/>
      <c r="B50" s="420" t="s">
        <v>949</v>
      </c>
      <c r="C50" s="1918"/>
      <c r="D50" s="254">
        <v>4.88</v>
      </c>
      <c r="E50" s="415">
        <v>2.71</v>
      </c>
      <c r="F50" s="415">
        <f t="shared" si="2"/>
        <v>13.2248</v>
      </c>
      <c r="G50" s="226">
        <v>4.0015999999999998</v>
      </c>
      <c r="H50" s="415">
        <f>(F50-G50)</f>
        <v>9.2232000000000003</v>
      </c>
      <c r="I50" s="418" t="s">
        <v>55</v>
      </c>
    </row>
    <row r="51" spans="1:9">
      <c r="A51" s="2325"/>
      <c r="B51" s="420" t="s">
        <v>950</v>
      </c>
      <c r="C51" s="1918"/>
      <c r="D51" s="254">
        <v>9.2449999999999992</v>
      </c>
      <c r="E51" s="415">
        <v>2.71</v>
      </c>
      <c r="F51" s="415">
        <f t="shared" si="2"/>
        <v>25.053949999999997</v>
      </c>
      <c r="G51" s="416">
        <v>5.5469999999999997</v>
      </c>
      <c r="H51" s="415">
        <f>(F51-G51)</f>
        <v>19.506949999999996</v>
      </c>
      <c r="I51" s="418" t="s">
        <v>55</v>
      </c>
    </row>
    <row r="52" spans="1:9">
      <c r="A52" s="2325"/>
      <c r="B52" s="420" t="s">
        <v>951</v>
      </c>
      <c r="C52" s="1918"/>
      <c r="D52" s="254">
        <v>3.66</v>
      </c>
      <c r="E52" s="415">
        <v>2.71</v>
      </c>
      <c r="F52" s="415">
        <f t="shared" si="2"/>
        <v>9.9185999999999996</v>
      </c>
      <c r="G52" s="416">
        <v>4.0260000000000007</v>
      </c>
      <c r="H52" s="415">
        <f>(F52-G52)</f>
        <v>5.8925999999999989</v>
      </c>
      <c r="I52" s="418" t="s">
        <v>55</v>
      </c>
    </row>
    <row r="53" spans="1:9">
      <c r="A53" s="2325"/>
      <c r="B53" s="420" t="s">
        <v>952</v>
      </c>
      <c r="C53" s="1918"/>
      <c r="D53" s="254">
        <v>9.2200000000000006</v>
      </c>
      <c r="E53" s="415">
        <v>2.71</v>
      </c>
      <c r="F53" s="415">
        <f t="shared" si="2"/>
        <v>24.9862</v>
      </c>
      <c r="G53" s="416">
        <v>10.142000000000001</v>
      </c>
      <c r="H53" s="415">
        <f>(F53-G53)*2</f>
        <v>29.688399999999998</v>
      </c>
      <c r="I53" s="418" t="s">
        <v>55</v>
      </c>
    </row>
    <row r="54" spans="1:9">
      <c r="A54" s="2325"/>
      <c r="B54" s="420" t="s">
        <v>953</v>
      </c>
      <c r="C54" s="1918"/>
      <c r="D54" s="254">
        <v>3.601</v>
      </c>
      <c r="E54" s="415">
        <v>2.71</v>
      </c>
      <c r="F54" s="415">
        <f t="shared" si="2"/>
        <v>9.7587100000000007</v>
      </c>
      <c r="G54" s="416">
        <v>3.9611000000000005</v>
      </c>
      <c r="H54" s="415">
        <f>(F54-G54)*2</f>
        <v>11.595220000000001</v>
      </c>
      <c r="I54" s="418" t="s">
        <v>55</v>
      </c>
    </row>
    <row r="55" spans="1:9">
      <c r="A55" s="2394" t="s">
        <v>954</v>
      </c>
      <c r="B55" s="2395"/>
      <c r="C55" s="2395"/>
      <c r="D55" s="2395"/>
      <c r="E55" s="2395"/>
      <c r="F55" s="2395"/>
      <c r="G55" s="2396"/>
      <c r="H55" s="503">
        <f>(SUM(H48:H54))*3</f>
        <v>281.87306999999998</v>
      </c>
      <c r="I55" s="503" t="s">
        <v>55</v>
      </c>
    </row>
    <row r="56" spans="1:9">
      <c r="A56" s="2325" t="s">
        <v>909</v>
      </c>
      <c r="B56" s="420" t="s">
        <v>946</v>
      </c>
      <c r="C56" s="2459">
        <v>9</v>
      </c>
      <c r="D56" s="254">
        <v>5.1059999999999999</v>
      </c>
      <c r="E56" s="415">
        <v>2.71</v>
      </c>
      <c r="F56" s="415">
        <f>D56*E56</f>
        <v>13.837259999999999</v>
      </c>
      <c r="G56" s="416">
        <f>5.106*1.1</f>
        <v>5.6166</v>
      </c>
      <c r="H56" s="415">
        <f>(F56-G56)*2</f>
        <v>16.441319999999997</v>
      </c>
      <c r="I56" s="418" t="s">
        <v>55</v>
      </c>
    </row>
    <row r="57" spans="1:9">
      <c r="A57" s="2325"/>
      <c r="B57" s="420" t="s">
        <v>948</v>
      </c>
      <c r="C57" s="2460"/>
      <c r="D57" s="254">
        <v>1</v>
      </c>
      <c r="E57" s="415">
        <v>2.71</v>
      </c>
      <c r="F57" s="415">
        <f t="shared" ref="F57:F63" si="3">D57*E57</f>
        <v>2.71</v>
      </c>
      <c r="G57" s="416">
        <v>1.1000000000000001</v>
      </c>
      <c r="H57" s="415">
        <f>(F57-G57)</f>
        <v>1.6099999999999999</v>
      </c>
      <c r="I57" s="418" t="s">
        <v>55</v>
      </c>
    </row>
    <row r="58" spans="1:9">
      <c r="A58" s="2325"/>
      <c r="B58" s="420" t="s">
        <v>949</v>
      </c>
      <c r="C58" s="2460"/>
      <c r="D58" s="254">
        <v>4.88</v>
      </c>
      <c r="E58" s="415">
        <v>2.71</v>
      </c>
      <c r="F58" s="415">
        <f t="shared" si="3"/>
        <v>13.2248</v>
      </c>
      <c r="G58" s="226">
        <v>4.0015999999999998</v>
      </c>
      <c r="H58" s="415">
        <f>(F58-G58)</f>
        <v>9.2232000000000003</v>
      </c>
      <c r="I58" s="418" t="s">
        <v>55</v>
      </c>
    </row>
    <row r="59" spans="1:9">
      <c r="A59" s="2325"/>
      <c r="B59" s="420" t="s">
        <v>951</v>
      </c>
      <c r="C59" s="2460"/>
      <c r="D59" s="254">
        <v>3.66</v>
      </c>
      <c r="E59" s="415">
        <v>2.71</v>
      </c>
      <c r="F59" s="415">
        <f t="shared" si="3"/>
        <v>9.9185999999999996</v>
      </c>
      <c r="G59" s="416">
        <v>4.0260000000000007</v>
      </c>
      <c r="H59" s="415">
        <f>(F59-G59)</f>
        <v>5.8925999999999989</v>
      </c>
      <c r="I59" s="418" t="s">
        <v>55</v>
      </c>
    </row>
    <row r="60" spans="1:9">
      <c r="A60" s="2325"/>
      <c r="B60" s="420" t="s">
        <v>952</v>
      </c>
      <c r="C60" s="2460"/>
      <c r="D60" s="254">
        <v>9.2200000000000006</v>
      </c>
      <c r="E60" s="415">
        <v>2.71</v>
      </c>
      <c r="F60" s="415">
        <f t="shared" si="3"/>
        <v>24.9862</v>
      </c>
      <c r="G60" s="416">
        <v>10.142000000000001</v>
      </c>
      <c r="H60" s="415">
        <f>(F60-G60)*2</f>
        <v>29.688399999999998</v>
      </c>
      <c r="I60" s="418" t="s">
        <v>55</v>
      </c>
    </row>
    <row r="61" spans="1:9">
      <c r="A61" s="2325"/>
      <c r="B61" s="420" t="s">
        <v>956</v>
      </c>
      <c r="C61" s="2460"/>
      <c r="D61" s="254">
        <v>1.46</v>
      </c>
      <c r="E61" s="415">
        <v>2.71</v>
      </c>
      <c r="F61" s="254">
        <f t="shared" si="3"/>
        <v>3.9565999999999999</v>
      </c>
      <c r="G61" s="416">
        <v>1.6060000000000001</v>
      </c>
      <c r="H61" s="415">
        <f>(F61-G61)*2</f>
        <v>4.7012</v>
      </c>
      <c r="I61" s="418" t="s">
        <v>55</v>
      </c>
    </row>
    <row r="62" spans="1:9">
      <c r="A62" s="2325"/>
      <c r="B62" s="420" t="s">
        <v>958</v>
      </c>
      <c r="C62" s="2460"/>
      <c r="D62" s="254">
        <v>3.63</v>
      </c>
      <c r="E62" s="415">
        <v>2.71</v>
      </c>
      <c r="F62" s="254">
        <f t="shared" si="3"/>
        <v>9.837299999999999</v>
      </c>
      <c r="G62" s="416">
        <f>3.63*1.1</f>
        <v>3.9930000000000003</v>
      </c>
      <c r="H62" s="415">
        <f>(F62-G62)*2</f>
        <v>11.688599999999997</v>
      </c>
      <c r="I62" s="418" t="s">
        <v>55</v>
      </c>
    </row>
    <row r="63" spans="1:9">
      <c r="A63" s="2325"/>
      <c r="B63" s="420" t="s">
        <v>960</v>
      </c>
      <c r="C63" s="2460"/>
      <c r="D63" s="254">
        <v>4.84</v>
      </c>
      <c r="E63" s="415">
        <v>2.71</v>
      </c>
      <c r="F63" s="254">
        <f t="shared" si="3"/>
        <v>13.116399999999999</v>
      </c>
      <c r="G63" s="416">
        <f>4.84*1.1</f>
        <v>5.3239999999999998</v>
      </c>
      <c r="H63" s="415">
        <f>(F63-G63)*2</f>
        <v>15.584799999999998</v>
      </c>
      <c r="I63" s="418" t="s">
        <v>55</v>
      </c>
    </row>
    <row r="64" spans="1:9">
      <c r="A64" s="2394" t="s">
        <v>957</v>
      </c>
      <c r="B64" s="2395"/>
      <c r="C64" s="2395"/>
      <c r="D64" s="2395"/>
      <c r="E64" s="2395"/>
      <c r="F64" s="2395"/>
      <c r="G64" s="2396"/>
      <c r="H64" s="503">
        <f>(SUM(H56:H63))</f>
        <v>94.830119999999994</v>
      </c>
      <c r="I64" s="503" t="s">
        <v>55</v>
      </c>
    </row>
    <row r="65" spans="1:9">
      <c r="A65" s="1985" t="s">
        <v>968</v>
      </c>
      <c r="B65" s="1985"/>
      <c r="C65" s="1985"/>
      <c r="D65" s="1985"/>
      <c r="E65" s="1985"/>
      <c r="F65" s="1985"/>
      <c r="G65" s="1985"/>
      <c r="H65" s="499">
        <f>H27+H32+H41+H47+H55+H64</f>
        <v>508.20403999999996</v>
      </c>
      <c r="I65" s="476" t="s">
        <v>55</v>
      </c>
    </row>
  </sheetData>
  <mergeCells count="25">
    <mergeCell ref="A33:A40"/>
    <mergeCell ref="C33:C40"/>
    <mergeCell ref="B1:G1"/>
    <mergeCell ref="A4:G4"/>
    <mergeCell ref="J4:M4"/>
    <mergeCell ref="A6:A12"/>
    <mergeCell ref="A13:E13"/>
    <mergeCell ref="A21:I21"/>
    <mergeCell ref="A23:A26"/>
    <mergeCell ref="A27:G27"/>
    <mergeCell ref="A28:A31"/>
    <mergeCell ref="C28:C31"/>
    <mergeCell ref="A32:G32"/>
    <mergeCell ref="H7:I16"/>
    <mergeCell ref="A41:G41"/>
    <mergeCell ref="A42:A46"/>
    <mergeCell ref="C42:C46"/>
    <mergeCell ref="A47:G47"/>
    <mergeCell ref="A48:A54"/>
    <mergeCell ref="C48:C54"/>
    <mergeCell ref="A55:G55"/>
    <mergeCell ref="A56:A63"/>
    <mergeCell ref="C56:C63"/>
    <mergeCell ref="A64:G64"/>
    <mergeCell ref="A65:G65"/>
  </mergeCells>
  <pageMargins left="0.7" right="0.7" top="0.75" bottom="0.75" header="0.3" footer="0.3"/>
  <ignoredErrors>
    <ignoredError sqref="B11" twoDigitTextYear="1"/>
    <ignoredError sqref="H39 H44 H47 H55" formula="1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topLeftCell="A4" workbookViewId="0">
      <selection activeCell="G25" sqref="G25"/>
    </sheetView>
  </sheetViews>
  <sheetFormatPr baseColWidth="10" defaultRowHeight="12.75"/>
  <cols>
    <col min="3" max="3" width="33.42578125" customWidth="1"/>
    <col min="7" max="7" width="30.5703125" customWidth="1"/>
  </cols>
  <sheetData>
    <row r="1" spans="1:11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17</v>
      </c>
      <c r="J2" s="18"/>
      <c r="K2" s="24"/>
    </row>
    <row r="3" spans="1:11" ht="13.5" thickBot="1">
      <c r="A3" s="19"/>
      <c r="B3" s="425"/>
      <c r="C3" s="425"/>
      <c r="D3" s="425"/>
      <c r="E3" s="18"/>
      <c r="F3" s="18"/>
      <c r="G3" s="18"/>
      <c r="H3" s="19"/>
      <c r="I3" s="18"/>
      <c r="J3" s="18"/>
      <c r="K3" s="18"/>
    </row>
    <row r="4" spans="1:11" ht="13.5" thickBot="1">
      <c r="B4" s="2575" t="s">
        <v>674</v>
      </c>
      <c r="C4" s="1764"/>
      <c r="D4" s="1764"/>
      <c r="E4" s="1766"/>
    </row>
    <row r="5" spans="1:11" ht="13.5" thickBot="1">
      <c r="B5" s="432" t="s">
        <v>652</v>
      </c>
      <c r="C5" s="433" t="s">
        <v>653</v>
      </c>
      <c r="D5" s="433" t="s">
        <v>524</v>
      </c>
      <c r="E5" s="434" t="s">
        <v>575</v>
      </c>
    </row>
    <row r="6" spans="1:11" ht="13.5" thickBot="1">
      <c r="B6" s="2576" t="s">
        <v>62</v>
      </c>
      <c r="C6" s="394" t="s">
        <v>654</v>
      </c>
      <c r="D6" s="253">
        <f>(1323+1398+1398+1312+385+1484+1569+1465+1465+1569+1483+1311+1398+1398+1324)/1000</f>
        <v>20.282</v>
      </c>
      <c r="E6" s="2578" t="s">
        <v>345</v>
      </c>
      <c r="G6" s="432" t="s">
        <v>652</v>
      </c>
      <c r="H6" s="433" t="s">
        <v>524</v>
      </c>
      <c r="I6" s="434" t="s">
        <v>575</v>
      </c>
    </row>
    <row r="7" spans="1:11">
      <c r="B7" s="2328"/>
      <c r="C7" s="189" t="s">
        <v>655</v>
      </c>
      <c r="D7" s="5">
        <f>21339/1000</f>
        <v>21.338999999999999</v>
      </c>
      <c r="E7" s="2339"/>
      <c r="G7" s="145" t="s">
        <v>665</v>
      </c>
      <c r="H7" s="5">
        <f>(2/1000)*((4*15231)+(4*28563)+(7*49577)+(3*36916)+(4*45537))</f>
        <v>1630.222</v>
      </c>
      <c r="I7" s="278" t="s">
        <v>345</v>
      </c>
    </row>
    <row r="8" spans="1:11" ht="13.5" thickBot="1">
      <c r="B8" s="2328"/>
      <c r="C8" s="189" t="s">
        <v>656</v>
      </c>
      <c r="D8" s="426">
        <f>((88.68+61.29+228.72)*(1220/24.2366))/1000</f>
        <v>19.062153932482278</v>
      </c>
      <c r="E8" s="2339"/>
      <c r="G8" s="166" t="s">
        <v>666</v>
      </c>
      <c r="H8" s="167">
        <f>(1/(1000*1000))*(1020308092.4599)</f>
        <v>1020.3080924599</v>
      </c>
      <c r="I8" s="413" t="s">
        <v>55</v>
      </c>
    </row>
    <row r="9" spans="1:11">
      <c r="B9" s="2328"/>
      <c r="C9" s="189" t="s">
        <v>658</v>
      </c>
      <c r="D9" s="426">
        <f>((158.2973+65.4224+63.3696+98.2771)*(1220/24.2366))/1000</f>
        <v>19.398224503436953</v>
      </c>
      <c r="E9" s="2339"/>
    </row>
    <row r="10" spans="1:11" ht="13.5" thickBot="1">
      <c r="B10" s="2328"/>
      <c r="C10" s="189" t="s">
        <v>657</v>
      </c>
      <c r="D10" s="426">
        <f>((122.9337+128.5732)*(1220/24.2366))/1000</f>
        <v>12.66012633785267</v>
      </c>
      <c r="E10" s="2339"/>
    </row>
    <row r="11" spans="1:11" ht="13.5" thickBot="1">
      <c r="B11" s="2336" t="s">
        <v>63</v>
      </c>
      <c r="C11" s="189" t="s">
        <v>659</v>
      </c>
      <c r="D11" s="426">
        <f>((2*209.2595)*(1220/24.2366))/1000</f>
        <v>21.06703002896446</v>
      </c>
      <c r="E11" s="2339"/>
      <c r="G11" s="432" t="s">
        <v>652</v>
      </c>
      <c r="H11" s="629" t="s">
        <v>1292</v>
      </c>
      <c r="I11" s="629" t="s">
        <v>1241</v>
      </c>
      <c r="J11" s="630" t="s">
        <v>575</v>
      </c>
    </row>
    <row r="12" spans="1:11" ht="13.5" thickBot="1">
      <c r="B12" s="2336"/>
      <c r="C12" s="189" t="s">
        <v>657</v>
      </c>
      <c r="D12" s="426">
        <f>(((2*258.0034)*(1220/24.2366))+21339)/1000</f>
        <v>47.313282531378164</v>
      </c>
      <c r="E12" s="2339"/>
      <c r="G12" s="634" t="s">
        <v>664</v>
      </c>
      <c r="H12" s="397">
        <f>(2/1000)*(6552+5674+5674+6371+10905+10513+10513+10905+7053+11637+11637+11992+8606+7958)</f>
        <v>251.98000000000002</v>
      </c>
      <c r="I12" s="397">
        <f>H12*1</f>
        <v>251.98000000000002</v>
      </c>
      <c r="J12" s="635" t="s">
        <v>39</v>
      </c>
    </row>
    <row r="13" spans="1:11">
      <c r="B13" s="2336"/>
      <c r="C13" s="189" t="s">
        <v>660</v>
      </c>
      <c r="D13" s="426">
        <f>((2*(232.6125+40.372))*(1220/24.2366))/1000</f>
        <v>27.482492593845674</v>
      </c>
      <c r="E13" s="2339"/>
    </row>
    <row r="14" spans="1:11">
      <c r="B14" s="2336"/>
      <c r="C14" s="189" t="s">
        <v>661</v>
      </c>
      <c r="D14" s="5">
        <f>(2871+10062+5603+2803)/1000</f>
        <v>21.338999999999999</v>
      </c>
      <c r="E14" s="2339"/>
    </row>
    <row r="15" spans="1:11">
      <c r="B15" s="2336" t="s">
        <v>64</v>
      </c>
      <c r="C15" s="189" t="s">
        <v>659</v>
      </c>
      <c r="D15" s="426">
        <f>((216.4252+38.8727+171.2559)*(1220/24.2366))/1000</f>
        <v>21.471478507711478</v>
      </c>
      <c r="E15" s="2339"/>
    </row>
    <row r="16" spans="1:11">
      <c r="B16" s="2336"/>
      <c r="C16" s="189" t="s">
        <v>657</v>
      </c>
      <c r="D16" s="426">
        <f>(((258.7398+232.8452)*(1220/24.2366))+(2660+8287+2261+13208))/1000</f>
        <v>51.160960101664429</v>
      </c>
      <c r="E16" s="2339"/>
      <c r="F16" s="424"/>
    </row>
    <row r="17" spans="2:5">
      <c r="B17" s="2336" t="s">
        <v>65</v>
      </c>
      <c r="C17" s="189" t="s">
        <v>661</v>
      </c>
      <c r="D17" s="426">
        <f>(((152.0572)*(2050/27.3335))+2*(250+1787+1912+250+1824+1949+1949+1949+1824+125))/1000</f>
        <v>39.042220462070354</v>
      </c>
      <c r="E17" s="2339"/>
    </row>
    <row r="18" spans="2:5">
      <c r="B18" s="2336"/>
      <c r="C18" s="189" t="s">
        <v>663</v>
      </c>
      <c r="D18" s="426">
        <f>(((163.4647+(25.9787*10))*(2050/27.3335))+2*(9839+4806+6259+10006+1679+3171+500))/1000</f>
        <v>104.26368394095157</v>
      </c>
      <c r="E18" s="2339"/>
    </row>
    <row r="19" spans="2:5">
      <c r="B19" s="2336"/>
      <c r="C19" s="189" t="s">
        <v>662</v>
      </c>
      <c r="D19" s="426">
        <f>((152.7003)*(2050/27.3335))/1000</f>
        <v>11.452452667971537</v>
      </c>
      <c r="E19" s="2339"/>
    </row>
    <row r="20" spans="2:5">
      <c r="B20" s="2336"/>
      <c r="C20" s="189" t="s">
        <v>660</v>
      </c>
      <c r="D20" s="426">
        <f>((187.4413+99.5976+108.1238+62.9874+101.924+183.2977+95.5673+135.3332+38.3719)*(2050/27.3335))/1000</f>
        <v>75.947851903342055</v>
      </c>
      <c r="E20" s="2339"/>
    </row>
    <row r="21" spans="2:5">
      <c r="B21" s="2336" t="s">
        <v>66</v>
      </c>
      <c r="C21" s="189" t="s">
        <v>661</v>
      </c>
      <c r="D21" s="426">
        <f>(((152.0572)*(2050/27.3335))+2*(250+1787+1912+250+1824+1949+1949+1949+1824+125))/1000</f>
        <v>39.042220462070354</v>
      </c>
      <c r="E21" s="2339"/>
    </row>
    <row r="22" spans="2:5">
      <c r="B22" s="2336"/>
      <c r="C22" s="189" t="s">
        <v>663</v>
      </c>
      <c r="D22" s="426">
        <f>(((163.4647+(25.9787*10))*(2050/27.3335))+2*(9839+4806+6259+10006+1679+3171+500))/1000</f>
        <v>104.26368394095157</v>
      </c>
      <c r="E22" s="2339"/>
    </row>
    <row r="23" spans="2:5">
      <c r="B23" s="2336"/>
      <c r="C23" s="189" t="s">
        <v>662</v>
      </c>
      <c r="D23" s="426">
        <f>((152.7003)*(2050/27.3335))/1000</f>
        <v>11.452452667971537</v>
      </c>
      <c r="E23" s="2339"/>
    </row>
    <row r="24" spans="2:5">
      <c r="B24" s="2336"/>
      <c r="C24" s="189" t="s">
        <v>660</v>
      </c>
      <c r="D24" s="426">
        <f>((187.4413+99.5976+108.1238+62.9874+101.924+183.2977+95.5673+57.7878+58.6325)*(2050/27.3335))/1000</f>
        <v>71.651518100499374</v>
      </c>
      <c r="E24" s="2339"/>
    </row>
    <row r="25" spans="2:5">
      <c r="B25" s="2336" t="s">
        <v>67</v>
      </c>
      <c r="C25" s="189" t="s">
        <v>663</v>
      </c>
      <c r="D25" s="426">
        <f>(2*(10812+1220))/1000</f>
        <v>24.064</v>
      </c>
      <c r="E25" s="2339"/>
    </row>
    <row r="26" spans="2:5">
      <c r="B26" s="2336"/>
      <c r="C26" s="189" t="s">
        <v>660</v>
      </c>
      <c r="D26" s="426">
        <f>((160.675+44.2005+149.9259)*(1220/24.3998))/1000</f>
        <v>17.740215411601742</v>
      </c>
      <c r="E26" s="2339"/>
    </row>
    <row r="27" spans="2:5">
      <c r="B27" s="2336" t="s">
        <v>68</v>
      </c>
      <c r="C27" s="189" t="s">
        <v>663</v>
      </c>
      <c r="D27" s="426">
        <f>(5429+1323+1398+1398+1288)/1000</f>
        <v>10.836</v>
      </c>
      <c r="E27" s="2339"/>
    </row>
    <row r="28" spans="2:5" ht="13.5" thickBot="1">
      <c r="B28" s="2577"/>
      <c r="C28" s="427" t="s">
        <v>660</v>
      </c>
      <c r="D28" s="428">
        <f>((160.8587+118.9298)*(1220/24.3998))/1000</f>
        <v>13.989539668357938</v>
      </c>
      <c r="E28" s="2375"/>
    </row>
    <row r="29" spans="2:5">
      <c r="B29" s="2582" t="s">
        <v>667</v>
      </c>
      <c r="C29" s="2583"/>
      <c r="D29" s="429">
        <f>D6</f>
        <v>20.282</v>
      </c>
      <c r="E29" s="2579" t="s">
        <v>345</v>
      </c>
    </row>
    <row r="30" spans="2:5">
      <c r="B30" s="2584" t="s">
        <v>668</v>
      </c>
      <c r="C30" s="2585"/>
      <c r="D30" s="430">
        <f>D7</f>
        <v>21.338999999999999</v>
      </c>
      <c r="E30" s="2580"/>
    </row>
    <row r="31" spans="2:5">
      <c r="B31" s="2584" t="s">
        <v>669</v>
      </c>
      <c r="C31" s="2585"/>
      <c r="D31" s="430">
        <f>D8</f>
        <v>19.062153932482278</v>
      </c>
      <c r="E31" s="2580"/>
    </row>
    <row r="32" spans="2:5">
      <c r="B32" s="2584" t="s">
        <v>670</v>
      </c>
      <c r="C32" s="2585"/>
      <c r="D32" s="430">
        <f>D21+D17+D14+D9</f>
        <v>118.82166542757766</v>
      </c>
      <c r="E32" s="2580"/>
    </row>
    <row r="33" spans="2:5">
      <c r="B33" s="2584" t="s">
        <v>672</v>
      </c>
      <c r="C33" s="2585"/>
      <c r="D33" s="430">
        <f>D23+D19+D15+D11</f>
        <v>65.443413872619004</v>
      </c>
      <c r="E33" s="2580"/>
    </row>
    <row r="34" spans="2:5">
      <c r="B34" s="2584" t="s">
        <v>671</v>
      </c>
      <c r="C34" s="2585"/>
      <c r="D34" s="430">
        <f>D27+D25+D22+D18+D16+D12+D10</f>
        <v>354.56173685279839</v>
      </c>
      <c r="E34" s="2580"/>
    </row>
    <row r="35" spans="2:5" ht="13.5" thickBot="1">
      <c r="B35" s="2586" t="s">
        <v>673</v>
      </c>
      <c r="C35" s="2587"/>
      <c r="D35" s="431">
        <f>D28+D26+D24+D20</f>
        <v>179.3291250838011</v>
      </c>
      <c r="E35" s="2581"/>
    </row>
  </sheetData>
  <mergeCells count="17">
    <mergeCell ref="B21:B24"/>
    <mergeCell ref="B25:B26"/>
    <mergeCell ref="B27:B28"/>
    <mergeCell ref="E6:E28"/>
    <mergeCell ref="E29:E35"/>
    <mergeCell ref="B29:C29"/>
    <mergeCell ref="B30:C30"/>
    <mergeCell ref="B31:C31"/>
    <mergeCell ref="B34:C34"/>
    <mergeCell ref="B35:C35"/>
    <mergeCell ref="B32:C32"/>
    <mergeCell ref="B33:C33"/>
    <mergeCell ref="B4:E4"/>
    <mergeCell ref="B6:B10"/>
    <mergeCell ref="B11:B14"/>
    <mergeCell ref="B15:B16"/>
    <mergeCell ref="B17:B20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>
      <selection activeCell="K8" sqref="K8"/>
    </sheetView>
  </sheetViews>
  <sheetFormatPr baseColWidth="10" defaultRowHeight="12.75"/>
  <cols>
    <col min="1" max="1" width="14.28515625" bestFit="1" customWidth="1"/>
    <col min="3" max="3" width="10.42578125" customWidth="1"/>
    <col min="20" max="20" width="15.28515625" customWidth="1"/>
    <col min="22" max="22" width="23.28515625" bestFit="1" customWidth="1"/>
    <col min="23" max="23" width="23" bestFit="1" customWidth="1"/>
    <col min="24" max="24" width="16.85546875" bestFit="1" customWidth="1"/>
    <col min="25" max="25" width="26.85546875" bestFit="1" customWidth="1"/>
  </cols>
  <sheetData>
    <row r="1" spans="1:26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26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19</v>
      </c>
      <c r="I2" s="20"/>
    </row>
    <row r="3" spans="1:26">
      <c r="A3" s="2599" t="s">
        <v>1445</v>
      </c>
      <c r="B3" s="2600"/>
      <c r="C3" s="2600"/>
      <c r="D3" s="2600"/>
      <c r="E3" s="2600"/>
      <c r="F3" s="2600"/>
      <c r="G3" s="2600"/>
      <c r="H3" s="2600"/>
      <c r="I3" s="2601"/>
      <c r="L3" s="2273" t="s">
        <v>1444</v>
      </c>
      <c r="M3" s="2273"/>
      <c r="N3" s="2273"/>
      <c r="O3" s="2273"/>
      <c r="P3" s="2273"/>
      <c r="Q3" s="2273"/>
      <c r="R3" s="2273"/>
      <c r="T3" s="2273" t="s">
        <v>1160</v>
      </c>
      <c r="U3" s="2273"/>
      <c r="V3" s="2273"/>
      <c r="W3" s="2273"/>
      <c r="X3" s="2273"/>
      <c r="Y3" s="2273"/>
      <c r="Z3" s="2273"/>
    </row>
    <row r="4" spans="1:26">
      <c r="A4" s="2184" t="s">
        <v>58</v>
      </c>
      <c r="B4" s="2589" t="s">
        <v>0</v>
      </c>
      <c r="C4" s="2589" t="s">
        <v>59</v>
      </c>
      <c r="D4" s="2589" t="s">
        <v>60</v>
      </c>
      <c r="E4" s="2589" t="s">
        <v>52</v>
      </c>
      <c r="F4" s="2589" t="s">
        <v>42</v>
      </c>
      <c r="G4" s="2589" t="s">
        <v>46</v>
      </c>
      <c r="H4" s="2589" t="s">
        <v>47</v>
      </c>
      <c r="I4" s="2589" t="s">
        <v>42</v>
      </c>
      <c r="L4" s="2184" t="s">
        <v>58</v>
      </c>
      <c r="M4" s="2589" t="s">
        <v>0</v>
      </c>
      <c r="N4" s="2589" t="s">
        <v>52</v>
      </c>
      <c r="O4" s="2589" t="s">
        <v>42</v>
      </c>
      <c r="P4" s="2589" t="s">
        <v>46</v>
      </c>
      <c r="Q4" s="2589" t="s">
        <v>47</v>
      </c>
      <c r="R4" s="2589" t="s">
        <v>42</v>
      </c>
      <c r="T4" s="575" t="s">
        <v>1165</v>
      </c>
      <c r="U4" s="575" t="s">
        <v>600</v>
      </c>
      <c r="V4" s="575" t="s">
        <v>1161</v>
      </c>
      <c r="W4" s="575" t="s">
        <v>1162</v>
      </c>
      <c r="X4" s="575" t="s">
        <v>1163</v>
      </c>
      <c r="Y4" s="575" t="s">
        <v>1164</v>
      </c>
      <c r="Z4" s="575" t="s">
        <v>42</v>
      </c>
    </row>
    <row r="5" spans="1:26" ht="12.75" customHeight="1">
      <c r="A5" s="2184"/>
      <c r="B5" s="2589"/>
      <c r="C5" s="2589"/>
      <c r="D5" s="2589"/>
      <c r="E5" s="2589"/>
      <c r="F5" s="2589"/>
      <c r="G5" s="2589"/>
      <c r="H5" s="2589"/>
      <c r="I5" s="2589"/>
      <c r="L5" s="2184"/>
      <c r="M5" s="2589"/>
      <c r="N5" s="2589"/>
      <c r="O5" s="2589"/>
      <c r="P5" s="2589"/>
      <c r="Q5" s="2589"/>
      <c r="R5" s="2589"/>
      <c r="T5" s="5">
        <v>1</v>
      </c>
      <c r="U5" s="5" t="s">
        <v>1166</v>
      </c>
      <c r="V5" s="5" t="s">
        <v>1169</v>
      </c>
      <c r="W5" s="5">
        <f>2*2*3</f>
        <v>12</v>
      </c>
      <c r="X5" s="5" t="s">
        <v>1170</v>
      </c>
      <c r="Y5" s="5">
        <f>2*3</f>
        <v>6</v>
      </c>
      <c r="Z5" s="5" t="s">
        <v>285</v>
      </c>
    </row>
    <row r="6" spans="1:26">
      <c r="A6" s="2590" t="s">
        <v>203</v>
      </c>
      <c r="B6" s="2591"/>
      <c r="C6" s="2591"/>
      <c r="D6" s="2591"/>
      <c r="E6" s="2591"/>
      <c r="F6" s="2591"/>
      <c r="G6" s="2591"/>
      <c r="H6" s="2591"/>
      <c r="I6" s="2592"/>
      <c r="L6" s="2598" t="s">
        <v>493</v>
      </c>
      <c r="M6" s="2598"/>
      <c r="N6" s="2598"/>
      <c r="O6" s="2598"/>
      <c r="P6" s="2598"/>
      <c r="Q6" s="2598"/>
      <c r="R6" s="2598"/>
      <c r="T6" s="5">
        <v>2</v>
      </c>
      <c r="U6" s="5" t="s">
        <v>1166</v>
      </c>
      <c r="V6" s="5" t="s">
        <v>1169</v>
      </c>
      <c r="W6" s="5">
        <f>2*2*3</f>
        <v>12</v>
      </c>
      <c r="X6" s="5" t="s">
        <v>1170</v>
      </c>
      <c r="Y6" s="5">
        <f>2*3</f>
        <v>6</v>
      </c>
      <c r="Z6" s="5" t="s">
        <v>285</v>
      </c>
    </row>
    <row r="7" spans="1:26" ht="18" customHeight="1">
      <c r="A7" s="2593" t="s">
        <v>61</v>
      </c>
      <c r="B7" s="102" t="s">
        <v>62</v>
      </c>
      <c r="C7" s="94">
        <v>4.6500000000000004</v>
      </c>
      <c r="D7" s="94">
        <v>2.46</v>
      </c>
      <c r="E7" s="94">
        <f>D7*C7</f>
        <v>11.439</v>
      </c>
      <c r="F7" s="95" t="s">
        <v>55</v>
      </c>
      <c r="G7" s="96">
        <v>1</v>
      </c>
      <c r="H7" s="95">
        <f>E7*G7</f>
        <v>11.439</v>
      </c>
      <c r="I7" s="2595" t="s">
        <v>55</v>
      </c>
      <c r="L7" s="2602" t="s">
        <v>295</v>
      </c>
      <c r="M7" s="61" t="s">
        <v>62</v>
      </c>
      <c r="N7" s="97">
        <v>2.6</v>
      </c>
      <c r="O7" s="27" t="s">
        <v>55</v>
      </c>
      <c r="P7" s="98">
        <v>1</v>
      </c>
      <c r="Q7" s="27">
        <f t="shared" ref="Q7:Q49" si="0">N7*P7</f>
        <v>2.6</v>
      </c>
      <c r="R7" s="2603" t="s">
        <v>55</v>
      </c>
      <c r="T7" s="5">
        <v>6</v>
      </c>
      <c r="U7" s="5" t="s">
        <v>1167</v>
      </c>
      <c r="V7" s="5" t="s">
        <v>1170</v>
      </c>
      <c r="W7" s="5">
        <f>2*2*3</f>
        <v>12</v>
      </c>
      <c r="X7" s="5" t="s">
        <v>1170</v>
      </c>
      <c r="Y7" s="5">
        <f>2*3</f>
        <v>6</v>
      </c>
      <c r="Z7" s="5" t="s">
        <v>285</v>
      </c>
    </row>
    <row r="8" spans="1:26" ht="12.75" customHeight="1">
      <c r="A8" s="2594"/>
      <c r="B8" s="61" t="s">
        <v>63</v>
      </c>
      <c r="C8" s="97">
        <v>5.12</v>
      </c>
      <c r="D8" s="97">
        <v>2.4700000000000002</v>
      </c>
      <c r="E8" s="97">
        <f t="shared" ref="E8:E25" si="1">D8*C8</f>
        <v>12.646400000000002</v>
      </c>
      <c r="F8" s="27" t="s">
        <v>55</v>
      </c>
      <c r="G8" s="98">
        <v>1</v>
      </c>
      <c r="H8" s="27">
        <f>E8*G8</f>
        <v>12.646400000000002</v>
      </c>
      <c r="I8" s="2596"/>
      <c r="L8" s="2602"/>
      <c r="M8" s="61" t="s">
        <v>63</v>
      </c>
      <c r="N8" s="97">
        <v>4.1399999999999997</v>
      </c>
      <c r="O8" s="27" t="s">
        <v>55</v>
      </c>
      <c r="P8" s="98">
        <v>1</v>
      </c>
      <c r="Q8" s="27">
        <f t="shared" si="0"/>
        <v>4.1399999999999997</v>
      </c>
      <c r="R8" s="2603"/>
      <c r="T8" s="5">
        <v>7</v>
      </c>
      <c r="U8" s="5" t="s">
        <v>1167</v>
      </c>
      <c r="V8" s="5" t="s">
        <v>1170</v>
      </c>
      <c r="W8" s="5">
        <f>2*2*3</f>
        <v>12</v>
      </c>
      <c r="X8" s="5" t="s">
        <v>1170</v>
      </c>
      <c r="Y8" s="5">
        <f>2*3</f>
        <v>6</v>
      </c>
      <c r="Z8" s="5" t="s">
        <v>285</v>
      </c>
    </row>
    <row r="9" spans="1:26">
      <c r="A9" s="2594"/>
      <c r="B9" s="61" t="s">
        <v>64</v>
      </c>
      <c r="C9" s="97">
        <v>1.78</v>
      </c>
      <c r="D9" s="97">
        <v>1.7</v>
      </c>
      <c r="E9" s="97">
        <f t="shared" si="1"/>
        <v>3.0259999999999998</v>
      </c>
      <c r="F9" s="27" t="s">
        <v>55</v>
      </c>
      <c r="G9" s="98">
        <v>1</v>
      </c>
      <c r="H9" s="27">
        <f t="shared" ref="H9:H29" si="2">E9*G9</f>
        <v>3.0259999999999998</v>
      </c>
      <c r="I9" s="2596"/>
      <c r="L9" s="2602"/>
      <c r="M9" s="61" t="s">
        <v>64</v>
      </c>
      <c r="N9" s="97">
        <v>9.61</v>
      </c>
      <c r="O9" s="27" t="s">
        <v>55</v>
      </c>
      <c r="P9" s="98">
        <v>1</v>
      </c>
      <c r="Q9" s="27">
        <f t="shared" si="0"/>
        <v>9.61</v>
      </c>
      <c r="R9" s="2603"/>
      <c r="T9" s="5">
        <v>9</v>
      </c>
      <c r="U9" s="5" t="s">
        <v>1168</v>
      </c>
      <c r="V9" s="5" t="s">
        <v>1171</v>
      </c>
      <c r="W9" s="5">
        <f>3*2*3</f>
        <v>18</v>
      </c>
      <c r="X9" s="5" t="s">
        <v>1170</v>
      </c>
      <c r="Y9" s="5">
        <f>2*3</f>
        <v>6</v>
      </c>
      <c r="Z9" s="5" t="s">
        <v>285</v>
      </c>
    </row>
    <row r="10" spans="1:26" ht="13.5" thickBot="1">
      <c r="A10" s="2594"/>
      <c r="B10" s="61" t="s">
        <v>65</v>
      </c>
      <c r="C10" s="97">
        <v>5.66</v>
      </c>
      <c r="D10" s="97">
        <v>0.99</v>
      </c>
      <c r="E10" s="97">
        <f t="shared" si="1"/>
        <v>5.6033999999999997</v>
      </c>
      <c r="F10" s="27" t="s">
        <v>55</v>
      </c>
      <c r="G10" s="98">
        <v>1</v>
      </c>
      <c r="H10" s="27">
        <f t="shared" si="2"/>
        <v>5.6033999999999997</v>
      </c>
      <c r="I10" s="2596"/>
      <c r="L10" s="2602"/>
      <c r="M10" s="61" t="s">
        <v>65</v>
      </c>
      <c r="N10" s="97">
        <v>8.24</v>
      </c>
      <c r="O10" s="27" t="s">
        <v>55</v>
      </c>
      <c r="P10" s="98">
        <v>1</v>
      </c>
      <c r="Q10" s="27">
        <f t="shared" si="0"/>
        <v>8.24</v>
      </c>
      <c r="R10" s="2603"/>
    </row>
    <row r="11" spans="1:26">
      <c r="A11" s="2594"/>
      <c r="B11" s="61" t="s">
        <v>66</v>
      </c>
      <c r="C11" s="97">
        <v>6.16</v>
      </c>
      <c r="D11" s="97">
        <v>2.4300000000000002</v>
      </c>
      <c r="E11" s="97">
        <f t="shared" si="1"/>
        <v>14.968800000000002</v>
      </c>
      <c r="F11" s="27" t="s">
        <v>55</v>
      </c>
      <c r="G11" s="98">
        <v>1</v>
      </c>
      <c r="H11" s="27">
        <f t="shared" si="2"/>
        <v>14.968800000000002</v>
      </c>
      <c r="I11" s="2596"/>
      <c r="L11" s="2602"/>
      <c r="M11" s="61" t="s">
        <v>66</v>
      </c>
      <c r="N11" s="97">
        <v>7.68</v>
      </c>
      <c r="O11" s="27" t="s">
        <v>55</v>
      </c>
      <c r="P11" s="98">
        <v>1</v>
      </c>
      <c r="Q11" s="27">
        <f t="shared" si="0"/>
        <v>7.68</v>
      </c>
      <c r="R11" s="2603"/>
      <c r="V11" s="576" t="s">
        <v>1172</v>
      </c>
      <c r="W11" s="381">
        <f>W5+W6</f>
        <v>24</v>
      </c>
    </row>
    <row r="12" spans="1:26">
      <c r="A12" s="2594"/>
      <c r="B12" s="61" t="s">
        <v>67</v>
      </c>
      <c r="C12" s="97">
        <v>2.42</v>
      </c>
      <c r="D12" s="97">
        <v>2.12</v>
      </c>
      <c r="E12" s="97">
        <f t="shared" si="1"/>
        <v>5.1303999999999998</v>
      </c>
      <c r="F12" s="27" t="s">
        <v>55</v>
      </c>
      <c r="G12" s="98">
        <v>1</v>
      </c>
      <c r="H12" s="27">
        <f t="shared" si="2"/>
        <v>5.1303999999999998</v>
      </c>
      <c r="I12" s="2596"/>
      <c r="L12" s="2602"/>
      <c r="M12" s="61" t="s">
        <v>67</v>
      </c>
      <c r="N12" s="97">
        <v>2.81</v>
      </c>
      <c r="O12" s="27" t="s">
        <v>55</v>
      </c>
      <c r="P12" s="98">
        <v>1</v>
      </c>
      <c r="Q12" s="27">
        <f t="shared" si="0"/>
        <v>2.81</v>
      </c>
      <c r="R12" s="2603"/>
      <c r="V12" s="577" t="s">
        <v>1173</v>
      </c>
      <c r="W12" s="278">
        <f>W9</f>
        <v>18</v>
      </c>
    </row>
    <row r="13" spans="1:26" ht="13.5" thickBot="1">
      <c r="A13" s="2594"/>
      <c r="B13" s="61" t="s">
        <v>68</v>
      </c>
      <c r="C13" s="97">
        <v>2.5499999999999998</v>
      </c>
      <c r="D13" s="97">
        <v>2.35</v>
      </c>
      <c r="E13" s="97">
        <f t="shared" si="1"/>
        <v>5.9924999999999997</v>
      </c>
      <c r="F13" s="27" t="s">
        <v>55</v>
      </c>
      <c r="G13" s="98">
        <v>1</v>
      </c>
      <c r="H13" s="27">
        <f t="shared" si="2"/>
        <v>5.9924999999999997</v>
      </c>
      <c r="I13" s="2596"/>
      <c r="L13" s="2602"/>
      <c r="M13" s="61" t="s">
        <v>68</v>
      </c>
      <c r="N13" s="97">
        <v>7.02</v>
      </c>
      <c r="O13" s="27" t="s">
        <v>55</v>
      </c>
      <c r="P13" s="98">
        <v>1</v>
      </c>
      <c r="Q13" s="27">
        <f t="shared" si="0"/>
        <v>7.02</v>
      </c>
      <c r="R13" s="2603"/>
      <c r="V13" s="578" t="s">
        <v>1174</v>
      </c>
      <c r="W13" s="413">
        <f>Y9+Y8+Y7+Y6+Y5+W7+W8</f>
        <v>54</v>
      </c>
    </row>
    <row r="14" spans="1:26" ht="13.5" thickBot="1">
      <c r="A14" s="2594"/>
      <c r="B14" s="61" t="s">
        <v>69</v>
      </c>
      <c r="C14" s="97">
        <v>2.5499999999999998</v>
      </c>
      <c r="D14" s="97">
        <v>1.73</v>
      </c>
      <c r="E14" s="97">
        <f t="shared" si="1"/>
        <v>4.4114999999999993</v>
      </c>
      <c r="F14" s="27" t="s">
        <v>55</v>
      </c>
      <c r="G14" s="98">
        <v>1</v>
      </c>
      <c r="H14" s="27">
        <f t="shared" si="2"/>
        <v>4.4114999999999993</v>
      </c>
      <c r="I14" s="2596"/>
      <c r="L14" s="2602"/>
      <c r="M14" s="61" t="s">
        <v>69</v>
      </c>
      <c r="N14" s="97">
        <v>7.46</v>
      </c>
      <c r="O14" s="27" t="s">
        <v>55</v>
      </c>
      <c r="P14" s="98">
        <v>1</v>
      </c>
      <c r="Q14" s="27">
        <f t="shared" si="0"/>
        <v>7.46</v>
      </c>
      <c r="R14" s="2603"/>
    </row>
    <row r="15" spans="1:26" ht="13.5" thickBot="1">
      <c r="A15" s="2594"/>
      <c r="B15" s="61" t="s">
        <v>70</v>
      </c>
      <c r="C15" s="97">
        <v>2.5499999999999998</v>
      </c>
      <c r="D15" s="97">
        <v>1.39</v>
      </c>
      <c r="E15" s="97">
        <f t="shared" si="1"/>
        <v>3.5444999999999993</v>
      </c>
      <c r="F15" s="27" t="s">
        <v>55</v>
      </c>
      <c r="G15" s="98">
        <v>1</v>
      </c>
      <c r="H15" s="27">
        <f t="shared" si="2"/>
        <v>3.5444999999999993</v>
      </c>
      <c r="I15" s="2596"/>
      <c r="L15" s="2602"/>
      <c r="M15" s="61" t="s">
        <v>70</v>
      </c>
      <c r="N15" s="97">
        <v>1.81</v>
      </c>
      <c r="O15" s="27" t="s">
        <v>55</v>
      </c>
      <c r="P15" s="98">
        <v>1</v>
      </c>
      <c r="Q15" s="27">
        <f t="shared" si="0"/>
        <v>1.81</v>
      </c>
      <c r="R15" s="2603"/>
      <c r="V15" s="579" t="s">
        <v>1175</v>
      </c>
      <c r="W15" s="580">
        <f>(3*2)+(2)+(2*2)+(2)+(2*2)+(2)</f>
        <v>20</v>
      </c>
    </row>
    <row r="16" spans="1:26">
      <c r="A16" s="2594"/>
      <c r="B16" s="61" t="s">
        <v>71</v>
      </c>
      <c r="C16" s="97">
        <v>2.5499999999999998</v>
      </c>
      <c r="D16" s="97">
        <v>1.19</v>
      </c>
      <c r="E16" s="97">
        <f t="shared" si="1"/>
        <v>3.0344999999999995</v>
      </c>
      <c r="F16" s="27" t="s">
        <v>55</v>
      </c>
      <c r="G16" s="98">
        <v>1</v>
      </c>
      <c r="H16" s="27">
        <f t="shared" si="2"/>
        <v>3.0344999999999995</v>
      </c>
      <c r="I16" s="2596"/>
      <c r="L16" s="2602"/>
      <c r="M16" s="61" t="s">
        <v>71</v>
      </c>
      <c r="N16" s="97">
        <v>2.82</v>
      </c>
      <c r="O16" s="27" t="s">
        <v>55</v>
      </c>
      <c r="P16" s="98">
        <v>1</v>
      </c>
      <c r="Q16" s="27">
        <f t="shared" si="0"/>
        <v>2.82</v>
      </c>
      <c r="R16" s="2603"/>
    </row>
    <row r="17" spans="1:18">
      <c r="A17" s="2594"/>
      <c r="B17" s="61" t="s">
        <v>72</v>
      </c>
      <c r="C17" s="97">
        <v>2</v>
      </c>
      <c r="D17" s="97">
        <v>1.81</v>
      </c>
      <c r="E17" s="97">
        <f t="shared" si="1"/>
        <v>3.62</v>
      </c>
      <c r="F17" s="27" t="s">
        <v>55</v>
      </c>
      <c r="G17" s="98">
        <v>1</v>
      </c>
      <c r="H17" s="27">
        <f t="shared" si="2"/>
        <v>3.62</v>
      </c>
      <c r="I17" s="2596"/>
      <c r="L17" s="2602"/>
      <c r="M17" s="61" t="s">
        <v>72</v>
      </c>
      <c r="N17" s="97">
        <v>4.0999999999999996</v>
      </c>
      <c r="O17" s="27" t="s">
        <v>55</v>
      </c>
      <c r="P17" s="98">
        <v>1</v>
      </c>
      <c r="Q17" s="27">
        <f t="shared" si="0"/>
        <v>4.0999999999999996</v>
      </c>
      <c r="R17" s="2603"/>
    </row>
    <row r="18" spans="1:18">
      <c r="A18" s="2594"/>
      <c r="B18" s="61" t="s">
        <v>73</v>
      </c>
      <c r="C18" s="97">
        <v>7.45</v>
      </c>
      <c r="D18" s="97">
        <v>1.6</v>
      </c>
      <c r="E18" s="97">
        <f t="shared" si="1"/>
        <v>11.920000000000002</v>
      </c>
      <c r="F18" s="27" t="s">
        <v>55</v>
      </c>
      <c r="G18" s="98">
        <v>1</v>
      </c>
      <c r="H18" s="27">
        <f t="shared" si="2"/>
        <v>11.920000000000002</v>
      </c>
      <c r="I18" s="2596"/>
      <c r="L18" s="2602"/>
      <c r="M18" s="61" t="s">
        <v>73</v>
      </c>
      <c r="N18" s="97">
        <v>4.55</v>
      </c>
      <c r="O18" s="27" t="s">
        <v>55</v>
      </c>
      <c r="P18" s="98">
        <v>1</v>
      </c>
      <c r="Q18" s="27">
        <f t="shared" si="0"/>
        <v>4.55</v>
      </c>
      <c r="R18" s="2603"/>
    </row>
    <row r="19" spans="1:18">
      <c r="A19" s="2594"/>
      <c r="B19" s="61" t="s">
        <v>74</v>
      </c>
      <c r="C19" s="97">
        <v>5.3</v>
      </c>
      <c r="D19" s="97">
        <v>0.76</v>
      </c>
      <c r="E19" s="97">
        <f t="shared" si="1"/>
        <v>4.0279999999999996</v>
      </c>
      <c r="F19" s="27" t="s">
        <v>55</v>
      </c>
      <c r="G19" s="98">
        <v>1</v>
      </c>
      <c r="H19" s="27">
        <f t="shared" si="2"/>
        <v>4.0279999999999996</v>
      </c>
      <c r="I19" s="2596"/>
      <c r="L19" s="2602"/>
      <c r="M19" s="61" t="s">
        <v>74</v>
      </c>
      <c r="N19" s="97">
        <v>5.84</v>
      </c>
      <c r="O19" s="27" t="s">
        <v>55</v>
      </c>
      <c r="P19" s="98">
        <v>1</v>
      </c>
      <c r="Q19" s="27">
        <f t="shared" si="0"/>
        <v>5.84</v>
      </c>
      <c r="R19" s="2603"/>
    </row>
    <row r="20" spans="1:18">
      <c r="A20" s="2594"/>
      <c r="B20" s="61" t="s">
        <v>75</v>
      </c>
      <c r="C20" s="97">
        <v>9.6999999999999993</v>
      </c>
      <c r="D20" s="97">
        <v>2.46</v>
      </c>
      <c r="E20" s="97">
        <f t="shared" si="1"/>
        <v>23.861999999999998</v>
      </c>
      <c r="F20" s="27" t="s">
        <v>55</v>
      </c>
      <c r="G20" s="98">
        <v>1</v>
      </c>
      <c r="H20" s="27">
        <f t="shared" si="2"/>
        <v>23.861999999999998</v>
      </c>
      <c r="I20" s="2596"/>
      <c r="L20" s="2602"/>
      <c r="M20" s="61" t="s">
        <v>75</v>
      </c>
      <c r="N20" s="97">
        <v>5.8</v>
      </c>
      <c r="O20" s="27" t="s">
        <v>55</v>
      </c>
      <c r="P20" s="98">
        <v>1</v>
      </c>
      <c r="Q20" s="27">
        <f t="shared" si="0"/>
        <v>5.8</v>
      </c>
      <c r="R20" s="2603"/>
    </row>
    <row r="21" spans="1:18">
      <c r="A21" s="2594"/>
      <c r="B21" s="61" t="s">
        <v>76</v>
      </c>
      <c r="C21" s="97">
        <v>10.11</v>
      </c>
      <c r="D21" s="97">
        <v>2.62</v>
      </c>
      <c r="E21" s="97">
        <f t="shared" si="1"/>
        <v>26.488199999999999</v>
      </c>
      <c r="F21" s="27" t="s">
        <v>55</v>
      </c>
      <c r="G21" s="98">
        <v>1</v>
      </c>
      <c r="H21" s="27">
        <f t="shared" si="2"/>
        <v>26.488199999999999</v>
      </c>
      <c r="I21" s="2596"/>
      <c r="L21" s="2602"/>
      <c r="M21" s="61" t="s">
        <v>76</v>
      </c>
      <c r="N21" s="97">
        <v>5.03</v>
      </c>
      <c r="O21" s="27" t="s">
        <v>55</v>
      </c>
      <c r="P21" s="98">
        <v>1</v>
      </c>
      <c r="Q21" s="27">
        <f t="shared" si="0"/>
        <v>5.03</v>
      </c>
      <c r="R21" s="2603"/>
    </row>
    <row r="22" spans="1:18">
      <c r="A22" s="2594"/>
      <c r="B22" s="61" t="s">
        <v>77</v>
      </c>
      <c r="C22" s="97">
        <v>9.9499999999999993</v>
      </c>
      <c r="D22" s="97">
        <v>2.21</v>
      </c>
      <c r="E22" s="97">
        <f t="shared" si="1"/>
        <v>21.9895</v>
      </c>
      <c r="F22" s="27" t="s">
        <v>55</v>
      </c>
      <c r="G22" s="98">
        <v>1</v>
      </c>
      <c r="H22" s="27">
        <f t="shared" si="2"/>
        <v>21.9895</v>
      </c>
      <c r="I22" s="2596"/>
      <c r="L22" s="2602"/>
      <c r="M22" s="61" t="s">
        <v>77</v>
      </c>
      <c r="N22" s="97">
        <v>1.76</v>
      </c>
      <c r="O22" s="27" t="s">
        <v>55</v>
      </c>
      <c r="P22" s="98">
        <v>1</v>
      </c>
      <c r="Q22" s="27">
        <f t="shared" si="0"/>
        <v>1.76</v>
      </c>
      <c r="R22" s="2603"/>
    </row>
    <row r="23" spans="1:18">
      <c r="A23" s="2594"/>
      <c r="B23" s="61" t="s">
        <v>78</v>
      </c>
      <c r="C23" s="97">
        <v>9.89</v>
      </c>
      <c r="D23" s="97">
        <v>2.46</v>
      </c>
      <c r="E23" s="97">
        <f t="shared" si="1"/>
        <v>24.3294</v>
      </c>
      <c r="F23" s="27" t="s">
        <v>55</v>
      </c>
      <c r="G23" s="98">
        <v>1</v>
      </c>
      <c r="H23" s="27">
        <f t="shared" si="2"/>
        <v>24.3294</v>
      </c>
      <c r="I23" s="2596"/>
      <c r="L23" s="2602"/>
      <c r="M23" s="61" t="s">
        <v>78</v>
      </c>
      <c r="N23" s="97">
        <v>0.91</v>
      </c>
      <c r="O23" s="27" t="s">
        <v>55</v>
      </c>
      <c r="P23" s="98">
        <v>1</v>
      </c>
      <c r="Q23" s="27">
        <f t="shared" si="0"/>
        <v>0.91</v>
      </c>
      <c r="R23" s="2603"/>
    </row>
    <row r="24" spans="1:18">
      <c r="A24" s="2594"/>
      <c r="B24" s="61" t="s">
        <v>79</v>
      </c>
      <c r="C24" s="97">
        <v>9.39</v>
      </c>
      <c r="D24" s="97">
        <v>2.1</v>
      </c>
      <c r="E24" s="97">
        <f t="shared" si="1"/>
        <v>19.719000000000001</v>
      </c>
      <c r="F24" s="27" t="s">
        <v>55</v>
      </c>
      <c r="G24" s="98">
        <v>1</v>
      </c>
      <c r="H24" s="27">
        <f t="shared" si="2"/>
        <v>19.719000000000001</v>
      </c>
      <c r="I24" s="2596"/>
      <c r="L24" s="2602"/>
      <c r="M24" s="61" t="s">
        <v>79</v>
      </c>
      <c r="N24" s="97">
        <v>11.22</v>
      </c>
      <c r="O24" s="27" t="s">
        <v>55</v>
      </c>
      <c r="P24" s="98">
        <v>1</v>
      </c>
      <c r="Q24" s="27">
        <f t="shared" si="0"/>
        <v>11.22</v>
      </c>
      <c r="R24" s="2603"/>
    </row>
    <row r="25" spans="1:18">
      <c r="A25" s="2594"/>
      <c r="B25" s="61" t="s">
        <v>80</v>
      </c>
      <c r="C25" s="97">
        <v>9.39</v>
      </c>
      <c r="D25" s="97">
        <v>2.35</v>
      </c>
      <c r="E25" s="97">
        <f t="shared" si="1"/>
        <v>22.066500000000001</v>
      </c>
      <c r="F25" s="27" t="s">
        <v>55</v>
      </c>
      <c r="G25" s="98">
        <v>1</v>
      </c>
      <c r="H25" s="27">
        <f t="shared" si="2"/>
        <v>22.066500000000001</v>
      </c>
      <c r="I25" s="2596"/>
      <c r="L25" s="2602"/>
      <c r="M25" s="61" t="s">
        <v>80</v>
      </c>
      <c r="N25" s="97">
        <v>9.44</v>
      </c>
      <c r="O25" s="27" t="s">
        <v>55</v>
      </c>
      <c r="P25" s="98">
        <v>1</v>
      </c>
      <c r="Q25" s="27">
        <f t="shared" si="0"/>
        <v>9.44</v>
      </c>
      <c r="R25" s="2603"/>
    </row>
    <row r="26" spans="1:18">
      <c r="A26" s="2594"/>
      <c r="B26" s="61" t="s">
        <v>81</v>
      </c>
      <c r="C26" s="97">
        <v>9.39</v>
      </c>
      <c r="D26" s="97">
        <v>1.37</v>
      </c>
      <c r="E26" s="97">
        <f>D26*C26</f>
        <v>12.864300000000002</v>
      </c>
      <c r="F26" s="27" t="s">
        <v>55</v>
      </c>
      <c r="G26" s="98">
        <v>1</v>
      </c>
      <c r="H26" s="27">
        <f t="shared" si="2"/>
        <v>12.864300000000002</v>
      </c>
      <c r="I26" s="2596"/>
      <c r="L26" s="2602"/>
      <c r="M26" s="61" t="s">
        <v>81</v>
      </c>
      <c r="N26" s="97">
        <v>6.23</v>
      </c>
      <c r="O26" s="27" t="s">
        <v>55</v>
      </c>
      <c r="P26" s="98">
        <v>1</v>
      </c>
      <c r="Q26" s="27">
        <f t="shared" si="0"/>
        <v>6.23</v>
      </c>
      <c r="R26" s="2603"/>
    </row>
    <row r="27" spans="1:18">
      <c r="A27" s="2594"/>
      <c r="B27" s="61" t="s">
        <v>82</v>
      </c>
      <c r="C27" s="97">
        <v>9.2899999999999991</v>
      </c>
      <c r="D27" s="97">
        <v>1.44</v>
      </c>
      <c r="E27" s="97">
        <f>D27*C27/2</f>
        <v>6.6887999999999987</v>
      </c>
      <c r="F27" s="27" t="s">
        <v>55</v>
      </c>
      <c r="G27" s="98">
        <v>1</v>
      </c>
      <c r="H27" s="27">
        <f t="shared" si="2"/>
        <v>6.6887999999999987</v>
      </c>
      <c r="I27" s="2596"/>
      <c r="L27" s="2602"/>
      <c r="M27" s="61" t="s">
        <v>82</v>
      </c>
      <c r="N27" s="97">
        <v>10.08</v>
      </c>
      <c r="O27" s="27" t="s">
        <v>55</v>
      </c>
      <c r="P27" s="98">
        <v>1</v>
      </c>
      <c r="Q27" s="27">
        <f t="shared" si="0"/>
        <v>10.08</v>
      </c>
      <c r="R27" s="2603"/>
    </row>
    <row r="28" spans="1:18">
      <c r="A28" s="2594"/>
      <c r="B28" s="61" t="s">
        <v>83</v>
      </c>
      <c r="C28" s="97">
        <v>9.2899999999999991</v>
      </c>
      <c r="D28" s="97">
        <v>1.24</v>
      </c>
      <c r="E28" s="97">
        <f>D28*C28/2</f>
        <v>5.7597999999999994</v>
      </c>
      <c r="F28" s="27" t="s">
        <v>55</v>
      </c>
      <c r="G28" s="98">
        <v>1</v>
      </c>
      <c r="H28" s="27">
        <f t="shared" si="2"/>
        <v>5.7597999999999994</v>
      </c>
      <c r="I28" s="2596"/>
      <c r="L28" s="2602"/>
      <c r="M28" s="61" t="s">
        <v>83</v>
      </c>
      <c r="N28" s="97">
        <v>11.31</v>
      </c>
      <c r="O28" s="27" t="s">
        <v>55</v>
      </c>
      <c r="P28" s="98">
        <v>1</v>
      </c>
      <c r="Q28" s="27">
        <f t="shared" si="0"/>
        <v>11.31</v>
      </c>
      <c r="R28" s="2603"/>
    </row>
    <row r="29" spans="1:18">
      <c r="A29" s="2594"/>
      <c r="B29" s="61" t="s">
        <v>84</v>
      </c>
      <c r="C29" s="97">
        <v>5.22</v>
      </c>
      <c r="D29" s="97">
        <v>2.21</v>
      </c>
      <c r="E29" s="97">
        <f>D29*C29/2</f>
        <v>5.7680999999999996</v>
      </c>
      <c r="F29" s="27" t="s">
        <v>55</v>
      </c>
      <c r="G29" s="98">
        <v>1</v>
      </c>
      <c r="H29" s="27">
        <f t="shared" si="2"/>
        <v>5.7680999999999996</v>
      </c>
      <c r="I29" s="2596"/>
      <c r="L29" s="2602"/>
      <c r="M29" s="61" t="s">
        <v>84</v>
      </c>
      <c r="N29" s="97">
        <v>11.88</v>
      </c>
      <c r="O29" s="27" t="s">
        <v>55</v>
      </c>
      <c r="P29" s="98">
        <v>1</v>
      </c>
      <c r="Q29" s="27">
        <f t="shared" si="0"/>
        <v>11.88</v>
      </c>
      <c r="R29" s="2603"/>
    </row>
    <row r="30" spans="1:18">
      <c r="A30" s="2594"/>
      <c r="B30" s="61" t="s">
        <v>85</v>
      </c>
      <c r="C30" s="97">
        <v>4.4800000000000004</v>
      </c>
      <c r="D30" s="97">
        <v>2.48</v>
      </c>
      <c r="E30" s="97">
        <f>D30*C30/2</f>
        <v>5.5552000000000001</v>
      </c>
      <c r="F30" s="27" t="s">
        <v>55</v>
      </c>
      <c r="G30" s="98">
        <v>1</v>
      </c>
      <c r="H30" s="27">
        <f>E30*G30</f>
        <v>5.5552000000000001</v>
      </c>
      <c r="I30" s="2596"/>
      <c r="L30" s="2602"/>
      <c r="M30" s="61" t="s">
        <v>85</v>
      </c>
      <c r="N30" s="97">
        <v>6.89</v>
      </c>
      <c r="O30" s="27" t="s">
        <v>55</v>
      </c>
      <c r="P30" s="98">
        <v>1</v>
      </c>
      <c r="Q30" s="27">
        <f t="shared" si="0"/>
        <v>6.89</v>
      </c>
      <c r="R30" s="2603"/>
    </row>
    <row r="31" spans="1:18">
      <c r="A31" s="2594"/>
      <c r="B31" s="61" t="s">
        <v>86</v>
      </c>
      <c r="C31" s="97">
        <v>9.4600000000000009</v>
      </c>
      <c r="D31" s="97">
        <v>2.06</v>
      </c>
      <c r="E31" s="97">
        <f>(C31+D31)/2</f>
        <v>5.7600000000000007</v>
      </c>
      <c r="F31" s="27" t="s">
        <v>55</v>
      </c>
      <c r="G31" s="98">
        <v>1</v>
      </c>
      <c r="H31" s="27">
        <f>E31*G31</f>
        <v>5.7600000000000007</v>
      </c>
      <c r="I31" s="2596"/>
      <c r="L31" s="2602"/>
      <c r="M31" s="61" t="s">
        <v>86</v>
      </c>
      <c r="N31" s="97">
        <v>11.98</v>
      </c>
      <c r="O31" s="27" t="s">
        <v>55</v>
      </c>
      <c r="P31" s="98">
        <v>1</v>
      </c>
      <c r="Q31" s="27">
        <f t="shared" si="0"/>
        <v>11.98</v>
      </c>
      <c r="R31" s="2603"/>
    </row>
    <row r="32" spans="1:18">
      <c r="A32" s="2594"/>
      <c r="B32" s="61" t="s">
        <v>87</v>
      </c>
      <c r="C32" s="97">
        <v>9.4600000000000009</v>
      </c>
      <c r="D32" s="97">
        <v>2.35</v>
      </c>
      <c r="E32" s="97">
        <f>(C32+D32)/2</f>
        <v>5.9050000000000002</v>
      </c>
      <c r="F32" s="27" t="s">
        <v>55</v>
      </c>
      <c r="G32" s="98">
        <v>1</v>
      </c>
      <c r="H32" s="27">
        <f>E32*G32</f>
        <v>5.9050000000000002</v>
      </c>
      <c r="I32" s="2596"/>
      <c r="L32" s="2602"/>
      <c r="M32" s="61" t="s">
        <v>87</v>
      </c>
      <c r="N32" s="97">
        <v>12.66</v>
      </c>
      <c r="O32" s="27" t="s">
        <v>55</v>
      </c>
      <c r="P32" s="98">
        <v>1</v>
      </c>
      <c r="Q32" s="27">
        <f t="shared" si="0"/>
        <v>12.66</v>
      </c>
      <c r="R32" s="2603"/>
    </row>
    <row r="33" spans="1:18">
      <c r="A33" s="2594"/>
      <c r="B33" s="61" t="s">
        <v>88</v>
      </c>
      <c r="C33" s="97">
        <v>9.4600000000000009</v>
      </c>
      <c r="D33" s="97">
        <v>1.74</v>
      </c>
      <c r="E33" s="97">
        <f>(C33+D33)/2</f>
        <v>5.6000000000000005</v>
      </c>
      <c r="F33" s="27" t="s">
        <v>55</v>
      </c>
      <c r="G33" s="98">
        <v>1</v>
      </c>
      <c r="H33" s="27">
        <f>E33*G33</f>
        <v>5.6000000000000005</v>
      </c>
      <c r="I33" s="2596"/>
      <c r="L33" s="2602"/>
      <c r="M33" s="61" t="s">
        <v>88</v>
      </c>
      <c r="N33" s="97">
        <v>13.53</v>
      </c>
      <c r="O33" s="27" t="s">
        <v>55</v>
      </c>
      <c r="P33" s="98">
        <v>1</v>
      </c>
      <c r="Q33" s="27">
        <f t="shared" si="0"/>
        <v>13.53</v>
      </c>
      <c r="R33" s="2603"/>
    </row>
    <row r="34" spans="1:18">
      <c r="A34" s="2594"/>
      <c r="B34" s="61" t="s">
        <v>89</v>
      </c>
      <c r="C34" s="97">
        <v>9.4600000000000009</v>
      </c>
      <c r="D34" s="97">
        <v>1.44</v>
      </c>
      <c r="E34" s="97">
        <f t="shared" ref="E34:E73" si="3">(C34+D34)/2</f>
        <v>5.45</v>
      </c>
      <c r="F34" s="27" t="s">
        <v>55</v>
      </c>
      <c r="G34" s="98">
        <v>1</v>
      </c>
      <c r="H34" s="27">
        <f t="shared" ref="H34:H73" si="4">E34*G34</f>
        <v>5.45</v>
      </c>
      <c r="I34" s="2596"/>
      <c r="L34" s="2602"/>
      <c r="M34" s="61" t="s">
        <v>89</v>
      </c>
      <c r="N34" s="97">
        <v>18.61</v>
      </c>
      <c r="O34" s="27" t="s">
        <v>55</v>
      </c>
      <c r="P34" s="98">
        <v>1</v>
      </c>
      <c r="Q34" s="27">
        <f t="shared" si="0"/>
        <v>18.61</v>
      </c>
      <c r="R34" s="2603"/>
    </row>
    <row r="35" spans="1:18">
      <c r="A35" s="2594"/>
      <c r="B35" s="61" t="s">
        <v>90</v>
      </c>
      <c r="C35" s="97">
        <v>9.4600000000000009</v>
      </c>
      <c r="D35" s="97">
        <v>1.24</v>
      </c>
      <c r="E35" s="97">
        <f t="shared" si="3"/>
        <v>5.3500000000000005</v>
      </c>
      <c r="F35" s="27" t="s">
        <v>55</v>
      </c>
      <c r="G35" s="98">
        <v>1</v>
      </c>
      <c r="H35" s="27">
        <f t="shared" si="4"/>
        <v>5.3500000000000005</v>
      </c>
      <c r="I35" s="2596"/>
      <c r="L35" s="2602"/>
      <c r="M35" s="61" t="s">
        <v>90</v>
      </c>
      <c r="N35" s="97">
        <v>13.58</v>
      </c>
      <c r="O35" s="27" t="s">
        <v>55</v>
      </c>
      <c r="P35" s="98">
        <v>1</v>
      </c>
      <c r="Q35" s="27">
        <f t="shared" si="0"/>
        <v>13.58</v>
      </c>
      <c r="R35" s="2603"/>
    </row>
    <row r="36" spans="1:18">
      <c r="A36" s="2594"/>
      <c r="B36" s="61" t="s">
        <v>91</v>
      </c>
      <c r="C36" s="97">
        <v>4.8</v>
      </c>
      <c r="D36" s="97">
        <v>2.46</v>
      </c>
      <c r="E36" s="97">
        <f>(C36+D36)/2</f>
        <v>3.63</v>
      </c>
      <c r="F36" s="27" t="s">
        <v>55</v>
      </c>
      <c r="G36" s="98">
        <v>1</v>
      </c>
      <c r="H36" s="27">
        <f t="shared" si="4"/>
        <v>3.63</v>
      </c>
      <c r="I36" s="2596"/>
      <c r="L36" s="2602"/>
      <c r="M36" s="61" t="s">
        <v>91</v>
      </c>
      <c r="N36" s="97">
        <v>1.45</v>
      </c>
      <c r="O36" s="27" t="s">
        <v>55</v>
      </c>
      <c r="P36" s="98">
        <v>1</v>
      </c>
      <c r="Q36" s="27">
        <f t="shared" si="0"/>
        <v>1.45</v>
      </c>
      <c r="R36" s="2603"/>
    </row>
    <row r="37" spans="1:18">
      <c r="A37" s="2594"/>
      <c r="B37" s="61" t="s">
        <v>92</v>
      </c>
      <c r="C37" s="97">
        <v>4.8</v>
      </c>
      <c r="D37" s="97">
        <v>2.62</v>
      </c>
      <c r="E37" s="97">
        <f t="shared" si="3"/>
        <v>3.71</v>
      </c>
      <c r="F37" s="27" t="s">
        <v>55</v>
      </c>
      <c r="G37" s="98">
        <v>1</v>
      </c>
      <c r="H37" s="27">
        <f t="shared" si="4"/>
        <v>3.71</v>
      </c>
      <c r="I37" s="2596"/>
      <c r="L37" s="2602"/>
      <c r="M37" s="61" t="s">
        <v>92</v>
      </c>
      <c r="N37" s="97">
        <v>0.57999999999999996</v>
      </c>
      <c r="O37" s="27" t="s">
        <v>55</v>
      </c>
      <c r="P37" s="98">
        <v>1</v>
      </c>
      <c r="Q37" s="27">
        <f t="shared" si="0"/>
        <v>0.57999999999999996</v>
      </c>
      <c r="R37" s="2603"/>
    </row>
    <row r="38" spans="1:18">
      <c r="A38" s="2594"/>
      <c r="B38" s="61" t="s">
        <v>93</v>
      </c>
      <c r="C38" s="97">
        <v>4.8</v>
      </c>
      <c r="D38" s="97">
        <v>2.21</v>
      </c>
      <c r="E38" s="97">
        <f t="shared" si="3"/>
        <v>3.5049999999999999</v>
      </c>
      <c r="F38" s="27" t="s">
        <v>55</v>
      </c>
      <c r="G38" s="98">
        <v>1</v>
      </c>
      <c r="H38" s="27">
        <f t="shared" si="4"/>
        <v>3.5049999999999999</v>
      </c>
      <c r="I38" s="2596"/>
      <c r="L38" s="2602"/>
      <c r="M38" s="61" t="s">
        <v>93</v>
      </c>
      <c r="N38" s="97">
        <v>3.31</v>
      </c>
      <c r="O38" s="27" t="s">
        <v>55</v>
      </c>
      <c r="P38" s="98">
        <v>1</v>
      </c>
      <c r="Q38" s="27">
        <f t="shared" si="0"/>
        <v>3.31</v>
      </c>
      <c r="R38" s="2603"/>
    </row>
    <row r="39" spans="1:18">
      <c r="A39" s="2594"/>
      <c r="B39" s="61" t="s">
        <v>94</v>
      </c>
      <c r="C39" s="97">
        <v>4.8</v>
      </c>
      <c r="D39" s="97">
        <v>2.48</v>
      </c>
      <c r="E39" s="97">
        <f>(C39+D39)/2</f>
        <v>3.6399999999999997</v>
      </c>
      <c r="F39" s="27" t="s">
        <v>55</v>
      </c>
      <c r="G39" s="98">
        <v>2</v>
      </c>
      <c r="H39" s="27">
        <f t="shared" si="4"/>
        <v>7.2799999999999994</v>
      </c>
      <c r="I39" s="2596"/>
      <c r="L39" s="2602"/>
      <c r="M39" s="61" t="s">
        <v>94</v>
      </c>
      <c r="N39" s="97">
        <v>8.3800000000000008</v>
      </c>
      <c r="O39" s="27" t="s">
        <v>55</v>
      </c>
      <c r="P39" s="98">
        <v>2</v>
      </c>
      <c r="Q39" s="27">
        <f t="shared" si="0"/>
        <v>16.760000000000002</v>
      </c>
      <c r="R39" s="2603"/>
    </row>
    <row r="40" spans="1:18">
      <c r="A40" s="2594"/>
      <c r="B40" s="61" t="s">
        <v>95</v>
      </c>
      <c r="C40" s="97">
        <v>4.22</v>
      </c>
      <c r="D40" s="97">
        <v>2.21</v>
      </c>
      <c r="E40" s="97">
        <f t="shared" si="3"/>
        <v>3.2149999999999999</v>
      </c>
      <c r="F40" s="27" t="s">
        <v>55</v>
      </c>
      <c r="G40" s="98">
        <v>1</v>
      </c>
      <c r="H40" s="27">
        <f t="shared" si="4"/>
        <v>3.2149999999999999</v>
      </c>
      <c r="I40" s="2596"/>
      <c r="L40" s="2602"/>
      <c r="M40" s="61" t="s">
        <v>95</v>
      </c>
      <c r="N40" s="97">
        <v>4.46</v>
      </c>
      <c r="O40" s="27" t="s">
        <v>55</v>
      </c>
      <c r="P40" s="98">
        <v>1</v>
      </c>
      <c r="Q40" s="27">
        <f t="shared" si="0"/>
        <v>4.46</v>
      </c>
      <c r="R40" s="2603"/>
    </row>
    <row r="41" spans="1:18">
      <c r="A41" s="2594"/>
      <c r="B41" s="61" t="s">
        <v>96</v>
      </c>
      <c r="C41" s="97">
        <v>4.22</v>
      </c>
      <c r="D41" s="97">
        <v>2.62</v>
      </c>
      <c r="E41" s="97">
        <f t="shared" si="3"/>
        <v>3.42</v>
      </c>
      <c r="F41" s="27" t="s">
        <v>55</v>
      </c>
      <c r="G41" s="98">
        <v>1</v>
      </c>
      <c r="H41" s="27">
        <f t="shared" si="4"/>
        <v>3.42</v>
      </c>
      <c r="I41" s="2596"/>
      <c r="L41" s="2602"/>
      <c r="M41" s="61" t="s">
        <v>96</v>
      </c>
      <c r="N41" s="97">
        <v>3</v>
      </c>
      <c r="O41" s="27" t="s">
        <v>55</v>
      </c>
      <c r="P41" s="98">
        <v>1</v>
      </c>
      <c r="Q41" s="27">
        <f t="shared" si="0"/>
        <v>3</v>
      </c>
      <c r="R41" s="2603"/>
    </row>
    <row r="42" spans="1:18">
      <c r="A42" s="2594"/>
      <c r="B42" s="61" t="s">
        <v>97</v>
      </c>
      <c r="C42" s="97">
        <v>9.27</v>
      </c>
      <c r="D42" s="97">
        <v>2.21</v>
      </c>
      <c r="E42" s="97">
        <f t="shared" si="3"/>
        <v>5.74</v>
      </c>
      <c r="F42" s="27" t="s">
        <v>55</v>
      </c>
      <c r="G42" s="98">
        <v>1</v>
      </c>
      <c r="H42" s="27">
        <f t="shared" si="4"/>
        <v>5.74</v>
      </c>
      <c r="I42" s="2596"/>
      <c r="L42" s="2602"/>
      <c r="M42" s="61" t="s">
        <v>97</v>
      </c>
      <c r="N42" s="97">
        <v>23.95</v>
      </c>
      <c r="O42" s="27" t="s">
        <v>55</v>
      </c>
      <c r="P42" s="98">
        <v>1</v>
      </c>
      <c r="Q42" s="27">
        <f t="shared" si="0"/>
        <v>23.95</v>
      </c>
      <c r="R42" s="2603"/>
    </row>
    <row r="43" spans="1:18">
      <c r="A43" s="2594"/>
      <c r="B43" s="61" t="s">
        <v>98</v>
      </c>
      <c r="C43" s="97">
        <v>9.27</v>
      </c>
      <c r="D43" s="97">
        <v>2.5</v>
      </c>
      <c r="E43" s="97">
        <f t="shared" si="3"/>
        <v>5.8849999999999998</v>
      </c>
      <c r="F43" s="27" t="s">
        <v>55</v>
      </c>
      <c r="G43" s="98">
        <v>1</v>
      </c>
      <c r="H43" s="27">
        <f t="shared" si="4"/>
        <v>5.8849999999999998</v>
      </c>
      <c r="I43" s="2596"/>
      <c r="L43" s="2602"/>
      <c r="M43" s="61" t="s">
        <v>98</v>
      </c>
      <c r="N43" s="97">
        <v>17.940000000000001</v>
      </c>
      <c r="O43" s="27" t="s">
        <v>55</v>
      </c>
      <c r="P43" s="98">
        <v>1</v>
      </c>
      <c r="Q43" s="27">
        <f t="shared" si="0"/>
        <v>17.940000000000001</v>
      </c>
      <c r="R43" s="2603"/>
    </row>
    <row r="44" spans="1:18">
      <c r="A44" s="2594"/>
      <c r="B44" s="61" t="s">
        <v>99</v>
      </c>
      <c r="C44" s="97">
        <v>9.27</v>
      </c>
      <c r="D44" s="97">
        <v>2.02</v>
      </c>
      <c r="E44" s="97">
        <f t="shared" si="3"/>
        <v>5.6449999999999996</v>
      </c>
      <c r="F44" s="27" t="s">
        <v>55</v>
      </c>
      <c r="G44" s="98">
        <v>1</v>
      </c>
      <c r="H44" s="27">
        <f t="shared" si="4"/>
        <v>5.6449999999999996</v>
      </c>
      <c r="I44" s="2596"/>
      <c r="L44" s="2602"/>
      <c r="M44" s="61" t="s">
        <v>99</v>
      </c>
      <c r="N44" s="97">
        <v>11.41</v>
      </c>
      <c r="O44" s="27" t="s">
        <v>55</v>
      </c>
      <c r="P44" s="98">
        <v>1</v>
      </c>
      <c r="Q44" s="27">
        <f t="shared" si="0"/>
        <v>11.41</v>
      </c>
      <c r="R44" s="2603"/>
    </row>
    <row r="45" spans="1:18">
      <c r="A45" s="2594"/>
      <c r="B45" s="61" t="s">
        <v>100</v>
      </c>
      <c r="C45" s="97">
        <v>9.27</v>
      </c>
      <c r="D45" s="97">
        <v>2.35</v>
      </c>
      <c r="E45" s="97">
        <f t="shared" si="3"/>
        <v>5.81</v>
      </c>
      <c r="F45" s="27" t="s">
        <v>55</v>
      </c>
      <c r="G45" s="98">
        <v>1</v>
      </c>
      <c r="H45" s="27">
        <f t="shared" si="4"/>
        <v>5.81</v>
      </c>
      <c r="I45" s="2596"/>
      <c r="L45" s="2602"/>
      <c r="M45" s="61" t="s">
        <v>100</v>
      </c>
      <c r="N45" s="97">
        <v>7.56</v>
      </c>
      <c r="O45" s="27" t="s">
        <v>55</v>
      </c>
      <c r="P45" s="98">
        <v>1</v>
      </c>
      <c r="Q45" s="27">
        <f t="shared" si="0"/>
        <v>7.56</v>
      </c>
      <c r="R45" s="2603"/>
    </row>
    <row r="46" spans="1:18">
      <c r="A46" s="2594"/>
      <c r="B46" s="61" t="s">
        <v>101</v>
      </c>
      <c r="C46" s="97">
        <v>9.27</v>
      </c>
      <c r="D46" s="97">
        <v>2.13</v>
      </c>
      <c r="E46" s="97">
        <f t="shared" si="3"/>
        <v>5.6999999999999993</v>
      </c>
      <c r="F46" s="27" t="s">
        <v>55</v>
      </c>
      <c r="G46" s="98">
        <v>1</v>
      </c>
      <c r="H46" s="27">
        <f t="shared" si="4"/>
        <v>5.6999999999999993</v>
      </c>
      <c r="I46" s="2596"/>
      <c r="L46" s="2602"/>
      <c r="M46" s="61" t="s">
        <v>101</v>
      </c>
      <c r="N46" s="97">
        <v>9.08</v>
      </c>
      <c r="O46" s="27" t="s">
        <v>55</v>
      </c>
      <c r="P46" s="98">
        <v>1</v>
      </c>
      <c r="Q46" s="27">
        <f t="shared" si="0"/>
        <v>9.08</v>
      </c>
      <c r="R46" s="2603"/>
    </row>
    <row r="47" spans="1:18">
      <c r="A47" s="2594"/>
      <c r="B47" s="61" t="s">
        <v>102</v>
      </c>
      <c r="C47" s="97">
        <v>9.27</v>
      </c>
      <c r="D47" s="97">
        <v>2.31</v>
      </c>
      <c r="E47" s="97">
        <f t="shared" si="3"/>
        <v>5.79</v>
      </c>
      <c r="F47" s="27" t="s">
        <v>55</v>
      </c>
      <c r="G47" s="98">
        <v>1</v>
      </c>
      <c r="H47" s="27">
        <f t="shared" si="4"/>
        <v>5.79</v>
      </c>
      <c r="I47" s="2596"/>
      <c r="L47" s="2602"/>
      <c r="M47" s="61" t="s">
        <v>102</v>
      </c>
      <c r="N47" s="97">
        <v>11.24</v>
      </c>
      <c r="O47" s="27" t="s">
        <v>55</v>
      </c>
      <c r="P47" s="98">
        <v>1</v>
      </c>
      <c r="Q47" s="27">
        <f t="shared" si="0"/>
        <v>11.24</v>
      </c>
      <c r="R47" s="2603"/>
    </row>
    <row r="48" spans="1:18">
      <c r="A48" s="2594"/>
      <c r="B48" s="61" t="s">
        <v>103</v>
      </c>
      <c r="C48" s="97">
        <v>9.27</v>
      </c>
      <c r="D48" s="97">
        <v>1.24</v>
      </c>
      <c r="E48" s="97">
        <f t="shared" si="3"/>
        <v>5.2549999999999999</v>
      </c>
      <c r="F48" s="27" t="s">
        <v>55</v>
      </c>
      <c r="G48" s="98">
        <v>1</v>
      </c>
      <c r="H48" s="27">
        <f t="shared" si="4"/>
        <v>5.2549999999999999</v>
      </c>
      <c r="I48" s="2596"/>
      <c r="L48" s="2602"/>
      <c r="M48" s="61" t="s">
        <v>103</v>
      </c>
      <c r="N48" s="97">
        <v>8.8000000000000007</v>
      </c>
      <c r="O48" s="27" t="s">
        <v>55</v>
      </c>
      <c r="P48" s="98">
        <v>1</v>
      </c>
      <c r="Q48" s="27">
        <f t="shared" si="0"/>
        <v>8.8000000000000007</v>
      </c>
      <c r="R48" s="2603"/>
    </row>
    <row r="49" spans="1:18">
      <c r="A49" s="2594"/>
      <c r="B49" s="103" t="s">
        <v>104</v>
      </c>
      <c r="C49" s="99">
        <v>4.74</v>
      </c>
      <c r="D49" s="99">
        <v>0.53</v>
      </c>
      <c r="E49" s="99">
        <f t="shared" si="3"/>
        <v>2.6350000000000002</v>
      </c>
      <c r="F49" s="100" t="s">
        <v>55</v>
      </c>
      <c r="G49" s="101">
        <v>1</v>
      </c>
      <c r="H49" s="100">
        <f t="shared" si="4"/>
        <v>2.6350000000000002</v>
      </c>
      <c r="I49" s="2596"/>
      <c r="L49" s="2602"/>
      <c r="M49" s="61" t="s">
        <v>104</v>
      </c>
      <c r="N49" s="97">
        <v>14.93</v>
      </c>
      <c r="O49" s="27" t="s">
        <v>55</v>
      </c>
      <c r="P49" s="98">
        <v>1</v>
      </c>
      <c r="Q49" s="27">
        <f t="shared" si="0"/>
        <v>14.93</v>
      </c>
      <c r="R49" s="2603"/>
    </row>
    <row r="50" spans="1:18">
      <c r="A50" s="2594"/>
      <c r="B50" s="103" t="s">
        <v>205</v>
      </c>
      <c r="C50" s="99">
        <v>9.14</v>
      </c>
      <c r="D50" s="99">
        <v>2.63</v>
      </c>
      <c r="E50" s="99">
        <f t="shared" si="3"/>
        <v>5.8849999999999998</v>
      </c>
      <c r="F50" s="27" t="s">
        <v>55</v>
      </c>
      <c r="G50" s="101">
        <v>1</v>
      </c>
      <c r="H50" s="100">
        <f t="shared" si="4"/>
        <v>5.8849999999999998</v>
      </c>
      <c r="I50" s="2596"/>
      <c r="L50" s="2588" t="s">
        <v>105</v>
      </c>
      <c r="M50" s="2588"/>
      <c r="N50" s="2588"/>
      <c r="O50" s="2588"/>
      <c r="P50" s="264">
        <f>SUM(P7:P49)</f>
        <v>44</v>
      </c>
      <c r="Q50" s="105">
        <f>SUM(Q7:Q49)</f>
        <v>354.06000000000006</v>
      </c>
      <c r="R50" s="105" t="s">
        <v>55</v>
      </c>
    </row>
    <row r="51" spans="1:18">
      <c r="A51" s="2594"/>
      <c r="B51" s="103" t="s">
        <v>206</v>
      </c>
      <c r="C51" s="99">
        <v>9.14</v>
      </c>
      <c r="D51" s="99">
        <v>2.1</v>
      </c>
      <c r="E51" s="99">
        <f t="shared" si="3"/>
        <v>5.62</v>
      </c>
      <c r="F51" s="100" t="s">
        <v>55</v>
      </c>
      <c r="G51" s="101">
        <v>1</v>
      </c>
      <c r="H51" s="100">
        <f t="shared" si="4"/>
        <v>5.62</v>
      </c>
      <c r="I51" s="2596"/>
    </row>
    <row r="52" spans="1:18">
      <c r="A52" s="2594"/>
      <c r="B52" s="103" t="s">
        <v>207</v>
      </c>
      <c r="C52" s="99">
        <v>9.25</v>
      </c>
      <c r="D52" s="99">
        <v>1</v>
      </c>
      <c r="E52" s="99">
        <f t="shared" si="3"/>
        <v>5.125</v>
      </c>
      <c r="F52" s="27" t="s">
        <v>55</v>
      </c>
      <c r="G52" s="101">
        <v>1</v>
      </c>
      <c r="H52" s="100">
        <f t="shared" si="4"/>
        <v>5.125</v>
      </c>
      <c r="I52" s="2596"/>
    </row>
    <row r="53" spans="1:18">
      <c r="A53" s="2594"/>
      <c r="B53" s="103" t="s">
        <v>208</v>
      </c>
      <c r="C53" s="99">
        <v>9.33</v>
      </c>
      <c r="D53" s="99">
        <v>2.21</v>
      </c>
      <c r="E53" s="99">
        <f t="shared" si="3"/>
        <v>5.77</v>
      </c>
      <c r="F53" s="100" t="s">
        <v>55</v>
      </c>
      <c r="G53" s="101">
        <v>1</v>
      </c>
      <c r="H53" s="100">
        <f t="shared" si="4"/>
        <v>5.77</v>
      </c>
      <c r="I53" s="2596"/>
    </row>
    <row r="54" spans="1:18">
      <c r="A54" s="2594"/>
      <c r="B54" s="103" t="s">
        <v>209</v>
      </c>
      <c r="C54" s="99">
        <v>9.39</v>
      </c>
      <c r="D54" s="99">
        <v>2.34</v>
      </c>
      <c r="E54" s="99">
        <f t="shared" si="3"/>
        <v>5.8650000000000002</v>
      </c>
      <c r="F54" s="27" t="s">
        <v>55</v>
      </c>
      <c r="G54" s="101">
        <v>1</v>
      </c>
      <c r="H54" s="100">
        <f t="shared" si="4"/>
        <v>5.8650000000000002</v>
      </c>
      <c r="I54" s="2596"/>
    </row>
    <row r="55" spans="1:18">
      <c r="A55" s="2594"/>
      <c r="B55" s="103" t="s">
        <v>210</v>
      </c>
      <c r="C55" s="99">
        <v>9.4499999999999993</v>
      </c>
      <c r="D55" s="99">
        <v>1.58</v>
      </c>
      <c r="E55" s="99">
        <f t="shared" si="3"/>
        <v>5.5149999999999997</v>
      </c>
      <c r="F55" s="100" t="s">
        <v>55</v>
      </c>
      <c r="G55" s="101">
        <v>1</v>
      </c>
      <c r="H55" s="100">
        <f t="shared" si="4"/>
        <v>5.5149999999999997</v>
      </c>
      <c r="I55" s="2596"/>
    </row>
    <row r="56" spans="1:18">
      <c r="A56" s="2594"/>
      <c r="B56" s="103" t="s">
        <v>211</v>
      </c>
      <c r="C56" s="99">
        <v>4.45</v>
      </c>
      <c r="D56" s="99">
        <v>2.0299999999999998</v>
      </c>
      <c r="E56" s="99">
        <f t="shared" si="3"/>
        <v>3.24</v>
      </c>
      <c r="F56" s="27" t="s">
        <v>55</v>
      </c>
      <c r="G56" s="101">
        <v>1</v>
      </c>
      <c r="H56" s="100">
        <f t="shared" si="4"/>
        <v>3.24</v>
      </c>
      <c r="I56" s="2596"/>
    </row>
    <row r="57" spans="1:18">
      <c r="A57" s="2594"/>
      <c r="B57" s="103" t="s">
        <v>212</v>
      </c>
      <c r="C57" s="99">
        <v>4.45</v>
      </c>
      <c r="D57" s="99">
        <v>2.35</v>
      </c>
      <c r="E57" s="99">
        <f t="shared" si="3"/>
        <v>3.4000000000000004</v>
      </c>
      <c r="F57" s="100" t="s">
        <v>55</v>
      </c>
      <c r="G57" s="101">
        <v>1</v>
      </c>
      <c r="H57" s="100">
        <f t="shared" si="4"/>
        <v>3.4000000000000004</v>
      </c>
      <c r="I57" s="2596"/>
    </row>
    <row r="58" spans="1:18">
      <c r="A58" s="2594"/>
      <c r="B58" s="103" t="s">
        <v>213</v>
      </c>
      <c r="C58" s="99">
        <v>4.45</v>
      </c>
      <c r="D58" s="99">
        <v>1.61</v>
      </c>
      <c r="E58" s="99">
        <f t="shared" si="3"/>
        <v>3.0300000000000002</v>
      </c>
      <c r="F58" s="27" t="s">
        <v>55</v>
      </c>
      <c r="G58" s="101">
        <v>1</v>
      </c>
      <c r="H58" s="100">
        <f t="shared" si="4"/>
        <v>3.0300000000000002</v>
      </c>
      <c r="I58" s="2596"/>
    </row>
    <row r="59" spans="1:18">
      <c r="A59" s="2594"/>
      <c r="B59" s="103" t="s">
        <v>214</v>
      </c>
      <c r="C59" s="99">
        <v>9.6</v>
      </c>
      <c r="D59" s="99">
        <v>2.2599999999999998</v>
      </c>
      <c r="E59" s="99">
        <f t="shared" si="3"/>
        <v>5.93</v>
      </c>
      <c r="F59" s="100" t="s">
        <v>55</v>
      </c>
      <c r="G59" s="101">
        <v>1</v>
      </c>
      <c r="H59" s="100">
        <f t="shared" si="4"/>
        <v>5.93</v>
      </c>
      <c r="I59" s="2596"/>
    </row>
    <row r="60" spans="1:18">
      <c r="A60" s="2594"/>
      <c r="B60" s="103" t="s">
        <v>215</v>
      </c>
      <c r="C60" s="99">
        <v>9.6</v>
      </c>
      <c r="D60" s="99">
        <v>1.24</v>
      </c>
      <c r="E60" s="99">
        <f t="shared" si="3"/>
        <v>5.42</v>
      </c>
      <c r="F60" s="27" t="s">
        <v>55</v>
      </c>
      <c r="G60" s="101">
        <v>1</v>
      </c>
      <c r="H60" s="100">
        <f t="shared" si="4"/>
        <v>5.42</v>
      </c>
      <c r="I60" s="2596"/>
    </row>
    <row r="61" spans="1:18">
      <c r="A61" s="2594"/>
      <c r="B61" s="103" t="s">
        <v>216</v>
      </c>
      <c r="C61" s="99">
        <v>0.45</v>
      </c>
      <c r="D61" s="99">
        <v>5.69</v>
      </c>
      <c r="E61" s="99">
        <f t="shared" si="3"/>
        <v>3.0700000000000003</v>
      </c>
      <c r="F61" s="100" t="s">
        <v>55</v>
      </c>
      <c r="G61" s="101">
        <v>1</v>
      </c>
      <c r="H61" s="100">
        <f t="shared" si="4"/>
        <v>3.0700000000000003</v>
      </c>
      <c r="I61" s="2596"/>
    </row>
    <row r="62" spans="1:18">
      <c r="A62" s="2594"/>
      <c r="B62" s="103" t="s">
        <v>217</v>
      </c>
      <c r="C62" s="99">
        <v>2.0499999999999998</v>
      </c>
      <c r="D62" s="99">
        <v>1.27</v>
      </c>
      <c r="E62" s="99">
        <f t="shared" si="3"/>
        <v>1.66</v>
      </c>
      <c r="F62" s="27" t="s">
        <v>55</v>
      </c>
      <c r="G62" s="101">
        <v>1</v>
      </c>
      <c r="H62" s="100">
        <f t="shared" si="4"/>
        <v>1.66</v>
      </c>
      <c r="I62" s="2596"/>
    </row>
    <row r="63" spans="1:18">
      <c r="A63" s="2594"/>
      <c r="B63" s="103" t="s">
        <v>218</v>
      </c>
      <c r="C63" s="99">
        <v>2.0499999999999998</v>
      </c>
      <c r="D63" s="99">
        <v>1.83</v>
      </c>
      <c r="E63" s="99">
        <f t="shared" si="3"/>
        <v>1.94</v>
      </c>
      <c r="F63" s="100" t="s">
        <v>55</v>
      </c>
      <c r="G63" s="101">
        <v>1</v>
      </c>
      <c r="H63" s="100">
        <f t="shared" si="4"/>
        <v>1.94</v>
      </c>
      <c r="I63" s="2596"/>
    </row>
    <row r="64" spans="1:18">
      <c r="A64" s="2594"/>
      <c r="B64" s="103" t="s">
        <v>219</v>
      </c>
      <c r="C64" s="99">
        <v>2.0499999999999998</v>
      </c>
      <c r="D64" s="99">
        <v>2.41</v>
      </c>
      <c r="E64" s="99">
        <f t="shared" si="3"/>
        <v>2.23</v>
      </c>
      <c r="F64" s="27" t="s">
        <v>55</v>
      </c>
      <c r="G64" s="101">
        <v>1</v>
      </c>
      <c r="H64" s="100">
        <f t="shared" si="4"/>
        <v>2.23</v>
      </c>
      <c r="I64" s="2596"/>
    </row>
    <row r="65" spans="1:9">
      <c r="A65" s="2594"/>
      <c r="B65" s="103" t="s">
        <v>220</v>
      </c>
      <c r="C65" s="99">
        <v>5.0999999999999996</v>
      </c>
      <c r="D65" s="99">
        <v>3.72</v>
      </c>
      <c r="E65" s="99">
        <f t="shared" si="3"/>
        <v>4.41</v>
      </c>
      <c r="F65" s="100" t="s">
        <v>55</v>
      </c>
      <c r="G65" s="101">
        <v>1</v>
      </c>
      <c r="H65" s="100">
        <f t="shared" si="4"/>
        <v>4.41</v>
      </c>
      <c r="I65" s="2596"/>
    </row>
    <row r="66" spans="1:9">
      <c r="A66" s="2594"/>
      <c r="B66" s="103" t="s">
        <v>221</v>
      </c>
      <c r="C66" s="99">
        <v>3.69</v>
      </c>
      <c r="D66" s="99">
        <v>2.4700000000000002</v>
      </c>
      <c r="E66" s="99">
        <f t="shared" si="3"/>
        <v>3.08</v>
      </c>
      <c r="F66" s="27" t="s">
        <v>55</v>
      </c>
      <c r="G66" s="101">
        <v>1</v>
      </c>
      <c r="H66" s="100">
        <f t="shared" si="4"/>
        <v>3.08</v>
      </c>
      <c r="I66" s="2596"/>
    </row>
    <row r="67" spans="1:9">
      <c r="A67" s="2594"/>
      <c r="B67" s="103" t="s">
        <v>222</v>
      </c>
      <c r="C67" s="99">
        <v>3.5</v>
      </c>
      <c r="D67" s="99">
        <v>2.31</v>
      </c>
      <c r="E67" s="99">
        <f t="shared" si="3"/>
        <v>2.9050000000000002</v>
      </c>
      <c r="F67" s="100" t="s">
        <v>55</v>
      </c>
      <c r="G67" s="101">
        <v>1</v>
      </c>
      <c r="H67" s="100">
        <f t="shared" si="4"/>
        <v>2.9050000000000002</v>
      </c>
      <c r="I67" s="2596"/>
    </row>
    <row r="68" spans="1:9">
      <c r="A68" s="2594"/>
      <c r="B68" s="103" t="s">
        <v>223</v>
      </c>
      <c r="C68" s="99">
        <v>3.41</v>
      </c>
      <c r="D68" s="99">
        <v>2.39</v>
      </c>
      <c r="E68" s="99">
        <f t="shared" si="3"/>
        <v>2.9000000000000004</v>
      </c>
      <c r="F68" s="27" t="s">
        <v>55</v>
      </c>
      <c r="G68" s="101">
        <v>1</v>
      </c>
      <c r="H68" s="100">
        <f t="shared" si="4"/>
        <v>2.9000000000000004</v>
      </c>
      <c r="I68" s="2596"/>
    </row>
    <row r="69" spans="1:9">
      <c r="A69" s="2594"/>
      <c r="B69" s="103" t="s">
        <v>224</v>
      </c>
      <c r="C69" s="99">
        <v>2.83</v>
      </c>
      <c r="D69" s="99">
        <v>1.54</v>
      </c>
      <c r="E69" s="99">
        <f t="shared" si="3"/>
        <v>2.1850000000000001</v>
      </c>
      <c r="F69" s="100" t="s">
        <v>55</v>
      </c>
      <c r="G69" s="101">
        <v>1</v>
      </c>
      <c r="H69" s="100">
        <f t="shared" si="4"/>
        <v>2.1850000000000001</v>
      </c>
      <c r="I69" s="2596"/>
    </row>
    <row r="70" spans="1:9">
      <c r="A70" s="2594"/>
      <c r="B70" s="103" t="s">
        <v>225</v>
      </c>
      <c r="C70" s="99">
        <v>2.73</v>
      </c>
      <c r="D70" s="99">
        <v>0.96</v>
      </c>
      <c r="E70" s="99">
        <f t="shared" si="3"/>
        <v>1.845</v>
      </c>
      <c r="F70" s="27" t="s">
        <v>55</v>
      </c>
      <c r="G70" s="101">
        <v>1</v>
      </c>
      <c r="H70" s="100">
        <f t="shared" si="4"/>
        <v>1.845</v>
      </c>
      <c r="I70" s="2596"/>
    </row>
    <row r="71" spans="1:9">
      <c r="A71" s="2594"/>
      <c r="B71" s="103" t="s">
        <v>226</v>
      </c>
      <c r="C71" s="99">
        <v>2.73</v>
      </c>
      <c r="D71" s="99">
        <v>1.83</v>
      </c>
      <c r="E71" s="99">
        <f t="shared" si="3"/>
        <v>2.2800000000000002</v>
      </c>
      <c r="F71" s="100" t="s">
        <v>55</v>
      </c>
      <c r="G71" s="101">
        <v>1</v>
      </c>
      <c r="H71" s="100">
        <f t="shared" si="4"/>
        <v>2.2800000000000002</v>
      </c>
      <c r="I71" s="2596"/>
    </row>
    <row r="72" spans="1:9">
      <c r="A72" s="2594"/>
      <c r="B72" s="103" t="s">
        <v>227</v>
      </c>
      <c r="C72" s="99">
        <v>2.73</v>
      </c>
      <c r="D72" s="99">
        <v>2.36</v>
      </c>
      <c r="E72" s="99">
        <f t="shared" si="3"/>
        <v>2.5449999999999999</v>
      </c>
      <c r="F72" s="27" t="s">
        <v>55</v>
      </c>
      <c r="G72" s="101">
        <v>1</v>
      </c>
      <c r="H72" s="100">
        <f t="shared" si="4"/>
        <v>2.5449999999999999</v>
      </c>
      <c r="I72" s="2596"/>
    </row>
    <row r="73" spans="1:9">
      <c r="A73" s="2594"/>
      <c r="B73" s="103" t="s">
        <v>228</v>
      </c>
      <c r="C73" s="99">
        <v>2.73</v>
      </c>
      <c r="D73" s="99">
        <v>2.35</v>
      </c>
      <c r="E73" s="99">
        <f t="shared" si="3"/>
        <v>2.54</v>
      </c>
      <c r="F73" s="100" t="s">
        <v>55</v>
      </c>
      <c r="G73" s="101">
        <v>1</v>
      </c>
      <c r="H73" s="100">
        <f t="shared" si="4"/>
        <v>2.54</v>
      </c>
      <c r="I73" s="2597"/>
    </row>
    <row r="74" spans="1:9">
      <c r="A74" s="2588" t="s">
        <v>105</v>
      </c>
      <c r="B74" s="2588"/>
      <c r="C74" s="2588"/>
      <c r="D74" s="2588"/>
      <c r="E74" s="2588"/>
      <c r="F74" s="2588"/>
      <c r="G74" s="104">
        <f>SUM(G7:G73)</f>
        <v>68</v>
      </c>
      <c r="H74" s="105">
        <f>SUM(H7:H73)</f>
        <v>448.13079999999985</v>
      </c>
      <c r="I74" s="105" t="s">
        <v>55</v>
      </c>
    </row>
    <row r="76" spans="1:9">
      <c r="A76" s="121"/>
    </row>
  </sheetData>
  <mergeCells count="27">
    <mergeCell ref="T3:Z3"/>
    <mergeCell ref="A3:I3"/>
    <mergeCell ref="L3:R3"/>
    <mergeCell ref="L7:L49"/>
    <mergeCell ref="R7:R49"/>
    <mergeCell ref="I4:I5"/>
    <mergeCell ref="H4:H5"/>
    <mergeCell ref="G4:G5"/>
    <mergeCell ref="F4:F5"/>
    <mergeCell ref="L50:O50"/>
    <mergeCell ref="O4:O5"/>
    <mergeCell ref="P4:P5"/>
    <mergeCell ref="Q4:Q5"/>
    <mergeCell ref="R4:R5"/>
    <mergeCell ref="L6:R6"/>
    <mergeCell ref="L4:L5"/>
    <mergeCell ref="M4:M5"/>
    <mergeCell ref="N4:N5"/>
    <mergeCell ref="A74:F74"/>
    <mergeCell ref="E4:E5"/>
    <mergeCell ref="A4:A5"/>
    <mergeCell ref="B4:B5"/>
    <mergeCell ref="D4:D5"/>
    <mergeCell ref="C4:C5"/>
    <mergeCell ref="A6:I6"/>
    <mergeCell ref="A7:A73"/>
    <mergeCell ref="I7:I73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6" sqref="E26"/>
    </sheetView>
  </sheetViews>
  <sheetFormatPr baseColWidth="10" defaultRowHeight="12.75"/>
  <cols>
    <col min="1" max="1" width="65.5703125" bestFit="1" customWidth="1"/>
    <col min="2" max="2" width="16.42578125" bestFit="1" customWidth="1"/>
    <col min="3" max="3" width="23.28515625" bestFit="1" customWidth="1"/>
    <col min="4" max="4" width="27.85546875" bestFit="1" customWidth="1"/>
    <col min="5" max="5" width="16.85546875" bestFit="1" customWidth="1"/>
    <col min="6" max="6" width="26.85546875" bestFit="1" customWidth="1"/>
  </cols>
  <sheetData>
    <row r="1" spans="1:9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9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20</v>
      </c>
      <c r="I2" s="20"/>
    </row>
    <row r="3" spans="1:9">
      <c r="A3" s="2604" t="s">
        <v>1459</v>
      </c>
      <c r="B3" s="2605"/>
      <c r="C3" s="2605"/>
      <c r="D3" s="2605"/>
    </row>
    <row r="4" spans="1:9">
      <c r="A4" s="106"/>
      <c r="B4" s="107" t="s">
        <v>243</v>
      </c>
      <c r="C4" s="107" t="s">
        <v>244</v>
      </c>
      <c r="D4" s="107" t="s">
        <v>245</v>
      </c>
    </row>
    <row r="5" spans="1:9">
      <c r="A5" s="2418" t="s">
        <v>246</v>
      </c>
      <c r="B5" s="2407" t="s">
        <v>267</v>
      </c>
      <c r="C5" s="2407" t="s">
        <v>268</v>
      </c>
      <c r="D5" s="2422" t="s">
        <v>269</v>
      </c>
    </row>
    <row r="6" spans="1:9">
      <c r="A6" s="2418"/>
      <c r="B6" s="2313"/>
      <c r="C6" s="2313"/>
      <c r="D6" s="2321"/>
    </row>
    <row r="7" spans="1:9">
      <c r="A7" s="2418"/>
      <c r="B7" s="2313"/>
      <c r="C7" s="2313"/>
      <c r="D7" s="2321"/>
    </row>
    <row r="8" spans="1:9">
      <c r="A8" s="2418"/>
      <c r="B8" s="2314"/>
      <c r="C8" s="2314"/>
      <c r="D8" s="2322"/>
    </row>
    <row r="9" spans="1:9">
      <c r="A9" s="122">
        <f>+(36*6)+64+56+29+48+9</f>
        <v>422</v>
      </c>
      <c r="B9" s="122">
        <f>16*4+7*3+2+41*2+7+34*3+33+4+2+7+24</f>
        <v>348</v>
      </c>
      <c r="C9" s="122">
        <f>15*5+6*3+2+40*3+33*3+17*2+6+2+12+22</f>
        <v>390</v>
      </c>
      <c r="D9" s="122">
        <v>832</v>
      </c>
    </row>
    <row r="10" spans="1:9">
      <c r="B10" s="30"/>
    </row>
    <row r="11" spans="1:9">
      <c r="B11" s="30"/>
    </row>
    <row r="12" spans="1:9">
      <c r="A12" s="2273" t="s">
        <v>1160</v>
      </c>
      <c r="B12" s="2273"/>
      <c r="C12" s="2273"/>
      <c r="D12" s="2273"/>
      <c r="E12" s="2273"/>
      <c r="F12" s="2273"/>
      <c r="G12" s="2273"/>
    </row>
    <row r="13" spans="1:9">
      <c r="A13" s="575" t="s">
        <v>1165</v>
      </c>
      <c r="B13" s="575" t="s">
        <v>600</v>
      </c>
      <c r="C13" s="575" t="s">
        <v>1161</v>
      </c>
      <c r="D13" s="575" t="s">
        <v>1162</v>
      </c>
      <c r="E13" s="575" t="s">
        <v>1163</v>
      </c>
      <c r="F13" s="575" t="s">
        <v>1164</v>
      </c>
      <c r="G13" s="575" t="s">
        <v>42</v>
      </c>
    </row>
    <row r="14" spans="1:9">
      <c r="A14" s="5">
        <v>1</v>
      </c>
      <c r="B14" s="5" t="s">
        <v>1166</v>
      </c>
      <c r="C14" s="5" t="s">
        <v>1169</v>
      </c>
      <c r="D14" s="5">
        <f>2*2*3</f>
        <v>12</v>
      </c>
      <c r="E14" s="5" t="s">
        <v>1170</v>
      </c>
      <c r="F14" s="5">
        <f>2*3</f>
        <v>6</v>
      </c>
      <c r="G14" s="5" t="s">
        <v>285</v>
      </c>
    </row>
    <row r="15" spans="1:9">
      <c r="A15" s="5">
        <v>2</v>
      </c>
      <c r="B15" s="5" t="s">
        <v>1166</v>
      </c>
      <c r="C15" s="5" t="s">
        <v>1169</v>
      </c>
      <c r="D15" s="5">
        <f>2*2*3</f>
        <v>12</v>
      </c>
      <c r="E15" s="5" t="s">
        <v>1170</v>
      </c>
      <c r="F15" s="5">
        <f>2*3</f>
        <v>6</v>
      </c>
      <c r="G15" s="5" t="s">
        <v>285</v>
      </c>
    </row>
    <row r="16" spans="1:9">
      <c r="A16" s="5">
        <v>6</v>
      </c>
      <c r="B16" s="5" t="s">
        <v>1167</v>
      </c>
      <c r="C16" s="5" t="s">
        <v>1170</v>
      </c>
      <c r="D16" s="5">
        <f>2*2*3</f>
        <v>12</v>
      </c>
      <c r="E16" s="5" t="s">
        <v>1170</v>
      </c>
      <c r="F16" s="5">
        <f>2*3</f>
        <v>6</v>
      </c>
      <c r="G16" s="5" t="s">
        <v>285</v>
      </c>
    </row>
    <row r="17" spans="1:7">
      <c r="A17" s="5">
        <v>7</v>
      </c>
      <c r="B17" s="5" t="s">
        <v>1167</v>
      </c>
      <c r="C17" s="5" t="s">
        <v>1170</v>
      </c>
      <c r="D17" s="5">
        <f>2*2*3</f>
        <v>12</v>
      </c>
      <c r="E17" s="5" t="s">
        <v>1170</v>
      </c>
      <c r="F17" s="5">
        <f>2*3</f>
        <v>6</v>
      </c>
      <c r="G17" s="5" t="s">
        <v>285</v>
      </c>
    </row>
    <row r="18" spans="1:7">
      <c r="A18" s="5">
        <v>9</v>
      </c>
      <c r="B18" s="5" t="s">
        <v>1168</v>
      </c>
      <c r="C18" s="5" t="s">
        <v>1171</v>
      </c>
      <c r="D18" s="5">
        <f>3*2*3</f>
        <v>18</v>
      </c>
      <c r="E18" s="5" t="s">
        <v>1170</v>
      </c>
      <c r="F18" s="5">
        <f>2*3</f>
        <v>6</v>
      </c>
      <c r="G18" s="5" t="s">
        <v>285</v>
      </c>
    </row>
    <row r="19" spans="1:7" ht="13.5" thickBot="1"/>
    <row r="20" spans="1:7">
      <c r="C20" s="576" t="s">
        <v>1172</v>
      </c>
      <c r="D20" s="381">
        <f>D14+D15</f>
        <v>24</v>
      </c>
    </row>
    <row r="21" spans="1:7">
      <c r="C21" s="577" t="s">
        <v>1173</v>
      </c>
      <c r="D21" s="278">
        <f>D18</f>
        <v>18</v>
      </c>
    </row>
    <row r="22" spans="1:7" ht="13.5" thickBot="1">
      <c r="C22" s="578" t="s">
        <v>1174</v>
      </c>
      <c r="D22" s="413">
        <f>F18+F17+F16+F15+F14+D16+D17</f>
        <v>54</v>
      </c>
    </row>
    <row r="23" spans="1:7" ht="13.5" thickBot="1"/>
    <row r="24" spans="1:7" ht="13.5" thickBot="1">
      <c r="C24" s="579" t="s">
        <v>1175</v>
      </c>
      <c r="D24" s="580">
        <f>(3*2)+(2)+(2*2)+(2)+(2*2)+(2)</f>
        <v>20</v>
      </c>
    </row>
  </sheetData>
  <mergeCells count="6">
    <mergeCell ref="A12:G12"/>
    <mergeCell ref="A3:D3"/>
    <mergeCell ref="A5:A8"/>
    <mergeCell ref="B5:B8"/>
    <mergeCell ref="C5:C8"/>
    <mergeCell ref="D5:D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Portada</vt:lpstr>
      <vt:lpstr>InformacIón proyecto</vt:lpstr>
      <vt:lpstr>Identificación de planos</vt:lpstr>
      <vt:lpstr>Estructura de Presupuesto</vt:lpstr>
      <vt:lpstr>Resumen CD</vt:lpstr>
      <vt:lpstr>Costos indirectos</vt:lpstr>
      <vt:lpstr>Gastos Generales</vt:lpstr>
      <vt:lpstr>Costos totales</vt:lpstr>
      <vt:lpstr>APU</vt:lpstr>
      <vt:lpstr>Cuadro de programación</vt:lpstr>
      <vt:lpstr>Flujo de caja</vt:lpstr>
      <vt:lpstr>Tenores</vt:lpstr>
      <vt:lpstr>1. Preliminares</vt:lpstr>
      <vt:lpstr>3.Concreto</vt:lpstr>
      <vt:lpstr>2. Movimiento de tierra</vt:lpstr>
      <vt:lpstr>4. Refuerzo</vt:lpstr>
      <vt:lpstr>5. Malla</vt:lpstr>
      <vt:lpstr>6. Mampostería</vt:lpstr>
      <vt:lpstr>7. Revoque</vt:lpstr>
      <vt:lpstr>8. Estuco y pintura</vt:lpstr>
      <vt:lpstr>9. Pisos y zócalos</vt:lpstr>
      <vt:lpstr>9. Carpintería metálica</vt:lpstr>
      <vt:lpstr>10. Perfilería de metal</vt:lpstr>
      <vt:lpstr>11. Carpintería en madera</vt:lpstr>
      <vt:lpstr>12. Acabados y accesorios</vt:lpstr>
      <vt:lpstr>13. Instalaciones Eléctricas</vt:lpstr>
      <vt:lpstr>14. Inst. Hidro-Sanitarias</vt:lpstr>
      <vt:lpstr>15. Ap. sanitarios y de cocina</vt:lpstr>
      <vt:lpstr>16. Escaleras 5-9 Acero</vt:lpstr>
      <vt:lpstr>17. Escaleras Emergencia 5-9</vt:lpstr>
      <vt:lpstr>18. Fachada</vt:lpstr>
      <vt:lpstr>19. Cubierta</vt:lpstr>
      <vt:lpstr>20. Casetones</vt:lpstr>
      <vt:lpstr>21. Equipos</vt:lpstr>
    </vt:vector>
  </TitlesOfParts>
  <Company>P.C.D.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Botero</dc:creator>
  <cp:lastModifiedBy>Full name</cp:lastModifiedBy>
  <cp:lastPrinted>2016-03-18T17:16:40Z</cp:lastPrinted>
  <dcterms:created xsi:type="dcterms:W3CDTF">2000-08-13T21:20:30Z</dcterms:created>
  <dcterms:modified xsi:type="dcterms:W3CDTF">2016-06-01T11:28:24Z</dcterms:modified>
</cp:coreProperties>
</file>