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firstSheet="19" activeTab="30"/>
  </bookViews>
  <sheets>
    <sheet name="Tonsillitis" sheetId="1" r:id="rId1"/>
    <sheet name="Ebola" sheetId="2" r:id="rId2"/>
    <sheet name="Yellow Fever" sheetId="3" r:id="rId3"/>
    <sheet name="Leptospirosis" sheetId="4" r:id="rId4"/>
    <sheet name="Brucellosis" sheetId="5" r:id="rId5"/>
    <sheet name="Cholera" sheetId="7" r:id="rId6"/>
    <sheet name="Diphteria" sheetId="10" r:id="rId7"/>
    <sheet name="Erypselas" sheetId="9" r:id="rId8"/>
    <sheet name="Q Fever" sheetId="8" r:id="rId9"/>
    <sheet name="Typhoid Fever" sheetId="11" r:id="rId10"/>
    <sheet name="Legionnaire" sheetId="12" r:id="rId11"/>
    <sheet name="Tetanus" sheetId="13" r:id="rId12"/>
    <sheet name="Chickenpox" sheetId="14" r:id="rId13"/>
    <sheet name="Fifth disease" sheetId="15" r:id="rId14"/>
    <sheet name="Hepatitis" sheetId="16" r:id="rId15"/>
    <sheet name="Oral Herpes" sheetId="17" r:id="rId16"/>
    <sheet name="Impetigo" sheetId="18" r:id="rId17"/>
    <sheet name="Flu" sheetId="19" r:id="rId18"/>
    <sheet name="Meningitis" sheetId="20" r:id="rId19"/>
    <sheet name="Mumps" sheetId="21" r:id="rId20"/>
    <sheet name="Poliomyelitis" sheetId="22" r:id="rId21"/>
    <sheet name="Rabies" sheetId="23" r:id="rId22"/>
    <sheet name="Rocky Mountain spotted fever" sheetId="24" r:id="rId23"/>
    <sheet name="Roseola" sheetId="25" r:id="rId24"/>
    <sheet name="Rubella" sheetId="26" r:id="rId25"/>
    <sheet name="Measles" sheetId="27" r:id="rId26"/>
    <sheet name="Scarlet fever" sheetId="28" r:id="rId27"/>
    <sheet name="SARS" sheetId="29" r:id="rId28"/>
    <sheet name="West Nile Virus" sheetId="30" r:id="rId29"/>
    <sheet name="Pertussis" sheetId="31" r:id="rId30"/>
    <sheet name="Summary" sheetId="34" r:id="rId3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4" l="1"/>
  <c r="F59" i="12"/>
  <c r="F58" i="12"/>
  <c r="F56" i="20"/>
  <c r="F55" i="20"/>
  <c r="F58" i="25"/>
  <c r="F56" i="25"/>
  <c r="F57" i="25"/>
  <c r="F55" i="25"/>
  <c r="F56" i="31"/>
  <c r="I33" i="34"/>
  <c r="H33" i="34"/>
  <c r="G33" i="34"/>
  <c r="F33" i="34"/>
  <c r="I32" i="34"/>
  <c r="H32" i="34"/>
  <c r="G32" i="34"/>
  <c r="F32" i="34"/>
  <c r="I31" i="34"/>
  <c r="H31" i="34"/>
  <c r="G31" i="34"/>
  <c r="F31" i="34"/>
  <c r="I30" i="34"/>
  <c r="H30" i="34"/>
  <c r="G30" i="34"/>
  <c r="F30" i="34"/>
  <c r="I29" i="34"/>
  <c r="H29" i="34"/>
  <c r="G29" i="34"/>
  <c r="F29" i="34"/>
  <c r="I28" i="34"/>
  <c r="H28" i="34"/>
  <c r="G28" i="34"/>
  <c r="F28" i="34"/>
  <c r="I27" i="34"/>
  <c r="H27" i="34"/>
  <c r="G27" i="34"/>
  <c r="F27" i="34"/>
  <c r="I26" i="34"/>
  <c r="H26" i="34"/>
  <c r="G26" i="34"/>
  <c r="F26" i="34"/>
  <c r="I25" i="34"/>
  <c r="H25" i="34"/>
  <c r="G25" i="34"/>
  <c r="F25" i="34"/>
  <c r="I24" i="34"/>
  <c r="H24" i="34"/>
  <c r="G24" i="34"/>
  <c r="F24" i="34"/>
  <c r="I23" i="34"/>
  <c r="H23" i="34"/>
  <c r="G23" i="34"/>
  <c r="F23" i="34"/>
  <c r="I22" i="34"/>
  <c r="H22" i="34"/>
  <c r="G22" i="34"/>
  <c r="F22" i="34"/>
  <c r="I21" i="34"/>
  <c r="H21" i="34"/>
  <c r="G21" i="34"/>
  <c r="F21" i="34"/>
  <c r="I20" i="34"/>
  <c r="H20" i="34"/>
  <c r="G20" i="34"/>
  <c r="F20" i="34"/>
  <c r="I19" i="34"/>
  <c r="H19" i="34"/>
  <c r="G19" i="34"/>
  <c r="F19" i="34"/>
  <c r="I18" i="34"/>
  <c r="H18" i="34"/>
  <c r="G18" i="34"/>
  <c r="F18" i="34"/>
  <c r="I17" i="34"/>
  <c r="H17" i="34"/>
  <c r="G17" i="34"/>
  <c r="F17" i="34"/>
  <c r="I16" i="34"/>
  <c r="H16" i="34"/>
  <c r="G16" i="34"/>
  <c r="F16" i="34"/>
  <c r="I15" i="34"/>
  <c r="H15" i="34"/>
  <c r="G15" i="34"/>
  <c r="F15" i="34"/>
  <c r="I14" i="34"/>
  <c r="H14" i="34"/>
  <c r="G14" i="34"/>
  <c r="F14" i="34"/>
  <c r="I13" i="34"/>
  <c r="H13" i="34"/>
  <c r="G13" i="34"/>
  <c r="F13" i="34"/>
  <c r="I12" i="34"/>
  <c r="H12" i="34"/>
  <c r="G12" i="34"/>
  <c r="F12" i="34"/>
  <c r="I11" i="34"/>
  <c r="H11" i="34"/>
  <c r="G11" i="34"/>
  <c r="F11" i="34"/>
  <c r="I10" i="34"/>
  <c r="H10" i="34"/>
  <c r="G10" i="34"/>
  <c r="F10" i="34"/>
  <c r="I9" i="34"/>
  <c r="H9" i="34"/>
  <c r="G9" i="34"/>
  <c r="F9" i="34"/>
  <c r="I8" i="34"/>
  <c r="H8" i="34"/>
  <c r="G8" i="34"/>
  <c r="F8" i="34"/>
  <c r="I7" i="34"/>
  <c r="H7" i="34"/>
  <c r="G7" i="34"/>
  <c r="F7" i="34"/>
  <c r="I6" i="34"/>
  <c r="H6" i="34"/>
  <c r="G6" i="34"/>
  <c r="F6" i="34"/>
  <c r="I5" i="34"/>
  <c r="H5" i="34"/>
  <c r="G5" i="34"/>
  <c r="F5" i="34"/>
  <c r="I4" i="34"/>
  <c r="I35" i="34" s="1"/>
  <c r="H4" i="34"/>
  <c r="G4" i="34"/>
  <c r="G35" i="34" s="1"/>
  <c r="F4" i="34"/>
  <c r="F35" i="34" s="1"/>
  <c r="F53" i="31"/>
  <c r="F50" i="31"/>
  <c r="F52" i="31"/>
  <c r="F51" i="31"/>
  <c r="F68" i="30"/>
  <c r="F67" i="30"/>
  <c r="F62" i="30"/>
  <c r="F65" i="30"/>
  <c r="F63" i="30"/>
  <c r="F57" i="29"/>
  <c r="F59" i="29"/>
  <c r="F60" i="29"/>
  <c r="F58" i="29"/>
  <c r="F51" i="28"/>
  <c r="F52" i="28"/>
  <c r="F50" i="28"/>
  <c r="F49" i="28"/>
  <c r="F57" i="27"/>
  <c r="F52" i="27"/>
  <c r="F53" i="27"/>
  <c r="F55" i="27"/>
  <c r="F56" i="26"/>
  <c r="F55" i="26"/>
  <c r="F53" i="26"/>
  <c r="F51" i="26"/>
  <c r="F50" i="26"/>
  <c r="F52" i="25"/>
  <c r="F51" i="25"/>
  <c r="F50" i="25"/>
  <c r="F56" i="24"/>
  <c r="F53" i="24"/>
  <c r="F51" i="24"/>
  <c r="F50" i="24"/>
  <c r="F58" i="23"/>
  <c r="F59" i="23"/>
  <c r="F57" i="23"/>
  <c r="F56" i="23"/>
  <c r="F51" i="23"/>
  <c r="F52" i="23"/>
  <c r="F54" i="23"/>
  <c r="F65" i="22"/>
  <c r="F63" i="22"/>
  <c r="F64" i="22"/>
  <c r="F62" i="22"/>
  <c r="F57" i="22"/>
  <c r="F58" i="22"/>
  <c r="F60" i="22"/>
  <c r="F56" i="21"/>
  <c r="F55" i="21"/>
  <c r="F50" i="21"/>
  <c r="F53" i="21"/>
  <c r="F51" i="21"/>
  <c r="F52" i="20"/>
  <c r="F51" i="20"/>
  <c r="F50" i="20"/>
  <c r="F49" i="20"/>
  <c r="F55" i="19"/>
  <c r="F54" i="19"/>
  <c r="F53" i="19"/>
  <c r="F52" i="19"/>
  <c r="F53" i="18"/>
  <c r="F51" i="18"/>
  <c r="F50" i="18"/>
  <c r="F61" i="16"/>
  <c r="F59" i="16"/>
  <c r="F55" i="16"/>
  <c r="F57" i="16"/>
  <c r="F55" i="17"/>
  <c r="F53" i="17"/>
  <c r="F52" i="17"/>
  <c r="F54" i="16"/>
  <c r="F58" i="15"/>
  <c r="F57" i="15"/>
  <c r="F56" i="15"/>
  <c r="F55" i="15"/>
  <c r="F53" i="15"/>
  <c r="F52" i="15"/>
  <c r="F51" i="15"/>
  <c r="F50" i="15"/>
  <c r="F58" i="14"/>
  <c r="F57" i="14"/>
  <c r="F56" i="14"/>
  <c r="F55" i="14"/>
  <c r="F53" i="14"/>
  <c r="F51" i="14"/>
  <c r="F50" i="14"/>
  <c r="F53" i="13"/>
  <c r="F52" i="13"/>
  <c r="F51" i="13"/>
  <c r="F50" i="13"/>
  <c r="F56" i="12"/>
  <c r="F55" i="12"/>
  <c r="F54" i="12"/>
  <c r="F53" i="12"/>
  <c r="F58" i="31" l="1"/>
  <c r="F57" i="31"/>
  <c r="F55" i="31"/>
  <c r="F70" i="30"/>
  <c r="F69" i="30"/>
  <c r="F65" i="29"/>
  <c r="F64" i="29"/>
  <c r="F63" i="29"/>
  <c r="F62" i="29"/>
  <c r="F57" i="28"/>
  <c r="F56" i="28"/>
  <c r="F55" i="28"/>
  <c r="F54" i="28"/>
  <c r="F60" i="27"/>
  <c r="F59" i="27"/>
  <c r="F58" i="27"/>
  <c r="F58" i="26"/>
  <c r="F57" i="26"/>
  <c r="F58" i="24"/>
  <c r="F57" i="24"/>
  <c r="F55" i="24"/>
  <c r="F58" i="21"/>
  <c r="F57" i="21"/>
  <c r="F57" i="20"/>
  <c r="F54" i="20"/>
  <c r="F60" i="19"/>
  <c r="F59" i="19"/>
  <c r="F58" i="19"/>
  <c r="F57" i="19"/>
  <c r="F58" i="18"/>
  <c r="F57" i="18"/>
  <c r="F56" i="18"/>
  <c r="F55" i="18"/>
  <c r="F60" i="17"/>
  <c r="F59" i="17"/>
  <c r="F58" i="17"/>
  <c r="F57" i="17"/>
  <c r="F62" i="16"/>
  <c r="F60" i="16"/>
  <c r="F58" i="13"/>
  <c r="F57" i="13"/>
  <c r="F56" i="13"/>
  <c r="F55" i="13"/>
  <c r="F59" i="7" l="1"/>
  <c r="F57" i="7"/>
  <c r="F64" i="5"/>
  <c r="F63" i="5"/>
  <c r="F62" i="5"/>
  <c r="F61" i="5"/>
  <c r="F57" i="2"/>
  <c r="F55" i="11"/>
  <c r="F54" i="11"/>
  <c r="F53" i="11"/>
  <c r="F52" i="11"/>
  <c r="F61" i="12"/>
  <c r="F60" i="12"/>
  <c r="F53" i="8"/>
  <c r="F56" i="8" s="1"/>
  <c r="F58" i="8"/>
  <c r="F52" i="8"/>
  <c r="F57" i="8" s="1"/>
  <c r="F51" i="8"/>
  <c r="F50" i="8"/>
  <c r="F55" i="8" s="1"/>
  <c r="F54" i="9"/>
  <c r="F53" i="9"/>
  <c r="F52" i="9"/>
  <c r="F51" i="9"/>
  <c r="F56" i="9" s="1"/>
  <c r="F55" i="10"/>
  <c r="F53" i="10"/>
  <c r="F52" i="10"/>
  <c r="F55" i="7"/>
  <c r="F54" i="7"/>
  <c r="F60" i="7" s="1"/>
  <c r="F53" i="7"/>
  <c r="F52" i="7"/>
  <c r="F59" i="5"/>
  <c r="F58" i="5"/>
  <c r="F57" i="5"/>
  <c r="F56" i="5"/>
  <c r="F59" i="11"/>
  <c r="F59" i="9"/>
  <c r="F58" i="9"/>
  <c r="F57" i="9"/>
  <c r="F59" i="10"/>
  <c r="F57" i="10"/>
  <c r="F58" i="7"/>
  <c r="F51" i="4"/>
  <c r="F49" i="4"/>
  <c r="F48" i="4"/>
  <c r="F53" i="4" s="1"/>
  <c r="F55" i="4"/>
  <c r="F54" i="3"/>
  <c r="F52" i="3"/>
  <c r="F58" i="3" s="1"/>
  <c r="F51" i="3"/>
  <c r="F56" i="3" s="1"/>
  <c r="F55" i="2"/>
  <c r="F54" i="2"/>
  <c r="F53" i="2"/>
  <c r="F59" i="2" s="1"/>
  <c r="F52" i="2"/>
  <c r="F45" i="1"/>
  <c r="F43" i="1"/>
  <c r="F44" i="1"/>
  <c r="F42" i="1"/>
  <c r="F40" i="1"/>
  <c r="F39" i="1"/>
  <c r="F38" i="1"/>
  <c r="F37" i="1"/>
  <c r="F57" i="11" l="1"/>
  <c r="F58" i="11"/>
  <c r="F60" i="11"/>
  <c r="F60" i="10"/>
  <c r="F58" i="10"/>
  <c r="F56" i="4"/>
  <c r="F54" i="4"/>
  <c r="F57" i="3"/>
  <c r="F59" i="3"/>
  <c r="F60" i="2"/>
  <c r="F58" i="2"/>
</calcChain>
</file>

<file path=xl/sharedStrings.xml><?xml version="1.0" encoding="utf-8"?>
<sst xmlns="http://schemas.openxmlformats.org/spreadsheetml/2006/main" count="3044" uniqueCount="717">
  <si>
    <t>Signs and Symptoms</t>
  </si>
  <si>
    <t>Exams and tests</t>
  </si>
  <si>
    <t>Difficulty swallowing</t>
  </si>
  <si>
    <t>Ear pain</t>
  </si>
  <si>
    <t>Fever</t>
  </si>
  <si>
    <t>Chills</t>
  </si>
  <si>
    <t>Headache</t>
  </si>
  <si>
    <t>Sore throat</t>
  </si>
  <si>
    <t>Tenderness of the jaw and throat</t>
  </si>
  <si>
    <t>Found</t>
  </si>
  <si>
    <t>MedLine</t>
  </si>
  <si>
    <t>Problems eating or drinking</t>
  </si>
  <si>
    <t>Problems breathing</t>
  </si>
  <si>
    <t>The tonsils may be red and may have white spots on them.</t>
  </si>
  <si>
    <t>The lymph nodes in the jaw and neck may be swollen and tender to the touch.</t>
  </si>
  <si>
    <t>Strep test</t>
  </si>
  <si>
    <t>Strep culture</t>
  </si>
  <si>
    <t>NLP</t>
  </si>
  <si>
    <t>YES</t>
  </si>
  <si>
    <t>NO</t>
  </si>
  <si>
    <t>Element</t>
  </si>
  <si>
    <t>Difficulty swallowing!Dysphagia!CSSO Ontology!CUI</t>
  </si>
  <si>
    <t>Ear pain!Earache!CSSO Ontology!CUI</t>
  </si>
  <si>
    <t>Chills!Chills!CSSO Ontology!CUI</t>
  </si>
  <si>
    <t>Fever!Fever!Freebase!CUI</t>
  </si>
  <si>
    <t>HEAD ACHE!Headache!Freebase!CUI</t>
  </si>
  <si>
    <t>sore throat!Sore throat!CSSO Ontology!Equals</t>
  </si>
  <si>
    <t>Tenderness!Tenderness!CSSO Ontology!CUI</t>
  </si>
  <si>
    <t>-</t>
  </si>
  <si>
    <t>Spots</t>
  </si>
  <si>
    <t>spots!Skin rash!Freebase!CUI</t>
  </si>
  <si>
    <t>Is relevant (from MedLine)</t>
  </si>
  <si>
    <t>Swollen</t>
  </si>
  <si>
    <t>Swollen!Swelling!CSSO Ontology!CUI</t>
  </si>
  <si>
    <t>Term</t>
  </si>
  <si>
    <t>Validated</t>
  </si>
  <si>
    <t>Very large</t>
  </si>
  <si>
    <t>Red</t>
  </si>
  <si>
    <t>Test</t>
  </si>
  <si>
    <t>Strep</t>
  </si>
  <si>
    <t>test results</t>
  </si>
  <si>
    <t>Culture</t>
  </si>
  <si>
    <t>Not validated</t>
  </si>
  <si>
    <t>True Positive (TP)</t>
  </si>
  <si>
    <t>True Negative (TN)</t>
  </si>
  <si>
    <t>False Positive (FP)</t>
  </si>
  <si>
    <t>False Negative (FN)</t>
  </si>
  <si>
    <t>Precision</t>
  </si>
  <si>
    <t>Recall</t>
  </si>
  <si>
    <t>Specifity</t>
  </si>
  <si>
    <t>Arthritis</t>
  </si>
  <si>
    <t>Backache / low-back pain</t>
  </si>
  <si>
    <t>Diarrhea</t>
  </si>
  <si>
    <t>Fatigue</t>
  </si>
  <si>
    <t>Malaise</t>
  </si>
  <si>
    <t>Nausea</t>
  </si>
  <si>
    <t>Vomiting</t>
  </si>
  <si>
    <t>Bleeding from eyes, ears, and nose</t>
  </si>
  <si>
    <t>Bleeding from the mouth and rectum (gastrointestinal bleeding)</t>
  </si>
  <si>
    <t>Eye swelling (conjunctivitis)</t>
  </si>
  <si>
    <t>Genital swelling (labia and scrotum)</t>
  </si>
  <si>
    <t>Increased feeling of pain in the skin</t>
  </si>
  <si>
    <t>Rash over the entire body that often contains blood (hemorrhagic)</t>
  </si>
  <si>
    <t>Roof of mouth looks red</t>
  </si>
  <si>
    <t>Coma</t>
  </si>
  <si>
    <t>Disseminated intravascular coagulation</t>
  </si>
  <si>
    <t>Shock</t>
  </si>
  <si>
    <t>Complete blood count / CBC</t>
  </si>
  <si>
    <t>Electrolytes</t>
  </si>
  <si>
    <t>Tests of how well the blood clots (coagulation studies)</t>
  </si>
  <si>
    <t xml:space="preserve">Liver function tests </t>
  </si>
  <si>
    <t>Tests to show whether someone has been exposed to the Ebola virus (virus-specific antibodies)</t>
  </si>
  <si>
    <t>muscle aches</t>
  </si>
  <si>
    <t>joint aches</t>
  </si>
  <si>
    <t>fever</t>
  </si>
  <si>
    <t>flushing</t>
  </si>
  <si>
    <t>loss of appetite</t>
  </si>
  <si>
    <t>vomiting</t>
  </si>
  <si>
    <t>Bleeding disorders</t>
  </si>
  <si>
    <t>seizures</t>
  </si>
  <si>
    <t>coma</t>
  </si>
  <si>
    <t>delirium</t>
  </si>
  <si>
    <t>heart problems</t>
  </si>
  <si>
    <t>kidney problems</t>
  </si>
  <si>
    <t>liver problems</t>
  </si>
  <si>
    <t>Irregular heartbeats/arrhythmias</t>
  </si>
  <si>
    <t>Bleeding/hemorrhage</t>
  </si>
  <si>
    <t>Decreased urination</t>
  </si>
  <si>
    <t>Red eyes</t>
  </si>
  <si>
    <t>red face</t>
  </si>
  <si>
    <t>red tongue</t>
  </si>
  <si>
    <t>Vomiting/vomiting blood</t>
  </si>
  <si>
    <t>Blood tests</t>
  </si>
  <si>
    <t>shock</t>
  </si>
  <si>
    <t>kidney failure</t>
  </si>
  <si>
    <t>Dry cough</t>
  </si>
  <si>
    <t>Muscle pain</t>
  </si>
  <si>
    <t>diarrhea</t>
  </si>
  <si>
    <t>Shaking chills</t>
  </si>
  <si>
    <t>Abdominal pain</t>
  </si>
  <si>
    <t>Abnormal lung sounds</t>
  </si>
  <si>
    <t>Bone pain</t>
  </si>
  <si>
    <t>Conjunctivitis</t>
  </si>
  <si>
    <t>Enlarged lymph glands</t>
  </si>
  <si>
    <t>Enlarged spleen / Enlarged liver</t>
  </si>
  <si>
    <t>Joint aches</t>
  </si>
  <si>
    <t>Muscle rigidity</t>
  </si>
  <si>
    <t>Muscle tenderness</t>
  </si>
  <si>
    <t>Skin rash</t>
  </si>
  <si>
    <t>Creatine kinase</t>
  </si>
  <si>
    <t>Liver enzymes</t>
  </si>
  <si>
    <t>Urinalysis</t>
  </si>
  <si>
    <t>Back pain</t>
  </si>
  <si>
    <t>Excessive sweating</t>
  </si>
  <si>
    <t>Joint pain</t>
  </si>
  <si>
    <t>Loss of appetite</t>
  </si>
  <si>
    <t>Weakness</t>
  </si>
  <si>
    <t>Weight loss</t>
  </si>
  <si>
    <t>Swollen glands</t>
  </si>
  <si>
    <t>Blood culture</t>
  </si>
  <si>
    <t>Bone marrow culture</t>
  </si>
  <si>
    <t>Clean catch urine culture</t>
  </si>
  <si>
    <t>CSF culture</t>
  </si>
  <si>
    <t>Serology for brucellosis antigen</t>
  </si>
  <si>
    <t>Biopsy and culture of specimen from affected organ</t>
  </si>
  <si>
    <t>Febrile/cold agglutinins</t>
  </si>
  <si>
    <t>Quantitative immunoglobulins (nephelometry)</t>
  </si>
  <si>
    <t>Serum immunoelectrophoresis</t>
  </si>
  <si>
    <t>Abdominal cramps</t>
  </si>
  <si>
    <t>Dry mucus membranes / dry mouth</t>
  </si>
  <si>
    <t>Dry skin</t>
  </si>
  <si>
    <t>Excessive thirst</t>
  </si>
  <si>
    <t>Glassy eyes / sunken eyes</t>
  </si>
  <si>
    <t>Lack of tears</t>
  </si>
  <si>
    <t>Lethargy</t>
  </si>
  <si>
    <t>Low urine output</t>
  </si>
  <si>
    <t>Rapid dehydration</t>
  </si>
  <si>
    <t>Rapid pulse (heart rate)</t>
  </si>
  <si>
    <t>Sunken "soft spots" (fontanelles) in infants</t>
  </si>
  <si>
    <t>sleepiness / tiredness</t>
  </si>
  <si>
    <t xml:space="preserve">Watery diarrhea / diarrhea </t>
  </si>
  <si>
    <t>Stool culture</t>
  </si>
  <si>
    <t>gram stain</t>
  </si>
  <si>
    <t>Bluish coloration of the skin / skin coloration</t>
  </si>
  <si>
    <t>Bloody, watery drainage from nose / nose drainage</t>
  </si>
  <si>
    <t>Breathing problems / difficulty breathing / fast breathing / high-pitched breathing sound / stridor</t>
  </si>
  <si>
    <t>Croup-like cough / barking cough / cough</t>
  </si>
  <si>
    <t>Drooling</t>
  </si>
  <si>
    <t>Hoarseness</t>
  </si>
  <si>
    <t>Painful swallowing</t>
  </si>
  <si>
    <t>Skin sores</t>
  </si>
  <si>
    <t>gray covering throat / black covering throat</t>
  </si>
  <si>
    <t>enlarged lymph nodes</t>
  </si>
  <si>
    <t>neck swelling / larynx swelling</t>
  </si>
  <si>
    <t>graim stain</t>
  </si>
  <si>
    <t>throat culture</t>
  </si>
  <si>
    <t>toxin assay</t>
  </si>
  <si>
    <t>Electrocardiogram / ECG</t>
  </si>
  <si>
    <t>Blisters</t>
  </si>
  <si>
    <t>shaking</t>
  </si>
  <si>
    <t>chills</t>
  </si>
  <si>
    <t>Painful, very red, swollen, and warm skin underneath the sore (lesion)</t>
  </si>
  <si>
    <t>Skin lesion</t>
  </si>
  <si>
    <t>cheek Sores / erysipelas</t>
  </si>
  <si>
    <t>Muscle pains</t>
  </si>
  <si>
    <t>Chest pain</t>
  </si>
  <si>
    <t>Rash</t>
  </si>
  <si>
    <t>Yellow skin / jaundice</t>
  </si>
  <si>
    <t>Night sweats</t>
  </si>
  <si>
    <t>Shortness of breath</t>
  </si>
  <si>
    <t>blood antibody test / serology</t>
  </si>
  <si>
    <t>Arthritis!CSSO Ontology!CUI</t>
  </si>
  <si>
    <t>Back pain!Freebase!CUI</t>
  </si>
  <si>
    <t>Chills!MeSH!CUI</t>
  </si>
  <si>
    <t>Low Back Pain!MeSH!CUI</t>
  </si>
  <si>
    <t>Diarrhea!ICD9CM!CUI</t>
  </si>
  <si>
    <t>Other fatigue!ICD10CM!CUI</t>
  </si>
  <si>
    <t>Fever, unspecified!ICD10CM!CUI</t>
  </si>
  <si>
    <t>Headache!ICD10CM!CUI</t>
  </si>
  <si>
    <t>Other malaise!ICD10CM!CUI</t>
  </si>
  <si>
    <t>Nausea!ICD10CM!CUI</t>
  </si>
  <si>
    <t>Sore throat {SORE THROAT}!CSSO Ontology!Equals</t>
  </si>
  <si>
    <t>Pain in throat!ICD10CM!CUI</t>
  </si>
  <si>
    <t>Vomiting, unspecified!ICD10CM!CUI</t>
  </si>
  <si>
    <t>Conjunctivitis!CSSO Ontology!CUI</t>
  </si>
  <si>
    <t>Disseminated intravascular coagulation!Freebase!CUI</t>
  </si>
  <si>
    <t>Coma!ICD9CM!CUI</t>
  </si>
  <si>
    <t>CBC {CBC}!MediciNet!Equals</t>
  </si>
  <si>
    <t>Liver Function Tests!MeSH!CUI</t>
  </si>
  <si>
    <t>Incubation period</t>
  </si>
  <si>
    <t>Infection, NOS</t>
  </si>
  <si>
    <t>bleeding eyes</t>
  </si>
  <si>
    <t>SIGNS</t>
  </si>
  <si>
    <t>Tests</t>
  </si>
  <si>
    <t>used</t>
  </si>
  <si>
    <t>blood Coagulation study</t>
  </si>
  <si>
    <t>Pain</t>
  </si>
  <si>
    <t>Pain, unspecified!ICD10CM!CUI</t>
  </si>
  <si>
    <t>Rash and other nonspecific skin eruption!ICD9CM!CUI</t>
  </si>
  <si>
    <t>Joint pain!CSSO Ontology!CUI</t>
  </si>
  <si>
    <t>Flushing {FLUSHING}!ICD10CM!Equals</t>
  </si>
  <si>
    <t>Anorexia!MeSH!CUI</t>
  </si>
  <si>
    <t>Coagulopathy!Freebase!CUI</t>
  </si>
  <si>
    <t>Seizures!MeSH!CUI</t>
  </si>
  <si>
    <t>Cardiac dysrhythmia!Freebase!CUI</t>
  </si>
  <si>
    <t>Hematemesis!MeSH!CUI</t>
  </si>
  <si>
    <t>Red eye!CSSO Ontology!CUI</t>
  </si>
  <si>
    <t>Blood test {BLOOD TEST}!Freebase!Similarity</t>
  </si>
  <si>
    <t>Renal failure!CSSO Ontology!CUI</t>
  </si>
  <si>
    <t>Myalgia!CSSO Ontology!CUI</t>
  </si>
  <si>
    <t>Oliguria!MeSH!CUI</t>
  </si>
  <si>
    <t>Yellow skin and eyes (jaundice)</t>
  </si>
  <si>
    <t>Yellow skin {SKIN YELLOW}!Freebase!Equals</t>
  </si>
  <si>
    <t>Yellow Fever</t>
  </si>
  <si>
    <t>Remission</t>
  </si>
  <si>
    <t>Worse</t>
  </si>
  <si>
    <t>Disease</t>
  </si>
  <si>
    <t>Dry cough!CSSO Ontology!CUI</t>
  </si>
  <si>
    <t>Chills (without fever)!ICD10CM!CUI</t>
  </si>
  <si>
    <t>Abdominal pain, unspecified site!ICD9CM!CUI</t>
  </si>
  <si>
    <t>Bone pain!CSSO Ontology!CUI</t>
  </si>
  <si>
    <t>Enlarged lymph nodes, unspecified!ICD10CM!CUI</t>
  </si>
  <si>
    <t>Splenomegaly!ICD9CM!CUI</t>
  </si>
  <si>
    <t>Muscle Rigidity!MeSH!CUI</t>
  </si>
  <si>
    <t>Rash and other nonspecific skin eruption!ICD10CM!CUI</t>
  </si>
  <si>
    <t>Liver Enzymes {ENZYMES LIVER}!MediciNet!Equals</t>
  </si>
  <si>
    <t>Urinalysis {URINALYSIS}!Freebase!Equals</t>
  </si>
  <si>
    <t>antibodies test</t>
  </si>
  <si>
    <t>Generalized hyperhidrosis!ICD10CM!CUI</t>
  </si>
  <si>
    <t>Anorexia!ICD10CM!CUI</t>
  </si>
  <si>
    <t>Weakness!ICD10CM!CUI</t>
  </si>
  <si>
    <t>Loss of weight!ICD9CM!CUI</t>
  </si>
  <si>
    <t>Muscle pain!Freebase!CUI</t>
  </si>
  <si>
    <t>Falling!Freebase!CUI</t>
  </si>
  <si>
    <t>Illness, unspecified!ICD10CM!CUI</t>
  </si>
  <si>
    <t>Blood culture {BLOOD CULTURE}!Freebase!Equals</t>
  </si>
  <si>
    <t>Urine Culture {CULTURE URINE}!Freebase!Equals</t>
  </si>
  <si>
    <t>Serology {SEROLOGY}!MediciNet!Equals</t>
  </si>
  <si>
    <t>Biopsy {BIOPSY}!Freebase!Equals</t>
  </si>
  <si>
    <t>Brucellosis</t>
  </si>
  <si>
    <t>mild symptoms</t>
  </si>
  <si>
    <t>Flu</t>
  </si>
  <si>
    <t>Undulant Fever</t>
  </si>
  <si>
    <t>Catch</t>
  </si>
  <si>
    <t>csf culture</t>
  </si>
  <si>
    <t>specimen culture</t>
  </si>
  <si>
    <t>Nephelometry</t>
  </si>
  <si>
    <t>Immunoglobulins NOS</t>
  </si>
  <si>
    <t>Falling</t>
  </si>
  <si>
    <t>Illness</t>
  </si>
  <si>
    <t>Muscle Cramp!MeSH!CUI</t>
  </si>
  <si>
    <t>dry mouth {DRY MOUTH}!TM Signs and Symptoms Ontology!Equals</t>
  </si>
  <si>
    <t>Xeroderma!Freebase!CUI</t>
  </si>
  <si>
    <t>Polydipsia!ICD10CM!CUI</t>
  </si>
  <si>
    <t>Nausea {NAUSEA}!ICD10CM!Equals</t>
  </si>
  <si>
    <t>Dehydration!CSSO Ontology!CUI</t>
  </si>
  <si>
    <t>Tachycardia, unspecified!ICD10CM!CUI</t>
  </si>
  <si>
    <t>Skin rash!Freebase!CUI</t>
  </si>
  <si>
    <t>Diarrhea, unspecified!ICD10CM!CUI</t>
  </si>
  <si>
    <t>Stool culture {CULTURE STOOL}!Freebase!Equals</t>
  </si>
  <si>
    <t>gram's stain</t>
  </si>
  <si>
    <t>Dyspnea, unspecified!ICD10CM!CUI</t>
  </si>
  <si>
    <t>Barking cough!Freebase!CUI</t>
  </si>
  <si>
    <t>Drooling!Freebase!CUI</t>
  </si>
  <si>
    <t>Dysphonia!ICD10CM!CUI</t>
  </si>
  <si>
    <t>Swallowing painful!CSSO Ontology!CUI</t>
  </si>
  <si>
    <t>Skin ulcer!CSSO Ontology!CUI</t>
  </si>
  <si>
    <t>Neck swelling!CSSO Ontology!CUI</t>
  </si>
  <si>
    <t>Throat culture {CULTURE THROAT}!Freebase!Equals</t>
  </si>
  <si>
    <t>Electrocardiogram {ELECTROCARDIOGRAM}!MediciNet!Equals</t>
  </si>
  <si>
    <t>bloody drainage</t>
  </si>
  <si>
    <t>Croup</t>
  </si>
  <si>
    <t>DIPHTERIA</t>
  </si>
  <si>
    <t>Toxin assay</t>
  </si>
  <si>
    <t>detect</t>
  </si>
  <si>
    <t>Presence of toxin</t>
  </si>
  <si>
    <t>Tremor!MeSH!CUI</t>
  </si>
  <si>
    <t>Skin lesion!Freebase!CUI</t>
  </si>
  <si>
    <t>Warm skin!CSSO Ontology!CUI</t>
  </si>
  <si>
    <t>biopsy of the skin</t>
  </si>
  <si>
    <t>Skin biopsy {BIOPSY SKIN}!Freebase!Equals</t>
  </si>
  <si>
    <t>Pain!Freebase!CUI</t>
  </si>
  <si>
    <t>Painful</t>
  </si>
  <si>
    <t>Sore</t>
  </si>
  <si>
    <t>Tenderness!CSSO Ontology!CUI</t>
  </si>
  <si>
    <t>Erysipelas</t>
  </si>
  <si>
    <t>Unspecified abdominal pain!ICD10CM!CUI</t>
  </si>
  <si>
    <t>Prolonged fever</t>
  </si>
  <si>
    <t>Prolonged fever!Freebase!CUI</t>
  </si>
  <si>
    <t>Breast pain</t>
  </si>
  <si>
    <t>Breast pain!CSSO Ontology!CUI</t>
  </si>
  <si>
    <t>Flu-like symptoms</t>
  </si>
  <si>
    <t>Hepatitis</t>
  </si>
  <si>
    <t>Endocarditis</t>
  </si>
  <si>
    <t>Pneumonia</t>
  </si>
  <si>
    <t>Flu-like syndrome!Freebase!CUI</t>
  </si>
  <si>
    <t>Fever symptoms</t>
  </si>
  <si>
    <t>Q Fever</t>
  </si>
  <si>
    <t>TN (True Negative)</t>
  </si>
  <si>
    <t>TP (True Positive)</t>
  </si>
  <si>
    <t>FP (False Positive)</t>
  </si>
  <si>
    <t>FN (False Negative)</t>
  </si>
  <si>
    <t>F1</t>
  </si>
  <si>
    <t>gram's stain *</t>
  </si>
  <si>
    <t>ECG NOS *</t>
  </si>
  <si>
    <t>Hepatitis *</t>
  </si>
  <si>
    <t>Rash / rose spots / red spots</t>
  </si>
  <si>
    <t>Abdominal tenderness</t>
  </si>
  <si>
    <t>Agitation</t>
  </si>
  <si>
    <t>Bloody stools</t>
  </si>
  <si>
    <t>Confusion</t>
  </si>
  <si>
    <t>Difficulty paying attention (attention deficit)</t>
  </si>
  <si>
    <t>Delirium</t>
  </si>
  <si>
    <t>Fluctuating mood</t>
  </si>
  <si>
    <t>Hallucinations</t>
  </si>
  <si>
    <t>Nosebleeds</t>
  </si>
  <si>
    <t>Severe fatigue</t>
  </si>
  <si>
    <t>Slow, sluggish, lethargic feeling</t>
  </si>
  <si>
    <t>Complete blood count (CBC)</t>
  </si>
  <si>
    <t>S. typhi bacteria.</t>
  </si>
  <si>
    <t>ELISA urine test</t>
  </si>
  <si>
    <t>Fluorescent antibody study</t>
  </si>
  <si>
    <t>Platelet count</t>
  </si>
  <si>
    <t>Severe Diarrhea</t>
  </si>
  <si>
    <t>Severe diarrhea!Freebase!CUI</t>
  </si>
  <si>
    <t>Abdominal tenderness, unspecified site!ICD10CM!CUI</t>
  </si>
  <si>
    <t>agitation {AGITATION}!TM Signs and Symptoms Ontology!Equals</t>
  </si>
  <si>
    <t>Bloody stool!CSSO Ontology!CUI</t>
  </si>
  <si>
    <t>Confusion {CONFUSION}!CSSO Ontology!Equals</t>
  </si>
  <si>
    <t>Deficit, NOS:</t>
  </si>
  <si>
    <t>Nutritional deficiency!CSSO Ontology!CUI</t>
  </si>
  <si>
    <t>Lethargy!Freebase!CUI</t>
  </si>
  <si>
    <t>Platelet count {COUNT PLATELET}!Freebase!Equals</t>
  </si>
  <si>
    <t>ELISA {ELISA}!Freebase!Equals</t>
  </si>
  <si>
    <t>Typhoid Fever</t>
  </si>
  <si>
    <t>Difficulty</t>
  </si>
  <si>
    <t>Sluggishness</t>
  </si>
  <si>
    <t>high white blood cells</t>
  </si>
  <si>
    <t>white blood cells number</t>
  </si>
  <si>
    <t>condition</t>
  </si>
  <si>
    <t>Cough that does not produce much sputum or mucus (dry cough)</t>
  </si>
  <si>
    <t>Coughing up blood</t>
  </si>
  <si>
    <t>General discomfort, uneasiness, or ill feeling (malaise)</t>
  </si>
  <si>
    <t>Loss of energy</t>
  </si>
  <si>
    <t>Muscle aches and stiffness</t>
  </si>
  <si>
    <t>Problems with balance</t>
  </si>
  <si>
    <t>Abnormal sounds / Abnormal sounds crackles</t>
  </si>
  <si>
    <t>Arterial blood gases</t>
  </si>
  <si>
    <t>Chest x-ray</t>
  </si>
  <si>
    <t>Liver blood tests</t>
  </si>
  <si>
    <t>Tests and cultures on sputum to identify the Legionella bacteria</t>
  </si>
  <si>
    <t>Urine tests to check for Legionella pneumophila bacteria</t>
  </si>
  <si>
    <t>mild spasms in the jaw muscles / lockjaw</t>
  </si>
  <si>
    <t>spasms into chest, neck, back, and abdominal muscles</t>
  </si>
  <si>
    <t>Back muscle spasms / opisthotonos</t>
  </si>
  <si>
    <t>breathing problems</t>
  </si>
  <si>
    <t>painful contractions / tetany</t>
  </si>
  <si>
    <t>fractures</t>
  </si>
  <si>
    <t>muscle tears</t>
  </si>
  <si>
    <t>Hand or foot spasms</t>
  </si>
  <si>
    <t>Irritability</t>
  </si>
  <si>
    <t>Swallowing difficulty</t>
  </si>
  <si>
    <t>Uncontrolled urination or defecation</t>
  </si>
  <si>
    <t>meningitis</t>
  </si>
  <si>
    <t>rabies</t>
  </si>
  <si>
    <t>strychnine poisoning</t>
  </si>
  <si>
    <t>Stomach ache</t>
  </si>
  <si>
    <t>rash / chickenpox rash</t>
  </si>
  <si>
    <t>fluid-filled blisters / red spots</t>
  </si>
  <si>
    <t>scars</t>
  </si>
  <si>
    <t xml:space="preserve">Laboratory tests </t>
  </si>
  <si>
    <t>Runny nose</t>
  </si>
  <si>
    <t>rash / rash face / rash body</t>
  </si>
  <si>
    <t>bright-red cheeks / slapped-cheek</t>
  </si>
  <si>
    <t>joint pain</t>
  </si>
  <si>
    <t>swelling</t>
  </si>
  <si>
    <t>blood tests</t>
  </si>
  <si>
    <t>Pain or bloating in the belly area</t>
  </si>
  <si>
    <t>Low fever</t>
  </si>
  <si>
    <t>Itching</t>
  </si>
  <si>
    <t>Jaundice (yellowing of the skin or eyes)</t>
  </si>
  <si>
    <t>Enlarged and tender liver</t>
  </si>
  <si>
    <t>Fluid in the abdomen (ascites)</t>
  </si>
  <si>
    <t>Yellowing of the skin</t>
  </si>
  <si>
    <t>Ultrasound of the abdomen</t>
  </si>
  <si>
    <t>Autoimmune blood markers</t>
  </si>
  <si>
    <t>Tests to diagnose Hepatitis A, B, or C</t>
  </si>
  <si>
    <t>Liver function tests</t>
  </si>
  <si>
    <t>Liver biopsy to check for liver damage</t>
  </si>
  <si>
    <t>Paracentesis (if fluid is in your abdomen)</t>
  </si>
  <si>
    <t>mouth ulcers</t>
  </si>
  <si>
    <t>Itching of the lips or skin around mouth</t>
  </si>
  <si>
    <t>Burning near the lips or mouth area</t>
  </si>
  <si>
    <t>Tingling near the lips or mouth area</t>
  </si>
  <si>
    <t>rash Gums / rash Lips / rash Mouth / rash Throat</t>
  </si>
  <si>
    <t>Red blisters that break open and leak</t>
  </si>
  <si>
    <t>Small blisters filled with clear yellowish fluid</t>
  </si>
  <si>
    <t>Several smaller blisters may grow together into a large blister</t>
  </si>
  <si>
    <t>As the blister heals, it gets yellow and crusty, eventually turning into pink skin</t>
  </si>
  <si>
    <t>Menstruation or hormone changes</t>
  </si>
  <si>
    <t>Being out in the sun</t>
  </si>
  <si>
    <t>Stress</t>
  </si>
  <si>
    <t>Viral culture</t>
  </si>
  <si>
    <t>Viral DNA test</t>
  </si>
  <si>
    <t>Tzanck test to check for HSV</t>
  </si>
  <si>
    <t>blisters</t>
  </si>
  <si>
    <t>Swollen lymph nodes</t>
  </si>
  <si>
    <t>sample of bacteria</t>
  </si>
  <si>
    <t>Body aches</t>
  </si>
  <si>
    <t>Dizziness</t>
  </si>
  <si>
    <t>Flushed face</t>
  </si>
  <si>
    <t>Lack of energy</t>
  </si>
  <si>
    <t>Increased breathing symptoms</t>
  </si>
  <si>
    <t>Runny nose (clear and watery)</t>
  </si>
  <si>
    <t>Sneezing</t>
  </si>
  <si>
    <t>asthma</t>
  </si>
  <si>
    <t>Mental status changes</t>
  </si>
  <si>
    <t>Sensitivity to light (photophobia)</t>
  </si>
  <si>
    <t>Severe headache</t>
  </si>
  <si>
    <t>Stiff neck (meningismus)</t>
  </si>
  <si>
    <t>Bulging fontanelles in babies</t>
  </si>
  <si>
    <t>Decreased alertness</t>
  </si>
  <si>
    <t>Poor feeding or irritability in children</t>
  </si>
  <si>
    <t>Rapid breathing</t>
  </si>
  <si>
    <t>Unusual posture, with the head and neck arched backwards (opisthotonos)</t>
  </si>
  <si>
    <t>Fast heart rate</t>
  </si>
  <si>
    <t>Stiff neck</t>
  </si>
  <si>
    <t>lumbar puncture / spinal tap</t>
  </si>
  <si>
    <t>CSF / Cerebrospinal fluid</t>
  </si>
  <si>
    <t>CT scan of the head</t>
  </si>
  <si>
    <t>Face pain</t>
  </si>
  <si>
    <t>Swelling of the parotid glands (the largest salivary glands, located between the ear and the jaw)</t>
  </si>
  <si>
    <t>Swelling of the temples or jaw (temporomandibular area)</t>
  </si>
  <si>
    <t>Testicle lump</t>
  </si>
  <si>
    <t>Testicle pain</t>
  </si>
  <si>
    <t>Scrotal swelling</t>
  </si>
  <si>
    <t>swollen glands</t>
  </si>
  <si>
    <t>General discomfort or uneasiness (malaise)</t>
  </si>
  <si>
    <t>Red throat</t>
  </si>
  <si>
    <t>Slight fever</t>
  </si>
  <si>
    <t>Abnormal reflexes</t>
  </si>
  <si>
    <t>Back stiffness</t>
  </si>
  <si>
    <t>Difficulty lifting the head or legs when lying flat on the back</t>
  </si>
  <si>
    <t>Trouble bending the neck</t>
  </si>
  <si>
    <t>Cultures of throat washings, stools, or spinal fluid</t>
  </si>
  <si>
    <t>Spinal tap and examination of the spinal fluid (CSF examination) using PCR</t>
  </si>
  <si>
    <t>Test for levels of antibodies to the polio virus</t>
  </si>
  <si>
    <t>Convulsions</t>
  </si>
  <si>
    <t>Exaggerated sensation at the bite site</t>
  </si>
  <si>
    <t>Excitability</t>
  </si>
  <si>
    <t>Loss of feeling in an area of the body</t>
  </si>
  <si>
    <t>Loss of muscle function</t>
  </si>
  <si>
    <t>Low-grade fever (102 degrees F or lower)</t>
  </si>
  <si>
    <t>Muscle spasms</t>
  </si>
  <si>
    <t>Numbness and tingling</t>
  </si>
  <si>
    <t>Pain at the site of the bite</t>
  </si>
  <si>
    <t>Restlessness</t>
  </si>
  <si>
    <t>Swallowing difficulty (drinking causes spasms of the voicebox)</t>
  </si>
  <si>
    <t>immunofluorescence</t>
  </si>
  <si>
    <t>spinal tap</t>
  </si>
  <si>
    <t>Light sensitivity</t>
  </si>
  <si>
    <t>Thirst</t>
  </si>
  <si>
    <t>Antibody titer by complement fixation or immunofluorescence</t>
  </si>
  <si>
    <t>Kidney function tests</t>
  </si>
  <si>
    <t>Partial thromboplastin time (PTT)</t>
  </si>
  <si>
    <t>Prothrombin time (PT)</t>
  </si>
  <si>
    <t>Skin biopsy taken from the rash to check for R. rickettsii</t>
  </si>
  <si>
    <t>Urinalysis to check for blood or protein in the urine</t>
  </si>
  <si>
    <t>Eye redness</t>
  </si>
  <si>
    <t>High fever</t>
  </si>
  <si>
    <t>swollen lymph nodes</t>
  </si>
  <si>
    <t>headache</t>
  </si>
  <si>
    <t>general discomfort (malaise)</t>
  </si>
  <si>
    <t>runny nose</t>
  </si>
  <si>
    <t>rash</t>
  </si>
  <si>
    <t>Bruising</t>
  </si>
  <si>
    <t>Inflammation of the eyes (bloodshot eyes)</t>
  </si>
  <si>
    <t>Muscle or joint pain</t>
  </si>
  <si>
    <t>nasal swab / throat swab</t>
  </si>
  <si>
    <t>culture</t>
  </si>
  <si>
    <t>blood test</t>
  </si>
  <si>
    <t>Bloodshot eyes</t>
  </si>
  <si>
    <t>Cough</t>
  </si>
  <si>
    <t>Light sensitivity (photophobia)</t>
  </si>
  <si>
    <t>Redness and irritation of the eyes (conjunctivitis)</t>
  </si>
  <si>
    <t>Tiny white spots inside the mouth (Koplik's spots)</t>
  </si>
  <si>
    <t>Measles serology</t>
  </si>
  <si>
    <t>sore throat</t>
  </si>
  <si>
    <t>Bright red color in the creases of the underarm and groin (Pastia's lines)</t>
  </si>
  <si>
    <t>General discomfort (malaise)</t>
  </si>
  <si>
    <t>Muscle aches</t>
  </si>
  <si>
    <t>Swollen, red tongue (strawberry tongue)</t>
  </si>
  <si>
    <t>Physical examination</t>
  </si>
  <si>
    <t>Throat culture positive for group A strep</t>
  </si>
  <si>
    <t>Rapid antigen detection (throat swab)</t>
  </si>
  <si>
    <t>Difficulty breathing</t>
  </si>
  <si>
    <t>Other breathing symptoms</t>
  </si>
  <si>
    <t>Cough that produces phlegm (sputum)</t>
  </si>
  <si>
    <t>abnormal lung sounds</t>
  </si>
  <si>
    <t>x-ray</t>
  </si>
  <si>
    <t>chest CT</t>
  </si>
  <si>
    <t>Arterial blood tests</t>
  </si>
  <si>
    <t>Blood clotting tests</t>
  </si>
  <si>
    <t>Blood chemistry tests</t>
  </si>
  <si>
    <t>Antibody tests for SARS</t>
  </si>
  <si>
    <t>Direct isolation of the SARS virus</t>
  </si>
  <si>
    <t>Rapid polymerase chain reaction (PCR) test for SARS virus</t>
  </si>
  <si>
    <t>Lack of appetite</t>
  </si>
  <si>
    <t>Confusion or change in ability to think clearly</t>
  </si>
  <si>
    <t>Muscle weakness</t>
  </si>
  <si>
    <t>Weakness of one arm or leg</t>
  </si>
  <si>
    <t>Head CT scan</t>
  </si>
  <si>
    <t>Head MRI scan</t>
  </si>
  <si>
    <t>Lumbar puncture and cerebrospinal fluid (CSF) testing</t>
  </si>
  <si>
    <t>PCR</t>
  </si>
  <si>
    <t>Serology</t>
  </si>
  <si>
    <t>cough</t>
  </si>
  <si>
    <t>whoop noise</t>
  </si>
  <si>
    <t>loss of consciousness</t>
  </si>
  <si>
    <t>sample of mucus</t>
  </si>
  <si>
    <t>complete blood count</t>
  </si>
  <si>
    <t>Hemoptysis!ICD10CM!CUI</t>
  </si>
  <si>
    <t>Balance disorder!Freebase!CUI</t>
  </si>
  <si>
    <t>Breast Pain</t>
  </si>
  <si>
    <t>Other specified symptoms and signs involving the circulatory and respiratory systems!ICD10CM!CUI</t>
  </si>
  <si>
    <t>Arterial blood gases {ARTERIAL BLOOD GASES}!Freebase!Equals</t>
  </si>
  <si>
    <t>Blood cultures</t>
  </si>
  <si>
    <t>Bronchoscopy</t>
  </si>
  <si>
    <t>Bronchoscopy {BRONCHOSCOPY}!Freebase!Equals</t>
  </si>
  <si>
    <t>Chest X-ray {CHEST X-RAY}!Freebase!Equals</t>
  </si>
  <si>
    <t xml:space="preserve">Complete blood count {BLOOD COMPLETE COUNT}!Freebase!Equals </t>
  </si>
  <si>
    <t>White blood cell count {BLOOD CELL COUNT WHITE}!Freebase!Equals</t>
  </si>
  <si>
    <t>white blood cell countESR (sed rate)</t>
  </si>
  <si>
    <t>Uneasy</t>
  </si>
  <si>
    <t>Listening</t>
  </si>
  <si>
    <t>CBC</t>
  </si>
  <si>
    <t>Trismus!MeSH!CUI</t>
  </si>
  <si>
    <t>Muscle Spasms {MUSCLE SPASMS}!Freebase!Equals</t>
  </si>
  <si>
    <t>Unspecified abnormalities of breathing!ICD10CM!CUI</t>
  </si>
  <si>
    <t>Fever, unspecified!ICD9CM!CUI</t>
  </si>
  <si>
    <t>Irritability!CSSO Ontology!CUI</t>
  </si>
  <si>
    <t>Dysphagia, unspecified!ICD10CM!CUI</t>
  </si>
  <si>
    <t>LA test {LA TEST}!Freebase!Similarity</t>
  </si>
  <si>
    <t>Lab Test</t>
  </si>
  <si>
    <t>Tetanus</t>
  </si>
  <si>
    <t>Medical History</t>
  </si>
  <si>
    <t>Diseases</t>
  </si>
  <si>
    <t>Rabies</t>
  </si>
  <si>
    <t>Gastric pain!CSSO Ontology!CUI</t>
  </si>
  <si>
    <t>Dermatitis!Freebase!CUI</t>
  </si>
  <si>
    <t>Pruritus!Freebase!CUI</t>
  </si>
  <si>
    <t>Chicken Pox</t>
  </si>
  <si>
    <t>Spots on skin</t>
  </si>
  <si>
    <t>Skin problem</t>
  </si>
  <si>
    <t>Scars</t>
  </si>
  <si>
    <t>ask questions</t>
  </si>
  <si>
    <t>Personal Medical History</t>
  </si>
  <si>
    <t>Laboratory Tests</t>
  </si>
  <si>
    <t>Runny nose!CSSO Ontology!CUI</t>
  </si>
  <si>
    <t>Swelling!CSSO Ontology!CUI</t>
  </si>
  <si>
    <t>Malar rash</t>
  </si>
  <si>
    <t>Malar rash!Freebase!CUI</t>
  </si>
  <si>
    <t>Itch</t>
  </si>
  <si>
    <t>Itching!CSSO Ontology!CUI</t>
  </si>
  <si>
    <t>Anaemia</t>
  </si>
  <si>
    <t>Anemia!Freebase!CUI</t>
  </si>
  <si>
    <t>Fifth Disease</t>
  </si>
  <si>
    <t>Sign</t>
  </si>
  <si>
    <t>Bright red</t>
  </si>
  <si>
    <t>Pregnant</t>
  </si>
  <si>
    <t>Abdominal distension (gaseous)!ICD10CM!CUI</t>
  </si>
  <si>
    <t>Dark urine!Freebase!CUI</t>
  </si>
  <si>
    <t>pale or clay-colored stools</t>
  </si>
  <si>
    <t xml:space="preserve">Dark urine </t>
  </si>
  <si>
    <t>Pale feces!Freebase!CUI</t>
  </si>
  <si>
    <t>Other ascites!ICD10CM!CUI</t>
  </si>
  <si>
    <t>Liver biopsy {BIOPSY LIVER}!Freebase!Equals</t>
  </si>
  <si>
    <t>Liver Failure</t>
  </si>
  <si>
    <t>Hepatitis A</t>
  </si>
  <si>
    <t>chronic hepatic</t>
  </si>
  <si>
    <t>skin yellowing</t>
  </si>
  <si>
    <t>Hepatitis B</t>
  </si>
  <si>
    <t>tender liver</t>
  </si>
  <si>
    <t>Labs</t>
  </si>
  <si>
    <t>ultrasound of abdomen</t>
  </si>
  <si>
    <t>Mouth ulcer!Freebase!CUI</t>
  </si>
  <si>
    <t>Generalized enlarged lymph nodes!ICD10CM!CUI</t>
  </si>
  <si>
    <t>Blister!Freebase!CUI</t>
  </si>
  <si>
    <t>Tingling</t>
  </si>
  <si>
    <t>turning</t>
  </si>
  <si>
    <t>Pink skin</t>
  </si>
  <si>
    <t>Oral Herpes</t>
  </si>
  <si>
    <t>viral test</t>
  </si>
  <si>
    <t>HSV</t>
  </si>
  <si>
    <t>Ache!Freebase!CUI</t>
  </si>
  <si>
    <t>Dizziness!MeSH!CUI</t>
  </si>
  <si>
    <t>Flushing!ICD10CM!CUI</t>
  </si>
  <si>
    <t>Sneezing!ICD10CM!CUI</t>
  </si>
  <si>
    <t>Asthma!Freebase!CUI</t>
  </si>
  <si>
    <t>illnesses</t>
  </si>
  <si>
    <t>hearing</t>
  </si>
  <si>
    <t>Tearing {TEARING}!Freebase!Similarity</t>
  </si>
  <si>
    <t>breathing symptoms</t>
  </si>
  <si>
    <t>Tired</t>
  </si>
  <si>
    <t>Photophobia!MeSH!CUI</t>
  </si>
  <si>
    <t>Meningismus!ICD10CM!CUI</t>
  </si>
  <si>
    <t>Poor feeding!CSSO Ontology!CUI</t>
  </si>
  <si>
    <t>Tachypnea, not elsewhere classified!ICD10CM!CUI</t>
  </si>
  <si>
    <t>Opisthotonus!Freebase!CUI</t>
  </si>
  <si>
    <t>Fall</t>
  </si>
  <si>
    <t>Repeated falls!ICD10CM!CUI</t>
  </si>
  <si>
    <t>Viral meningitis</t>
  </si>
  <si>
    <t>Meningitis!Freebase!CUI</t>
  </si>
  <si>
    <t>Lumbar puncture {LUMBAR PUNCTURE}!Freebase!Equals</t>
  </si>
  <si>
    <t>Meningitis, Bacterial</t>
  </si>
  <si>
    <t>Mental status</t>
  </si>
  <si>
    <t>bulging fontanelles</t>
  </si>
  <si>
    <t>Lumbar puncture, NOS</t>
  </si>
  <si>
    <t>CT scan of head</t>
  </si>
  <si>
    <t>Testicular mass!Freebase!CUI</t>
  </si>
  <si>
    <t>Testicular pain!Freebase!CUI</t>
  </si>
  <si>
    <t>Swelling of scrotum!Freebase!CUI</t>
  </si>
  <si>
    <t>Stiffness {STIFFNESS}!CSSO Ontology!Equals</t>
  </si>
  <si>
    <t>Stiff neck!CSSO Ontology!CUI</t>
  </si>
  <si>
    <t>Throat culture {CULTURE THROAT}!Freebase!Similarity</t>
  </si>
  <si>
    <t>Spinal tap {SPINAL TAP}!Freebase!Equals</t>
  </si>
  <si>
    <t>Polio</t>
  </si>
  <si>
    <t>Subclinical Infections</t>
  </si>
  <si>
    <t>Subclinical infection</t>
  </si>
  <si>
    <t>Poliomyelitis</t>
  </si>
  <si>
    <t>Reflexes</t>
  </si>
  <si>
    <t>bending</t>
  </si>
  <si>
    <t>spinal fluid examination</t>
  </si>
  <si>
    <t>Other convulsions {CONVULSIONS}!ICD9CM!Equals</t>
  </si>
  <si>
    <t>Muscle spasm {MUSCLE SPASM}!Freebase!Equals</t>
  </si>
  <si>
    <t>Hypesthesia!MeSH!CUI</t>
  </si>
  <si>
    <t>Agitation!Freebase!CUI</t>
  </si>
  <si>
    <t>Immunofluorescence {IMMUNOFLUORESCENCE}!Freebase!Equals</t>
  </si>
  <si>
    <t>Complete blood count {BLOOD COMPLETE COUNT}!Freebase!Equals</t>
  </si>
  <si>
    <t>Partial thromboplastin time {PARTIAL THROMBOPLASTIN TIME}!Freebase!Equals</t>
  </si>
  <si>
    <t>Prothrombin time {PROTHROMBIN TIME}!Freebase!Equals</t>
  </si>
  <si>
    <t>Antibody titer</t>
  </si>
  <si>
    <t>Kidney Function Tests</t>
  </si>
  <si>
    <t>Protein - urine</t>
  </si>
  <si>
    <t>Eye inflammation {EYE INFLAMMATION}!Freebase!Similarity</t>
  </si>
  <si>
    <t>Blood test {BLOOD TEST}!Freebase!Equals</t>
  </si>
  <si>
    <t>Cough!ICD10CM!CUI</t>
  </si>
  <si>
    <t>Koplik spots {KOPLIK SPOTS}!Freebase!Equals</t>
  </si>
  <si>
    <t>Papules</t>
  </si>
  <si>
    <t>Papule!CSSO Ontology!CUI</t>
  </si>
  <si>
    <t>Macules</t>
  </si>
  <si>
    <t>Macule!Freebase!CUI</t>
  </si>
  <si>
    <t>move</t>
  </si>
  <si>
    <t>Discolored</t>
  </si>
  <si>
    <t>Redness</t>
  </si>
  <si>
    <t>Measles</t>
  </si>
  <si>
    <t>Desquamation</t>
  </si>
  <si>
    <t>Changes in skin texture!ICD10CM!CUI</t>
  </si>
  <si>
    <t>Bright red color</t>
  </si>
  <si>
    <t>Antigen detection</t>
  </si>
  <si>
    <t>Shaking</t>
  </si>
  <si>
    <t>Tremor, unspecified!ICD10CM!CUI</t>
  </si>
  <si>
    <t>SARS</t>
  </si>
  <si>
    <t>Chest CT</t>
  </si>
  <si>
    <t>blood clotting tests</t>
  </si>
  <si>
    <t>Blood chemistry</t>
  </si>
  <si>
    <t>chest ct scan</t>
  </si>
  <si>
    <t>Virus isolation</t>
  </si>
  <si>
    <t>Polymerase chain reaction test for SARS</t>
  </si>
  <si>
    <t>Able</t>
  </si>
  <si>
    <t>Loss of consciousness</t>
  </si>
  <si>
    <t>Loss Of Consciousness!Freebase!CUI</t>
  </si>
  <si>
    <t>Muscle Weakness!MeSH!CUI</t>
  </si>
  <si>
    <t>Arm Weakness!Freebase!CUI</t>
  </si>
  <si>
    <t>West Nile Fever</t>
  </si>
  <si>
    <t>lives</t>
  </si>
  <si>
    <t>West Nile encephalitis</t>
  </si>
  <si>
    <t>West Nile meningitis</t>
  </si>
  <si>
    <t>West nile virus infection</t>
  </si>
  <si>
    <t>Viral Infections</t>
  </si>
  <si>
    <t>Physical examination findings</t>
  </si>
  <si>
    <t>head ct scan</t>
  </si>
  <si>
    <t>head MRI</t>
  </si>
  <si>
    <t>MRI Scan</t>
  </si>
  <si>
    <t>Polymerase Chain Reaction</t>
  </si>
  <si>
    <t>Common Cold</t>
  </si>
  <si>
    <t>Common cold!Freebase!CUI</t>
  </si>
  <si>
    <t>Pertussis</t>
  </si>
  <si>
    <t>Readiness</t>
  </si>
  <si>
    <t>Tonsillitis</t>
  </si>
  <si>
    <t>Ebola</t>
  </si>
  <si>
    <t>Leptospirosis</t>
  </si>
  <si>
    <t>Cholera</t>
  </si>
  <si>
    <t>Diphteria</t>
  </si>
  <si>
    <t>Erypselas</t>
  </si>
  <si>
    <t>#</t>
  </si>
  <si>
    <t>Legionnaire</t>
  </si>
  <si>
    <t>Chickenpox</t>
  </si>
  <si>
    <t>Fifth disease</t>
  </si>
  <si>
    <t>Impetigo</t>
  </si>
  <si>
    <t>Meningitis</t>
  </si>
  <si>
    <t>Mumps</t>
  </si>
  <si>
    <t>Rocky Mountain spotted fever</t>
  </si>
  <si>
    <t>Roseola</t>
  </si>
  <si>
    <t>Rubella</t>
  </si>
  <si>
    <t>Scarlet Fever</t>
  </si>
  <si>
    <t>West Nile Virus</t>
  </si>
  <si>
    <t>Mean</t>
  </si>
  <si>
    <t>correctly identified (right)</t>
  </si>
  <si>
    <t>correctly rejected (right)</t>
  </si>
  <si>
    <t>incorrectly identified (error)</t>
  </si>
  <si>
    <t>incorrectly rejected (error)</t>
  </si>
  <si>
    <t>Findings not found in the validation (but NLP found them)</t>
  </si>
  <si>
    <t>Specificity</t>
  </si>
  <si>
    <t>F1 score</t>
  </si>
  <si>
    <t>FN (Because validación)</t>
  </si>
  <si>
    <t>* This test was already counted as FN. We discard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</si>
</sst>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3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1" fillId="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9" borderId="33" xfId="0" applyFont="1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3" borderId="26" xfId="0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16" fontId="0" fillId="8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6" xfId="0" applyBorder="1" applyAlignment="1"/>
    <xf numFmtId="0" fontId="1" fillId="5" borderId="7" xfId="0" applyFont="1" applyFill="1" applyBorder="1" applyAlignment="1">
      <alignment horizontal="center"/>
    </xf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Statistical analysis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Values</c:v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Summary!$L$8:$L$11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Specificity</c:v>
                </c:pt>
                <c:pt idx="3">
                  <c:v>F1 score</c:v>
                </c:pt>
              </c:strCache>
            </c:strRef>
          </c:cat>
          <c:val>
            <c:numRef>
              <c:f>Summary!$M$8:$M$11</c:f>
              <c:numCache>
                <c:formatCode>General</c:formatCode>
                <c:ptCount val="4"/>
                <c:pt idx="0">
                  <c:v>0.92933749300000001</c:v>
                </c:pt>
                <c:pt idx="1">
                  <c:v>0.67160504200000004</c:v>
                </c:pt>
                <c:pt idx="2">
                  <c:v>0.84279100500000004</c:v>
                </c:pt>
                <c:pt idx="3">
                  <c:v>0.76524344600000005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556032"/>
        <c:axId val="129786624"/>
        <c:axId val="0"/>
      </c:bar3DChart>
      <c:catAx>
        <c:axId val="12855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effectLst/>
        </c:spPr>
        <c:crossAx val="129786624"/>
        <c:crosses val="autoZero"/>
        <c:auto val="1"/>
        <c:lblAlgn val="ctr"/>
        <c:lblOffset val="100"/>
        <c:noMultiLvlLbl val="0"/>
      </c:catAx>
      <c:valAx>
        <c:axId val="129786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55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FFFFF"/>
          </a:solidFill>
        </c:sp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16</xdr:row>
      <xdr:rowOff>114300</xdr:rowOff>
    </xdr:from>
    <xdr:to>
      <xdr:col>16</xdr:col>
      <xdr:colOff>95250</xdr:colOff>
      <xdr:row>32</xdr:row>
      <xdr:rowOff>114300</xdr:rowOff>
    </xdr:to>
    <xdr:graphicFrame macro="">
      <xdr:nvGraphicFramePr>
        <xdr:cNvPr id="3" name="2 Gráfico" title="Statistical 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5"/>
  <sheetViews>
    <sheetView workbookViewId="0">
      <selection activeCell="D34" sqref="D34"/>
    </sheetView>
  </sheetViews>
  <sheetFormatPr baseColWidth="10" defaultRowHeight="15" x14ac:dyDescent="0.25"/>
  <cols>
    <col min="1" max="1" width="1.140625" customWidth="1"/>
    <col min="2" max="2" width="2" customWidth="1"/>
    <col min="3" max="4" width="33" customWidth="1"/>
    <col min="5" max="5" width="50.28515625" customWidth="1"/>
    <col min="6" max="6" width="77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74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28" t="s">
        <v>2</v>
      </c>
      <c r="D5" s="26" t="s">
        <v>18</v>
      </c>
      <c r="E5" s="25" t="s">
        <v>21</v>
      </c>
      <c r="F5" s="46" t="s">
        <v>13</v>
      </c>
      <c r="G5" s="47" t="s">
        <v>19</v>
      </c>
      <c r="H5" s="48" t="s">
        <v>28</v>
      </c>
    </row>
    <row r="6" spans="3:8" x14ac:dyDescent="0.25">
      <c r="C6" s="29" t="s">
        <v>3</v>
      </c>
      <c r="D6" s="27" t="s">
        <v>18</v>
      </c>
      <c r="E6" s="30" t="s">
        <v>22</v>
      </c>
      <c r="F6" s="49" t="s">
        <v>14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24</v>
      </c>
      <c r="F7" s="49" t="s">
        <v>15</v>
      </c>
      <c r="G7" s="50" t="s">
        <v>19</v>
      </c>
      <c r="H7" s="51" t="s">
        <v>28</v>
      </c>
    </row>
    <row r="8" spans="3:8" x14ac:dyDescent="0.25">
      <c r="C8" s="29" t="s">
        <v>5</v>
      </c>
      <c r="D8" s="27" t="s">
        <v>18</v>
      </c>
      <c r="E8" s="30" t="s">
        <v>23</v>
      </c>
      <c r="F8" s="49" t="s">
        <v>16</v>
      </c>
      <c r="G8" s="50" t="s">
        <v>19</v>
      </c>
      <c r="H8" s="51" t="s">
        <v>28</v>
      </c>
    </row>
    <row r="9" spans="3:8" x14ac:dyDescent="0.25">
      <c r="C9" s="29" t="s">
        <v>6</v>
      </c>
      <c r="D9" s="27" t="s">
        <v>18</v>
      </c>
      <c r="E9" s="30" t="s">
        <v>25</v>
      </c>
      <c r="F9" s="5"/>
      <c r="G9" s="13"/>
      <c r="H9" s="2"/>
    </row>
    <row r="10" spans="3:8" x14ac:dyDescent="0.25">
      <c r="C10" s="29" t="s">
        <v>7</v>
      </c>
      <c r="D10" s="27" t="s">
        <v>18</v>
      </c>
      <c r="E10" s="30" t="s">
        <v>26</v>
      </c>
      <c r="F10" s="5"/>
      <c r="G10" s="13"/>
      <c r="H10" s="2"/>
    </row>
    <row r="11" spans="3:8" x14ac:dyDescent="0.25">
      <c r="C11" s="29" t="s">
        <v>8</v>
      </c>
      <c r="D11" s="27" t="s">
        <v>18</v>
      </c>
      <c r="E11" s="30" t="s">
        <v>27</v>
      </c>
      <c r="F11" s="5"/>
      <c r="G11" s="13"/>
      <c r="H11" s="2"/>
    </row>
    <row r="12" spans="3:8" x14ac:dyDescent="0.25">
      <c r="C12" s="49" t="s">
        <v>11</v>
      </c>
      <c r="D12" s="50" t="s">
        <v>19</v>
      </c>
      <c r="E12" s="51" t="s">
        <v>28</v>
      </c>
      <c r="F12" s="5"/>
      <c r="G12" s="13"/>
      <c r="H12" s="2"/>
    </row>
    <row r="13" spans="3:8" ht="15.75" thickBot="1" x14ac:dyDescent="0.3">
      <c r="C13" s="52" t="s">
        <v>12</v>
      </c>
      <c r="D13" s="53" t="s">
        <v>19</v>
      </c>
      <c r="E13" s="45" t="s">
        <v>28</v>
      </c>
      <c r="F13" s="6"/>
      <c r="G13" s="17"/>
      <c r="H13" s="4"/>
    </row>
    <row r="15" spans="3:8" ht="15.75" thickBot="1" x14ac:dyDescent="0.3"/>
    <row r="16" spans="3:8" ht="15.75" thickBot="1" x14ac:dyDescent="0.3">
      <c r="C16" s="111" t="s">
        <v>17</v>
      </c>
      <c r="D16" s="112"/>
      <c r="E16" s="112"/>
      <c r="F16" s="112"/>
      <c r="G16" s="113"/>
      <c r="H16" s="18"/>
    </row>
    <row r="17" spans="3:8" ht="15.75" thickBot="1" x14ac:dyDescent="0.3">
      <c r="C17" s="117" t="s">
        <v>35</v>
      </c>
      <c r="D17" s="112"/>
      <c r="E17" s="113"/>
      <c r="F17" s="117" t="s">
        <v>42</v>
      </c>
      <c r="G17" s="118"/>
      <c r="H17" s="18"/>
    </row>
    <row r="18" spans="3:8" ht="15.75" thickBot="1" x14ac:dyDescent="0.3">
      <c r="C18" s="74" t="s">
        <v>34</v>
      </c>
      <c r="D18" s="74" t="s">
        <v>31</v>
      </c>
      <c r="E18" s="74" t="s">
        <v>20</v>
      </c>
      <c r="F18" s="74" t="s">
        <v>34</v>
      </c>
      <c r="G18" s="74" t="s">
        <v>31</v>
      </c>
      <c r="H18" s="20"/>
    </row>
    <row r="19" spans="3:8" x14ac:dyDescent="0.25">
      <c r="C19" s="38" t="s">
        <v>29</v>
      </c>
      <c r="D19" s="39" t="s">
        <v>19</v>
      </c>
      <c r="E19" s="40" t="s">
        <v>30</v>
      </c>
      <c r="F19" s="35" t="s">
        <v>36</v>
      </c>
      <c r="G19" s="36" t="s">
        <v>19</v>
      </c>
      <c r="H19" s="19"/>
    </row>
    <row r="20" spans="3:8" x14ac:dyDescent="0.25">
      <c r="C20" s="41" t="s">
        <v>32</v>
      </c>
      <c r="D20" s="42" t="s">
        <v>19</v>
      </c>
      <c r="E20" s="32" t="s">
        <v>33</v>
      </c>
      <c r="F20" s="37" t="s">
        <v>37</v>
      </c>
      <c r="G20" s="34" t="s">
        <v>19</v>
      </c>
      <c r="H20" s="19"/>
    </row>
    <row r="21" spans="3:8" x14ac:dyDescent="0.25">
      <c r="C21" s="1"/>
      <c r="D21" s="12"/>
      <c r="E21" s="2"/>
      <c r="F21" s="37" t="s">
        <v>38</v>
      </c>
      <c r="G21" s="34" t="s">
        <v>19</v>
      </c>
      <c r="H21" s="19"/>
    </row>
    <row r="22" spans="3:8" x14ac:dyDescent="0.25">
      <c r="C22" s="1"/>
      <c r="D22" s="12"/>
      <c r="E22" s="2"/>
      <c r="F22" s="37" t="s">
        <v>39</v>
      </c>
      <c r="G22" s="34" t="s">
        <v>19</v>
      </c>
      <c r="H22" s="19"/>
    </row>
    <row r="23" spans="3:8" x14ac:dyDescent="0.25">
      <c r="C23" s="1"/>
      <c r="D23" s="12"/>
      <c r="E23" s="2"/>
      <c r="F23" s="37" t="s">
        <v>40</v>
      </c>
      <c r="G23" s="34" t="s">
        <v>19</v>
      </c>
      <c r="H23" s="19"/>
    </row>
    <row r="24" spans="3:8" x14ac:dyDescent="0.25">
      <c r="C24" s="1"/>
      <c r="D24" s="12"/>
      <c r="E24" s="2"/>
      <c r="F24" s="37" t="s">
        <v>41</v>
      </c>
      <c r="G24" s="34" t="s">
        <v>19</v>
      </c>
      <c r="H24" s="19"/>
    </row>
    <row r="25" spans="3:8" x14ac:dyDescent="0.25">
      <c r="C25" s="1"/>
      <c r="D25" s="12"/>
      <c r="E25" s="2"/>
      <c r="F25" s="5"/>
      <c r="G25" s="2"/>
      <c r="H25" s="19"/>
    </row>
    <row r="26" spans="3:8" x14ac:dyDescent="0.25">
      <c r="C26" s="1"/>
      <c r="D26" s="12"/>
      <c r="E26" s="2"/>
      <c r="F26" s="5"/>
      <c r="G26" s="2"/>
      <c r="H26" s="19"/>
    </row>
    <row r="27" spans="3:8" ht="15.75" thickBot="1" x14ac:dyDescent="0.3">
      <c r="C27" s="3"/>
      <c r="D27" s="16"/>
      <c r="E27" s="4"/>
      <c r="F27" s="6"/>
      <c r="G27" s="4"/>
      <c r="H27" s="19"/>
    </row>
    <row r="29" spans="3:8" ht="15.75" thickBot="1" x14ac:dyDescent="0.3"/>
    <row r="30" spans="3:8" x14ac:dyDescent="0.25">
      <c r="E30" s="24" t="s">
        <v>299</v>
      </c>
      <c r="F30" s="25" t="s">
        <v>708</v>
      </c>
    </row>
    <row r="31" spans="3:8" x14ac:dyDescent="0.25">
      <c r="E31" s="33" t="s">
        <v>298</v>
      </c>
      <c r="F31" s="34" t="s">
        <v>709</v>
      </c>
    </row>
    <row r="32" spans="3:8" x14ac:dyDescent="0.25">
      <c r="E32" s="31" t="s">
        <v>300</v>
      </c>
      <c r="F32" s="32" t="s">
        <v>710</v>
      </c>
    </row>
    <row r="33" spans="5:6" ht="15.75" thickBot="1" x14ac:dyDescent="0.3">
      <c r="E33" s="44" t="s">
        <v>301</v>
      </c>
      <c r="F33" s="45" t="s">
        <v>711</v>
      </c>
    </row>
    <row r="34" spans="5:6" ht="15.75" thickBot="1" x14ac:dyDescent="0.3"/>
    <row r="35" spans="5:6" ht="15.75" thickBot="1" x14ac:dyDescent="0.3">
      <c r="E35" s="68" t="s">
        <v>715</v>
      </c>
      <c r="F35" s="69" t="s">
        <v>712</v>
      </c>
    </row>
    <row r="37" spans="5:6" x14ac:dyDescent="0.25">
      <c r="E37" s="21" t="s">
        <v>43</v>
      </c>
      <c r="F37" s="12">
        <f>ROWS(C5:C11)</f>
        <v>7</v>
      </c>
    </row>
    <row r="38" spans="5:6" x14ac:dyDescent="0.25">
      <c r="E38" s="21" t="s">
        <v>44</v>
      </c>
      <c r="F38" s="12">
        <f>ROWS(G19:G24)</f>
        <v>6</v>
      </c>
    </row>
    <row r="39" spans="5:6" x14ac:dyDescent="0.25">
      <c r="E39" s="21" t="s">
        <v>45</v>
      </c>
      <c r="F39" s="12">
        <f>ROWS(E19:E20)</f>
        <v>2</v>
      </c>
    </row>
    <row r="40" spans="5:6" x14ac:dyDescent="0.25">
      <c r="E40" s="21" t="s">
        <v>46</v>
      </c>
      <c r="F40" s="12">
        <f>ROWS(E12:E13) + ROWS(F5:F8)</f>
        <v>6</v>
      </c>
    </row>
    <row r="42" spans="5:6" x14ac:dyDescent="0.25">
      <c r="E42" s="21" t="s">
        <v>47</v>
      </c>
      <c r="F42" s="12">
        <f>F37/(F37+F39)</f>
        <v>0.77777777777777779</v>
      </c>
    </row>
    <row r="43" spans="5:6" x14ac:dyDescent="0.25">
      <c r="E43" s="21" t="s">
        <v>48</v>
      </c>
      <c r="F43" s="12">
        <f>F37/(F37+F40)</f>
        <v>0.53846153846153844</v>
      </c>
    </row>
    <row r="44" spans="5:6" x14ac:dyDescent="0.25">
      <c r="E44" s="21" t="s">
        <v>49</v>
      </c>
      <c r="F44" s="12">
        <f>F38/(F39+F38)</f>
        <v>0.75</v>
      </c>
    </row>
    <row r="45" spans="5:6" x14ac:dyDescent="0.25">
      <c r="E45" s="21" t="s">
        <v>302</v>
      </c>
      <c r="F45" s="12">
        <f>2*F37/((2*F37)+F39+F40)</f>
        <v>0.63636363636363635</v>
      </c>
    </row>
  </sheetData>
  <mergeCells count="4">
    <mergeCell ref="C16:G16"/>
    <mergeCell ref="C3:H3"/>
    <mergeCell ref="C17:E17"/>
    <mergeCell ref="F17:G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workbookViewId="0">
      <selection activeCell="E50" sqref="E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28515625" customWidth="1"/>
    <col min="6" max="6" width="87.5703125" customWidth="1"/>
    <col min="7" max="7" width="28.5703125" customWidth="1"/>
    <col min="8" max="8" width="47.28515625" customWidth="1"/>
  </cols>
  <sheetData>
    <row r="2" spans="1:8" ht="15.75" thickBot="1" x14ac:dyDescent="0.3"/>
    <row r="3" spans="1:8" ht="15.75" thickBot="1" x14ac:dyDescent="0.3">
      <c r="C3" s="114" t="s">
        <v>10</v>
      </c>
      <c r="D3" s="115"/>
      <c r="E3" s="115"/>
      <c r="F3" s="115"/>
      <c r="G3" s="115"/>
      <c r="H3" s="116"/>
    </row>
    <row r="4" spans="1:8" ht="15.75" thickBot="1" x14ac:dyDescent="0.3">
      <c r="A4" s="4"/>
      <c r="C4" s="8" t="s">
        <v>0</v>
      </c>
      <c r="D4" s="14" t="s">
        <v>9</v>
      </c>
      <c r="E4" s="7" t="s">
        <v>20</v>
      </c>
      <c r="F4" s="11" t="s">
        <v>1</v>
      </c>
      <c r="G4" s="14" t="s">
        <v>9</v>
      </c>
      <c r="H4" s="7" t="s">
        <v>20</v>
      </c>
    </row>
    <row r="5" spans="1:8" x14ac:dyDescent="0.25">
      <c r="C5" s="28" t="s">
        <v>4</v>
      </c>
      <c r="D5" s="26" t="s">
        <v>18</v>
      </c>
      <c r="E5" s="25" t="s">
        <v>177</v>
      </c>
      <c r="F5" s="28" t="s">
        <v>318</v>
      </c>
      <c r="G5" s="26" t="s">
        <v>18</v>
      </c>
      <c r="H5" s="25" t="s">
        <v>187</v>
      </c>
    </row>
    <row r="6" spans="1:8" x14ac:dyDescent="0.25">
      <c r="C6" s="29" t="s">
        <v>99</v>
      </c>
      <c r="D6" s="27" t="s">
        <v>18</v>
      </c>
      <c r="E6" s="30" t="s">
        <v>219</v>
      </c>
      <c r="F6" s="49" t="s">
        <v>319</v>
      </c>
      <c r="G6" s="50" t="s">
        <v>19</v>
      </c>
      <c r="H6" s="51" t="s">
        <v>28</v>
      </c>
    </row>
    <row r="7" spans="1:8" x14ac:dyDescent="0.25">
      <c r="C7" s="29" t="s">
        <v>323</v>
      </c>
      <c r="D7" s="27" t="s">
        <v>18</v>
      </c>
      <c r="E7" s="30" t="s">
        <v>324</v>
      </c>
      <c r="F7" s="29" t="s">
        <v>320</v>
      </c>
      <c r="G7" s="27" t="s">
        <v>18</v>
      </c>
      <c r="H7" s="30" t="s">
        <v>333</v>
      </c>
    </row>
    <row r="8" spans="1:8" x14ac:dyDescent="0.25">
      <c r="C8" s="29" t="s">
        <v>306</v>
      </c>
      <c r="D8" s="27" t="s">
        <v>18</v>
      </c>
      <c r="E8" s="30" t="s">
        <v>224</v>
      </c>
      <c r="F8" s="49" t="s">
        <v>321</v>
      </c>
      <c r="G8" s="50" t="s">
        <v>19</v>
      </c>
      <c r="H8" s="51" t="s">
        <v>28</v>
      </c>
    </row>
    <row r="9" spans="1:8" x14ac:dyDescent="0.25">
      <c r="C9" s="29" t="s">
        <v>307</v>
      </c>
      <c r="D9" s="27" t="s">
        <v>18</v>
      </c>
      <c r="E9" s="30" t="s">
        <v>325</v>
      </c>
      <c r="F9" s="29" t="s">
        <v>322</v>
      </c>
      <c r="G9" s="27" t="s">
        <v>18</v>
      </c>
      <c r="H9" s="30" t="s">
        <v>332</v>
      </c>
    </row>
    <row r="10" spans="1:8" x14ac:dyDescent="0.25">
      <c r="C10" s="29" t="s">
        <v>308</v>
      </c>
      <c r="D10" s="27" t="s">
        <v>18</v>
      </c>
      <c r="E10" s="30" t="s">
        <v>326</v>
      </c>
      <c r="F10" s="29" t="s">
        <v>141</v>
      </c>
      <c r="G10" s="27" t="s">
        <v>18</v>
      </c>
      <c r="H10" s="30" t="s">
        <v>259</v>
      </c>
    </row>
    <row r="11" spans="1:8" x14ac:dyDescent="0.25">
      <c r="C11" s="29" t="s">
        <v>309</v>
      </c>
      <c r="D11" s="27" t="s">
        <v>18</v>
      </c>
      <c r="E11" s="30" t="s">
        <v>327</v>
      </c>
      <c r="F11" s="1"/>
      <c r="G11" s="12"/>
      <c r="H11" s="2"/>
    </row>
    <row r="12" spans="1:8" x14ac:dyDescent="0.25">
      <c r="C12" s="29" t="s">
        <v>5</v>
      </c>
      <c r="D12" s="27" t="s">
        <v>18</v>
      </c>
      <c r="E12" s="30" t="s">
        <v>173</v>
      </c>
      <c r="F12" s="1"/>
      <c r="G12" s="12"/>
      <c r="H12" s="2"/>
    </row>
    <row r="13" spans="1:8" x14ac:dyDescent="0.25">
      <c r="C13" s="29" t="s">
        <v>310</v>
      </c>
      <c r="D13" s="27" t="s">
        <v>18</v>
      </c>
      <c r="E13" s="30" t="s">
        <v>328</v>
      </c>
      <c r="F13" s="1"/>
      <c r="G13" s="12"/>
      <c r="H13" s="2"/>
    </row>
    <row r="14" spans="1:8" x14ac:dyDescent="0.25">
      <c r="C14" s="49" t="s">
        <v>311</v>
      </c>
      <c r="D14" s="50" t="s">
        <v>19</v>
      </c>
      <c r="E14" s="51" t="s">
        <v>28</v>
      </c>
      <c r="F14" s="1"/>
      <c r="G14" s="12"/>
      <c r="H14" s="2"/>
    </row>
    <row r="15" spans="1:8" x14ac:dyDescent="0.25">
      <c r="C15" s="49" t="s">
        <v>312</v>
      </c>
      <c r="D15" s="50" t="s">
        <v>19</v>
      </c>
      <c r="E15" s="51" t="s">
        <v>28</v>
      </c>
      <c r="F15" s="1"/>
      <c r="G15" s="12"/>
      <c r="H15" s="2"/>
    </row>
    <row r="16" spans="1:8" x14ac:dyDescent="0.25">
      <c r="C16" s="49" t="s">
        <v>313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314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315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29" t="s">
        <v>316</v>
      </c>
      <c r="D19" s="27" t="s">
        <v>18</v>
      </c>
      <c r="E19" s="30" t="s">
        <v>176</v>
      </c>
      <c r="F19" s="1"/>
      <c r="G19" s="12"/>
      <c r="H19" s="2"/>
    </row>
    <row r="20" spans="3:8" x14ac:dyDescent="0.25">
      <c r="C20" s="29" t="s">
        <v>317</v>
      </c>
      <c r="D20" s="27" t="s">
        <v>18</v>
      </c>
      <c r="E20" s="30" t="s">
        <v>331</v>
      </c>
      <c r="F20" s="1"/>
      <c r="G20" s="12"/>
      <c r="H20" s="2"/>
    </row>
    <row r="21" spans="3:8" x14ac:dyDescent="0.25">
      <c r="C21" s="29" t="s">
        <v>116</v>
      </c>
      <c r="D21" s="27" t="s">
        <v>18</v>
      </c>
      <c r="E21" s="30" t="s">
        <v>230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61" t="s">
        <v>34</v>
      </c>
      <c r="G32" s="61" t="s">
        <v>31</v>
      </c>
      <c r="H32" s="20"/>
    </row>
    <row r="33" spans="3:8" x14ac:dyDescent="0.25">
      <c r="C33" s="32" t="s">
        <v>329</v>
      </c>
      <c r="D33" s="32" t="s">
        <v>19</v>
      </c>
      <c r="E33" s="86" t="s">
        <v>330</v>
      </c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60"/>
      <c r="F34" s="37" t="s">
        <v>215</v>
      </c>
      <c r="G34" s="34" t="s">
        <v>19</v>
      </c>
      <c r="H34" s="19"/>
    </row>
    <row r="35" spans="3:8" x14ac:dyDescent="0.25">
      <c r="C35" s="1"/>
      <c r="D35" s="12"/>
      <c r="E35" s="60"/>
      <c r="F35" s="37" t="s">
        <v>334</v>
      </c>
      <c r="G35" s="34" t="s">
        <v>19</v>
      </c>
      <c r="H35" s="19"/>
    </row>
    <row r="36" spans="3:8" x14ac:dyDescent="0.25">
      <c r="C36" s="1"/>
      <c r="D36" s="12"/>
      <c r="E36" s="60"/>
      <c r="F36" s="37" t="s">
        <v>37</v>
      </c>
      <c r="G36" s="34" t="s">
        <v>19</v>
      </c>
      <c r="H36" s="19"/>
    </row>
    <row r="37" spans="3:8" x14ac:dyDescent="0.25">
      <c r="C37" s="1"/>
      <c r="D37" s="12"/>
      <c r="E37" s="60"/>
      <c r="F37" s="37" t="s">
        <v>335</v>
      </c>
      <c r="G37" s="34" t="s">
        <v>19</v>
      </c>
      <c r="H37" s="19"/>
    </row>
    <row r="38" spans="3:8" x14ac:dyDescent="0.25">
      <c r="C38" s="1"/>
      <c r="D38" s="12"/>
      <c r="E38" s="60"/>
      <c r="F38" s="70" t="s">
        <v>336</v>
      </c>
      <c r="G38" s="71" t="s">
        <v>18</v>
      </c>
      <c r="H38" s="19"/>
    </row>
    <row r="39" spans="3:8" x14ac:dyDescent="0.25">
      <c r="C39" s="1"/>
      <c r="D39" s="12"/>
      <c r="E39" s="60"/>
      <c r="F39" s="70" t="s">
        <v>337</v>
      </c>
      <c r="G39" s="71" t="s">
        <v>18</v>
      </c>
      <c r="H39" s="19"/>
    </row>
    <row r="40" spans="3:8" x14ac:dyDescent="0.25">
      <c r="C40" s="1"/>
      <c r="D40" s="12"/>
      <c r="E40" s="60"/>
      <c r="F40" s="70" t="s">
        <v>338</v>
      </c>
      <c r="G40" s="71" t="s">
        <v>18</v>
      </c>
      <c r="H40" s="19"/>
    </row>
    <row r="41" spans="3:8" x14ac:dyDescent="0.25">
      <c r="C41" s="22"/>
      <c r="D41" s="23"/>
      <c r="E41" s="90"/>
      <c r="F41" s="37" t="s">
        <v>339</v>
      </c>
      <c r="G41" s="34" t="s">
        <v>19</v>
      </c>
      <c r="H41" s="19"/>
    </row>
    <row r="42" spans="3:8" ht="15.75" thickBot="1" x14ac:dyDescent="0.3">
      <c r="C42" s="3"/>
      <c r="D42" s="16"/>
      <c r="E42" s="62"/>
      <c r="F42" s="56" t="s">
        <v>193</v>
      </c>
      <c r="G42" s="43" t="s">
        <v>19</v>
      </c>
      <c r="H42" s="19"/>
    </row>
    <row r="43" spans="3:8" x14ac:dyDescent="0.25">
      <c r="C43" s="19"/>
      <c r="D43" s="19"/>
      <c r="E43" s="19"/>
      <c r="F43" s="19"/>
      <c r="G43" s="19"/>
      <c r="H43" s="19"/>
    </row>
    <row r="44" spans="3:8" ht="15.75" thickBot="1" x14ac:dyDescent="0.3"/>
    <row r="45" spans="3:8" x14ac:dyDescent="0.25">
      <c r="E45" s="24" t="s">
        <v>299</v>
      </c>
      <c r="F45" s="25" t="s">
        <v>708</v>
      </c>
    </row>
    <row r="46" spans="3:8" x14ac:dyDescent="0.25">
      <c r="E46" s="33" t="s">
        <v>298</v>
      </c>
      <c r="F46" s="34" t="s">
        <v>709</v>
      </c>
    </row>
    <row r="47" spans="3:8" x14ac:dyDescent="0.25">
      <c r="E47" s="31" t="s">
        <v>300</v>
      </c>
      <c r="F47" s="32" t="s">
        <v>710</v>
      </c>
    </row>
    <row r="48" spans="3:8" ht="15.75" thickBot="1" x14ac:dyDescent="0.3">
      <c r="E48" s="44" t="s">
        <v>301</v>
      </c>
      <c r="F48" s="45" t="s">
        <v>711</v>
      </c>
    </row>
    <row r="49" spans="5:6" ht="15.75" thickBot="1" x14ac:dyDescent="0.3"/>
    <row r="50" spans="5:6" ht="15.75" thickBot="1" x14ac:dyDescent="0.3">
      <c r="E50" s="68" t="s">
        <v>715</v>
      </c>
      <c r="F50" s="69" t="s">
        <v>712</v>
      </c>
    </row>
    <row r="52" spans="5:6" x14ac:dyDescent="0.25">
      <c r="E52" s="21" t="s">
        <v>43</v>
      </c>
      <c r="F52" s="12">
        <f>ROWS(F9:F10)+ROWS(F7)+ROWS(F5)+ROWS(E5:E13)+ROWS(E19:E21)</f>
        <v>16</v>
      </c>
    </row>
    <row r="53" spans="5:6" x14ac:dyDescent="0.25">
      <c r="E53" s="21" t="s">
        <v>44</v>
      </c>
      <c r="F53" s="12">
        <f>ROWS(F41:F42)+ROWS(F33:F37)</f>
        <v>7</v>
      </c>
    </row>
    <row r="54" spans="5:6" x14ac:dyDescent="0.25">
      <c r="E54" s="21" t="s">
        <v>45</v>
      </c>
      <c r="F54" s="12">
        <f>ROWS(E33)</f>
        <v>1</v>
      </c>
    </row>
    <row r="55" spans="5:6" x14ac:dyDescent="0.25">
      <c r="E55" s="21" t="s">
        <v>46</v>
      </c>
      <c r="F55" s="12">
        <f>ROWS(F38:F40)+ROWS(F8)+ROWS(F6)+ROWS(E14:E18)</f>
        <v>10</v>
      </c>
    </row>
    <row r="57" spans="5:6" x14ac:dyDescent="0.25">
      <c r="E57" s="21" t="s">
        <v>47</v>
      </c>
      <c r="F57" s="12">
        <f>F52/(F52+F54)</f>
        <v>0.94117647058823528</v>
      </c>
    </row>
    <row r="58" spans="5:6" x14ac:dyDescent="0.25">
      <c r="E58" s="21" t="s">
        <v>48</v>
      </c>
      <c r="F58" s="12">
        <f>F52/(F52+F55)</f>
        <v>0.61538461538461542</v>
      </c>
    </row>
    <row r="59" spans="5:6" x14ac:dyDescent="0.25">
      <c r="E59" s="21" t="s">
        <v>49</v>
      </c>
      <c r="F59" s="12">
        <f>F53/(F54+F53)</f>
        <v>0.875</v>
      </c>
    </row>
    <row r="60" spans="5:6" x14ac:dyDescent="0.25">
      <c r="E60" s="21" t="s">
        <v>302</v>
      </c>
      <c r="F60" s="12">
        <f>2*F52/((2*F52)+F54+F55)</f>
        <v>0.7441860465116279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E51" sqref="E5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165</v>
      </c>
      <c r="D5" s="47" t="s">
        <v>19</v>
      </c>
      <c r="E5" s="48" t="s">
        <v>28</v>
      </c>
      <c r="F5" s="28" t="s">
        <v>346</v>
      </c>
      <c r="G5" s="26" t="s">
        <v>18</v>
      </c>
      <c r="H5" s="25" t="s">
        <v>524</v>
      </c>
    </row>
    <row r="6" spans="3:8" x14ac:dyDescent="0.25">
      <c r="C6" s="29" t="s">
        <v>340</v>
      </c>
      <c r="D6" s="27" t="s">
        <v>18</v>
      </c>
      <c r="E6" s="30" t="s">
        <v>217</v>
      </c>
      <c r="F6" s="29" t="s">
        <v>347</v>
      </c>
      <c r="G6" s="27" t="s">
        <v>18</v>
      </c>
      <c r="H6" s="30" t="s">
        <v>525</v>
      </c>
    </row>
    <row r="7" spans="3:8" x14ac:dyDescent="0.25">
      <c r="C7" s="29" t="s">
        <v>341</v>
      </c>
      <c r="D7" s="27" t="s">
        <v>18</v>
      </c>
      <c r="E7" s="30" t="s">
        <v>521</v>
      </c>
      <c r="F7" s="49" t="s">
        <v>526</v>
      </c>
      <c r="G7" s="50" t="s">
        <v>19</v>
      </c>
      <c r="H7" s="51" t="s">
        <v>28</v>
      </c>
    </row>
    <row r="8" spans="3:8" x14ac:dyDescent="0.25">
      <c r="C8" s="29" t="s">
        <v>52</v>
      </c>
      <c r="D8" s="27" t="s">
        <v>18</v>
      </c>
      <c r="E8" s="30" t="s">
        <v>175</v>
      </c>
      <c r="F8" s="29" t="s">
        <v>348</v>
      </c>
      <c r="G8" s="27" t="s">
        <v>18</v>
      </c>
      <c r="H8" s="30" t="s">
        <v>529</v>
      </c>
    </row>
    <row r="9" spans="3:8" x14ac:dyDescent="0.25">
      <c r="C9" s="29" t="s">
        <v>55</v>
      </c>
      <c r="D9" s="27" t="s">
        <v>18</v>
      </c>
      <c r="E9" s="30" t="s">
        <v>180</v>
      </c>
      <c r="F9" s="29" t="s">
        <v>318</v>
      </c>
      <c r="G9" s="27" t="s">
        <v>18</v>
      </c>
      <c r="H9" s="30" t="s">
        <v>530</v>
      </c>
    </row>
    <row r="10" spans="3:8" x14ac:dyDescent="0.25">
      <c r="C10" s="29" t="s">
        <v>56</v>
      </c>
      <c r="D10" s="27" t="s">
        <v>18</v>
      </c>
      <c r="E10" s="30" t="s">
        <v>183</v>
      </c>
      <c r="F10" s="29" t="s">
        <v>532</v>
      </c>
      <c r="G10" s="27" t="s">
        <v>18</v>
      </c>
      <c r="H10" s="30" t="s">
        <v>531</v>
      </c>
    </row>
    <row r="11" spans="3:8" x14ac:dyDescent="0.25">
      <c r="C11" s="29" t="s">
        <v>99</v>
      </c>
      <c r="D11" s="27" t="s">
        <v>18</v>
      </c>
      <c r="E11" s="30" t="s">
        <v>286</v>
      </c>
      <c r="F11" s="49" t="s">
        <v>350</v>
      </c>
      <c r="G11" s="50" t="s">
        <v>19</v>
      </c>
      <c r="H11" s="51" t="s">
        <v>28</v>
      </c>
    </row>
    <row r="12" spans="3:8" x14ac:dyDescent="0.25">
      <c r="C12" s="29" t="s">
        <v>4</v>
      </c>
      <c r="D12" s="27" t="s">
        <v>18</v>
      </c>
      <c r="E12" s="30" t="s">
        <v>177</v>
      </c>
      <c r="F12" s="49" t="s">
        <v>351</v>
      </c>
      <c r="G12" s="50" t="s">
        <v>19</v>
      </c>
      <c r="H12" s="51" t="s">
        <v>28</v>
      </c>
    </row>
    <row r="13" spans="3:8" x14ac:dyDescent="0.25">
      <c r="C13" s="29" t="s">
        <v>342</v>
      </c>
      <c r="D13" s="27" t="s">
        <v>18</v>
      </c>
      <c r="E13" s="30" t="s">
        <v>179</v>
      </c>
      <c r="F13" s="29" t="s">
        <v>527</v>
      </c>
      <c r="G13" s="27" t="s">
        <v>18</v>
      </c>
      <c r="H13" s="30" t="s">
        <v>528</v>
      </c>
    </row>
    <row r="14" spans="3:8" x14ac:dyDescent="0.25">
      <c r="C14" s="29" t="s">
        <v>6</v>
      </c>
      <c r="D14" s="27" t="s">
        <v>18</v>
      </c>
      <c r="E14" s="30" t="s">
        <v>178</v>
      </c>
      <c r="F14" s="49" t="s">
        <v>349</v>
      </c>
      <c r="G14" s="50" t="s">
        <v>19</v>
      </c>
      <c r="H14" s="51" t="s">
        <v>28</v>
      </c>
    </row>
    <row r="15" spans="3:8" x14ac:dyDescent="0.25">
      <c r="C15" s="29" t="s">
        <v>114</v>
      </c>
      <c r="D15" s="27" t="s">
        <v>18</v>
      </c>
      <c r="E15" s="30" t="s">
        <v>199</v>
      </c>
      <c r="F15" s="1"/>
      <c r="G15" s="12"/>
      <c r="H15" s="2"/>
    </row>
    <row r="16" spans="3:8" x14ac:dyDescent="0.25">
      <c r="C16" s="29" t="s">
        <v>343</v>
      </c>
      <c r="D16" s="27" t="s">
        <v>18</v>
      </c>
      <c r="E16" s="30" t="s">
        <v>176</v>
      </c>
      <c r="F16" s="1"/>
      <c r="G16" s="12"/>
      <c r="H16" s="2"/>
    </row>
    <row r="17" spans="3:8" x14ac:dyDescent="0.25">
      <c r="C17" s="29" t="s">
        <v>344</v>
      </c>
      <c r="D17" s="27" t="s">
        <v>18</v>
      </c>
      <c r="E17" s="30" t="s">
        <v>209</v>
      </c>
      <c r="F17" s="1"/>
      <c r="G17" s="12"/>
      <c r="H17" s="2"/>
    </row>
    <row r="18" spans="3:8" x14ac:dyDescent="0.25">
      <c r="C18" s="29" t="s">
        <v>345</v>
      </c>
      <c r="D18" s="27" t="s">
        <v>18</v>
      </c>
      <c r="E18" s="30" t="s">
        <v>522</v>
      </c>
      <c r="F18" s="1"/>
      <c r="G18" s="12"/>
      <c r="H18" s="2"/>
    </row>
    <row r="19" spans="3:8" x14ac:dyDescent="0.25">
      <c r="C19" s="29" t="s">
        <v>98</v>
      </c>
      <c r="D19" s="27" t="s">
        <v>18</v>
      </c>
      <c r="E19" s="30" t="s">
        <v>173</v>
      </c>
      <c r="F19" s="1"/>
      <c r="G19" s="12"/>
      <c r="H19" s="2"/>
    </row>
    <row r="20" spans="3:8" x14ac:dyDescent="0.25">
      <c r="C20" s="29" t="s">
        <v>169</v>
      </c>
      <c r="D20" s="27" t="s">
        <v>18</v>
      </c>
      <c r="E20" s="30" t="s">
        <v>261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/>
    </row>
    <row r="25" spans="3:8" x14ac:dyDescent="0.25">
      <c r="C25" s="1"/>
      <c r="D25" s="12"/>
      <c r="E25" s="2"/>
      <c r="F25" s="1"/>
      <c r="G25" s="12"/>
      <c r="H25" s="2" t="s">
        <v>28</v>
      </c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x14ac:dyDescent="0.25">
      <c r="C29" s="1"/>
      <c r="D29" s="12"/>
      <c r="E29" s="2"/>
      <c r="F29" s="5"/>
      <c r="G29" s="13"/>
      <c r="H29" s="2"/>
    </row>
    <row r="30" spans="3:8" ht="15.75" thickBot="1" x14ac:dyDescent="0.3">
      <c r="C30" s="3"/>
      <c r="D30" s="16"/>
      <c r="E30" s="4"/>
      <c r="F30" s="6"/>
      <c r="G30" s="17"/>
      <c r="H30" s="4"/>
    </row>
    <row r="32" spans="3:8" ht="15.75" thickBot="1" x14ac:dyDescent="0.3"/>
    <row r="33" spans="3:8" ht="15.75" thickBot="1" x14ac:dyDescent="0.3">
      <c r="C33" s="111" t="s">
        <v>17</v>
      </c>
      <c r="D33" s="112"/>
      <c r="E33" s="112"/>
      <c r="F33" s="112"/>
      <c r="G33" s="113"/>
      <c r="H33" s="18"/>
    </row>
    <row r="34" spans="3:8" ht="15.75" thickBot="1" x14ac:dyDescent="0.3">
      <c r="C34" s="117" t="s">
        <v>35</v>
      </c>
      <c r="D34" s="112"/>
      <c r="E34" s="113"/>
      <c r="F34" s="117" t="s">
        <v>42</v>
      </c>
      <c r="G34" s="118"/>
      <c r="H34" s="18"/>
    </row>
    <row r="35" spans="3:8" ht="15.75" thickBot="1" x14ac:dyDescent="0.3">
      <c r="C35" s="8" t="s">
        <v>34</v>
      </c>
      <c r="D35" s="8" t="s">
        <v>31</v>
      </c>
      <c r="E35" s="8" t="s">
        <v>20</v>
      </c>
      <c r="F35" s="8" t="s">
        <v>34</v>
      </c>
      <c r="G35" s="8" t="s">
        <v>31</v>
      </c>
      <c r="H35" s="20"/>
    </row>
    <row r="36" spans="3:8" x14ac:dyDescent="0.25">
      <c r="C36" s="38" t="s">
        <v>523</v>
      </c>
      <c r="D36" s="39" t="s">
        <v>19</v>
      </c>
      <c r="E36" s="40" t="s">
        <v>290</v>
      </c>
      <c r="F36" s="35" t="s">
        <v>215</v>
      </c>
      <c r="G36" s="36" t="s">
        <v>19</v>
      </c>
      <c r="H36" s="19"/>
    </row>
    <row r="37" spans="3:8" x14ac:dyDescent="0.25">
      <c r="C37" s="1"/>
      <c r="D37" s="12"/>
      <c r="E37" s="2"/>
      <c r="F37" s="37" t="s">
        <v>533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534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38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41</v>
      </c>
      <c r="G40" s="34" t="s">
        <v>19</v>
      </c>
      <c r="H40" s="19"/>
    </row>
    <row r="41" spans="3:8" x14ac:dyDescent="0.25">
      <c r="C41" s="1"/>
      <c r="D41" s="12"/>
      <c r="E41" s="2"/>
      <c r="F41" s="70" t="s">
        <v>535</v>
      </c>
      <c r="G41" s="71" t="s">
        <v>18</v>
      </c>
      <c r="H41" s="19"/>
    </row>
    <row r="42" spans="3:8" x14ac:dyDescent="0.25">
      <c r="C42" s="1"/>
      <c r="D42" s="12"/>
      <c r="E42" s="2"/>
      <c r="F42" s="5"/>
      <c r="G42" s="2"/>
      <c r="H42" s="19"/>
    </row>
    <row r="43" spans="3:8" x14ac:dyDescent="0.25">
      <c r="C43" s="1"/>
      <c r="D43" s="12"/>
      <c r="E43" s="2"/>
      <c r="F43" s="5"/>
      <c r="G43" s="2"/>
      <c r="H43" s="19"/>
    </row>
    <row r="44" spans="3:8" ht="15.75" thickBot="1" x14ac:dyDescent="0.3">
      <c r="C44" s="3"/>
      <c r="D44" s="16"/>
      <c r="E44" s="4"/>
      <c r="F44" s="6"/>
      <c r="G44" s="4"/>
      <c r="H44" s="19"/>
    </row>
    <row r="45" spans="3:8" ht="15.75" thickBot="1" x14ac:dyDescent="0.3"/>
    <row r="46" spans="3:8" x14ac:dyDescent="0.25">
      <c r="E46" s="24" t="s">
        <v>299</v>
      </c>
      <c r="F46" s="25" t="s">
        <v>708</v>
      </c>
    </row>
    <row r="47" spans="3:8" x14ac:dyDescent="0.25">
      <c r="E47" s="33" t="s">
        <v>298</v>
      </c>
      <c r="F47" s="34" t="s">
        <v>709</v>
      </c>
    </row>
    <row r="48" spans="3:8" x14ac:dyDescent="0.25">
      <c r="E48" s="31" t="s">
        <v>300</v>
      </c>
      <c r="F48" s="32" t="s">
        <v>710</v>
      </c>
    </row>
    <row r="49" spans="5:6" ht="15.75" thickBot="1" x14ac:dyDescent="0.3">
      <c r="E49" s="44" t="s">
        <v>301</v>
      </c>
      <c r="F49" s="45" t="s">
        <v>711</v>
      </c>
    </row>
    <row r="50" spans="5:6" ht="15.75" thickBot="1" x14ac:dyDescent="0.3"/>
    <row r="51" spans="5:6" ht="15.75" thickBot="1" x14ac:dyDescent="0.3">
      <c r="E51" s="68" t="s">
        <v>715</v>
      </c>
      <c r="F51" s="69" t="s">
        <v>712</v>
      </c>
    </row>
    <row r="53" spans="5:6" x14ac:dyDescent="0.25">
      <c r="E53" s="21" t="s">
        <v>43</v>
      </c>
      <c r="F53" s="12">
        <f>ROWS(E6:E20)+ROWS(F13)+ROWS(F5:F6)+ROWS(F8:F10)</f>
        <v>21</v>
      </c>
    </row>
    <row r="54" spans="5:6" x14ac:dyDescent="0.25">
      <c r="E54" s="21" t="s">
        <v>44</v>
      </c>
      <c r="F54" s="12">
        <f>ROWS(F36:F40)</f>
        <v>5</v>
      </c>
    </row>
    <row r="55" spans="5:6" x14ac:dyDescent="0.25">
      <c r="E55" s="21" t="s">
        <v>45</v>
      </c>
      <c r="F55" s="12">
        <f>ROWS(E36)</f>
        <v>1</v>
      </c>
    </row>
    <row r="56" spans="5:6" x14ac:dyDescent="0.25">
      <c r="E56" s="21" t="s">
        <v>46</v>
      </c>
      <c r="F56" s="12">
        <f>ROWS(F41)+ROWS(F14)+ROWS(F11:F12)+ROWS(F7)+ROWS(E5)</f>
        <v>6</v>
      </c>
    </row>
    <row r="58" spans="5:6" x14ac:dyDescent="0.25">
      <c r="E58" s="21" t="s">
        <v>47</v>
      </c>
      <c r="F58" s="12">
        <f>F53/(F53+F55)</f>
        <v>0.95454545454545459</v>
      </c>
    </row>
    <row r="59" spans="5:6" x14ac:dyDescent="0.25">
      <c r="E59" s="21" t="s">
        <v>48</v>
      </c>
      <c r="F59" s="12">
        <f>F53/(F53+F56)</f>
        <v>0.77777777777777779</v>
      </c>
    </row>
    <row r="60" spans="5:6" x14ac:dyDescent="0.25">
      <c r="E60" s="21" t="s">
        <v>49</v>
      </c>
      <c r="F60" s="12">
        <f>F54/(F55+F54)</f>
        <v>0.83333333333333337</v>
      </c>
    </row>
    <row r="61" spans="5:6" x14ac:dyDescent="0.25">
      <c r="E61" s="21" t="s">
        <v>302</v>
      </c>
      <c r="F61" s="12">
        <f>2*F53/((2*F53)+F55+F56)</f>
        <v>0.8571428571428571</v>
      </c>
    </row>
  </sheetData>
  <mergeCells count="4">
    <mergeCell ref="C3:H3"/>
    <mergeCell ref="C33:G33"/>
    <mergeCell ref="C34:E34"/>
    <mergeCell ref="F34:G3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E48" sqref="E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352</v>
      </c>
      <c r="D5" s="26" t="s">
        <v>18</v>
      </c>
      <c r="E5" s="25" t="s">
        <v>536</v>
      </c>
      <c r="F5" s="46" t="s">
        <v>363</v>
      </c>
      <c r="G5" s="47" t="s">
        <v>19</v>
      </c>
      <c r="H5" s="48" t="s">
        <v>28</v>
      </c>
    </row>
    <row r="6" spans="3:8" x14ac:dyDescent="0.25">
      <c r="C6" s="49" t="s">
        <v>353</v>
      </c>
      <c r="D6" s="50" t="s">
        <v>19</v>
      </c>
      <c r="E6" s="51" t="s">
        <v>28</v>
      </c>
      <c r="F6" s="49" t="s">
        <v>364</v>
      </c>
      <c r="G6" s="50" t="s">
        <v>19</v>
      </c>
      <c r="H6" s="51" t="s">
        <v>28</v>
      </c>
    </row>
    <row r="7" spans="3:8" x14ac:dyDescent="0.25">
      <c r="C7" s="29" t="s">
        <v>354</v>
      </c>
      <c r="D7" s="27" t="s">
        <v>18</v>
      </c>
      <c r="E7" s="30" t="s">
        <v>537</v>
      </c>
      <c r="F7" s="49" t="s">
        <v>365</v>
      </c>
      <c r="G7" s="50" t="s">
        <v>19</v>
      </c>
      <c r="H7" s="51" t="s">
        <v>28</v>
      </c>
    </row>
    <row r="8" spans="3:8" x14ac:dyDescent="0.25">
      <c r="C8" s="29" t="s">
        <v>355</v>
      </c>
      <c r="D8" s="27" t="s">
        <v>18</v>
      </c>
      <c r="E8" s="30" t="s">
        <v>538</v>
      </c>
      <c r="F8" s="1"/>
      <c r="G8" s="12"/>
      <c r="H8" s="2"/>
    </row>
    <row r="9" spans="3:8" x14ac:dyDescent="0.25">
      <c r="C9" s="49" t="s">
        <v>356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357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49" t="s">
        <v>358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147</v>
      </c>
      <c r="D12" s="27" t="s">
        <v>18</v>
      </c>
      <c r="E12" s="30" t="s">
        <v>263</v>
      </c>
      <c r="F12" s="1"/>
      <c r="G12" s="12"/>
      <c r="H12" s="2"/>
    </row>
    <row r="13" spans="3:8" x14ac:dyDescent="0.25">
      <c r="C13" s="29" t="s">
        <v>113</v>
      </c>
      <c r="D13" s="27" t="s">
        <v>18</v>
      </c>
      <c r="E13" s="30" t="s">
        <v>228</v>
      </c>
      <c r="F13" s="1"/>
      <c r="G13" s="12"/>
      <c r="H13" s="2"/>
    </row>
    <row r="14" spans="3:8" x14ac:dyDescent="0.25">
      <c r="C14" s="29" t="s">
        <v>4</v>
      </c>
      <c r="D14" s="27" t="s">
        <v>18</v>
      </c>
      <c r="E14" s="30" t="s">
        <v>539</v>
      </c>
      <c r="F14" s="1"/>
      <c r="G14" s="12"/>
      <c r="H14" s="2"/>
    </row>
    <row r="15" spans="3:8" x14ac:dyDescent="0.25">
      <c r="C15" s="49" t="s">
        <v>359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360</v>
      </c>
      <c r="D16" s="27" t="s">
        <v>18</v>
      </c>
      <c r="E16" s="30" t="s">
        <v>540</v>
      </c>
      <c r="F16" s="1"/>
      <c r="G16" s="12"/>
      <c r="H16" s="2"/>
    </row>
    <row r="17" spans="3:8" x14ac:dyDescent="0.25">
      <c r="C17" s="29" t="s">
        <v>361</v>
      </c>
      <c r="D17" s="27" t="s">
        <v>18</v>
      </c>
      <c r="E17" s="30" t="s">
        <v>541</v>
      </c>
      <c r="F17" s="1"/>
      <c r="G17" s="12"/>
      <c r="H17" s="2"/>
    </row>
    <row r="18" spans="3:8" x14ac:dyDescent="0.25">
      <c r="C18" s="49" t="s">
        <v>362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543</v>
      </c>
      <c r="D33" s="39" t="s">
        <v>19</v>
      </c>
      <c r="E33" s="40" t="s">
        <v>542</v>
      </c>
      <c r="F33" s="35" t="s">
        <v>544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545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193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194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546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547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ROWS(E16:E17)+ROWS(E12:E14)+ROWS(E7:E8)+ROWS(E5)</f>
        <v>8</v>
      </c>
    </row>
    <row r="51" spans="5:6" x14ac:dyDescent="0.25">
      <c r="E51" s="21" t="s">
        <v>44</v>
      </c>
      <c r="F51" s="12">
        <f>ROWS(F33:F37)</f>
        <v>5</v>
      </c>
    </row>
    <row r="52" spans="5:6" x14ac:dyDescent="0.25">
      <c r="E52" s="21" t="s">
        <v>45</v>
      </c>
      <c r="F52" s="12">
        <f>ROWS(E33)</f>
        <v>1</v>
      </c>
    </row>
    <row r="53" spans="5:6" x14ac:dyDescent="0.25">
      <c r="E53" s="21" t="s">
        <v>46</v>
      </c>
      <c r="F53" s="12">
        <f>ROWS(F38)+ROWS(F5:F7)+ROWS(E6)+ROWS(E9:E11)+ROWS(E15)+ROWS(E18)</f>
        <v>10</v>
      </c>
    </row>
    <row r="55" spans="5:6" x14ac:dyDescent="0.25">
      <c r="E55" s="21" t="s">
        <v>47</v>
      </c>
      <c r="F55" s="12">
        <f>F50/(F50+F52)</f>
        <v>0.88888888888888884</v>
      </c>
    </row>
    <row r="56" spans="5:6" x14ac:dyDescent="0.25">
      <c r="E56" s="21" t="s">
        <v>48</v>
      </c>
      <c r="F56" s="12">
        <f>F50/(F50+F53)</f>
        <v>0.44444444444444442</v>
      </c>
    </row>
    <row r="57" spans="5:6" x14ac:dyDescent="0.25">
      <c r="E57" s="21" t="s">
        <v>49</v>
      </c>
      <c r="F57" s="12">
        <f>F51/(F52+F51)</f>
        <v>0.83333333333333337</v>
      </c>
    </row>
    <row r="58" spans="5:6" x14ac:dyDescent="0.25">
      <c r="E58" s="21" t="s">
        <v>302</v>
      </c>
      <c r="F58" s="12">
        <f>2*F50/((2*F50)+F52+F53)</f>
        <v>0.59259259259259256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E48" sqref="E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46" t="s">
        <v>370</v>
      </c>
      <c r="G5" s="47" t="s">
        <v>19</v>
      </c>
      <c r="H5" s="48" t="s">
        <v>28</v>
      </c>
    </row>
    <row r="6" spans="3:8" x14ac:dyDescent="0.25">
      <c r="C6" s="29" t="s">
        <v>6</v>
      </c>
      <c r="D6" s="27" t="s">
        <v>18</v>
      </c>
      <c r="E6" s="30" t="s">
        <v>178</v>
      </c>
      <c r="F6" s="1"/>
      <c r="G6" s="12"/>
      <c r="H6" s="2"/>
    </row>
    <row r="7" spans="3:8" x14ac:dyDescent="0.25">
      <c r="C7" s="29" t="s">
        <v>366</v>
      </c>
      <c r="D7" s="27" t="s">
        <v>18</v>
      </c>
      <c r="E7" s="30" t="s">
        <v>548</v>
      </c>
      <c r="F7" s="1"/>
      <c r="G7" s="12"/>
      <c r="H7" s="2"/>
    </row>
    <row r="8" spans="3:8" x14ac:dyDescent="0.25">
      <c r="C8" s="29" t="s">
        <v>367</v>
      </c>
      <c r="D8" s="27" t="s">
        <v>18</v>
      </c>
      <c r="E8" s="30" t="s">
        <v>550</v>
      </c>
      <c r="F8" s="1"/>
      <c r="G8" s="12"/>
      <c r="H8" s="2"/>
    </row>
    <row r="9" spans="3:8" x14ac:dyDescent="0.25">
      <c r="C9" s="29" t="s">
        <v>368</v>
      </c>
      <c r="D9" s="27" t="s">
        <v>18</v>
      </c>
      <c r="E9" s="30" t="s">
        <v>549</v>
      </c>
      <c r="F9" s="1"/>
      <c r="G9" s="12"/>
      <c r="H9" s="2"/>
    </row>
    <row r="10" spans="3:8" x14ac:dyDescent="0.25">
      <c r="C10" s="49" t="s">
        <v>369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1"/>
      <c r="D11" s="12"/>
      <c r="E11" s="2"/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551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216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37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552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553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554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555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556</v>
      </c>
      <c r="G40" s="34" t="s">
        <v>19</v>
      </c>
      <c r="H40" s="19"/>
    </row>
    <row r="41" spans="3:8" ht="15.75" thickBot="1" x14ac:dyDescent="0.3">
      <c r="C41" s="3"/>
      <c r="D41" s="16"/>
      <c r="E41" s="4"/>
      <c r="F41" s="94" t="s">
        <v>557</v>
      </c>
      <c r="G41" s="95" t="s">
        <v>18</v>
      </c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COUNTA(E5:E9)</f>
        <v>5</v>
      </c>
    </row>
    <row r="51" spans="5:6" x14ac:dyDescent="0.25">
      <c r="E51" s="21" t="s">
        <v>44</v>
      </c>
      <c r="F51" s="12">
        <f>COUNTA(F33:F40)</f>
        <v>8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COUNTA(F41,F5,C10)</f>
        <v>3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0.625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0.76923076923076927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E48" sqref="E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5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28" t="s">
        <v>376</v>
      </c>
      <c r="G5" s="26" t="s">
        <v>18</v>
      </c>
      <c r="H5" s="25" t="s">
        <v>207</v>
      </c>
    </row>
    <row r="6" spans="3:8" x14ac:dyDescent="0.25">
      <c r="C6" s="29" t="s">
        <v>6</v>
      </c>
      <c r="D6" s="27" t="s">
        <v>18</v>
      </c>
      <c r="E6" s="30" t="s">
        <v>178</v>
      </c>
      <c r="F6" s="1"/>
      <c r="G6" s="12"/>
      <c r="H6" s="2"/>
    </row>
    <row r="7" spans="3:8" x14ac:dyDescent="0.25">
      <c r="C7" s="29" t="s">
        <v>371</v>
      </c>
      <c r="D7" s="27" t="s">
        <v>18</v>
      </c>
      <c r="E7" s="30" t="s">
        <v>558</v>
      </c>
      <c r="F7" s="1"/>
      <c r="G7" s="12"/>
      <c r="H7" s="2"/>
    </row>
    <row r="8" spans="3:8" x14ac:dyDescent="0.25">
      <c r="C8" s="29" t="s">
        <v>372</v>
      </c>
      <c r="D8" s="27" t="s">
        <v>18</v>
      </c>
      <c r="E8" s="30" t="s">
        <v>224</v>
      </c>
      <c r="F8" s="1"/>
      <c r="G8" s="12"/>
      <c r="H8" s="2"/>
    </row>
    <row r="9" spans="3:8" x14ac:dyDescent="0.25">
      <c r="C9" s="49" t="s">
        <v>373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29" t="s">
        <v>374</v>
      </c>
      <c r="D10" s="27" t="s">
        <v>18</v>
      </c>
      <c r="E10" s="30" t="s">
        <v>199</v>
      </c>
      <c r="F10" s="1"/>
      <c r="G10" s="12"/>
      <c r="H10" s="2"/>
    </row>
    <row r="11" spans="3:8" x14ac:dyDescent="0.25">
      <c r="C11" s="29" t="s">
        <v>375</v>
      </c>
      <c r="D11" s="27" t="s">
        <v>18</v>
      </c>
      <c r="E11" s="30" t="s">
        <v>559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249</v>
      </c>
      <c r="D33" s="39" t="s">
        <v>19</v>
      </c>
      <c r="E33" s="40" t="s">
        <v>234</v>
      </c>
      <c r="F33" s="35" t="s">
        <v>566</v>
      </c>
      <c r="G33" s="36" t="s">
        <v>19</v>
      </c>
      <c r="H33" s="19"/>
    </row>
    <row r="34" spans="3:8" x14ac:dyDescent="0.25">
      <c r="C34" s="41" t="s">
        <v>560</v>
      </c>
      <c r="D34" s="42" t="s">
        <v>19</v>
      </c>
      <c r="E34" s="32" t="s">
        <v>561</v>
      </c>
      <c r="F34" s="37" t="s">
        <v>567</v>
      </c>
      <c r="G34" s="34" t="s">
        <v>19</v>
      </c>
      <c r="H34" s="19"/>
    </row>
    <row r="35" spans="3:8" x14ac:dyDescent="0.25">
      <c r="C35" s="41" t="s">
        <v>562</v>
      </c>
      <c r="D35" s="42" t="s">
        <v>19</v>
      </c>
      <c r="E35" s="32" t="s">
        <v>563</v>
      </c>
      <c r="F35" s="37" t="s">
        <v>568</v>
      </c>
      <c r="G35" s="34" t="s">
        <v>19</v>
      </c>
      <c r="H35" s="19"/>
    </row>
    <row r="36" spans="3:8" x14ac:dyDescent="0.25">
      <c r="C36" s="41" t="s">
        <v>564</v>
      </c>
      <c r="D36" s="42" t="s">
        <v>19</v>
      </c>
      <c r="E36" s="32" t="s">
        <v>565</v>
      </c>
      <c r="F36" s="37" t="s">
        <v>216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192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569</v>
      </c>
      <c r="G38" s="34" t="s">
        <v>19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COUNTA(F5,C5:C8,C10:C11)</f>
        <v>7</v>
      </c>
    </row>
    <row r="51" spans="5:6" x14ac:dyDescent="0.25">
      <c r="E51" s="21" t="s">
        <v>44</v>
      </c>
      <c r="F51" s="12">
        <f>COUNTA(F33:F38)</f>
        <v>6</v>
      </c>
    </row>
    <row r="52" spans="5:6" x14ac:dyDescent="0.25">
      <c r="E52" s="21" t="s">
        <v>45</v>
      </c>
      <c r="F52" s="12">
        <f>COUNTA(C33:C36)</f>
        <v>4</v>
      </c>
    </row>
    <row r="53" spans="5:6" x14ac:dyDescent="0.25">
      <c r="E53" s="21" t="s">
        <v>46</v>
      </c>
      <c r="F53" s="12">
        <f>COUNTA(C9)</f>
        <v>1</v>
      </c>
    </row>
    <row r="55" spans="5:6" x14ac:dyDescent="0.25">
      <c r="E55" s="21" t="s">
        <v>47</v>
      </c>
      <c r="F55" s="12">
        <f>F50/(F50+F52)</f>
        <v>0.63636363636363635</v>
      </c>
    </row>
    <row r="56" spans="5:6" x14ac:dyDescent="0.25">
      <c r="E56" s="21" t="s">
        <v>48</v>
      </c>
      <c r="F56" s="12">
        <f>F50/(F50+F53)</f>
        <v>0.875</v>
      </c>
    </row>
    <row r="57" spans="5:6" x14ac:dyDescent="0.25">
      <c r="E57" s="21" t="s">
        <v>49</v>
      </c>
      <c r="F57" s="12">
        <f>F51/(F52+F51)</f>
        <v>0.6</v>
      </c>
    </row>
    <row r="58" spans="5:6" x14ac:dyDescent="0.25">
      <c r="E58" s="21" t="s">
        <v>302</v>
      </c>
      <c r="F58" s="12">
        <f>2*F50/((2*F50)+F52+F53)</f>
        <v>0.73684210526315785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workbookViewId="0">
      <selection activeCell="C65" sqref="C6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5.71093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377</v>
      </c>
      <c r="D5" s="26" t="s">
        <v>18</v>
      </c>
      <c r="E5" s="25" t="s">
        <v>570</v>
      </c>
      <c r="F5" s="46" t="s">
        <v>381</v>
      </c>
      <c r="G5" s="47" t="s">
        <v>19</v>
      </c>
      <c r="H5" s="48" t="s">
        <v>28</v>
      </c>
    </row>
    <row r="6" spans="3:8" x14ac:dyDescent="0.25">
      <c r="C6" s="29" t="s">
        <v>573</v>
      </c>
      <c r="D6" s="27" t="s">
        <v>18</v>
      </c>
      <c r="E6" s="30" t="s">
        <v>571</v>
      </c>
      <c r="F6" s="29" t="s">
        <v>382</v>
      </c>
      <c r="G6" s="27" t="s">
        <v>18</v>
      </c>
      <c r="H6" s="30" t="s">
        <v>575</v>
      </c>
    </row>
    <row r="7" spans="3:8" x14ac:dyDescent="0.25">
      <c r="C7" s="29" t="s">
        <v>572</v>
      </c>
      <c r="D7" s="27" t="s">
        <v>18</v>
      </c>
      <c r="E7" s="30" t="s">
        <v>574</v>
      </c>
      <c r="F7" s="29" t="s">
        <v>388</v>
      </c>
      <c r="G7" s="27" t="s">
        <v>18</v>
      </c>
      <c r="H7" s="30" t="s">
        <v>576</v>
      </c>
    </row>
    <row r="8" spans="3:8" x14ac:dyDescent="0.25">
      <c r="C8" s="29" t="s">
        <v>53</v>
      </c>
      <c r="D8" s="27" t="s">
        <v>18</v>
      </c>
      <c r="E8" s="30" t="s">
        <v>176</v>
      </c>
      <c r="F8" s="49" t="s">
        <v>383</v>
      </c>
      <c r="G8" s="50" t="s">
        <v>19</v>
      </c>
      <c r="H8" s="51" t="s">
        <v>28</v>
      </c>
    </row>
    <row r="9" spans="3:8" x14ac:dyDescent="0.25">
      <c r="C9" s="29" t="s">
        <v>378</v>
      </c>
      <c r="D9" s="27" t="s">
        <v>18</v>
      </c>
      <c r="E9" s="30" t="s">
        <v>177</v>
      </c>
      <c r="F9" s="49" t="s">
        <v>384</v>
      </c>
      <c r="G9" s="50" t="s">
        <v>19</v>
      </c>
      <c r="H9" s="51" t="s">
        <v>28</v>
      </c>
    </row>
    <row r="10" spans="3:8" x14ac:dyDescent="0.25">
      <c r="C10" s="29" t="s">
        <v>379</v>
      </c>
      <c r="D10" s="27" t="s">
        <v>18</v>
      </c>
      <c r="E10" s="30" t="s">
        <v>563</v>
      </c>
      <c r="F10" s="49" t="s">
        <v>385</v>
      </c>
      <c r="G10" s="50" t="s">
        <v>19</v>
      </c>
      <c r="H10" s="51" t="s">
        <v>28</v>
      </c>
    </row>
    <row r="11" spans="3:8" x14ac:dyDescent="0.25">
      <c r="C11" s="49" t="s">
        <v>380</v>
      </c>
      <c r="D11" s="50" t="s">
        <v>19</v>
      </c>
      <c r="E11" s="51" t="s">
        <v>28</v>
      </c>
      <c r="F11" s="49" t="s">
        <v>386</v>
      </c>
      <c r="G11" s="50" t="s">
        <v>19</v>
      </c>
      <c r="H11" s="51" t="s">
        <v>28</v>
      </c>
    </row>
    <row r="12" spans="3:8" x14ac:dyDescent="0.25">
      <c r="C12" s="29" t="s">
        <v>115</v>
      </c>
      <c r="D12" s="27" t="s">
        <v>18</v>
      </c>
      <c r="E12" s="30" t="s">
        <v>229</v>
      </c>
      <c r="F12" s="29" t="s">
        <v>387</v>
      </c>
      <c r="G12" s="27" t="s">
        <v>18</v>
      </c>
      <c r="H12" s="30" t="s">
        <v>188</v>
      </c>
    </row>
    <row r="13" spans="3:8" x14ac:dyDescent="0.25">
      <c r="C13" s="29" t="s">
        <v>55</v>
      </c>
      <c r="D13" s="27" t="s">
        <v>18</v>
      </c>
      <c r="E13" s="30" t="s">
        <v>180</v>
      </c>
      <c r="F13" s="49" t="s">
        <v>389</v>
      </c>
      <c r="G13" s="50" t="s">
        <v>19</v>
      </c>
      <c r="H13" s="51" t="s">
        <v>28</v>
      </c>
    </row>
    <row r="14" spans="3:8" x14ac:dyDescent="0.25">
      <c r="C14" s="29" t="s">
        <v>56</v>
      </c>
      <c r="D14" s="27" t="s">
        <v>18</v>
      </c>
      <c r="E14" s="30" t="s">
        <v>183</v>
      </c>
      <c r="F14" s="1"/>
      <c r="G14" s="12"/>
      <c r="H14" s="2"/>
    </row>
    <row r="15" spans="3:8" x14ac:dyDescent="0.25">
      <c r="C15" s="29" t="s">
        <v>117</v>
      </c>
      <c r="D15" s="27" t="s">
        <v>18</v>
      </c>
      <c r="E15" s="30" t="s">
        <v>231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9"/>
      <c r="D35" s="15"/>
      <c r="E35" s="10"/>
      <c r="F35" s="35" t="s">
        <v>292</v>
      </c>
      <c r="G35" s="36" t="s">
        <v>19</v>
      </c>
      <c r="H35" s="19"/>
    </row>
    <row r="36" spans="3:8" x14ac:dyDescent="0.25">
      <c r="C36" s="1"/>
      <c r="D36" s="12"/>
      <c r="E36" s="2"/>
      <c r="F36" s="37" t="s">
        <v>339</v>
      </c>
      <c r="G36" s="34" t="s">
        <v>19</v>
      </c>
      <c r="H36" s="19"/>
    </row>
    <row r="37" spans="3:8" x14ac:dyDescent="0.25">
      <c r="C37" s="1"/>
      <c r="D37" s="12"/>
      <c r="E37" s="2"/>
      <c r="F37" s="70" t="s">
        <v>577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578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579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580</v>
      </c>
      <c r="G40" s="71" t="s">
        <v>18</v>
      </c>
      <c r="H40" s="19"/>
    </row>
    <row r="41" spans="3:8" x14ac:dyDescent="0.25">
      <c r="C41" s="1"/>
      <c r="D41" s="12"/>
      <c r="E41" s="2"/>
      <c r="F41" s="37" t="s">
        <v>581</v>
      </c>
      <c r="G41" s="34" t="s">
        <v>19</v>
      </c>
      <c r="H41" s="19"/>
    </row>
    <row r="42" spans="3:8" x14ac:dyDescent="0.25">
      <c r="C42" s="1"/>
      <c r="D42" s="12"/>
      <c r="E42" s="2"/>
      <c r="F42" s="70" t="s">
        <v>582</v>
      </c>
      <c r="G42" s="71" t="s">
        <v>18</v>
      </c>
      <c r="H42" s="19"/>
    </row>
    <row r="43" spans="3:8" x14ac:dyDescent="0.25">
      <c r="C43" s="1"/>
      <c r="D43" s="12"/>
      <c r="E43" s="2"/>
      <c r="F43" s="37" t="s">
        <v>583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38</v>
      </c>
      <c r="G44" s="34" t="s">
        <v>19</v>
      </c>
      <c r="H44" s="19"/>
    </row>
    <row r="45" spans="3:8" ht="15.75" thickBot="1" x14ac:dyDescent="0.3">
      <c r="C45" s="3"/>
      <c r="D45" s="16"/>
      <c r="E45" s="4"/>
      <c r="F45" s="94" t="s">
        <v>584</v>
      </c>
      <c r="G45" s="95" t="s">
        <v>18</v>
      </c>
      <c r="H45" s="19"/>
    </row>
    <row r="46" spans="3:8" ht="15.75" thickBot="1" x14ac:dyDescent="0.3"/>
    <row r="47" spans="3:8" x14ac:dyDescent="0.25">
      <c r="E47" s="24" t="s">
        <v>299</v>
      </c>
      <c r="F47" s="25" t="s">
        <v>708</v>
      </c>
    </row>
    <row r="48" spans="3:8" x14ac:dyDescent="0.25">
      <c r="E48" s="33" t="s">
        <v>298</v>
      </c>
      <c r="F48" s="34" t="s">
        <v>709</v>
      </c>
    </row>
    <row r="49" spans="5:6" x14ac:dyDescent="0.25">
      <c r="E49" s="31" t="s">
        <v>300</v>
      </c>
      <c r="F49" s="32" t="s">
        <v>710</v>
      </c>
    </row>
    <row r="50" spans="5:6" ht="15.75" thickBot="1" x14ac:dyDescent="0.3">
      <c r="E50" s="44" t="s">
        <v>301</v>
      </c>
      <c r="F50" s="45" t="s">
        <v>711</v>
      </c>
    </row>
    <row r="51" spans="5:6" ht="15.75" thickBot="1" x14ac:dyDescent="0.3"/>
    <row r="52" spans="5:6" ht="15.75" thickBot="1" x14ac:dyDescent="0.3">
      <c r="E52" s="68" t="s">
        <v>715</v>
      </c>
      <c r="F52" s="69" t="s">
        <v>712</v>
      </c>
    </row>
    <row r="54" spans="5:6" x14ac:dyDescent="0.25">
      <c r="E54" s="21" t="s">
        <v>43</v>
      </c>
      <c r="F54" s="12">
        <f>COUNTA(F6:F7,F12,C5:C10,C12:C15)</f>
        <v>13</v>
      </c>
    </row>
    <row r="55" spans="5:6" x14ac:dyDescent="0.25">
      <c r="E55" s="21" t="s">
        <v>44</v>
      </c>
      <c r="F55" s="12">
        <f>COUNTA(F43:F44,F41,F38:F39,F35:F36)</f>
        <v>7</v>
      </c>
    </row>
    <row r="56" spans="5:6" x14ac:dyDescent="0.25">
      <c r="E56" s="21" t="s">
        <v>45</v>
      </c>
      <c r="F56" s="12">
        <v>0</v>
      </c>
    </row>
    <row r="57" spans="5:6" x14ac:dyDescent="0.25">
      <c r="E57" s="21" t="s">
        <v>46</v>
      </c>
      <c r="F57" s="12">
        <f>COUNTA(F45,F42,F40,F37,F5,F8:F11,F13,C11)</f>
        <v>11</v>
      </c>
    </row>
    <row r="59" spans="5:6" x14ac:dyDescent="0.25">
      <c r="E59" s="21" t="s">
        <v>47</v>
      </c>
      <c r="F59" s="12">
        <f>F54/(F54+F56)</f>
        <v>1</v>
      </c>
    </row>
    <row r="60" spans="5:6" x14ac:dyDescent="0.25">
      <c r="E60" s="21" t="s">
        <v>48</v>
      </c>
      <c r="F60" s="12">
        <f>F54/(F54+F57)</f>
        <v>0.54166666666666663</v>
      </c>
    </row>
    <row r="61" spans="5:6" x14ac:dyDescent="0.25">
      <c r="E61" s="21" t="s">
        <v>49</v>
      </c>
      <c r="F61" s="12">
        <f>F55/(F56+F55)</f>
        <v>1</v>
      </c>
    </row>
    <row r="62" spans="5:6" x14ac:dyDescent="0.25">
      <c r="E62" s="21" t="s">
        <v>302</v>
      </c>
      <c r="F62" s="12">
        <f>2*F54/((2*F54)+F56+F57)</f>
        <v>0.70270270270270274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workbookViewId="0">
      <selection activeCell="E50" sqref="E50"/>
    </sheetView>
  </sheetViews>
  <sheetFormatPr baseColWidth="10" defaultRowHeight="15" x14ac:dyDescent="0.25"/>
  <cols>
    <col min="1" max="1" width="1.140625" customWidth="1"/>
    <col min="2" max="2" width="2" customWidth="1"/>
    <col min="3" max="3" width="73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390</v>
      </c>
      <c r="D5" s="26" t="s">
        <v>18</v>
      </c>
      <c r="E5" s="25" t="s">
        <v>585</v>
      </c>
      <c r="F5" s="46" t="s">
        <v>402</v>
      </c>
      <c r="G5" s="47" t="s">
        <v>19</v>
      </c>
      <c r="H5" s="48" t="s">
        <v>28</v>
      </c>
    </row>
    <row r="6" spans="3:8" x14ac:dyDescent="0.25">
      <c r="C6" s="29" t="s">
        <v>391</v>
      </c>
      <c r="D6" s="27" t="s">
        <v>18</v>
      </c>
      <c r="E6" s="30" t="s">
        <v>563</v>
      </c>
      <c r="F6" s="49" t="s">
        <v>403</v>
      </c>
      <c r="G6" s="50" t="s">
        <v>19</v>
      </c>
      <c r="H6" s="51" t="s">
        <v>28</v>
      </c>
    </row>
    <row r="7" spans="3:8" x14ac:dyDescent="0.25">
      <c r="C7" s="49" t="s">
        <v>392</v>
      </c>
      <c r="D7" s="50" t="s">
        <v>19</v>
      </c>
      <c r="E7" s="51" t="s">
        <v>28</v>
      </c>
      <c r="F7" s="49" t="s">
        <v>404</v>
      </c>
      <c r="G7" s="50" t="s">
        <v>19</v>
      </c>
      <c r="H7" s="51" t="s">
        <v>28</v>
      </c>
    </row>
    <row r="8" spans="3:8" x14ac:dyDescent="0.25">
      <c r="C8" s="49" t="s">
        <v>393</v>
      </c>
      <c r="D8" s="50" t="s">
        <v>19</v>
      </c>
      <c r="E8" s="51" t="s">
        <v>28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182</v>
      </c>
      <c r="F9" s="1"/>
      <c r="G9" s="12"/>
      <c r="H9" s="2"/>
    </row>
    <row r="10" spans="3:8" x14ac:dyDescent="0.25">
      <c r="C10" s="29" t="s">
        <v>4</v>
      </c>
      <c r="D10" s="27" t="s">
        <v>18</v>
      </c>
      <c r="E10" s="30" t="s">
        <v>177</v>
      </c>
      <c r="F10" s="1"/>
      <c r="G10" s="12"/>
      <c r="H10" s="2"/>
    </row>
    <row r="11" spans="3:8" x14ac:dyDescent="0.25">
      <c r="C11" s="29" t="s">
        <v>118</v>
      </c>
      <c r="D11" s="27" t="s">
        <v>18</v>
      </c>
      <c r="E11" s="30" t="s">
        <v>586</v>
      </c>
      <c r="F11" s="1"/>
      <c r="G11" s="12"/>
      <c r="H11" s="2"/>
    </row>
    <row r="12" spans="3:8" x14ac:dyDescent="0.25">
      <c r="C12" s="29" t="s">
        <v>149</v>
      </c>
      <c r="D12" s="27" t="s">
        <v>18</v>
      </c>
      <c r="E12" s="30" t="s">
        <v>265</v>
      </c>
      <c r="F12" s="1"/>
      <c r="G12" s="12"/>
      <c r="H12" s="2"/>
    </row>
    <row r="13" spans="3:8" x14ac:dyDescent="0.25">
      <c r="C13" s="29" t="s">
        <v>394</v>
      </c>
      <c r="D13" s="27" t="s">
        <v>18</v>
      </c>
      <c r="E13" s="30" t="s">
        <v>224</v>
      </c>
      <c r="F13" s="1"/>
      <c r="G13" s="12"/>
      <c r="H13" s="2"/>
    </row>
    <row r="14" spans="3:8" x14ac:dyDescent="0.25">
      <c r="C14" s="29" t="s">
        <v>395</v>
      </c>
      <c r="D14" s="27" t="s">
        <v>18</v>
      </c>
      <c r="E14" s="30" t="s">
        <v>587</v>
      </c>
      <c r="F14" s="1"/>
      <c r="G14" s="12"/>
      <c r="H14" s="2"/>
    </row>
    <row r="15" spans="3:8" x14ac:dyDescent="0.25">
      <c r="C15" s="49" t="s">
        <v>396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49" t="s">
        <v>397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398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399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49" t="s">
        <v>400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49" t="s">
        <v>401</v>
      </c>
      <c r="D20" s="50" t="s">
        <v>19</v>
      </c>
      <c r="E20" s="51" t="s">
        <v>28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72" t="s">
        <v>588</v>
      </c>
      <c r="G33" s="73" t="s">
        <v>18</v>
      </c>
      <c r="H33" s="19"/>
    </row>
    <row r="34" spans="3:8" x14ac:dyDescent="0.25">
      <c r="C34" s="1"/>
      <c r="D34" s="12"/>
      <c r="E34" s="2"/>
      <c r="F34" s="37" t="s">
        <v>37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589</v>
      </c>
      <c r="G35" s="34" t="s">
        <v>19</v>
      </c>
      <c r="H35" s="19"/>
    </row>
    <row r="36" spans="3:8" x14ac:dyDescent="0.25">
      <c r="C36" s="1"/>
      <c r="D36" s="12"/>
      <c r="E36" s="2"/>
      <c r="F36" s="70" t="s">
        <v>590</v>
      </c>
      <c r="G36" s="71" t="s">
        <v>18</v>
      </c>
      <c r="H36" s="19"/>
    </row>
    <row r="37" spans="3:8" x14ac:dyDescent="0.25">
      <c r="C37" s="1"/>
      <c r="D37" s="12"/>
      <c r="E37" s="2"/>
      <c r="F37" s="70" t="s">
        <v>401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591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193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402</v>
      </c>
      <c r="G40" s="71" t="s">
        <v>18</v>
      </c>
      <c r="H40" s="19"/>
    </row>
    <row r="41" spans="3:8" x14ac:dyDescent="0.25">
      <c r="C41" s="1"/>
      <c r="D41" s="12"/>
      <c r="E41" s="2"/>
      <c r="F41" s="70" t="s">
        <v>592</v>
      </c>
      <c r="G41" s="71" t="s">
        <v>18</v>
      </c>
      <c r="H41" s="19"/>
    </row>
    <row r="42" spans="3:8" x14ac:dyDescent="0.25">
      <c r="C42" s="1"/>
      <c r="D42" s="12"/>
      <c r="E42" s="2"/>
      <c r="F42" s="37" t="s">
        <v>38</v>
      </c>
      <c r="G42" s="34" t="s">
        <v>19</v>
      </c>
      <c r="H42" s="19"/>
    </row>
    <row r="43" spans="3:8" ht="15.75" thickBot="1" x14ac:dyDescent="0.3">
      <c r="C43" s="3"/>
      <c r="D43" s="16"/>
      <c r="E43" s="4"/>
      <c r="F43" s="56" t="s">
        <v>593</v>
      </c>
      <c r="G43" s="43" t="s">
        <v>19</v>
      </c>
      <c r="H43" s="19"/>
    </row>
    <row r="44" spans="3:8" ht="15.75" thickBot="1" x14ac:dyDescent="0.3"/>
    <row r="45" spans="3:8" x14ac:dyDescent="0.25">
      <c r="E45" s="24" t="s">
        <v>299</v>
      </c>
      <c r="F45" s="25" t="s">
        <v>708</v>
      </c>
    </row>
    <row r="46" spans="3:8" x14ac:dyDescent="0.25">
      <c r="E46" s="33" t="s">
        <v>298</v>
      </c>
      <c r="F46" s="34" t="s">
        <v>709</v>
      </c>
    </row>
    <row r="47" spans="3:8" x14ac:dyDescent="0.25">
      <c r="E47" s="31" t="s">
        <v>300</v>
      </c>
      <c r="F47" s="32" t="s">
        <v>710</v>
      </c>
    </row>
    <row r="48" spans="3:8" ht="15.75" thickBot="1" x14ac:dyDescent="0.3">
      <c r="E48" s="44" t="s">
        <v>301</v>
      </c>
      <c r="F48" s="45" t="s">
        <v>711</v>
      </c>
    </row>
    <row r="49" spans="5:6" ht="15.75" thickBot="1" x14ac:dyDescent="0.3"/>
    <row r="50" spans="5:6" ht="15.75" thickBot="1" x14ac:dyDescent="0.3">
      <c r="E50" s="68" t="s">
        <v>715</v>
      </c>
      <c r="F50" s="69" t="s">
        <v>712</v>
      </c>
    </row>
    <row r="52" spans="5:6" x14ac:dyDescent="0.25">
      <c r="E52" s="21" t="s">
        <v>43</v>
      </c>
      <c r="F52" s="12">
        <f>COUNTA(C5:C6,C9:C14)</f>
        <v>8</v>
      </c>
    </row>
    <row r="53" spans="5:6" x14ac:dyDescent="0.25">
      <c r="E53" s="21" t="s">
        <v>44</v>
      </c>
      <c r="F53" s="12">
        <f>COUNTA(F42:F43,F38:F39,F34:F35)</f>
        <v>6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COUNTA(F40:F41,F36:F37,F33,F5:F7,C7:C8,C15:C20)</f>
        <v>16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0.33333333333333331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E48" sqref="E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405</v>
      </c>
      <c r="D5" s="26" t="s">
        <v>18</v>
      </c>
      <c r="E5" s="25" t="s">
        <v>587</v>
      </c>
      <c r="F5" s="46" t="s">
        <v>407</v>
      </c>
      <c r="G5" s="47" t="s">
        <v>19</v>
      </c>
      <c r="H5" s="48" t="s">
        <v>28</v>
      </c>
    </row>
    <row r="6" spans="3:8" x14ac:dyDescent="0.25">
      <c r="C6" s="29" t="s">
        <v>166</v>
      </c>
      <c r="D6" s="27" t="s">
        <v>18</v>
      </c>
      <c r="E6" s="30" t="s">
        <v>224</v>
      </c>
      <c r="F6" s="1"/>
      <c r="G6" s="12"/>
      <c r="H6" s="2"/>
    </row>
    <row r="7" spans="3:8" x14ac:dyDescent="0.25">
      <c r="C7" s="29" t="s">
        <v>150</v>
      </c>
      <c r="D7" s="27" t="s">
        <v>18</v>
      </c>
      <c r="E7" s="30" t="s">
        <v>266</v>
      </c>
      <c r="F7" s="1"/>
      <c r="G7" s="12"/>
      <c r="H7" s="2"/>
    </row>
    <row r="8" spans="3:8" x14ac:dyDescent="0.25">
      <c r="C8" s="29" t="s">
        <v>406</v>
      </c>
      <c r="D8" s="27" t="s">
        <v>18</v>
      </c>
      <c r="E8" s="30" t="s">
        <v>586</v>
      </c>
      <c r="F8" s="1"/>
      <c r="G8" s="12"/>
      <c r="H8" s="2"/>
    </row>
    <row r="9" spans="3:8" x14ac:dyDescent="0.25">
      <c r="C9" s="1"/>
      <c r="D9" s="12"/>
      <c r="E9" s="2"/>
      <c r="F9" s="1"/>
      <c r="G9" s="12"/>
      <c r="H9" s="2"/>
    </row>
    <row r="10" spans="3:8" x14ac:dyDescent="0.25">
      <c r="C10" s="1"/>
      <c r="D10" s="12"/>
      <c r="E10" s="2"/>
      <c r="F10" s="1"/>
      <c r="G10" s="12"/>
      <c r="H10" s="2"/>
    </row>
    <row r="11" spans="3:8" x14ac:dyDescent="0.25">
      <c r="C11" s="1"/>
      <c r="D11" s="12"/>
      <c r="E11" s="2"/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190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583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COUNTA(C5:C8)</f>
        <v>4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COUNTA(F5)</f>
        <v>1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0.8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0.88888888888888884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workbookViewId="0">
      <selection activeCell="E50" sqref="E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9"/>
      <c r="G5" s="15"/>
      <c r="H5" s="10"/>
    </row>
    <row r="6" spans="3:8" x14ac:dyDescent="0.25">
      <c r="C6" s="29" t="s">
        <v>408</v>
      </c>
      <c r="D6" s="27" t="s">
        <v>18</v>
      </c>
      <c r="E6" s="30" t="s">
        <v>594</v>
      </c>
      <c r="F6" s="1"/>
      <c r="G6" s="12"/>
      <c r="H6" s="2"/>
    </row>
    <row r="7" spans="3:8" x14ac:dyDescent="0.25">
      <c r="C7" s="29" t="s">
        <v>5</v>
      </c>
      <c r="D7" s="27" t="s">
        <v>18</v>
      </c>
      <c r="E7" s="30" t="s">
        <v>173</v>
      </c>
      <c r="F7" s="1"/>
      <c r="G7" s="12"/>
      <c r="H7" s="2"/>
    </row>
    <row r="8" spans="3:8" x14ac:dyDescent="0.25">
      <c r="C8" s="29" t="s">
        <v>409</v>
      </c>
      <c r="D8" s="27" t="s">
        <v>18</v>
      </c>
      <c r="E8" s="30" t="s">
        <v>595</v>
      </c>
      <c r="F8" s="1"/>
      <c r="G8" s="12"/>
      <c r="H8" s="2"/>
    </row>
    <row r="9" spans="3:8" x14ac:dyDescent="0.25">
      <c r="C9" s="29" t="s">
        <v>410</v>
      </c>
      <c r="D9" s="27" t="s">
        <v>18</v>
      </c>
      <c r="E9" s="30" t="s">
        <v>596</v>
      </c>
      <c r="F9" s="1"/>
      <c r="G9" s="12"/>
      <c r="H9" s="2"/>
    </row>
    <row r="10" spans="3:8" x14ac:dyDescent="0.25">
      <c r="C10" s="29" t="s">
        <v>6</v>
      </c>
      <c r="D10" s="27" t="s">
        <v>18</v>
      </c>
      <c r="E10" s="30" t="s">
        <v>178</v>
      </c>
      <c r="F10" s="1"/>
      <c r="G10" s="12"/>
      <c r="H10" s="2"/>
    </row>
    <row r="11" spans="3:8" x14ac:dyDescent="0.25">
      <c r="C11" s="29" t="s">
        <v>411</v>
      </c>
      <c r="D11" s="27" t="s">
        <v>18</v>
      </c>
      <c r="E11" s="30" t="s">
        <v>176</v>
      </c>
      <c r="F11" s="1"/>
      <c r="G11" s="12"/>
      <c r="H11" s="2"/>
    </row>
    <row r="12" spans="3:8" x14ac:dyDescent="0.25">
      <c r="C12" s="29" t="s">
        <v>55</v>
      </c>
      <c r="D12" s="27" t="s">
        <v>18</v>
      </c>
      <c r="E12" s="30" t="s">
        <v>254</v>
      </c>
      <c r="F12" s="1"/>
      <c r="G12" s="12"/>
      <c r="H12" s="2"/>
    </row>
    <row r="13" spans="3:8" x14ac:dyDescent="0.25">
      <c r="C13" s="29" t="s">
        <v>56</v>
      </c>
      <c r="D13" s="27" t="s">
        <v>18</v>
      </c>
      <c r="E13" s="30" t="s">
        <v>183</v>
      </c>
      <c r="F13" s="1"/>
      <c r="G13" s="12"/>
      <c r="H13" s="2"/>
    </row>
    <row r="14" spans="3:8" x14ac:dyDescent="0.25">
      <c r="C14" s="29" t="s">
        <v>95</v>
      </c>
      <c r="D14" s="27" t="s">
        <v>18</v>
      </c>
      <c r="E14" s="30" t="s">
        <v>217</v>
      </c>
      <c r="F14" s="1"/>
      <c r="G14" s="12"/>
      <c r="H14" s="2"/>
    </row>
    <row r="15" spans="3:8" x14ac:dyDescent="0.25">
      <c r="C15" s="49" t="s">
        <v>412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196</v>
      </c>
      <c r="D16" s="27" t="s">
        <v>18</v>
      </c>
      <c r="E16" s="30" t="s">
        <v>197</v>
      </c>
      <c r="F16" s="1"/>
      <c r="G16" s="12"/>
      <c r="H16" s="2"/>
    </row>
    <row r="17" spans="3:8" x14ac:dyDescent="0.25">
      <c r="C17" s="29" t="s">
        <v>413</v>
      </c>
      <c r="D17" s="27" t="s">
        <v>18</v>
      </c>
      <c r="E17" s="30" t="s">
        <v>558</v>
      </c>
      <c r="F17" s="1"/>
      <c r="G17" s="12"/>
      <c r="H17" s="2"/>
    </row>
    <row r="18" spans="3:8" x14ac:dyDescent="0.25">
      <c r="C18" s="29" t="s">
        <v>414</v>
      </c>
      <c r="D18" s="27" t="s">
        <v>18</v>
      </c>
      <c r="E18" s="30" t="s">
        <v>597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182</v>
      </c>
      <c r="F19" s="1"/>
      <c r="G19" s="12"/>
      <c r="H19" s="2"/>
    </row>
    <row r="20" spans="3:8" x14ac:dyDescent="0.25">
      <c r="C20" s="29" t="s">
        <v>415</v>
      </c>
      <c r="D20" s="27" t="s">
        <v>18</v>
      </c>
      <c r="E20" s="30" t="s">
        <v>598</v>
      </c>
      <c r="F20" s="1"/>
      <c r="G20" s="12"/>
      <c r="H20" s="2"/>
    </row>
    <row r="21" spans="3:8" x14ac:dyDescent="0.25">
      <c r="C21" s="49" t="s">
        <v>355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38" t="s">
        <v>599</v>
      </c>
      <c r="D35" s="39" t="s">
        <v>19</v>
      </c>
      <c r="E35" s="40" t="s">
        <v>234</v>
      </c>
      <c r="F35" s="35" t="s">
        <v>241</v>
      </c>
      <c r="G35" s="36" t="s">
        <v>19</v>
      </c>
      <c r="H35" s="19"/>
    </row>
    <row r="36" spans="3:8" x14ac:dyDescent="0.25">
      <c r="C36" s="41" t="s">
        <v>600</v>
      </c>
      <c r="D36" s="42" t="s">
        <v>19</v>
      </c>
      <c r="E36" s="32" t="s">
        <v>601</v>
      </c>
      <c r="F36" s="37" t="s">
        <v>602</v>
      </c>
      <c r="G36" s="34" t="s">
        <v>19</v>
      </c>
      <c r="H36" s="19"/>
    </row>
    <row r="37" spans="3:8" x14ac:dyDescent="0.25">
      <c r="D37" s="12"/>
      <c r="E37" s="2"/>
      <c r="F37" s="37" t="s">
        <v>603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215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38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274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40</v>
      </c>
      <c r="G41" s="34" t="s">
        <v>19</v>
      </c>
      <c r="H41" s="19"/>
    </row>
    <row r="42" spans="3:8" x14ac:dyDescent="0.25">
      <c r="C42" s="1"/>
      <c r="D42" s="12"/>
      <c r="E42" s="2"/>
      <c r="F42" s="5"/>
      <c r="G42" s="2"/>
      <c r="H42" s="19"/>
    </row>
    <row r="43" spans="3:8" ht="15.75" thickBot="1" x14ac:dyDescent="0.3">
      <c r="C43" s="3"/>
      <c r="D43" s="16"/>
      <c r="E43" s="4"/>
      <c r="F43" s="6"/>
      <c r="G43" s="4"/>
      <c r="H43" s="19"/>
    </row>
    <row r="44" spans="3:8" ht="15.75" thickBot="1" x14ac:dyDescent="0.3"/>
    <row r="45" spans="3:8" x14ac:dyDescent="0.25">
      <c r="E45" s="24" t="s">
        <v>299</v>
      </c>
      <c r="F45" s="25" t="s">
        <v>708</v>
      </c>
    </row>
    <row r="46" spans="3:8" x14ac:dyDescent="0.25">
      <c r="E46" s="33" t="s">
        <v>298</v>
      </c>
      <c r="F46" s="34" t="s">
        <v>709</v>
      </c>
    </row>
    <row r="47" spans="3:8" x14ac:dyDescent="0.25">
      <c r="E47" s="31" t="s">
        <v>300</v>
      </c>
      <c r="F47" s="32" t="s">
        <v>710</v>
      </c>
    </row>
    <row r="48" spans="3:8" ht="15.75" thickBot="1" x14ac:dyDescent="0.3">
      <c r="E48" s="44" t="s">
        <v>301</v>
      </c>
      <c r="F48" s="45" t="s">
        <v>711</v>
      </c>
    </row>
    <row r="49" spans="5:6" ht="15.75" thickBot="1" x14ac:dyDescent="0.3"/>
    <row r="50" spans="5:6" ht="15.75" thickBot="1" x14ac:dyDescent="0.3">
      <c r="E50" s="68" t="s">
        <v>715</v>
      </c>
      <c r="F50" s="69" t="s">
        <v>712</v>
      </c>
    </row>
    <row r="52" spans="5:6" x14ac:dyDescent="0.25">
      <c r="E52" s="21" t="s">
        <v>43</v>
      </c>
      <c r="F52" s="12">
        <f>COUNTA(C16:C20,C5:C14)</f>
        <v>15</v>
      </c>
    </row>
    <row r="53" spans="5:6" x14ac:dyDescent="0.25">
      <c r="E53" s="21" t="s">
        <v>44</v>
      </c>
      <c r="F53" s="12">
        <f>COUNTA(F35:F41)</f>
        <v>7</v>
      </c>
    </row>
    <row r="54" spans="5:6" x14ac:dyDescent="0.25">
      <c r="E54" s="21" t="s">
        <v>45</v>
      </c>
      <c r="F54" s="12">
        <f>COUNTA(C35:C36)</f>
        <v>2</v>
      </c>
    </row>
    <row r="55" spans="5:6" x14ac:dyDescent="0.25">
      <c r="E55" s="21" t="s">
        <v>46</v>
      </c>
      <c r="F55" s="12">
        <f>COUNTA(C21,C15)</f>
        <v>2</v>
      </c>
    </row>
    <row r="57" spans="5:6" x14ac:dyDescent="0.25">
      <c r="E57" s="21" t="s">
        <v>47</v>
      </c>
      <c r="F57" s="12">
        <f>F52/(F52+F54)</f>
        <v>0.88235294117647056</v>
      </c>
    </row>
    <row r="58" spans="5:6" x14ac:dyDescent="0.25">
      <c r="E58" s="21" t="s">
        <v>48</v>
      </c>
      <c r="F58" s="12">
        <f>F52/(F52+F55)</f>
        <v>0.88235294117647056</v>
      </c>
    </row>
    <row r="59" spans="5:6" x14ac:dyDescent="0.25">
      <c r="E59" s="21" t="s">
        <v>49</v>
      </c>
      <c r="F59" s="12">
        <f>F53/(F54+F53)</f>
        <v>0.77777777777777779</v>
      </c>
    </row>
    <row r="60" spans="5:6" x14ac:dyDescent="0.25">
      <c r="E60" s="21" t="s">
        <v>302</v>
      </c>
      <c r="F60" s="12">
        <f>2*F52/((2*F52)+F54+F55)</f>
        <v>0.88235294117647056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7"/>
  <sheetViews>
    <sheetView workbookViewId="0">
      <selection activeCell="E47" sqref="E4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0.28515625" customWidth="1"/>
    <col min="6" max="6" width="87.5703125" customWidth="1"/>
    <col min="7" max="7" width="28.5703125" customWidth="1"/>
    <col min="8" max="8" width="53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28" t="s">
        <v>427</v>
      </c>
      <c r="G5" s="26" t="s">
        <v>18</v>
      </c>
      <c r="H5" s="25" t="s">
        <v>613</v>
      </c>
    </row>
    <row r="6" spans="3:8" x14ac:dyDescent="0.25">
      <c r="C6" s="58" t="s">
        <v>5</v>
      </c>
      <c r="D6" s="96" t="s">
        <v>18</v>
      </c>
      <c r="E6" s="97" t="s">
        <v>173</v>
      </c>
      <c r="F6" s="49" t="s">
        <v>429</v>
      </c>
      <c r="G6" s="98" t="s">
        <v>19</v>
      </c>
      <c r="H6" s="99" t="s">
        <v>28</v>
      </c>
    </row>
    <row r="7" spans="3:8" x14ac:dyDescent="0.25">
      <c r="C7" s="49" t="s">
        <v>416</v>
      </c>
      <c r="D7" s="50" t="s">
        <v>19</v>
      </c>
      <c r="E7" s="51" t="s">
        <v>28</v>
      </c>
      <c r="F7" s="49" t="s">
        <v>428</v>
      </c>
      <c r="G7" s="50" t="s">
        <v>19</v>
      </c>
      <c r="H7" s="51" t="s">
        <v>28</v>
      </c>
    </row>
    <row r="8" spans="3:8" x14ac:dyDescent="0.25">
      <c r="C8" s="29" t="s">
        <v>55</v>
      </c>
      <c r="D8" s="27" t="s">
        <v>18</v>
      </c>
      <c r="E8" s="30" t="s">
        <v>254</v>
      </c>
      <c r="F8" s="29" t="s">
        <v>348</v>
      </c>
      <c r="G8" s="27" t="s">
        <v>18</v>
      </c>
      <c r="H8" s="30" t="s">
        <v>529</v>
      </c>
    </row>
    <row r="9" spans="3:8" x14ac:dyDescent="0.25">
      <c r="C9" s="29" t="s">
        <v>56</v>
      </c>
      <c r="D9" s="27" t="s">
        <v>18</v>
      </c>
      <c r="E9" s="30" t="s">
        <v>183</v>
      </c>
      <c r="F9" s="29" t="s">
        <v>119</v>
      </c>
      <c r="G9" s="27" t="s">
        <v>18</v>
      </c>
      <c r="H9" s="30" t="s">
        <v>235</v>
      </c>
    </row>
    <row r="10" spans="3:8" x14ac:dyDescent="0.25">
      <c r="C10" s="29" t="s">
        <v>417</v>
      </c>
      <c r="D10" s="27" t="s">
        <v>18</v>
      </c>
      <c r="E10" s="30" t="s">
        <v>604</v>
      </c>
      <c r="F10" s="1"/>
      <c r="G10" s="12"/>
      <c r="H10" s="2"/>
    </row>
    <row r="11" spans="3:8" x14ac:dyDescent="0.25">
      <c r="C11" s="29" t="s">
        <v>418</v>
      </c>
      <c r="D11" s="27" t="s">
        <v>18</v>
      </c>
      <c r="E11" s="30" t="s">
        <v>178</v>
      </c>
      <c r="F11" s="1"/>
      <c r="G11" s="12"/>
      <c r="H11" s="2"/>
    </row>
    <row r="12" spans="3:8" x14ac:dyDescent="0.25">
      <c r="C12" s="29" t="s">
        <v>419</v>
      </c>
      <c r="D12" s="27" t="s">
        <v>18</v>
      </c>
      <c r="E12" s="30" t="s">
        <v>605</v>
      </c>
      <c r="F12" s="1"/>
      <c r="G12" s="12"/>
      <c r="H12" s="2"/>
    </row>
    <row r="13" spans="3:8" x14ac:dyDescent="0.25">
      <c r="C13" s="29" t="s">
        <v>308</v>
      </c>
      <c r="D13" s="27" t="s">
        <v>18</v>
      </c>
      <c r="E13" s="30" t="s">
        <v>326</v>
      </c>
      <c r="F13" s="1"/>
      <c r="G13" s="12"/>
      <c r="H13" s="2"/>
    </row>
    <row r="14" spans="3:8" x14ac:dyDescent="0.25">
      <c r="C14" s="49" t="s">
        <v>420</v>
      </c>
      <c r="D14" s="50" t="s">
        <v>19</v>
      </c>
      <c r="E14" s="51" t="s">
        <v>28</v>
      </c>
      <c r="F14" s="1"/>
      <c r="G14" s="12"/>
      <c r="H14" s="2"/>
    </row>
    <row r="15" spans="3:8" x14ac:dyDescent="0.25">
      <c r="C15" s="49" t="s">
        <v>421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422</v>
      </c>
      <c r="D16" s="27" t="s">
        <v>18</v>
      </c>
      <c r="E16" s="30" t="s">
        <v>606</v>
      </c>
      <c r="F16" s="1"/>
      <c r="G16" s="12"/>
      <c r="H16" s="2"/>
    </row>
    <row r="17" spans="3:8" x14ac:dyDescent="0.25">
      <c r="C17" s="29" t="s">
        <v>423</v>
      </c>
      <c r="D17" s="27" t="s">
        <v>18</v>
      </c>
      <c r="E17" s="30" t="s">
        <v>607</v>
      </c>
      <c r="F17" s="1"/>
      <c r="G17" s="12"/>
      <c r="H17" s="2"/>
    </row>
    <row r="18" spans="3:8" x14ac:dyDescent="0.25">
      <c r="C18" s="29" t="s">
        <v>424</v>
      </c>
      <c r="D18" s="27" t="s">
        <v>18</v>
      </c>
      <c r="E18" s="30" t="s">
        <v>608</v>
      </c>
      <c r="F18" s="1"/>
      <c r="G18" s="12"/>
      <c r="H18" s="2"/>
    </row>
    <row r="19" spans="3:8" x14ac:dyDescent="0.25">
      <c r="C19" s="29" t="s">
        <v>425</v>
      </c>
      <c r="D19" s="27" t="s">
        <v>18</v>
      </c>
      <c r="E19" s="30" t="s">
        <v>256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28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11" t="s">
        <v>17</v>
      </c>
      <c r="D29" s="112"/>
      <c r="E29" s="112"/>
      <c r="F29" s="112"/>
      <c r="G29" s="113"/>
      <c r="H29" s="18"/>
    </row>
    <row r="30" spans="3:8" ht="15.75" thickBot="1" x14ac:dyDescent="0.3">
      <c r="C30" s="117" t="s">
        <v>35</v>
      </c>
      <c r="D30" s="112"/>
      <c r="E30" s="113"/>
      <c r="F30" s="117" t="s">
        <v>42</v>
      </c>
      <c r="G30" s="118"/>
      <c r="H30" s="18"/>
    </row>
    <row r="31" spans="3:8" ht="15.75" thickBot="1" x14ac:dyDescent="0.3">
      <c r="C31" s="8" t="s">
        <v>34</v>
      </c>
      <c r="D31" s="8" t="s">
        <v>31</v>
      </c>
      <c r="E31" s="8" t="s">
        <v>20</v>
      </c>
      <c r="F31" s="8" t="s">
        <v>34</v>
      </c>
      <c r="G31" s="8" t="s">
        <v>31</v>
      </c>
      <c r="H31" s="20"/>
    </row>
    <row r="32" spans="3:8" x14ac:dyDescent="0.25">
      <c r="C32" s="38" t="s">
        <v>609</v>
      </c>
      <c r="D32" s="39" t="s">
        <v>19</v>
      </c>
      <c r="E32" s="40" t="s">
        <v>610</v>
      </c>
      <c r="F32" s="35" t="s">
        <v>614</v>
      </c>
      <c r="G32" s="36" t="s">
        <v>19</v>
      </c>
      <c r="H32" s="19"/>
    </row>
    <row r="33" spans="3:8" x14ac:dyDescent="0.25">
      <c r="C33" s="41" t="s">
        <v>611</v>
      </c>
      <c r="D33" s="42" t="s">
        <v>19</v>
      </c>
      <c r="E33" s="32" t="s">
        <v>612</v>
      </c>
      <c r="F33" s="70" t="s">
        <v>615</v>
      </c>
      <c r="G33" s="71" t="s">
        <v>18</v>
      </c>
      <c r="H33" s="19"/>
    </row>
    <row r="34" spans="3:8" x14ac:dyDescent="0.25">
      <c r="C34" s="1"/>
      <c r="D34" s="12"/>
      <c r="E34" s="2"/>
      <c r="F34" s="37" t="s">
        <v>216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616</v>
      </c>
      <c r="G35" s="71" t="s">
        <v>18</v>
      </c>
      <c r="H35" s="19"/>
    </row>
    <row r="36" spans="3:8" x14ac:dyDescent="0.25">
      <c r="C36" s="1"/>
      <c r="D36" s="12"/>
      <c r="E36" s="2"/>
      <c r="F36" s="70" t="s">
        <v>617</v>
      </c>
      <c r="G36" s="71" t="s">
        <v>18</v>
      </c>
      <c r="H36" s="19"/>
    </row>
    <row r="37" spans="3:8" x14ac:dyDescent="0.25">
      <c r="C37" s="1"/>
      <c r="D37" s="12"/>
      <c r="E37" s="2"/>
      <c r="F37" s="37" t="s">
        <v>193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618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ht="15.75" thickBot="1" x14ac:dyDescent="0.3">
      <c r="C40" s="3"/>
      <c r="D40" s="16"/>
      <c r="E40" s="4"/>
      <c r="F40" s="6"/>
      <c r="G40" s="4"/>
      <c r="H40" s="19"/>
    </row>
    <row r="41" spans="3:8" ht="15.75" thickBot="1" x14ac:dyDescent="0.3"/>
    <row r="42" spans="3:8" x14ac:dyDescent="0.25">
      <c r="E42" s="24" t="s">
        <v>299</v>
      </c>
      <c r="F42" s="25" t="s">
        <v>708</v>
      </c>
    </row>
    <row r="43" spans="3:8" x14ac:dyDescent="0.25">
      <c r="E43" s="33" t="s">
        <v>298</v>
      </c>
      <c r="F43" s="34" t="s">
        <v>709</v>
      </c>
    </row>
    <row r="44" spans="3:8" x14ac:dyDescent="0.25">
      <c r="E44" s="31" t="s">
        <v>300</v>
      </c>
      <c r="F44" s="32" t="s">
        <v>710</v>
      </c>
    </row>
    <row r="45" spans="3:8" ht="15.75" thickBot="1" x14ac:dyDescent="0.3">
      <c r="E45" s="44" t="s">
        <v>301</v>
      </c>
      <c r="F45" s="45" t="s">
        <v>711</v>
      </c>
    </row>
    <row r="46" spans="3:8" ht="15.75" thickBot="1" x14ac:dyDescent="0.3"/>
    <row r="47" spans="3:8" ht="15.75" thickBot="1" x14ac:dyDescent="0.3">
      <c r="E47" s="68" t="s">
        <v>715</v>
      </c>
      <c r="F47" s="69" t="s">
        <v>712</v>
      </c>
    </row>
    <row r="49" spans="5:6" x14ac:dyDescent="0.25">
      <c r="E49" s="21" t="s">
        <v>43</v>
      </c>
      <c r="F49" s="12">
        <f>COUNTA(F5,F8:F9,C5:C6,C8:C13,C16:C19)</f>
        <v>15</v>
      </c>
    </row>
    <row r="50" spans="5:6" x14ac:dyDescent="0.25">
      <c r="E50" s="21" t="s">
        <v>44</v>
      </c>
      <c r="F50" s="12">
        <f>COUNTA(F37,F34,F32)</f>
        <v>3</v>
      </c>
    </row>
    <row r="51" spans="5:6" x14ac:dyDescent="0.25">
      <c r="E51" s="21" t="s">
        <v>45</v>
      </c>
      <c r="F51" s="12">
        <f>COUNTA(C32:C33)</f>
        <v>2</v>
      </c>
    </row>
    <row r="52" spans="5:6" x14ac:dyDescent="0.25">
      <c r="E52" s="21" t="s">
        <v>46</v>
      </c>
      <c r="F52" s="12">
        <f>COUNTA(F38,F35:F36,F33,F6,F7,C7,C14,C15)</f>
        <v>9</v>
      </c>
    </row>
    <row r="54" spans="5:6" x14ac:dyDescent="0.25">
      <c r="E54" s="21" t="s">
        <v>47</v>
      </c>
      <c r="F54" s="12">
        <f>F49/(F49+F51)</f>
        <v>0.88235294117647056</v>
      </c>
    </row>
    <row r="55" spans="5:6" x14ac:dyDescent="0.25">
      <c r="E55" s="21" t="s">
        <v>48</v>
      </c>
      <c r="F55" s="12">
        <f>F49/(F49+F52)</f>
        <v>0.625</v>
      </c>
    </row>
    <row r="56" spans="5:6" x14ac:dyDescent="0.25">
      <c r="E56" s="21" t="s">
        <v>49</v>
      </c>
      <c r="F56" s="12">
        <f>F50/(F51+F50)</f>
        <v>0.6</v>
      </c>
    </row>
    <row r="57" spans="5:6" x14ac:dyDescent="0.25">
      <c r="E57" s="21" t="s">
        <v>302</v>
      </c>
      <c r="F57" s="12">
        <f>2*F49/((2*F49)+F51+F52)</f>
        <v>0.73170731707317072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B1" workbookViewId="0">
      <selection activeCell="C64" sqref="C64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8554687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54" t="s">
        <v>20</v>
      </c>
      <c r="F4" s="74" t="s">
        <v>1</v>
      </c>
      <c r="G4" s="11" t="s">
        <v>9</v>
      </c>
      <c r="H4" s="11" t="s">
        <v>20</v>
      </c>
    </row>
    <row r="5" spans="3:8" x14ac:dyDescent="0.25">
      <c r="C5" s="28" t="s">
        <v>50</v>
      </c>
      <c r="D5" s="26" t="s">
        <v>18</v>
      </c>
      <c r="E5" s="25" t="s">
        <v>171</v>
      </c>
      <c r="F5" s="28" t="s">
        <v>67</v>
      </c>
      <c r="G5" s="26" t="s">
        <v>18</v>
      </c>
      <c r="H5" s="25" t="s">
        <v>187</v>
      </c>
    </row>
    <row r="6" spans="3:8" x14ac:dyDescent="0.25">
      <c r="C6" s="29" t="s">
        <v>51</v>
      </c>
      <c r="D6" s="27" t="s">
        <v>18</v>
      </c>
      <c r="E6" s="30" t="s">
        <v>174</v>
      </c>
      <c r="F6" s="49" t="s">
        <v>68</v>
      </c>
      <c r="G6" s="50" t="s">
        <v>19</v>
      </c>
      <c r="H6" s="51" t="s">
        <v>28</v>
      </c>
    </row>
    <row r="7" spans="3:8" x14ac:dyDescent="0.25">
      <c r="C7" s="29" t="s">
        <v>5</v>
      </c>
      <c r="D7" s="27" t="s">
        <v>18</v>
      </c>
      <c r="E7" s="30" t="s">
        <v>173</v>
      </c>
      <c r="F7" s="49" t="s">
        <v>69</v>
      </c>
      <c r="G7" s="57" t="s">
        <v>19</v>
      </c>
      <c r="H7" s="51" t="s">
        <v>28</v>
      </c>
    </row>
    <row r="8" spans="3:8" x14ac:dyDescent="0.25">
      <c r="C8" s="29" t="s">
        <v>52</v>
      </c>
      <c r="D8" s="27" t="s">
        <v>18</v>
      </c>
      <c r="E8" s="30" t="s">
        <v>175</v>
      </c>
      <c r="F8" s="29" t="s">
        <v>70</v>
      </c>
      <c r="G8" s="27" t="s">
        <v>18</v>
      </c>
      <c r="H8" s="30" t="s">
        <v>188</v>
      </c>
    </row>
    <row r="9" spans="3:8" x14ac:dyDescent="0.25">
      <c r="C9" s="29" t="s">
        <v>53</v>
      </c>
      <c r="D9" s="27" t="s">
        <v>18</v>
      </c>
      <c r="E9" s="30" t="s">
        <v>176</v>
      </c>
      <c r="F9" s="49" t="s">
        <v>71</v>
      </c>
      <c r="G9" s="50" t="s">
        <v>19</v>
      </c>
      <c r="H9" s="51" t="s">
        <v>28</v>
      </c>
    </row>
    <row r="10" spans="3:8" x14ac:dyDescent="0.25">
      <c r="C10" s="29" t="s">
        <v>4</v>
      </c>
      <c r="D10" s="27" t="s">
        <v>18</v>
      </c>
      <c r="E10" s="30" t="s">
        <v>177</v>
      </c>
      <c r="F10" s="1"/>
      <c r="G10" s="12"/>
      <c r="H10" s="2"/>
    </row>
    <row r="11" spans="3:8" x14ac:dyDescent="0.25">
      <c r="C11" s="29" t="s">
        <v>6</v>
      </c>
      <c r="D11" s="27" t="s">
        <v>18</v>
      </c>
      <c r="E11" s="30" t="s">
        <v>178</v>
      </c>
      <c r="F11" s="1"/>
      <c r="G11" s="12"/>
      <c r="H11" s="2"/>
    </row>
    <row r="12" spans="3:8" x14ac:dyDescent="0.25">
      <c r="C12" s="29" t="s">
        <v>54</v>
      </c>
      <c r="D12" s="27" t="s">
        <v>18</v>
      </c>
      <c r="E12" s="30" t="s">
        <v>179</v>
      </c>
      <c r="F12" s="1"/>
      <c r="G12" s="12"/>
      <c r="H12" s="2"/>
    </row>
    <row r="13" spans="3:8" x14ac:dyDescent="0.25">
      <c r="C13" s="29" t="s">
        <v>55</v>
      </c>
      <c r="D13" s="27" t="s">
        <v>18</v>
      </c>
      <c r="E13" s="30" t="s">
        <v>180</v>
      </c>
      <c r="F13" s="1"/>
      <c r="G13" s="12"/>
      <c r="H13" s="2"/>
    </row>
    <row r="14" spans="3:8" x14ac:dyDescent="0.25">
      <c r="C14" s="29" t="s">
        <v>7</v>
      </c>
      <c r="D14" s="27" t="s">
        <v>18</v>
      </c>
      <c r="E14" s="30" t="s">
        <v>182</v>
      </c>
      <c r="F14" s="1"/>
      <c r="G14" s="12"/>
      <c r="H14" s="2"/>
    </row>
    <row r="15" spans="3:8" x14ac:dyDescent="0.25">
      <c r="C15" s="29" t="s">
        <v>56</v>
      </c>
      <c r="D15" s="27" t="s">
        <v>18</v>
      </c>
      <c r="E15" s="30" t="s">
        <v>183</v>
      </c>
      <c r="F15" s="1"/>
      <c r="G15" s="12"/>
      <c r="H15" s="2"/>
    </row>
    <row r="16" spans="3:8" x14ac:dyDescent="0.25">
      <c r="C16" s="49" t="s">
        <v>57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58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29" t="s">
        <v>59</v>
      </c>
      <c r="D18" s="27" t="s">
        <v>18</v>
      </c>
      <c r="E18" s="30" t="s">
        <v>184</v>
      </c>
      <c r="F18" s="1"/>
      <c r="G18" s="12"/>
      <c r="H18" s="2"/>
    </row>
    <row r="19" spans="3:8" x14ac:dyDescent="0.25">
      <c r="C19" s="49" t="s">
        <v>60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49" t="s">
        <v>61</v>
      </c>
      <c r="D20" s="50" t="s">
        <v>19</v>
      </c>
      <c r="E20" s="51" t="s">
        <v>28</v>
      </c>
      <c r="F20" s="1"/>
      <c r="G20" s="12"/>
      <c r="H20" s="2"/>
    </row>
    <row r="21" spans="3:8" x14ac:dyDescent="0.25">
      <c r="C21" s="49" t="s">
        <v>62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49" t="s">
        <v>63</v>
      </c>
      <c r="D22" s="50" t="s">
        <v>19</v>
      </c>
      <c r="E22" s="51" t="s">
        <v>28</v>
      </c>
      <c r="F22" s="1"/>
      <c r="G22" s="12"/>
      <c r="H22" s="2" t="s">
        <v>28</v>
      </c>
    </row>
    <row r="23" spans="3:8" x14ac:dyDescent="0.25">
      <c r="C23" s="29" t="s">
        <v>64</v>
      </c>
      <c r="D23" s="27" t="s">
        <v>18</v>
      </c>
      <c r="E23" s="30" t="s">
        <v>186</v>
      </c>
      <c r="F23" s="5"/>
      <c r="G23" s="13"/>
      <c r="H23" s="2"/>
    </row>
    <row r="24" spans="3:8" x14ac:dyDescent="0.25">
      <c r="C24" s="29" t="s">
        <v>65</v>
      </c>
      <c r="D24" s="27" t="s">
        <v>18</v>
      </c>
      <c r="E24" s="30" t="s">
        <v>185</v>
      </c>
      <c r="F24" s="5"/>
      <c r="G24" s="13"/>
      <c r="H24" s="2"/>
    </row>
    <row r="25" spans="3:8" x14ac:dyDescent="0.25">
      <c r="C25" s="49" t="s">
        <v>66</v>
      </c>
      <c r="D25" s="50" t="s">
        <v>19</v>
      </c>
      <c r="E25" s="51" t="s">
        <v>28</v>
      </c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74" t="s">
        <v>34</v>
      </c>
      <c r="D32" s="74" t="s">
        <v>31</v>
      </c>
      <c r="E32" s="74" t="s">
        <v>20</v>
      </c>
      <c r="F32" s="74" t="s">
        <v>34</v>
      </c>
      <c r="G32" s="74" t="s">
        <v>31</v>
      </c>
      <c r="H32" s="20"/>
    </row>
    <row r="33" spans="3:8" x14ac:dyDescent="0.25">
      <c r="C33" s="38" t="s">
        <v>196</v>
      </c>
      <c r="D33" s="39" t="s">
        <v>28</v>
      </c>
      <c r="E33" s="40" t="s">
        <v>197</v>
      </c>
      <c r="F33" s="35" t="s">
        <v>189</v>
      </c>
      <c r="G33" s="36" t="s">
        <v>19</v>
      </c>
      <c r="H33" s="19"/>
    </row>
    <row r="34" spans="3:8" x14ac:dyDescent="0.25">
      <c r="C34" s="41" t="s">
        <v>166</v>
      </c>
      <c r="D34" s="42" t="s">
        <v>28</v>
      </c>
      <c r="E34" s="32" t="s">
        <v>198</v>
      </c>
      <c r="F34" s="37" t="s">
        <v>190</v>
      </c>
      <c r="G34" s="55" t="s">
        <v>19</v>
      </c>
      <c r="H34" s="19"/>
    </row>
    <row r="35" spans="3:8" x14ac:dyDescent="0.25">
      <c r="C35" s="1"/>
      <c r="D35" s="12"/>
      <c r="E35" s="2"/>
      <c r="F35" s="70" t="s">
        <v>191</v>
      </c>
      <c r="G35" s="71" t="s">
        <v>18</v>
      </c>
      <c r="H35" s="19"/>
    </row>
    <row r="36" spans="3:8" x14ac:dyDescent="0.25">
      <c r="C36" s="1"/>
      <c r="D36" s="12"/>
      <c r="E36" s="2"/>
      <c r="F36" s="37" t="s">
        <v>37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192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193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194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195</v>
      </c>
      <c r="G40" s="71" t="s">
        <v>18</v>
      </c>
      <c r="H40" s="19"/>
    </row>
    <row r="41" spans="3:8" ht="15.75" thickBot="1" x14ac:dyDescent="0.3">
      <c r="C41" s="3"/>
      <c r="D41" s="16"/>
      <c r="E41" s="4"/>
      <c r="F41" s="56" t="s">
        <v>38</v>
      </c>
      <c r="G41" s="43" t="s">
        <v>19</v>
      </c>
      <c r="H41" s="19"/>
    </row>
    <row r="44" spans="3:8" ht="15.75" thickBot="1" x14ac:dyDescent="0.3"/>
    <row r="45" spans="3:8" x14ac:dyDescent="0.25">
      <c r="E45" s="24" t="s">
        <v>299</v>
      </c>
      <c r="F45" s="25" t="s">
        <v>708</v>
      </c>
    </row>
    <row r="46" spans="3:8" x14ac:dyDescent="0.25">
      <c r="E46" s="33" t="s">
        <v>298</v>
      </c>
      <c r="F46" s="34" t="s">
        <v>709</v>
      </c>
    </row>
    <row r="47" spans="3:8" x14ac:dyDescent="0.25">
      <c r="E47" s="31" t="s">
        <v>300</v>
      </c>
      <c r="F47" s="32" t="s">
        <v>710</v>
      </c>
    </row>
    <row r="48" spans="3:8" ht="15.75" thickBot="1" x14ac:dyDescent="0.3">
      <c r="E48" s="44" t="s">
        <v>301</v>
      </c>
      <c r="F48" s="45" t="s">
        <v>711</v>
      </c>
    </row>
    <row r="49" spans="5:6" ht="15.75" thickBot="1" x14ac:dyDescent="0.3"/>
    <row r="50" spans="5:6" ht="15.75" thickBot="1" x14ac:dyDescent="0.3">
      <c r="E50" s="68" t="s">
        <v>715</v>
      </c>
      <c r="F50" s="69" t="s">
        <v>712</v>
      </c>
    </row>
    <row r="52" spans="5:6" x14ac:dyDescent="0.25">
      <c r="E52" s="21" t="s">
        <v>43</v>
      </c>
      <c r="F52" s="12">
        <f>ROWS(F5)+ROWS(F8)+ROWS(E23:E24)+ROWS(E18)+ROWS(E5:E15)</f>
        <v>16</v>
      </c>
    </row>
    <row r="53" spans="5:6" x14ac:dyDescent="0.25">
      <c r="E53" s="21" t="s">
        <v>44</v>
      </c>
      <c r="F53" s="12">
        <f>ROWS(F41)+ROWS(F36:F39)+ROWS(F33:F34)</f>
        <v>7</v>
      </c>
    </row>
    <row r="54" spans="5:6" x14ac:dyDescent="0.25">
      <c r="E54" s="21" t="s">
        <v>45</v>
      </c>
      <c r="F54" s="12">
        <f>ROWS(E33:E34)</f>
        <v>2</v>
      </c>
    </row>
    <row r="55" spans="5:6" x14ac:dyDescent="0.25">
      <c r="E55" s="21" t="s">
        <v>46</v>
      </c>
      <c r="F55" s="12">
        <f>ROWS(F40)+ROWS(F35)+ROWS(F9)+ROWS(F6:F7)+ROWS(E16:E17)+ROWS(E19:E22)+ROWS(E25)</f>
        <v>12</v>
      </c>
    </row>
    <row r="57" spans="5:6" x14ac:dyDescent="0.25">
      <c r="E57" s="21" t="s">
        <v>47</v>
      </c>
      <c r="F57" s="12">
        <f>F52/(F52+F54)</f>
        <v>0.88888888888888884</v>
      </c>
    </row>
    <row r="58" spans="5:6" x14ac:dyDescent="0.25">
      <c r="E58" s="21" t="s">
        <v>48</v>
      </c>
      <c r="F58" s="12">
        <f>F52/(F52+F55)</f>
        <v>0.5714285714285714</v>
      </c>
    </row>
    <row r="59" spans="5:6" x14ac:dyDescent="0.25">
      <c r="E59" s="21" t="s">
        <v>49</v>
      </c>
      <c r="F59" s="12">
        <f>F53/(F54+F53)</f>
        <v>0.77777777777777779</v>
      </c>
    </row>
    <row r="60" spans="5:6" x14ac:dyDescent="0.25">
      <c r="E60" s="21" t="s">
        <v>302</v>
      </c>
      <c r="F60" s="12">
        <f>2*F52/((2*F52)+F54+F55)</f>
        <v>0.69565217391304346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F64" sqref="F64"/>
    </sheetView>
  </sheetViews>
  <sheetFormatPr baseColWidth="10" defaultRowHeight="15" x14ac:dyDescent="0.25"/>
  <cols>
    <col min="1" max="1" width="1.140625" customWidth="1"/>
    <col min="2" max="2" width="2" customWidth="1"/>
    <col min="3" max="3" width="88.28515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430</v>
      </c>
      <c r="D5" s="26" t="s">
        <v>18</v>
      </c>
      <c r="E5" s="25" t="s">
        <v>178</v>
      </c>
      <c r="F5" s="9"/>
      <c r="G5" s="15"/>
      <c r="H5" s="10"/>
    </row>
    <row r="6" spans="3:8" x14ac:dyDescent="0.25">
      <c r="C6" s="29" t="s">
        <v>4</v>
      </c>
      <c r="D6" s="27" t="s">
        <v>18</v>
      </c>
      <c r="E6" s="30" t="s">
        <v>177</v>
      </c>
      <c r="F6" s="1"/>
      <c r="G6" s="12"/>
      <c r="H6" s="2"/>
    </row>
    <row r="7" spans="3:8" x14ac:dyDescent="0.25">
      <c r="C7" s="29" t="s">
        <v>6</v>
      </c>
      <c r="D7" s="27" t="s">
        <v>18</v>
      </c>
      <c r="E7" s="30" t="s">
        <v>178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182</v>
      </c>
      <c r="F8" s="1"/>
      <c r="G8" s="12"/>
      <c r="H8" s="2"/>
    </row>
    <row r="9" spans="3:8" x14ac:dyDescent="0.25">
      <c r="C9" s="29" t="s">
        <v>431</v>
      </c>
      <c r="D9" s="27" t="s">
        <v>18</v>
      </c>
      <c r="E9" s="30" t="s">
        <v>559</v>
      </c>
      <c r="F9" s="1"/>
      <c r="G9" s="12"/>
      <c r="H9" s="2"/>
    </row>
    <row r="10" spans="3:8" x14ac:dyDescent="0.25">
      <c r="C10" s="49" t="s">
        <v>432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433</v>
      </c>
      <c r="D11" s="27" t="s">
        <v>18</v>
      </c>
      <c r="E11" s="30" t="s">
        <v>619</v>
      </c>
      <c r="F11" s="1"/>
      <c r="G11" s="12"/>
      <c r="H11" s="2"/>
    </row>
    <row r="12" spans="3:8" x14ac:dyDescent="0.25">
      <c r="C12" s="29" t="s">
        <v>434</v>
      </c>
      <c r="D12" s="27" t="s">
        <v>18</v>
      </c>
      <c r="E12" s="30" t="s">
        <v>620</v>
      </c>
      <c r="F12" s="1"/>
      <c r="G12" s="12"/>
      <c r="H12" s="2"/>
    </row>
    <row r="13" spans="3:8" x14ac:dyDescent="0.25">
      <c r="C13" s="29" t="s">
        <v>435</v>
      </c>
      <c r="D13" s="27" t="s">
        <v>18</v>
      </c>
      <c r="E13" s="30" t="s">
        <v>621</v>
      </c>
      <c r="F13" s="1"/>
      <c r="G13" s="12"/>
      <c r="H13" s="2"/>
    </row>
    <row r="14" spans="3:8" x14ac:dyDescent="0.25">
      <c r="C14" s="29" t="s">
        <v>436</v>
      </c>
      <c r="D14" s="27" t="s">
        <v>18</v>
      </c>
      <c r="E14" s="30" t="s">
        <v>586</v>
      </c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2"/>
      <c r="F34" s="1"/>
      <c r="G34" s="2"/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COUNTA(C11:C14,C5:C9)</f>
        <v>9</v>
      </c>
    </row>
    <row r="51" spans="5:6" x14ac:dyDescent="0.25">
      <c r="E51" s="21" t="s">
        <v>44</v>
      </c>
      <c r="F51" s="12">
        <f>COUNTA(F33)</f>
        <v>1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COUNTA(C10)</f>
        <v>1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0.9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0.94736842105263153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workbookViewId="0">
      <selection activeCell="E55" sqref="E5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1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437</v>
      </c>
      <c r="D5" s="26" t="s">
        <v>18</v>
      </c>
      <c r="E5" s="25" t="s">
        <v>179</v>
      </c>
      <c r="F5" s="28" t="s">
        <v>444</v>
      </c>
      <c r="G5" s="26" t="s">
        <v>18</v>
      </c>
      <c r="H5" s="25" t="s">
        <v>624</v>
      </c>
    </row>
    <row r="6" spans="3:8" x14ac:dyDescent="0.25">
      <c r="C6" s="29" t="s">
        <v>6</v>
      </c>
      <c r="D6" s="27" t="s">
        <v>18</v>
      </c>
      <c r="E6" s="30" t="s">
        <v>178</v>
      </c>
      <c r="F6" s="29" t="s">
        <v>445</v>
      </c>
      <c r="G6" s="27" t="s">
        <v>18</v>
      </c>
      <c r="H6" s="30" t="s">
        <v>625</v>
      </c>
    </row>
    <row r="7" spans="3:8" x14ac:dyDescent="0.25">
      <c r="C7" s="49" t="s">
        <v>438</v>
      </c>
      <c r="D7" s="50" t="s">
        <v>19</v>
      </c>
      <c r="E7" s="51" t="s">
        <v>28</v>
      </c>
      <c r="F7" s="49" t="s">
        <v>446</v>
      </c>
      <c r="G7" s="50" t="s">
        <v>19</v>
      </c>
      <c r="H7" s="51" t="s">
        <v>28</v>
      </c>
    </row>
    <row r="8" spans="3:8" x14ac:dyDescent="0.25">
      <c r="C8" s="29" t="s">
        <v>439</v>
      </c>
      <c r="D8" s="27" t="s">
        <v>18</v>
      </c>
      <c r="E8" s="30" t="s">
        <v>177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182</v>
      </c>
      <c r="F9" s="1"/>
      <c r="G9" s="12"/>
      <c r="H9" s="2"/>
    </row>
    <row r="10" spans="3:8" x14ac:dyDescent="0.25">
      <c r="C10" s="29" t="s">
        <v>56</v>
      </c>
      <c r="D10" s="27" t="s">
        <v>18</v>
      </c>
      <c r="E10" s="30" t="s">
        <v>183</v>
      </c>
      <c r="F10" s="1"/>
      <c r="G10" s="12"/>
      <c r="H10" s="2"/>
    </row>
    <row r="11" spans="3:8" x14ac:dyDescent="0.25">
      <c r="C11" s="49" t="s">
        <v>440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441</v>
      </c>
      <c r="D12" s="27" t="s">
        <v>18</v>
      </c>
      <c r="E12" s="30" t="s">
        <v>622</v>
      </c>
      <c r="F12" s="1"/>
      <c r="G12" s="12"/>
      <c r="H12" s="2"/>
    </row>
    <row r="13" spans="3:8" x14ac:dyDescent="0.25">
      <c r="C13" s="49" t="s">
        <v>442</v>
      </c>
      <c r="D13" s="50" t="s">
        <v>19</v>
      </c>
      <c r="E13" s="51" t="s">
        <v>28</v>
      </c>
      <c r="F13" s="1"/>
      <c r="G13" s="12"/>
      <c r="H13" s="2"/>
    </row>
    <row r="14" spans="3:8" x14ac:dyDescent="0.25">
      <c r="C14" s="29" t="s">
        <v>426</v>
      </c>
      <c r="D14" s="27" t="s">
        <v>18</v>
      </c>
      <c r="E14" s="30" t="s">
        <v>623</v>
      </c>
      <c r="F14" s="1"/>
      <c r="G14" s="12"/>
      <c r="H14" s="2"/>
    </row>
    <row r="15" spans="3:8" x14ac:dyDescent="0.25">
      <c r="C15" s="49" t="s">
        <v>443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626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190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627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628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533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438</v>
      </c>
      <c r="G38" s="71" t="s">
        <v>18</v>
      </c>
      <c r="H38" s="19"/>
    </row>
    <row r="39" spans="3:8" x14ac:dyDescent="0.25">
      <c r="C39" s="1"/>
      <c r="D39" s="12"/>
      <c r="E39" s="2"/>
      <c r="F39" s="70" t="s">
        <v>240</v>
      </c>
      <c r="G39" s="71" t="s">
        <v>18</v>
      </c>
      <c r="H39" s="19"/>
    </row>
    <row r="40" spans="3:8" x14ac:dyDescent="0.25">
      <c r="C40" s="1"/>
      <c r="D40" s="12"/>
      <c r="E40" s="2"/>
      <c r="F40" s="37" t="s">
        <v>629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630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335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631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193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41</v>
      </c>
      <c r="G45" s="34" t="s">
        <v>19</v>
      </c>
      <c r="H45" s="19"/>
    </row>
    <row r="46" spans="3:8" x14ac:dyDescent="0.25">
      <c r="C46" s="1"/>
      <c r="D46" s="12"/>
      <c r="E46" s="2"/>
      <c r="F46" s="70" t="s">
        <v>632</v>
      </c>
      <c r="G46" s="71" t="s">
        <v>18</v>
      </c>
      <c r="H46" s="19"/>
    </row>
    <row r="47" spans="3:8" x14ac:dyDescent="0.25">
      <c r="C47" s="1"/>
      <c r="D47" s="12"/>
      <c r="E47" s="2"/>
      <c r="F47" s="70" t="s">
        <v>514</v>
      </c>
      <c r="G47" s="71" t="s">
        <v>18</v>
      </c>
      <c r="H47" s="19"/>
    </row>
    <row r="48" spans="3:8" ht="15.75" thickBot="1" x14ac:dyDescent="0.3">
      <c r="C48" s="3"/>
      <c r="D48" s="16"/>
      <c r="E48" s="4"/>
      <c r="F48" s="56" t="s">
        <v>38</v>
      </c>
      <c r="G48" s="43" t="s">
        <v>19</v>
      </c>
      <c r="H48" s="19"/>
    </row>
    <row r="49" spans="5:6" ht="15.75" thickBot="1" x14ac:dyDescent="0.3"/>
    <row r="50" spans="5:6" x14ac:dyDescent="0.25">
      <c r="E50" s="24" t="s">
        <v>299</v>
      </c>
      <c r="F50" s="25" t="s">
        <v>708</v>
      </c>
    </row>
    <row r="51" spans="5:6" x14ac:dyDescent="0.25">
      <c r="E51" s="33" t="s">
        <v>298</v>
      </c>
      <c r="F51" s="34" t="s">
        <v>709</v>
      </c>
    </row>
    <row r="52" spans="5:6" x14ac:dyDescent="0.25">
      <c r="E52" s="31" t="s">
        <v>300</v>
      </c>
      <c r="F52" s="32" t="s">
        <v>710</v>
      </c>
    </row>
    <row r="53" spans="5:6" ht="15.75" thickBot="1" x14ac:dyDescent="0.3">
      <c r="E53" s="44" t="s">
        <v>301</v>
      </c>
      <c r="F53" s="45" t="s">
        <v>711</v>
      </c>
    </row>
    <row r="54" spans="5:6" ht="15.75" thickBot="1" x14ac:dyDescent="0.3"/>
    <row r="55" spans="5:6" ht="15.75" thickBot="1" x14ac:dyDescent="0.3">
      <c r="E55" s="68" t="s">
        <v>715</v>
      </c>
      <c r="F55" s="69" t="s">
        <v>712</v>
      </c>
    </row>
    <row r="57" spans="5:6" x14ac:dyDescent="0.25">
      <c r="E57" s="21" t="s">
        <v>43</v>
      </c>
      <c r="F57" s="12">
        <f>COUNTA(F5:F6,C5:C6,C8:C10,C12,C14)</f>
        <v>9</v>
      </c>
    </row>
    <row r="58" spans="5:6" x14ac:dyDescent="0.25">
      <c r="E58" s="21" t="s">
        <v>44</v>
      </c>
      <c r="F58" s="12">
        <f>COUNTA(F48,F40:F45,F33:F37)</f>
        <v>12</v>
      </c>
    </row>
    <row r="59" spans="5:6" x14ac:dyDescent="0.25">
      <c r="E59" s="21" t="s">
        <v>45</v>
      </c>
      <c r="F59" s="12">
        <v>0</v>
      </c>
    </row>
    <row r="60" spans="5:6" x14ac:dyDescent="0.25">
      <c r="E60" s="21" t="s">
        <v>46</v>
      </c>
      <c r="F60" s="12">
        <f>COUNTA(F46:F47,F38:F39,F7,C7,C11,C13,C15)</f>
        <v>9</v>
      </c>
    </row>
    <row r="62" spans="5:6" x14ac:dyDescent="0.25">
      <c r="E62" s="21" t="s">
        <v>47</v>
      </c>
      <c r="F62" s="12">
        <f>F57/(F57+F59)</f>
        <v>1</v>
      </c>
    </row>
    <row r="63" spans="5:6" x14ac:dyDescent="0.25">
      <c r="E63" s="21" t="s">
        <v>48</v>
      </c>
      <c r="F63" s="12">
        <f>F57/(F57+F60)</f>
        <v>0.5</v>
      </c>
    </row>
    <row r="64" spans="5:6" x14ac:dyDescent="0.25">
      <c r="E64" s="21" t="s">
        <v>49</v>
      </c>
      <c r="F64" s="12">
        <f>F58/(F59+F58)</f>
        <v>1</v>
      </c>
    </row>
    <row r="65" spans="5:6" x14ac:dyDescent="0.25">
      <c r="E65" s="21" t="s">
        <v>302</v>
      </c>
      <c r="F65" s="12">
        <f>2*F57/((2*F57)+F59+F60)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workbookViewId="0">
      <selection activeCell="E49" sqref="E4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2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147</v>
      </c>
      <c r="D5" s="26" t="s">
        <v>18</v>
      </c>
      <c r="E5" s="25" t="s">
        <v>263</v>
      </c>
      <c r="F5" s="46" t="s">
        <v>458</v>
      </c>
      <c r="G5" s="47"/>
      <c r="H5" s="48" t="s">
        <v>637</v>
      </c>
    </row>
    <row r="6" spans="3:8" x14ac:dyDescent="0.25">
      <c r="C6" s="29" t="s">
        <v>447</v>
      </c>
      <c r="D6" s="27" t="s">
        <v>18</v>
      </c>
      <c r="E6" s="30" t="s">
        <v>633</v>
      </c>
      <c r="F6" s="49" t="s">
        <v>459</v>
      </c>
      <c r="G6" s="50"/>
      <c r="H6" s="51" t="s">
        <v>625</v>
      </c>
    </row>
    <row r="7" spans="3:8" x14ac:dyDescent="0.25">
      <c r="C7" s="49" t="s">
        <v>448</v>
      </c>
      <c r="D7" s="50" t="s">
        <v>19</v>
      </c>
      <c r="E7" s="101" t="s">
        <v>28</v>
      </c>
      <c r="F7" s="1"/>
      <c r="G7" s="12"/>
      <c r="H7" s="2"/>
    </row>
    <row r="8" spans="3:8" x14ac:dyDescent="0.25">
      <c r="C8" s="49" t="s">
        <v>449</v>
      </c>
      <c r="D8" s="50" t="s">
        <v>19</v>
      </c>
      <c r="E8" s="51" t="s">
        <v>28</v>
      </c>
      <c r="F8" s="1"/>
      <c r="G8" s="12"/>
      <c r="H8" s="2"/>
    </row>
    <row r="9" spans="3:8" x14ac:dyDescent="0.25">
      <c r="C9" s="49" t="s">
        <v>450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451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452</v>
      </c>
      <c r="D11" s="27" t="s">
        <v>18</v>
      </c>
      <c r="E11" s="30" t="s">
        <v>177</v>
      </c>
      <c r="F11" s="1"/>
      <c r="G11" s="12"/>
      <c r="H11" s="2"/>
    </row>
    <row r="12" spans="3:8" x14ac:dyDescent="0.25">
      <c r="C12" s="29" t="s">
        <v>453</v>
      </c>
      <c r="D12" s="27" t="s">
        <v>18</v>
      </c>
      <c r="E12" s="30" t="s">
        <v>634</v>
      </c>
      <c r="F12" s="1"/>
      <c r="G12" s="12"/>
      <c r="H12" s="2"/>
    </row>
    <row r="13" spans="3:8" x14ac:dyDescent="0.25">
      <c r="C13" s="29" t="s">
        <v>454</v>
      </c>
      <c r="D13" s="27" t="s">
        <v>18</v>
      </c>
      <c r="E13" s="30" t="s">
        <v>635</v>
      </c>
      <c r="F13" s="1"/>
      <c r="G13" s="12"/>
      <c r="H13" s="2"/>
    </row>
    <row r="14" spans="3:8" x14ac:dyDescent="0.25">
      <c r="C14" s="29" t="s">
        <v>455</v>
      </c>
      <c r="D14" s="27" t="s">
        <v>18</v>
      </c>
      <c r="E14" s="30" t="s">
        <v>197</v>
      </c>
      <c r="F14" s="1"/>
      <c r="G14" s="12"/>
      <c r="H14" s="2"/>
    </row>
    <row r="15" spans="3:8" x14ac:dyDescent="0.25">
      <c r="C15" s="29" t="s">
        <v>456</v>
      </c>
      <c r="D15" s="27" t="s">
        <v>18</v>
      </c>
      <c r="E15" s="30" t="s">
        <v>636</v>
      </c>
      <c r="F15" s="1"/>
      <c r="G15" s="12"/>
      <c r="H15" s="2"/>
    </row>
    <row r="16" spans="3:8" x14ac:dyDescent="0.25">
      <c r="C16" s="29" t="s">
        <v>457</v>
      </c>
      <c r="D16" s="27" t="s">
        <v>18</v>
      </c>
      <c r="E16" s="30" t="s">
        <v>541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190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189</v>
      </c>
      <c r="G34" s="34" t="s">
        <v>19</v>
      </c>
      <c r="H34" s="19"/>
    </row>
    <row r="35" spans="3:8" x14ac:dyDescent="0.25">
      <c r="C35" s="1"/>
      <c r="D35" s="12"/>
      <c r="E35" s="2"/>
      <c r="F35" s="100">
        <v>41976</v>
      </c>
      <c r="G35" s="34" t="s">
        <v>19</v>
      </c>
      <c r="H35" s="19"/>
    </row>
    <row r="36" spans="3:8" x14ac:dyDescent="0.25">
      <c r="C36" s="1"/>
      <c r="D36" s="12"/>
      <c r="E36" s="2"/>
      <c r="F36" s="49" t="s">
        <v>449</v>
      </c>
      <c r="G36" s="51" t="s">
        <v>18</v>
      </c>
      <c r="H36" s="19"/>
    </row>
    <row r="37" spans="3:8" x14ac:dyDescent="0.25">
      <c r="C37" s="1"/>
      <c r="D37" s="12"/>
      <c r="E37" s="2"/>
      <c r="F37" s="49" t="s">
        <v>588</v>
      </c>
      <c r="G37" s="51" t="s">
        <v>18</v>
      </c>
      <c r="H37" s="19"/>
    </row>
    <row r="38" spans="3:8" x14ac:dyDescent="0.25">
      <c r="C38" s="1"/>
      <c r="D38" s="12"/>
      <c r="E38" s="2"/>
      <c r="F38" s="37" t="s">
        <v>547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192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38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194</v>
      </c>
      <c r="G41" s="34" t="s">
        <v>19</v>
      </c>
      <c r="H41" s="19"/>
    </row>
    <row r="42" spans="3:8" ht="15.75" thickBot="1" x14ac:dyDescent="0.3">
      <c r="C42" s="3"/>
      <c r="D42" s="16"/>
      <c r="E42" s="4"/>
      <c r="F42" s="56" t="s">
        <v>193</v>
      </c>
      <c r="G42" s="43" t="s">
        <v>19</v>
      </c>
      <c r="H42" s="19"/>
    </row>
    <row r="43" spans="3:8" ht="15.75" thickBot="1" x14ac:dyDescent="0.3"/>
    <row r="44" spans="3:8" x14ac:dyDescent="0.25">
      <c r="E44" s="24" t="s">
        <v>299</v>
      </c>
      <c r="F44" s="25" t="s">
        <v>708</v>
      </c>
    </row>
    <row r="45" spans="3:8" x14ac:dyDescent="0.25">
      <c r="E45" s="33" t="s">
        <v>298</v>
      </c>
      <c r="F45" s="34" t="s">
        <v>709</v>
      </c>
    </row>
    <row r="46" spans="3:8" x14ac:dyDescent="0.25">
      <c r="E46" s="31" t="s">
        <v>300</v>
      </c>
      <c r="F46" s="32" t="s">
        <v>710</v>
      </c>
    </row>
    <row r="47" spans="3:8" ht="15.75" thickBot="1" x14ac:dyDescent="0.3">
      <c r="E47" s="44" t="s">
        <v>301</v>
      </c>
      <c r="F47" s="45" t="s">
        <v>711</v>
      </c>
    </row>
    <row r="48" spans="3:8" ht="15.75" thickBot="1" x14ac:dyDescent="0.3"/>
    <row r="49" spans="5:6" ht="15.75" thickBot="1" x14ac:dyDescent="0.3">
      <c r="E49" s="68" t="s">
        <v>715</v>
      </c>
      <c r="F49" s="69" t="s">
        <v>712</v>
      </c>
    </row>
    <row r="51" spans="5:6" x14ac:dyDescent="0.25">
      <c r="E51" s="21" t="s">
        <v>43</v>
      </c>
      <c r="F51" s="12">
        <f>COUNTA(C5:C6,C11:C16)</f>
        <v>8</v>
      </c>
    </row>
    <row r="52" spans="5:6" x14ac:dyDescent="0.25">
      <c r="E52" s="21" t="s">
        <v>44</v>
      </c>
      <c r="F52" s="12">
        <f>COUNTA(F38:F42,F33:F35)</f>
        <v>8</v>
      </c>
    </row>
    <row r="53" spans="5:6" x14ac:dyDescent="0.25">
      <c r="E53" s="21" t="s">
        <v>45</v>
      </c>
      <c r="F53" s="12">
        <v>0</v>
      </c>
    </row>
    <row r="54" spans="5:6" x14ac:dyDescent="0.25">
      <c r="E54" s="21" t="s">
        <v>46</v>
      </c>
      <c r="F54" s="12">
        <f>COUNTA(F36:F37,F5:F6,C7:C10)</f>
        <v>8</v>
      </c>
    </row>
    <row r="56" spans="5:6" x14ac:dyDescent="0.25">
      <c r="E56" s="21" t="s">
        <v>47</v>
      </c>
      <c r="F56" s="12">
        <f>F51/(F51+F53)</f>
        <v>1</v>
      </c>
    </row>
    <row r="57" spans="5:6" x14ac:dyDescent="0.25">
      <c r="E57" s="21" t="s">
        <v>48</v>
      </c>
      <c r="F57" s="12">
        <f>F51/(F51+F54)</f>
        <v>0.5</v>
      </c>
    </row>
    <row r="58" spans="5:6" x14ac:dyDescent="0.25">
      <c r="E58" s="21" t="s">
        <v>49</v>
      </c>
      <c r="F58" s="12">
        <f>F52/(F53+F52)</f>
        <v>1</v>
      </c>
    </row>
    <row r="59" spans="5:6" x14ac:dyDescent="0.25">
      <c r="E59" s="21" t="s">
        <v>302</v>
      </c>
      <c r="F59" s="12">
        <f>2*F51/((2*F51)+F53+F54)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F46" sqref="F4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72.71093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</v>
      </c>
      <c r="D5" s="26" t="s">
        <v>18</v>
      </c>
      <c r="E5" s="25" t="s">
        <v>218</v>
      </c>
      <c r="F5" s="28" t="s">
        <v>462</v>
      </c>
      <c r="G5" s="26" t="s">
        <v>18</v>
      </c>
      <c r="H5" s="25" t="s">
        <v>637</v>
      </c>
    </row>
    <row r="6" spans="3:8" x14ac:dyDescent="0.25">
      <c r="C6" s="29" t="s">
        <v>310</v>
      </c>
      <c r="D6" s="27" t="s">
        <v>18</v>
      </c>
      <c r="E6" s="30" t="s">
        <v>328</v>
      </c>
      <c r="F6" s="29" t="s">
        <v>318</v>
      </c>
      <c r="G6" s="27" t="s">
        <v>18</v>
      </c>
      <c r="H6" s="30" t="s">
        <v>638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463</v>
      </c>
      <c r="G7" s="50" t="s">
        <v>19</v>
      </c>
      <c r="H7" s="51" t="s">
        <v>28</v>
      </c>
    </row>
    <row r="8" spans="3:8" x14ac:dyDescent="0.25">
      <c r="C8" s="29" t="s">
        <v>6</v>
      </c>
      <c r="D8" s="27" t="s">
        <v>18</v>
      </c>
      <c r="E8" s="30" t="s">
        <v>178</v>
      </c>
      <c r="F8" s="29" t="s">
        <v>464</v>
      </c>
      <c r="G8" s="27" t="s">
        <v>18</v>
      </c>
      <c r="H8" s="30" t="s">
        <v>639</v>
      </c>
    </row>
    <row r="9" spans="3:8" x14ac:dyDescent="0.25">
      <c r="C9" s="29" t="s">
        <v>96</v>
      </c>
      <c r="D9" s="27" t="s">
        <v>18</v>
      </c>
      <c r="E9" s="30" t="s">
        <v>209</v>
      </c>
      <c r="F9" s="29" t="s">
        <v>465</v>
      </c>
      <c r="G9" s="27" t="s">
        <v>18</v>
      </c>
      <c r="H9" s="30" t="s">
        <v>640</v>
      </c>
    </row>
    <row r="10" spans="3:8" x14ac:dyDescent="0.25">
      <c r="C10" s="29" t="s">
        <v>166</v>
      </c>
      <c r="D10" s="27" t="s">
        <v>18</v>
      </c>
      <c r="E10" s="30" t="s">
        <v>224</v>
      </c>
      <c r="F10" s="29" t="s">
        <v>466</v>
      </c>
      <c r="G10" s="27" t="s">
        <v>18</v>
      </c>
      <c r="H10" s="30" t="s">
        <v>280</v>
      </c>
    </row>
    <row r="11" spans="3:8" x14ac:dyDescent="0.25">
      <c r="C11" s="29" t="s">
        <v>52</v>
      </c>
      <c r="D11" s="27" t="s">
        <v>18</v>
      </c>
      <c r="E11" s="30" t="s">
        <v>258</v>
      </c>
      <c r="F11" s="29" t="s">
        <v>467</v>
      </c>
      <c r="G11" s="27" t="s">
        <v>18</v>
      </c>
      <c r="H11" s="30" t="s">
        <v>226</v>
      </c>
    </row>
    <row r="12" spans="3:8" x14ac:dyDescent="0.25">
      <c r="C12" s="29" t="s">
        <v>460</v>
      </c>
      <c r="D12" s="27" t="s">
        <v>18</v>
      </c>
      <c r="E12" s="30" t="s">
        <v>604</v>
      </c>
      <c r="F12" s="1"/>
      <c r="G12" s="12"/>
      <c r="H12" s="2"/>
    </row>
    <row r="13" spans="3:8" x14ac:dyDescent="0.25">
      <c r="C13" s="49" t="s">
        <v>314</v>
      </c>
      <c r="D13" s="50" t="s">
        <v>19</v>
      </c>
      <c r="E13" s="51" t="s">
        <v>28</v>
      </c>
      <c r="F13" s="1"/>
      <c r="G13" s="12"/>
      <c r="H13" s="2"/>
    </row>
    <row r="14" spans="3:8" x14ac:dyDescent="0.25">
      <c r="C14" s="29" t="s">
        <v>115</v>
      </c>
      <c r="D14" s="27" t="s">
        <v>18</v>
      </c>
      <c r="E14" s="30" t="s">
        <v>229</v>
      </c>
      <c r="F14" s="1"/>
      <c r="G14" s="12"/>
      <c r="H14" s="2"/>
    </row>
    <row r="15" spans="3:8" x14ac:dyDescent="0.25">
      <c r="C15" s="29" t="s">
        <v>55</v>
      </c>
      <c r="D15" s="27" t="s">
        <v>18</v>
      </c>
      <c r="E15" s="30" t="s">
        <v>254</v>
      </c>
      <c r="F15" s="1"/>
      <c r="G15" s="12"/>
      <c r="H15" s="2"/>
    </row>
    <row r="16" spans="3:8" x14ac:dyDescent="0.25">
      <c r="C16" s="49" t="s">
        <v>461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29" t="s">
        <v>56</v>
      </c>
      <c r="D17" s="27" t="s">
        <v>18</v>
      </c>
      <c r="E17" s="30" t="s">
        <v>183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38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641</v>
      </c>
      <c r="G35" s="71" t="s">
        <v>18</v>
      </c>
      <c r="H35" s="19"/>
    </row>
    <row r="36" spans="3:8" x14ac:dyDescent="0.25">
      <c r="C36" s="1"/>
      <c r="D36" s="12"/>
      <c r="E36" s="2"/>
      <c r="F36" s="70" t="s">
        <v>535</v>
      </c>
      <c r="G36" s="71" t="s">
        <v>18</v>
      </c>
      <c r="H36" s="19"/>
    </row>
    <row r="37" spans="3:8" x14ac:dyDescent="0.25">
      <c r="C37" s="1"/>
      <c r="D37" s="12"/>
      <c r="E37" s="2"/>
      <c r="F37" s="70" t="s">
        <v>642</v>
      </c>
      <c r="G37" s="71" t="s">
        <v>18</v>
      </c>
      <c r="H37" s="19"/>
    </row>
    <row r="38" spans="3:8" x14ac:dyDescent="0.25">
      <c r="C38" s="1"/>
      <c r="D38" s="12"/>
      <c r="E38" s="2"/>
      <c r="F38" s="70" t="s">
        <v>643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COUNTA(F8:F11,F5:F6,C5:C12,C14:C15,C17)</f>
        <v>17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COUNTA(F35:F38,F7,C16,C13)</f>
        <v>7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0.70833333333333337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0.82926829268292679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E48" sqref="E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468</v>
      </c>
      <c r="D5" s="26" t="s">
        <v>18</v>
      </c>
      <c r="E5" s="25" t="s">
        <v>206</v>
      </c>
      <c r="F5" s="9"/>
      <c r="G5" s="15"/>
      <c r="H5" s="10"/>
    </row>
    <row r="6" spans="3:8" x14ac:dyDescent="0.25">
      <c r="C6" s="29" t="s">
        <v>360</v>
      </c>
      <c r="D6" s="27" t="s">
        <v>18</v>
      </c>
      <c r="E6" s="30" t="s">
        <v>540</v>
      </c>
      <c r="F6" s="1"/>
      <c r="G6" s="12"/>
      <c r="H6" s="2"/>
    </row>
    <row r="7" spans="3:8" x14ac:dyDescent="0.25">
      <c r="C7" s="29" t="s">
        <v>371</v>
      </c>
      <c r="D7" s="27" t="s">
        <v>18</v>
      </c>
      <c r="E7" s="30" t="s">
        <v>558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182</v>
      </c>
      <c r="F8" s="1"/>
      <c r="G8" s="12"/>
      <c r="H8" s="2"/>
    </row>
    <row r="9" spans="3:8" x14ac:dyDescent="0.25">
      <c r="C9" s="29" t="s">
        <v>469</v>
      </c>
      <c r="D9" s="27" t="s">
        <v>18</v>
      </c>
      <c r="E9" s="30" t="s">
        <v>177</v>
      </c>
      <c r="F9" s="1"/>
      <c r="G9" s="12"/>
      <c r="H9" s="2"/>
    </row>
    <row r="10" spans="3:8" x14ac:dyDescent="0.25">
      <c r="C10" s="29" t="s">
        <v>166</v>
      </c>
      <c r="D10" s="27" t="s">
        <v>18</v>
      </c>
      <c r="E10" s="30" t="s">
        <v>224</v>
      </c>
      <c r="F10" s="1"/>
      <c r="G10" s="12"/>
      <c r="H10" s="2"/>
    </row>
    <row r="11" spans="3:8" x14ac:dyDescent="0.25">
      <c r="C11" s="29" t="s">
        <v>470</v>
      </c>
      <c r="D11" s="27" t="s">
        <v>18</v>
      </c>
      <c r="E11" s="30" t="s">
        <v>586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562</v>
      </c>
      <c r="D33" s="39" t="s">
        <v>19</v>
      </c>
      <c r="E33" s="40" t="s">
        <v>563</v>
      </c>
      <c r="F33" s="35" t="s">
        <v>189</v>
      </c>
      <c r="G33" s="36" t="s">
        <v>19</v>
      </c>
      <c r="H33" s="19"/>
    </row>
    <row r="34" spans="3:8" x14ac:dyDescent="0.25">
      <c r="C34" s="41" t="s">
        <v>283</v>
      </c>
      <c r="D34" s="42" t="s">
        <v>19</v>
      </c>
      <c r="E34" s="32" t="s">
        <v>284</v>
      </c>
      <c r="F34" s="37" t="s">
        <v>545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COUNTA(C5:C11)</f>
        <v>7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f>COUNTA(C33:C34)</f>
        <v>2</v>
      </c>
    </row>
    <row r="53" spans="5:6" x14ac:dyDescent="0.25">
      <c r="E53" s="21" t="s">
        <v>46</v>
      </c>
      <c r="F53" s="12">
        <v>0</v>
      </c>
    </row>
    <row r="55" spans="5:6" x14ac:dyDescent="0.25">
      <c r="E55" s="21" t="s">
        <v>47</v>
      </c>
      <c r="F55" s="12">
        <f>F50/(F50+F52)</f>
        <v>0.77777777777777779</v>
      </c>
    </row>
    <row r="56" spans="5:6" x14ac:dyDescent="0.25">
      <c r="E56" s="21" t="s">
        <v>48</v>
      </c>
      <c r="F56" s="12">
        <f>F50/(F50+F53)</f>
        <v>1</v>
      </c>
    </row>
    <row r="57" spans="5:6" x14ac:dyDescent="0.25">
      <c r="E57" s="21" t="s">
        <v>49</v>
      </c>
      <c r="F57" s="12">
        <f>F51/(F52+F51)</f>
        <v>0.5</v>
      </c>
    </row>
    <row r="58" spans="5:6" x14ac:dyDescent="0.25">
      <c r="E58" s="21" t="s">
        <v>302</v>
      </c>
      <c r="F58" s="12">
        <f>2*F50/((2*F50)+F52+F53)</f>
        <v>0.875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E48" sqref="E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2.85546875" customWidth="1"/>
    <col min="6" max="6" width="87.5703125" customWidth="1"/>
    <col min="7" max="7" width="28.5703125" customWidth="1"/>
    <col min="8" max="8" width="45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28" t="s">
        <v>478</v>
      </c>
      <c r="G5" s="26" t="s">
        <v>18</v>
      </c>
      <c r="H5" s="25" t="s">
        <v>645</v>
      </c>
    </row>
    <row r="6" spans="3:8" x14ac:dyDescent="0.25">
      <c r="C6" s="29" t="s">
        <v>471</v>
      </c>
      <c r="D6" s="27" t="s">
        <v>18</v>
      </c>
      <c r="E6" s="30" t="s">
        <v>178</v>
      </c>
      <c r="F6" s="49" t="s">
        <v>479</v>
      </c>
      <c r="G6" s="50" t="s">
        <v>19</v>
      </c>
      <c r="H6" s="51" t="s">
        <v>28</v>
      </c>
    </row>
    <row r="7" spans="3:8" x14ac:dyDescent="0.25">
      <c r="C7" s="29" t="s">
        <v>472</v>
      </c>
      <c r="D7" s="27" t="s">
        <v>18</v>
      </c>
      <c r="E7" s="30" t="s">
        <v>179</v>
      </c>
      <c r="F7" s="49" t="s">
        <v>480</v>
      </c>
      <c r="G7" s="50" t="s">
        <v>19</v>
      </c>
      <c r="H7" s="51" t="s">
        <v>28</v>
      </c>
    </row>
    <row r="8" spans="3:8" x14ac:dyDescent="0.25">
      <c r="C8" s="29" t="s">
        <v>473</v>
      </c>
      <c r="D8" s="27" t="s">
        <v>18</v>
      </c>
      <c r="E8" s="30" t="s">
        <v>558</v>
      </c>
      <c r="F8" s="1"/>
      <c r="G8" s="12"/>
      <c r="H8" s="2"/>
    </row>
    <row r="9" spans="3:8" x14ac:dyDescent="0.25">
      <c r="C9" s="29" t="s">
        <v>474</v>
      </c>
      <c r="D9" s="27" t="s">
        <v>18</v>
      </c>
      <c r="E9" s="30" t="s">
        <v>224</v>
      </c>
      <c r="F9" s="1"/>
      <c r="G9" s="12"/>
      <c r="H9" s="2"/>
    </row>
    <row r="10" spans="3:8" x14ac:dyDescent="0.25">
      <c r="C10" s="49" t="s">
        <v>475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476</v>
      </c>
      <c r="D11" s="27" t="s">
        <v>18</v>
      </c>
      <c r="E11" s="30" t="s">
        <v>644</v>
      </c>
      <c r="F11" s="1"/>
      <c r="G11" s="12"/>
      <c r="H11" s="2"/>
    </row>
    <row r="12" spans="3:8" x14ac:dyDescent="0.25">
      <c r="C12" s="29" t="s">
        <v>477</v>
      </c>
      <c r="D12" s="27" t="s">
        <v>18</v>
      </c>
      <c r="E12" s="30" t="s">
        <v>199</v>
      </c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41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569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38</v>
      </c>
      <c r="G35" s="34" t="s">
        <v>19</v>
      </c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COUNTA(F5,C11:C12,C5:C9)</f>
        <v>8</v>
      </c>
    </row>
    <row r="51" spans="5:6" x14ac:dyDescent="0.25">
      <c r="E51" s="21" t="s">
        <v>44</v>
      </c>
      <c r="F51" s="12">
        <f>COUNTA(F33:F35)</f>
        <v>3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COUNTA(F6:F7,C10)</f>
        <v>3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0.72727272727272729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0.84210526315789469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workbookViewId="0">
      <selection activeCell="E50" sqref="E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481</v>
      </c>
      <c r="D5" s="47" t="s">
        <v>19</v>
      </c>
      <c r="E5" s="48" t="s">
        <v>28</v>
      </c>
      <c r="F5" s="46" t="s">
        <v>486</v>
      </c>
      <c r="G5" s="47" t="s">
        <v>19</v>
      </c>
      <c r="H5" s="48" t="s">
        <v>28</v>
      </c>
    </row>
    <row r="6" spans="3:8" x14ac:dyDescent="0.25">
      <c r="C6" s="29" t="s">
        <v>482</v>
      </c>
      <c r="D6" s="27" t="s">
        <v>18</v>
      </c>
      <c r="E6" s="30" t="s">
        <v>646</v>
      </c>
      <c r="F6" s="49" t="s">
        <v>402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177</v>
      </c>
      <c r="F7" s="1"/>
      <c r="G7" s="12"/>
      <c r="H7" s="2"/>
    </row>
    <row r="8" spans="3:8" x14ac:dyDescent="0.25">
      <c r="C8" s="29" t="s">
        <v>483</v>
      </c>
      <c r="D8" s="27" t="s">
        <v>18</v>
      </c>
      <c r="E8" s="30" t="s">
        <v>604</v>
      </c>
      <c r="F8" s="1"/>
      <c r="G8" s="12"/>
      <c r="H8" s="2"/>
    </row>
    <row r="9" spans="3:8" x14ac:dyDescent="0.25">
      <c r="C9" s="29" t="s">
        <v>96</v>
      </c>
      <c r="D9" s="27" t="s">
        <v>18</v>
      </c>
      <c r="E9" s="30" t="s">
        <v>209</v>
      </c>
      <c r="F9" s="1"/>
      <c r="G9" s="12"/>
      <c r="H9" s="2"/>
    </row>
    <row r="10" spans="3:8" x14ac:dyDescent="0.25">
      <c r="C10" s="29" t="s">
        <v>166</v>
      </c>
      <c r="D10" s="27" t="s">
        <v>18</v>
      </c>
      <c r="E10" s="30" t="s">
        <v>224</v>
      </c>
      <c r="F10" s="1"/>
      <c r="G10" s="12"/>
      <c r="H10" s="2"/>
    </row>
    <row r="11" spans="3:8" x14ac:dyDescent="0.25">
      <c r="C11" s="29" t="s">
        <v>650</v>
      </c>
      <c r="D11" s="27" t="s">
        <v>18</v>
      </c>
      <c r="E11" s="30" t="s">
        <v>651</v>
      </c>
      <c r="F11" s="1"/>
      <c r="G11" s="12"/>
      <c r="H11" s="2"/>
    </row>
    <row r="12" spans="3:8" x14ac:dyDescent="0.25">
      <c r="C12" s="29" t="s">
        <v>484</v>
      </c>
      <c r="D12" s="27" t="s">
        <v>18</v>
      </c>
      <c r="E12" s="30" t="s">
        <v>184</v>
      </c>
      <c r="F12" s="1"/>
      <c r="G12" s="12"/>
      <c r="H12" s="2"/>
    </row>
    <row r="13" spans="3:8" x14ac:dyDescent="0.25">
      <c r="C13" s="29" t="s">
        <v>648</v>
      </c>
      <c r="D13" s="27" t="s">
        <v>18</v>
      </c>
      <c r="E13" s="30" t="s">
        <v>649</v>
      </c>
      <c r="F13" s="1"/>
      <c r="G13" s="12"/>
      <c r="H13" s="2"/>
    </row>
    <row r="14" spans="3:8" x14ac:dyDescent="0.25">
      <c r="C14" s="29" t="s">
        <v>371</v>
      </c>
      <c r="D14" s="27" t="s">
        <v>18</v>
      </c>
      <c r="E14" s="30" t="s">
        <v>558</v>
      </c>
      <c r="F14" s="1"/>
      <c r="G14" s="12"/>
      <c r="H14" s="2"/>
    </row>
    <row r="15" spans="3:8" x14ac:dyDescent="0.25">
      <c r="C15" s="29" t="s">
        <v>7</v>
      </c>
      <c r="D15" s="27" t="s">
        <v>18</v>
      </c>
      <c r="E15" s="30" t="s">
        <v>182</v>
      </c>
      <c r="F15" s="1"/>
      <c r="G15" s="12"/>
      <c r="H15" s="2"/>
    </row>
    <row r="16" spans="3:8" x14ac:dyDescent="0.25">
      <c r="C16" s="29" t="s">
        <v>485</v>
      </c>
      <c r="D16" s="27" t="s">
        <v>18</v>
      </c>
      <c r="E16" s="30" t="s">
        <v>647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9"/>
      <c r="D35" s="15"/>
      <c r="E35" s="10"/>
      <c r="F35" s="35" t="s">
        <v>189</v>
      </c>
      <c r="G35" s="36" t="s">
        <v>19</v>
      </c>
      <c r="H35" s="19"/>
    </row>
    <row r="36" spans="3:8" x14ac:dyDescent="0.25">
      <c r="C36" s="1"/>
      <c r="D36" s="12"/>
      <c r="E36" s="2"/>
      <c r="F36" s="37" t="s">
        <v>652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653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37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654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655</v>
      </c>
      <c r="G40" s="34" t="s">
        <v>19</v>
      </c>
      <c r="H40" s="19"/>
    </row>
    <row r="41" spans="3:8" x14ac:dyDescent="0.25">
      <c r="C41" s="1"/>
      <c r="D41" s="12"/>
      <c r="E41" s="2"/>
      <c r="F41" s="49" t="s">
        <v>515</v>
      </c>
      <c r="G41" s="51" t="s">
        <v>18</v>
      </c>
      <c r="H41" s="19"/>
    </row>
    <row r="42" spans="3:8" x14ac:dyDescent="0.25">
      <c r="C42" s="1"/>
      <c r="D42" s="12"/>
      <c r="E42" s="2"/>
      <c r="F42" s="49" t="s">
        <v>402</v>
      </c>
      <c r="G42" s="51" t="s">
        <v>18</v>
      </c>
      <c r="H42" s="19"/>
    </row>
    <row r="43" spans="3:8" ht="15.75" thickBot="1" x14ac:dyDescent="0.3">
      <c r="C43" s="3"/>
      <c r="D43" s="16"/>
      <c r="E43" s="4"/>
      <c r="F43" s="6"/>
      <c r="G43" s="4"/>
      <c r="H43" s="19"/>
    </row>
    <row r="44" spans="3:8" ht="15.75" thickBot="1" x14ac:dyDescent="0.3"/>
    <row r="45" spans="3:8" x14ac:dyDescent="0.25">
      <c r="E45" s="24" t="s">
        <v>299</v>
      </c>
      <c r="F45" s="25" t="s">
        <v>708</v>
      </c>
    </row>
    <row r="46" spans="3:8" x14ac:dyDescent="0.25">
      <c r="E46" s="33" t="s">
        <v>298</v>
      </c>
      <c r="F46" s="34" t="s">
        <v>709</v>
      </c>
    </row>
    <row r="47" spans="3:8" x14ac:dyDescent="0.25">
      <c r="E47" s="31" t="s">
        <v>300</v>
      </c>
      <c r="F47" s="32" t="s">
        <v>710</v>
      </c>
    </row>
    <row r="48" spans="3:8" ht="15.75" thickBot="1" x14ac:dyDescent="0.3">
      <c r="E48" s="44" t="s">
        <v>301</v>
      </c>
      <c r="F48" s="45" t="s">
        <v>711</v>
      </c>
    </row>
    <row r="49" spans="5:6" ht="15.75" thickBot="1" x14ac:dyDescent="0.3"/>
    <row r="50" spans="5:6" ht="15.75" thickBot="1" x14ac:dyDescent="0.3">
      <c r="E50" s="68" t="s">
        <v>715</v>
      </c>
      <c r="F50" s="69" t="s">
        <v>712</v>
      </c>
    </row>
    <row r="52" spans="5:6" x14ac:dyDescent="0.25">
      <c r="E52" s="21" t="s">
        <v>43</v>
      </c>
      <c r="F52" s="12">
        <f>COUNTA(C6:C16)</f>
        <v>11</v>
      </c>
    </row>
    <row r="53" spans="5:6" x14ac:dyDescent="0.25">
      <c r="E53" s="21" t="s">
        <v>44</v>
      </c>
      <c r="F53" s="12">
        <f>COUNTA(F35:F40)</f>
        <v>6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COUNTA(F41:F42,F5:F6,C5)</f>
        <v>5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0.6875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0.81481481481481477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7"/>
  <sheetViews>
    <sheetView workbookViewId="0">
      <selection activeCell="E47" sqref="E4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4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46" t="s">
        <v>492</v>
      </c>
      <c r="G5" s="47" t="s">
        <v>19</v>
      </c>
      <c r="H5" s="48" t="s">
        <v>28</v>
      </c>
    </row>
    <row r="6" spans="3:8" x14ac:dyDescent="0.25">
      <c r="C6" s="29" t="s">
        <v>487</v>
      </c>
      <c r="D6" s="27" t="s">
        <v>18</v>
      </c>
      <c r="E6" s="30" t="s">
        <v>182</v>
      </c>
      <c r="F6" s="29" t="s">
        <v>493</v>
      </c>
      <c r="G6" s="27" t="s">
        <v>18</v>
      </c>
      <c r="H6" s="30" t="s">
        <v>268</v>
      </c>
    </row>
    <row r="7" spans="3:8" x14ac:dyDescent="0.25">
      <c r="C7" s="29" t="s">
        <v>474</v>
      </c>
      <c r="D7" s="27" t="s">
        <v>18</v>
      </c>
      <c r="E7" s="30" t="s">
        <v>224</v>
      </c>
      <c r="F7" s="49" t="s">
        <v>494</v>
      </c>
      <c r="G7" s="50" t="s">
        <v>19</v>
      </c>
      <c r="H7" s="51" t="s">
        <v>28</v>
      </c>
    </row>
    <row r="8" spans="3:8" x14ac:dyDescent="0.25">
      <c r="C8" s="29" t="s">
        <v>656</v>
      </c>
      <c r="D8" s="27" t="s">
        <v>18</v>
      </c>
      <c r="E8" s="30" t="s">
        <v>657</v>
      </c>
      <c r="F8" s="1"/>
      <c r="G8" s="12"/>
      <c r="H8" s="2"/>
    </row>
    <row r="9" spans="3:8" x14ac:dyDescent="0.25">
      <c r="C9" s="29" t="s">
        <v>99</v>
      </c>
      <c r="D9" s="27" t="s">
        <v>18</v>
      </c>
      <c r="E9" s="30" t="s">
        <v>286</v>
      </c>
      <c r="F9" s="1"/>
      <c r="G9" s="12"/>
      <c r="H9" s="2"/>
    </row>
    <row r="10" spans="3:8" x14ac:dyDescent="0.25">
      <c r="C10" s="49" t="s">
        <v>488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5</v>
      </c>
      <c r="D11" s="27" t="s">
        <v>18</v>
      </c>
      <c r="E11" s="30" t="s">
        <v>173</v>
      </c>
      <c r="F11" s="1"/>
      <c r="G11" s="12"/>
      <c r="H11" s="2"/>
    </row>
    <row r="12" spans="3:8" x14ac:dyDescent="0.25">
      <c r="C12" s="29" t="s">
        <v>489</v>
      </c>
      <c r="D12" s="27" t="s">
        <v>18</v>
      </c>
      <c r="E12" s="30" t="s">
        <v>179</v>
      </c>
      <c r="F12" s="1"/>
      <c r="G12" s="12"/>
      <c r="H12" s="2"/>
    </row>
    <row r="13" spans="3:8" x14ac:dyDescent="0.25">
      <c r="C13" s="29" t="s">
        <v>6</v>
      </c>
      <c r="D13" s="27" t="s">
        <v>18</v>
      </c>
      <c r="E13" s="30" t="s">
        <v>178</v>
      </c>
      <c r="F13" s="1"/>
      <c r="G13" s="12"/>
      <c r="H13" s="2"/>
    </row>
    <row r="14" spans="3:8" x14ac:dyDescent="0.25">
      <c r="C14" s="29" t="s">
        <v>490</v>
      </c>
      <c r="D14" s="27" t="s">
        <v>18</v>
      </c>
      <c r="E14" s="30" t="s">
        <v>209</v>
      </c>
      <c r="F14" s="1"/>
      <c r="G14" s="12"/>
      <c r="H14" s="2"/>
    </row>
    <row r="15" spans="3:8" x14ac:dyDescent="0.25">
      <c r="C15" s="49" t="s">
        <v>491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56</v>
      </c>
      <c r="D16" s="27" t="s">
        <v>18</v>
      </c>
      <c r="E16" s="30" t="s">
        <v>183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28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11" t="s">
        <v>17</v>
      </c>
      <c r="D29" s="112"/>
      <c r="E29" s="112"/>
      <c r="F29" s="112"/>
      <c r="G29" s="113"/>
      <c r="H29" s="18"/>
    </row>
    <row r="30" spans="3:8" ht="15.75" thickBot="1" x14ac:dyDescent="0.3">
      <c r="C30" s="117" t="s">
        <v>35</v>
      </c>
      <c r="D30" s="112"/>
      <c r="E30" s="113"/>
      <c r="F30" s="117" t="s">
        <v>42</v>
      </c>
      <c r="G30" s="118"/>
      <c r="H30" s="18"/>
    </row>
    <row r="31" spans="3:8" ht="15.75" thickBot="1" x14ac:dyDescent="0.3">
      <c r="C31" s="8" t="s">
        <v>34</v>
      </c>
      <c r="D31" s="8" t="s">
        <v>31</v>
      </c>
      <c r="E31" s="8" t="s">
        <v>20</v>
      </c>
      <c r="F31" s="8" t="s">
        <v>34</v>
      </c>
      <c r="G31" s="8" t="s">
        <v>31</v>
      </c>
      <c r="H31" s="20"/>
    </row>
    <row r="32" spans="3:8" x14ac:dyDescent="0.25">
      <c r="C32" s="38" t="s">
        <v>249</v>
      </c>
      <c r="D32" s="39"/>
      <c r="E32" s="40" t="s">
        <v>234</v>
      </c>
      <c r="F32" s="35" t="s">
        <v>658</v>
      </c>
      <c r="G32" s="36" t="s">
        <v>19</v>
      </c>
      <c r="H32" s="19"/>
    </row>
    <row r="33" spans="3:8" x14ac:dyDescent="0.25">
      <c r="C33" s="1"/>
      <c r="D33" s="12"/>
      <c r="E33" s="2"/>
      <c r="F33" s="37" t="s">
        <v>37</v>
      </c>
      <c r="G33" s="34" t="s">
        <v>19</v>
      </c>
      <c r="H33" s="19"/>
    </row>
    <row r="34" spans="3:8" x14ac:dyDescent="0.25">
      <c r="C34" s="1"/>
      <c r="D34" s="12"/>
      <c r="E34" s="2"/>
      <c r="F34" s="70" t="s">
        <v>659</v>
      </c>
      <c r="G34" s="71" t="s">
        <v>18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5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ht="15.75" thickBot="1" x14ac:dyDescent="0.3">
      <c r="C40" s="3"/>
      <c r="D40" s="16"/>
      <c r="E40" s="4"/>
      <c r="F40" s="6"/>
      <c r="G40" s="4"/>
      <c r="H40" s="19"/>
    </row>
    <row r="41" spans="3:8" ht="15.75" thickBot="1" x14ac:dyDescent="0.3"/>
    <row r="42" spans="3:8" x14ac:dyDescent="0.25">
      <c r="E42" s="24" t="s">
        <v>299</v>
      </c>
      <c r="F42" s="25" t="s">
        <v>708</v>
      </c>
    </row>
    <row r="43" spans="3:8" x14ac:dyDescent="0.25">
      <c r="E43" s="33" t="s">
        <v>298</v>
      </c>
      <c r="F43" s="34" t="s">
        <v>709</v>
      </c>
    </row>
    <row r="44" spans="3:8" x14ac:dyDescent="0.25">
      <c r="E44" s="31" t="s">
        <v>300</v>
      </c>
      <c r="F44" s="32" t="s">
        <v>710</v>
      </c>
    </row>
    <row r="45" spans="3:8" ht="15.75" thickBot="1" x14ac:dyDescent="0.3">
      <c r="E45" s="44" t="s">
        <v>301</v>
      </c>
      <c r="F45" s="45" t="s">
        <v>711</v>
      </c>
    </row>
    <row r="46" spans="3:8" ht="15.75" thickBot="1" x14ac:dyDescent="0.3"/>
    <row r="47" spans="3:8" ht="15.75" thickBot="1" x14ac:dyDescent="0.3">
      <c r="E47" s="68" t="s">
        <v>715</v>
      </c>
      <c r="F47" s="69" t="s">
        <v>712</v>
      </c>
    </row>
    <row r="49" spans="5:6" x14ac:dyDescent="0.25">
      <c r="E49" s="21" t="s">
        <v>43</v>
      </c>
      <c r="F49" s="12">
        <f>COUNTA(F6,C5:C9,C11:C14,C16)</f>
        <v>11</v>
      </c>
    </row>
    <row r="50" spans="5:6" x14ac:dyDescent="0.25">
      <c r="E50" s="21" t="s">
        <v>44</v>
      </c>
      <c r="F50" s="12">
        <f>COUNTA(F32:F33)</f>
        <v>2</v>
      </c>
    </row>
    <row r="51" spans="5:6" x14ac:dyDescent="0.25">
      <c r="E51" s="21" t="s">
        <v>45</v>
      </c>
      <c r="F51" s="12">
        <f>COUNTA(C32)</f>
        <v>1</v>
      </c>
    </row>
    <row r="52" spans="5:6" x14ac:dyDescent="0.25">
      <c r="E52" s="21" t="s">
        <v>46</v>
      </c>
      <c r="F52" s="12">
        <f>COUNTA(F34,F7,F5,C10,C15)</f>
        <v>5</v>
      </c>
    </row>
    <row r="54" spans="5:6" x14ac:dyDescent="0.25">
      <c r="E54" s="21" t="s">
        <v>47</v>
      </c>
      <c r="F54" s="12">
        <f>F49/(F49+F51)</f>
        <v>0.91666666666666663</v>
      </c>
    </row>
    <row r="55" spans="5:6" x14ac:dyDescent="0.25">
      <c r="E55" s="21" t="s">
        <v>48</v>
      </c>
      <c r="F55" s="12">
        <f>F49/(F49+F52)</f>
        <v>0.6875</v>
      </c>
    </row>
    <row r="56" spans="5:6" x14ac:dyDescent="0.25">
      <c r="E56" s="21" t="s">
        <v>49</v>
      </c>
      <c r="F56" s="12">
        <f>F50/(F51+F50)</f>
        <v>0.66666666666666663</v>
      </c>
    </row>
    <row r="57" spans="5:6" x14ac:dyDescent="0.25">
      <c r="E57" s="21" t="s">
        <v>302</v>
      </c>
      <c r="F57" s="12">
        <f>2*F49/((2*F49)+F51+F52)</f>
        <v>0.7857142857142857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workbookViewId="0">
      <selection activeCell="E55" sqref="E5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1.855468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482</v>
      </c>
      <c r="D5" s="26" t="s">
        <v>18</v>
      </c>
      <c r="E5" s="25" t="s">
        <v>646</v>
      </c>
      <c r="F5" s="46" t="s">
        <v>498</v>
      </c>
      <c r="G5" s="47"/>
      <c r="H5" s="48" t="s">
        <v>28</v>
      </c>
    </row>
    <row r="6" spans="3:8" x14ac:dyDescent="0.25">
      <c r="C6" s="29" t="s">
        <v>495</v>
      </c>
      <c r="D6" s="27" t="s">
        <v>18</v>
      </c>
      <c r="E6" s="30" t="s">
        <v>261</v>
      </c>
      <c r="F6" s="29" t="s">
        <v>499</v>
      </c>
      <c r="G6" s="27"/>
      <c r="H6" s="30" t="s">
        <v>529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500</v>
      </c>
      <c r="G7" s="50"/>
      <c r="H7" s="51" t="s">
        <v>28</v>
      </c>
    </row>
    <row r="8" spans="3:8" x14ac:dyDescent="0.25">
      <c r="C8" s="49" t="s">
        <v>496</v>
      </c>
      <c r="D8" s="50" t="s">
        <v>19</v>
      </c>
      <c r="E8" s="51" t="s">
        <v>28</v>
      </c>
      <c r="F8" s="49" t="s">
        <v>501</v>
      </c>
      <c r="G8" s="50"/>
      <c r="H8" s="51" t="s">
        <v>28</v>
      </c>
    </row>
    <row r="9" spans="3:8" x14ac:dyDescent="0.25">
      <c r="C9" s="29" t="s">
        <v>5</v>
      </c>
      <c r="D9" s="27" t="s">
        <v>18</v>
      </c>
      <c r="E9" s="30" t="s">
        <v>173</v>
      </c>
      <c r="F9" s="49" t="s">
        <v>502</v>
      </c>
      <c r="G9" s="50"/>
      <c r="H9" s="51" t="s">
        <v>28</v>
      </c>
    </row>
    <row r="10" spans="3:8" x14ac:dyDescent="0.25">
      <c r="C10" s="29" t="s">
        <v>660</v>
      </c>
      <c r="D10" s="27" t="s">
        <v>18</v>
      </c>
      <c r="E10" s="30" t="s">
        <v>661</v>
      </c>
      <c r="F10" s="49" t="s">
        <v>503</v>
      </c>
      <c r="G10" s="50"/>
      <c r="H10" s="51" t="s">
        <v>28</v>
      </c>
    </row>
    <row r="11" spans="3:8" x14ac:dyDescent="0.25">
      <c r="C11" s="29" t="s">
        <v>6</v>
      </c>
      <c r="D11" s="27" t="s">
        <v>18</v>
      </c>
      <c r="E11" s="30" t="s">
        <v>178</v>
      </c>
      <c r="F11" s="49" t="s">
        <v>504</v>
      </c>
      <c r="G11" s="50"/>
      <c r="H11" s="51" t="s">
        <v>28</v>
      </c>
    </row>
    <row r="12" spans="3:8" x14ac:dyDescent="0.25">
      <c r="C12" s="29" t="s">
        <v>490</v>
      </c>
      <c r="D12" s="27" t="s">
        <v>18</v>
      </c>
      <c r="E12" s="30" t="s">
        <v>209</v>
      </c>
      <c r="F12" s="49" t="s">
        <v>505</v>
      </c>
      <c r="G12" s="50"/>
      <c r="H12" s="51" t="s">
        <v>28</v>
      </c>
    </row>
    <row r="13" spans="3:8" x14ac:dyDescent="0.25">
      <c r="C13" s="49" t="s">
        <v>497</v>
      </c>
      <c r="D13" s="50" t="s">
        <v>19</v>
      </c>
      <c r="E13" s="51" t="s">
        <v>28</v>
      </c>
      <c r="F13" s="49" t="s">
        <v>506</v>
      </c>
      <c r="G13" s="50"/>
      <c r="H13" s="51" t="s">
        <v>28</v>
      </c>
    </row>
    <row r="14" spans="3:8" x14ac:dyDescent="0.25">
      <c r="C14" s="29" t="s">
        <v>52</v>
      </c>
      <c r="D14" s="27" t="s">
        <v>18</v>
      </c>
      <c r="E14" s="30" t="s">
        <v>258</v>
      </c>
      <c r="F14" s="29" t="s">
        <v>318</v>
      </c>
      <c r="G14" s="27"/>
      <c r="H14" s="30" t="s">
        <v>638</v>
      </c>
    </row>
    <row r="15" spans="3:8" x14ac:dyDescent="0.25">
      <c r="C15" s="29" t="s">
        <v>409</v>
      </c>
      <c r="D15" s="27" t="s">
        <v>18</v>
      </c>
      <c r="E15" s="30" t="s">
        <v>595</v>
      </c>
      <c r="F15" s="1"/>
      <c r="G15" s="12"/>
      <c r="H15" s="2"/>
    </row>
    <row r="16" spans="3:8" x14ac:dyDescent="0.25">
      <c r="C16" s="29" t="s">
        <v>55</v>
      </c>
      <c r="D16" s="27" t="s">
        <v>18</v>
      </c>
      <c r="E16" s="30" t="s">
        <v>180</v>
      </c>
      <c r="F16" s="1"/>
      <c r="G16" s="12"/>
      <c r="H16" s="2"/>
    </row>
    <row r="17" spans="3:8" x14ac:dyDescent="0.25">
      <c r="C17" s="29" t="s">
        <v>56</v>
      </c>
      <c r="D17" s="27" t="s">
        <v>18</v>
      </c>
      <c r="E17" s="30" t="s">
        <v>183</v>
      </c>
      <c r="F17" s="1"/>
      <c r="G17" s="12"/>
      <c r="H17" s="2"/>
    </row>
    <row r="18" spans="3:8" x14ac:dyDescent="0.25">
      <c r="C18" s="29" t="s">
        <v>371</v>
      </c>
      <c r="D18" s="27" t="s">
        <v>18</v>
      </c>
      <c r="E18" s="30" t="s">
        <v>558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182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249</v>
      </c>
      <c r="D33" s="39" t="s">
        <v>19</v>
      </c>
      <c r="E33" s="40" t="s">
        <v>234</v>
      </c>
      <c r="F33" s="72" t="s">
        <v>602</v>
      </c>
      <c r="G33" s="73" t="s">
        <v>18</v>
      </c>
      <c r="H33" s="19"/>
    </row>
    <row r="34" spans="3:8" x14ac:dyDescent="0.25">
      <c r="C34" s="91"/>
      <c r="D34" s="92"/>
      <c r="E34" s="93"/>
      <c r="F34" s="63" t="s">
        <v>215</v>
      </c>
      <c r="G34" s="55" t="s">
        <v>19</v>
      </c>
      <c r="H34" s="19"/>
    </row>
    <row r="35" spans="3:8" x14ac:dyDescent="0.25">
      <c r="C35" s="1"/>
      <c r="D35" s="12"/>
      <c r="E35" s="2"/>
      <c r="F35" s="70" t="s">
        <v>498</v>
      </c>
      <c r="G35" s="71" t="s">
        <v>18</v>
      </c>
      <c r="H35" s="19"/>
    </row>
    <row r="36" spans="3:8" x14ac:dyDescent="0.25">
      <c r="C36" s="1"/>
      <c r="D36" s="12"/>
      <c r="E36" s="2"/>
      <c r="F36" s="37" t="s">
        <v>534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662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663</v>
      </c>
      <c r="G38" s="71" t="s">
        <v>18</v>
      </c>
      <c r="H38" s="19"/>
    </row>
    <row r="39" spans="3:8" x14ac:dyDescent="0.25">
      <c r="C39" s="1"/>
      <c r="D39" s="12"/>
      <c r="E39" s="2"/>
      <c r="F39" s="37" t="s">
        <v>193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194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38</v>
      </c>
      <c r="G41" s="34" t="s">
        <v>19</v>
      </c>
      <c r="H41" s="19"/>
    </row>
    <row r="42" spans="3:8" x14ac:dyDescent="0.25">
      <c r="C42" s="1"/>
      <c r="D42" s="12"/>
      <c r="E42" s="2"/>
      <c r="F42" s="70" t="s">
        <v>664</v>
      </c>
      <c r="G42" s="71" t="s">
        <v>18</v>
      </c>
      <c r="H42" s="19"/>
    </row>
    <row r="43" spans="3:8" x14ac:dyDescent="0.25">
      <c r="C43" s="1"/>
      <c r="D43" s="12"/>
      <c r="E43" s="2"/>
      <c r="F43" s="70" t="s">
        <v>665</v>
      </c>
      <c r="G43" s="71" t="s">
        <v>18</v>
      </c>
      <c r="H43" s="19"/>
    </row>
    <row r="44" spans="3:8" x14ac:dyDescent="0.25">
      <c r="C44" s="1"/>
      <c r="D44" s="12"/>
      <c r="E44" s="2"/>
      <c r="F44" s="70" t="s">
        <v>666</v>
      </c>
      <c r="G44" s="71" t="s">
        <v>18</v>
      </c>
      <c r="H44" s="19"/>
    </row>
    <row r="45" spans="3:8" x14ac:dyDescent="0.25">
      <c r="C45" s="1"/>
      <c r="D45" s="12"/>
      <c r="E45" s="2"/>
      <c r="F45" s="70" t="s">
        <v>535</v>
      </c>
      <c r="G45" s="71" t="s">
        <v>18</v>
      </c>
      <c r="H45" s="19"/>
    </row>
    <row r="46" spans="3:8" x14ac:dyDescent="0.25">
      <c r="C46" s="1"/>
      <c r="D46" s="12"/>
      <c r="E46" s="2"/>
      <c r="F46" s="37" t="s">
        <v>667</v>
      </c>
      <c r="G46" s="34" t="s">
        <v>19</v>
      </c>
      <c r="H46" s="19"/>
    </row>
    <row r="47" spans="3:8" x14ac:dyDescent="0.25">
      <c r="C47" s="1"/>
      <c r="D47" s="12"/>
      <c r="E47" s="2"/>
      <c r="F47" s="70" t="s">
        <v>668</v>
      </c>
      <c r="G47" s="71" t="s">
        <v>18</v>
      </c>
      <c r="H47" s="19"/>
    </row>
    <row r="48" spans="3:8" ht="15.75" thickBot="1" x14ac:dyDescent="0.3">
      <c r="C48" s="3"/>
      <c r="D48" s="16"/>
      <c r="E48" s="4"/>
      <c r="F48" s="56" t="s">
        <v>669</v>
      </c>
      <c r="G48" s="43" t="s">
        <v>19</v>
      </c>
      <c r="H48" s="19"/>
    </row>
    <row r="49" spans="5:6" ht="15.75" thickBot="1" x14ac:dyDescent="0.3"/>
    <row r="50" spans="5:6" x14ac:dyDescent="0.25">
      <c r="E50" s="24" t="s">
        <v>299</v>
      </c>
      <c r="F50" s="25" t="s">
        <v>708</v>
      </c>
    </row>
    <row r="51" spans="5:6" x14ac:dyDescent="0.25">
      <c r="E51" s="33" t="s">
        <v>298</v>
      </c>
      <c r="F51" s="34" t="s">
        <v>709</v>
      </c>
    </row>
    <row r="52" spans="5:6" x14ac:dyDescent="0.25">
      <c r="E52" s="31" t="s">
        <v>300</v>
      </c>
      <c r="F52" s="32" t="s">
        <v>710</v>
      </c>
    </row>
    <row r="53" spans="5:6" ht="15.75" thickBot="1" x14ac:dyDescent="0.3">
      <c r="E53" s="44" t="s">
        <v>301</v>
      </c>
      <c r="F53" s="45" t="s">
        <v>711</v>
      </c>
    </row>
    <row r="54" spans="5:6" ht="15.75" thickBot="1" x14ac:dyDescent="0.3"/>
    <row r="55" spans="5:6" ht="15.75" thickBot="1" x14ac:dyDescent="0.3">
      <c r="E55" s="68" t="s">
        <v>715</v>
      </c>
      <c r="F55" s="69" t="s">
        <v>712</v>
      </c>
    </row>
    <row r="57" spans="5:6" x14ac:dyDescent="0.25">
      <c r="E57" s="21" t="s">
        <v>43</v>
      </c>
      <c r="F57" s="12">
        <f>COUNTA(F6,F14,C14:C19,C9:C12,C5:C7)</f>
        <v>15</v>
      </c>
    </row>
    <row r="58" spans="5:6" x14ac:dyDescent="0.25">
      <c r="E58" s="21" t="s">
        <v>44</v>
      </c>
      <c r="F58" s="12">
        <f>COUNTA(F48,F46,F39:F41,F37,F36,F34)</f>
        <v>8</v>
      </c>
    </row>
    <row r="59" spans="5:6" x14ac:dyDescent="0.25">
      <c r="E59" s="21" t="s">
        <v>45</v>
      </c>
      <c r="F59" s="12">
        <f>COUNTA(C33)</f>
        <v>1</v>
      </c>
    </row>
    <row r="60" spans="5:6" x14ac:dyDescent="0.25">
      <c r="E60" s="21" t="s">
        <v>46</v>
      </c>
      <c r="F60" s="12">
        <f>COUNTA(F47,F42:F45,F38,F35,F33,F7:F13,F5,C13,C8)</f>
        <v>18</v>
      </c>
    </row>
    <row r="62" spans="5:6" x14ac:dyDescent="0.25">
      <c r="E62" s="21" t="s">
        <v>47</v>
      </c>
      <c r="F62" s="12">
        <f>F57/(F57+F59)</f>
        <v>0.9375</v>
      </c>
    </row>
    <row r="63" spans="5:6" x14ac:dyDescent="0.25">
      <c r="E63" s="21" t="s">
        <v>48</v>
      </c>
      <c r="F63" s="12">
        <f>F57/(F57+F60)</f>
        <v>0.45454545454545453</v>
      </c>
    </row>
    <row r="64" spans="5:6" x14ac:dyDescent="0.25">
      <c r="E64" s="21" t="s">
        <v>49</v>
      </c>
      <c r="F64" s="12">
        <f>F58/(F59+F58)</f>
        <v>0.88888888888888884</v>
      </c>
    </row>
    <row r="65" spans="5:6" x14ac:dyDescent="0.25">
      <c r="E65" s="21" t="s">
        <v>302</v>
      </c>
      <c r="F65" s="12">
        <f>2*F57/((2*F57)+F59+F60)</f>
        <v>0.61224489795918369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0"/>
  <sheetViews>
    <sheetView workbookViewId="0">
      <selection activeCell="E60" sqref="E6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1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99</v>
      </c>
      <c r="D5" s="26" t="s">
        <v>18</v>
      </c>
      <c r="E5" s="25" t="s">
        <v>286</v>
      </c>
      <c r="F5" s="28" t="s">
        <v>318</v>
      </c>
      <c r="G5" s="26" t="s">
        <v>18</v>
      </c>
      <c r="H5" s="25" t="s">
        <v>638</v>
      </c>
    </row>
    <row r="6" spans="3:8" x14ac:dyDescent="0.25">
      <c r="C6" s="29" t="s">
        <v>52</v>
      </c>
      <c r="D6" s="27" t="s">
        <v>18</v>
      </c>
      <c r="E6" s="30" t="s">
        <v>258</v>
      </c>
      <c r="F6" s="49" t="s">
        <v>511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512</v>
      </c>
      <c r="G7" s="50" t="s">
        <v>19</v>
      </c>
      <c r="H7" s="51" t="s">
        <v>28</v>
      </c>
    </row>
    <row r="8" spans="3:8" x14ac:dyDescent="0.25">
      <c r="C8" s="29" t="s">
        <v>6</v>
      </c>
      <c r="D8" s="27" t="s">
        <v>18</v>
      </c>
      <c r="E8" s="30" t="s">
        <v>178</v>
      </c>
      <c r="F8" s="29" t="s">
        <v>513</v>
      </c>
      <c r="G8" s="27" t="s">
        <v>18</v>
      </c>
      <c r="H8" s="30" t="s">
        <v>613</v>
      </c>
    </row>
    <row r="9" spans="3:8" x14ac:dyDescent="0.25">
      <c r="C9" s="29" t="s">
        <v>507</v>
      </c>
      <c r="D9" s="27" t="s">
        <v>18</v>
      </c>
      <c r="E9" s="30" t="s">
        <v>229</v>
      </c>
      <c r="F9" s="49" t="s">
        <v>514</v>
      </c>
      <c r="G9" s="50" t="s">
        <v>19</v>
      </c>
      <c r="H9" s="51" t="s">
        <v>28</v>
      </c>
    </row>
    <row r="10" spans="3:8" x14ac:dyDescent="0.25">
      <c r="C10" s="29" t="s">
        <v>490</v>
      </c>
      <c r="D10" s="27" t="s">
        <v>18</v>
      </c>
      <c r="E10" s="30" t="s">
        <v>209</v>
      </c>
      <c r="F10" s="49" t="s">
        <v>515</v>
      </c>
      <c r="G10" s="50" t="s">
        <v>19</v>
      </c>
      <c r="H10" s="51" t="s">
        <v>28</v>
      </c>
    </row>
    <row r="11" spans="3:8" x14ac:dyDescent="0.25">
      <c r="C11" s="29" t="s">
        <v>55</v>
      </c>
      <c r="D11" s="27" t="s">
        <v>18</v>
      </c>
      <c r="E11" s="30" t="s">
        <v>180</v>
      </c>
      <c r="F11" s="1"/>
      <c r="G11" s="12"/>
      <c r="H11" s="2"/>
    </row>
    <row r="12" spans="3:8" x14ac:dyDescent="0.25">
      <c r="C12" s="29" t="s">
        <v>166</v>
      </c>
      <c r="D12" s="27" t="s">
        <v>18</v>
      </c>
      <c r="E12" s="30" t="s">
        <v>224</v>
      </c>
      <c r="F12" s="1"/>
      <c r="G12" s="12"/>
      <c r="H12" s="2"/>
    </row>
    <row r="13" spans="3:8" x14ac:dyDescent="0.25">
      <c r="C13" s="29" t="s">
        <v>7</v>
      </c>
      <c r="D13" s="27" t="s">
        <v>18</v>
      </c>
      <c r="E13" s="30" t="s">
        <v>182</v>
      </c>
      <c r="F13" s="1"/>
      <c r="G13" s="12"/>
      <c r="H13" s="2"/>
    </row>
    <row r="14" spans="3:8" x14ac:dyDescent="0.25">
      <c r="C14" s="29" t="s">
        <v>406</v>
      </c>
      <c r="D14" s="27" t="s">
        <v>18</v>
      </c>
      <c r="E14" s="30" t="s">
        <v>586</v>
      </c>
      <c r="F14" s="1"/>
      <c r="G14" s="12"/>
      <c r="H14" s="2"/>
    </row>
    <row r="15" spans="3:8" x14ac:dyDescent="0.25">
      <c r="C15" s="29" t="s">
        <v>56</v>
      </c>
      <c r="D15" s="27" t="s">
        <v>18</v>
      </c>
      <c r="E15" s="30" t="s">
        <v>183</v>
      </c>
      <c r="F15" s="1"/>
      <c r="G15" s="12"/>
      <c r="H15" s="2"/>
    </row>
    <row r="16" spans="3:8" x14ac:dyDescent="0.25">
      <c r="C16" s="29" t="s">
        <v>508</v>
      </c>
      <c r="D16" s="27" t="s">
        <v>18</v>
      </c>
      <c r="E16" s="30" t="s">
        <v>328</v>
      </c>
      <c r="F16" s="1"/>
      <c r="G16" s="12"/>
      <c r="H16" s="2"/>
    </row>
    <row r="17" spans="3:8" x14ac:dyDescent="0.25">
      <c r="C17" s="29" t="s">
        <v>670</v>
      </c>
      <c r="D17" s="27" t="s">
        <v>18</v>
      </c>
      <c r="E17" s="30" t="s">
        <v>671</v>
      </c>
      <c r="F17" s="1"/>
      <c r="G17" s="12"/>
      <c r="H17" s="2"/>
    </row>
    <row r="18" spans="3:8" x14ac:dyDescent="0.25">
      <c r="C18" s="29" t="s">
        <v>64</v>
      </c>
      <c r="D18" s="27" t="s">
        <v>18</v>
      </c>
      <c r="E18" s="30" t="s">
        <v>186</v>
      </c>
      <c r="F18" s="1"/>
      <c r="G18" s="12"/>
      <c r="H18" s="2"/>
    </row>
    <row r="19" spans="3:8" x14ac:dyDescent="0.25">
      <c r="C19" s="29" t="s">
        <v>509</v>
      </c>
      <c r="D19" s="27" t="s">
        <v>18</v>
      </c>
      <c r="E19" s="30" t="s">
        <v>672</v>
      </c>
      <c r="F19" s="1"/>
      <c r="G19" s="12"/>
      <c r="H19" s="2"/>
    </row>
    <row r="20" spans="3:8" x14ac:dyDescent="0.25">
      <c r="C20" s="29" t="s">
        <v>426</v>
      </c>
      <c r="D20" s="27" t="s">
        <v>18</v>
      </c>
      <c r="E20" s="30" t="s">
        <v>623</v>
      </c>
      <c r="F20" s="1"/>
      <c r="G20" s="12"/>
      <c r="H20" s="2"/>
    </row>
    <row r="21" spans="3:8" x14ac:dyDescent="0.25">
      <c r="C21" s="29" t="s">
        <v>510</v>
      </c>
      <c r="D21" s="27" t="s">
        <v>18</v>
      </c>
      <c r="E21" s="30" t="s">
        <v>673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 t="s">
        <v>28</v>
      </c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ht="15.75" thickBot="1" x14ac:dyDescent="0.3">
      <c r="C28" s="3"/>
      <c r="D28" s="16"/>
      <c r="E28" s="4"/>
      <c r="F28" s="6"/>
      <c r="G28" s="17"/>
      <c r="H28" s="4"/>
    </row>
    <row r="30" spans="3:8" ht="15.75" thickBot="1" x14ac:dyDescent="0.3"/>
    <row r="31" spans="3:8" ht="15.75" thickBot="1" x14ac:dyDescent="0.3">
      <c r="C31" s="111" t="s">
        <v>17</v>
      </c>
      <c r="D31" s="112"/>
      <c r="E31" s="112"/>
      <c r="F31" s="112"/>
      <c r="G31" s="113"/>
      <c r="H31" s="18"/>
    </row>
    <row r="32" spans="3:8" ht="15.75" thickBot="1" x14ac:dyDescent="0.3">
      <c r="C32" s="117" t="s">
        <v>35</v>
      </c>
      <c r="D32" s="112"/>
      <c r="E32" s="113"/>
      <c r="F32" s="117" t="s">
        <v>42</v>
      </c>
      <c r="G32" s="118"/>
      <c r="H32" s="18"/>
    </row>
    <row r="33" spans="3:8" ht="15.75" thickBot="1" x14ac:dyDescent="0.3">
      <c r="C33" s="8" t="s">
        <v>34</v>
      </c>
      <c r="D33" s="8" t="s">
        <v>31</v>
      </c>
      <c r="E33" s="8" t="s">
        <v>20</v>
      </c>
      <c r="F33" s="8" t="s">
        <v>34</v>
      </c>
      <c r="G33" s="8" t="s">
        <v>31</v>
      </c>
      <c r="H33" s="20"/>
    </row>
    <row r="34" spans="3:8" x14ac:dyDescent="0.25">
      <c r="C34" s="9"/>
      <c r="D34" s="15"/>
      <c r="E34" s="10"/>
      <c r="F34" s="35" t="s">
        <v>216</v>
      </c>
      <c r="G34" s="36" t="s">
        <v>19</v>
      </c>
      <c r="H34" s="19"/>
    </row>
    <row r="35" spans="3:8" x14ac:dyDescent="0.25">
      <c r="C35" s="91"/>
      <c r="D35" s="92"/>
      <c r="E35" s="93"/>
      <c r="F35" s="63" t="s">
        <v>674</v>
      </c>
      <c r="G35" s="55" t="s">
        <v>19</v>
      </c>
      <c r="H35" s="19"/>
    </row>
    <row r="36" spans="3:8" x14ac:dyDescent="0.25">
      <c r="C36" s="91"/>
      <c r="D36" s="92"/>
      <c r="E36" s="93"/>
      <c r="F36" s="63" t="s">
        <v>675</v>
      </c>
      <c r="G36" s="55" t="s">
        <v>19</v>
      </c>
      <c r="H36" s="19"/>
    </row>
    <row r="37" spans="3:8" x14ac:dyDescent="0.25">
      <c r="C37" s="91"/>
      <c r="D37" s="92"/>
      <c r="E37" s="93"/>
      <c r="F37" s="63" t="s">
        <v>676</v>
      </c>
      <c r="G37" s="55" t="s">
        <v>19</v>
      </c>
      <c r="H37" s="19"/>
    </row>
    <row r="38" spans="3:8" x14ac:dyDescent="0.25">
      <c r="C38" s="91"/>
      <c r="D38" s="92"/>
      <c r="E38" s="93"/>
      <c r="F38" s="63" t="s">
        <v>677</v>
      </c>
      <c r="G38" s="55" t="s">
        <v>19</v>
      </c>
      <c r="H38" s="19"/>
    </row>
    <row r="39" spans="3:8" x14ac:dyDescent="0.25">
      <c r="C39" s="1"/>
      <c r="D39" s="12"/>
      <c r="E39" s="2"/>
      <c r="F39" s="37" t="s">
        <v>669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192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678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679</v>
      </c>
      <c r="G42" s="34" t="s">
        <v>19</v>
      </c>
      <c r="H42" s="19"/>
    </row>
    <row r="43" spans="3:8" x14ac:dyDescent="0.25">
      <c r="C43" s="1"/>
      <c r="D43" s="12"/>
      <c r="E43" s="2"/>
      <c r="F43" s="70" t="s">
        <v>680</v>
      </c>
      <c r="G43" s="71" t="s">
        <v>18</v>
      </c>
      <c r="H43" s="19"/>
    </row>
    <row r="44" spans="3:8" x14ac:dyDescent="0.25">
      <c r="C44" s="1"/>
      <c r="D44" s="12"/>
      <c r="E44" s="2"/>
      <c r="F44" s="37" t="s">
        <v>38</v>
      </c>
      <c r="G44" s="34" t="s">
        <v>19</v>
      </c>
      <c r="H44" s="19"/>
    </row>
    <row r="45" spans="3:8" x14ac:dyDescent="0.25">
      <c r="C45" s="1"/>
      <c r="D45" s="12"/>
      <c r="E45" s="2"/>
      <c r="F45" s="70" t="s">
        <v>535</v>
      </c>
      <c r="G45" s="71" t="s">
        <v>18</v>
      </c>
      <c r="H45" s="19"/>
    </row>
    <row r="46" spans="3:8" x14ac:dyDescent="0.25">
      <c r="C46" s="1"/>
      <c r="D46" s="12"/>
      <c r="E46" s="2"/>
      <c r="F46" s="70" t="s">
        <v>681</v>
      </c>
      <c r="G46" s="71" t="s">
        <v>18</v>
      </c>
      <c r="H46" s="19"/>
    </row>
    <row r="47" spans="3:8" x14ac:dyDescent="0.25">
      <c r="C47" s="1"/>
      <c r="D47" s="12"/>
      <c r="E47" s="2"/>
      <c r="F47" s="70" t="s">
        <v>682</v>
      </c>
      <c r="G47" s="71" t="s">
        <v>18</v>
      </c>
      <c r="H47" s="19"/>
    </row>
    <row r="48" spans="3:8" x14ac:dyDescent="0.25">
      <c r="C48" s="1"/>
      <c r="D48" s="12"/>
      <c r="E48" s="2"/>
      <c r="F48" s="70" t="s">
        <v>683</v>
      </c>
      <c r="G48" s="71" t="s">
        <v>18</v>
      </c>
      <c r="H48" s="19"/>
    </row>
    <row r="49" spans="3:8" x14ac:dyDescent="0.25">
      <c r="C49" s="1"/>
      <c r="D49" s="12"/>
      <c r="E49" s="2"/>
      <c r="F49" s="70" t="s">
        <v>617</v>
      </c>
      <c r="G49" s="71" t="s">
        <v>18</v>
      </c>
      <c r="H49" s="19"/>
    </row>
    <row r="50" spans="3:8" x14ac:dyDescent="0.25">
      <c r="C50" s="1"/>
      <c r="D50" s="12"/>
      <c r="E50" s="2"/>
      <c r="F50" s="37" t="s">
        <v>190</v>
      </c>
      <c r="G50" s="34" t="s">
        <v>19</v>
      </c>
      <c r="H50" s="19"/>
    </row>
    <row r="51" spans="3:8" x14ac:dyDescent="0.25">
      <c r="C51" s="1"/>
      <c r="D51" s="12"/>
      <c r="E51" s="2"/>
      <c r="F51" s="70" t="s">
        <v>515</v>
      </c>
      <c r="G51" s="71" t="s">
        <v>18</v>
      </c>
      <c r="H51" s="19"/>
    </row>
    <row r="52" spans="3:8" x14ac:dyDescent="0.25">
      <c r="C52" s="1"/>
      <c r="D52" s="12"/>
      <c r="E52" s="2"/>
      <c r="F52" s="70" t="s">
        <v>684</v>
      </c>
      <c r="G52" s="71" t="s">
        <v>18</v>
      </c>
      <c r="H52" s="19"/>
    </row>
    <row r="53" spans="3:8" ht="15.75" thickBot="1" x14ac:dyDescent="0.3">
      <c r="C53" s="3"/>
      <c r="D53" s="16"/>
      <c r="E53" s="4"/>
      <c r="F53" s="56" t="s">
        <v>194</v>
      </c>
      <c r="G53" s="43" t="s">
        <v>19</v>
      </c>
      <c r="H53" s="19"/>
    </row>
    <row r="54" spans="3:8" ht="15.75" thickBot="1" x14ac:dyDescent="0.3"/>
    <row r="55" spans="3:8" x14ac:dyDescent="0.25">
      <c r="E55" s="24" t="s">
        <v>299</v>
      </c>
      <c r="F55" s="25" t="s">
        <v>708</v>
      </c>
    </row>
    <row r="56" spans="3:8" x14ac:dyDescent="0.25">
      <c r="E56" s="33" t="s">
        <v>298</v>
      </c>
      <c r="F56" s="34" t="s">
        <v>709</v>
      </c>
    </row>
    <row r="57" spans="3:8" x14ac:dyDescent="0.25">
      <c r="E57" s="31" t="s">
        <v>300</v>
      </c>
      <c r="F57" s="32" t="s">
        <v>710</v>
      </c>
    </row>
    <row r="58" spans="3:8" ht="15.75" thickBot="1" x14ac:dyDescent="0.3">
      <c r="E58" s="44" t="s">
        <v>301</v>
      </c>
      <c r="F58" s="45" t="s">
        <v>711</v>
      </c>
    </row>
    <row r="59" spans="3:8" ht="15.75" thickBot="1" x14ac:dyDescent="0.3"/>
    <row r="60" spans="3:8" ht="15.75" thickBot="1" x14ac:dyDescent="0.3">
      <c r="E60" s="68" t="s">
        <v>715</v>
      </c>
      <c r="F60" s="69" t="s">
        <v>712</v>
      </c>
    </row>
    <row r="62" spans="3:8" x14ac:dyDescent="0.25">
      <c r="E62" s="21" t="s">
        <v>43</v>
      </c>
      <c r="F62" s="12">
        <f>COUNTA(F8,F5,C5:C21)</f>
        <v>19</v>
      </c>
    </row>
    <row r="63" spans="3:8" x14ac:dyDescent="0.25">
      <c r="E63" s="21" t="s">
        <v>44</v>
      </c>
      <c r="F63" s="12">
        <f>COUNTA(F53,F50,F44,F34:F42)</f>
        <v>12</v>
      </c>
    </row>
    <row r="64" spans="3:8" x14ac:dyDescent="0.25">
      <c r="E64" s="21" t="s">
        <v>45</v>
      </c>
      <c r="F64" s="12">
        <v>0</v>
      </c>
    </row>
    <row r="65" spans="5:6" x14ac:dyDescent="0.25">
      <c r="E65" s="21" t="s">
        <v>46</v>
      </c>
      <c r="F65" s="12">
        <f>COUNTA(F51:F52,F45:F49,F43,F9:F10,F6:F7)</f>
        <v>12</v>
      </c>
    </row>
    <row r="67" spans="5:6" x14ac:dyDescent="0.25">
      <c r="E67" s="21" t="s">
        <v>47</v>
      </c>
      <c r="F67" s="12">
        <f>F62/(F62+F64)</f>
        <v>1</v>
      </c>
    </row>
    <row r="68" spans="5:6" x14ac:dyDescent="0.25">
      <c r="E68" s="21" t="s">
        <v>48</v>
      </c>
      <c r="F68" s="12">
        <f>F62/(F62+F65)</f>
        <v>0.61290322580645162</v>
      </c>
    </row>
    <row r="69" spans="5:6" x14ac:dyDescent="0.25">
      <c r="E69" s="21" t="s">
        <v>49</v>
      </c>
      <c r="F69" s="12">
        <f>F63/(F64+F63)</f>
        <v>1</v>
      </c>
    </row>
    <row r="70" spans="5:6" x14ac:dyDescent="0.25">
      <c r="E70" s="21" t="s">
        <v>302</v>
      </c>
      <c r="F70" s="12">
        <f>2*F62/((2*F62)+F64+F65)</f>
        <v>0.76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workbookViewId="0">
      <selection activeCell="C56" sqref="C5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140625" customWidth="1"/>
    <col min="6" max="6" width="87.5703125" customWidth="1"/>
    <col min="7" max="7" width="28.5703125" customWidth="1"/>
    <col min="8" max="8" width="44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6</v>
      </c>
      <c r="D5" s="26" t="s">
        <v>18</v>
      </c>
      <c r="E5" s="25" t="s">
        <v>178</v>
      </c>
      <c r="F5" s="58" t="s">
        <v>92</v>
      </c>
      <c r="G5" s="26" t="s">
        <v>18</v>
      </c>
      <c r="H5" s="25" t="s">
        <v>207</v>
      </c>
    </row>
    <row r="6" spans="3:8" x14ac:dyDescent="0.25">
      <c r="C6" s="29" t="s">
        <v>72</v>
      </c>
      <c r="D6" s="27" t="s">
        <v>18</v>
      </c>
      <c r="E6" s="30" t="s">
        <v>209</v>
      </c>
      <c r="F6" s="49" t="s">
        <v>93</v>
      </c>
      <c r="G6" s="50" t="s">
        <v>19</v>
      </c>
      <c r="H6" s="51" t="s">
        <v>28</v>
      </c>
    </row>
    <row r="7" spans="3:8" x14ac:dyDescent="0.25">
      <c r="C7" s="29" t="s">
        <v>73</v>
      </c>
      <c r="D7" s="27" t="s">
        <v>18</v>
      </c>
      <c r="E7" s="30" t="s">
        <v>199</v>
      </c>
      <c r="F7" s="29" t="s">
        <v>94</v>
      </c>
      <c r="G7" s="27" t="s">
        <v>18</v>
      </c>
      <c r="H7" s="30" t="s">
        <v>208</v>
      </c>
    </row>
    <row r="8" spans="3:8" x14ac:dyDescent="0.25">
      <c r="C8" s="29" t="s">
        <v>74</v>
      </c>
      <c r="D8" s="27" t="s">
        <v>18</v>
      </c>
      <c r="E8" s="30" t="s">
        <v>177</v>
      </c>
      <c r="F8" s="1"/>
      <c r="G8" s="12"/>
      <c r="H8" s="2"/>
    </row>
    <row r="9" spans="3:8" x14ac:dyDescent="0.25">
      <c r="C9" s="29" t="s">
        <v>75</v>
      </c>
      <c r="D9" s="27" t="s">
        <v>18</v>
      </c>
      <c r="E9" s="30" t="s">
        <v>200</v>
      </c>
      <c r="F9" s="1"/>
      <c r="G9" s="12"/>
      <c r="H9" s="2"/>
    </row>
    <row r="10" spans="3:8" x14ac:dyDescent="0.25">
      <c r="C10" s="29" t="s">
        <v>76</v>
      </c>
      <c r="D10" s="27" t="s">
        <v>18</v>
      </c>
      <c r="E10" s="30" t="s">
        <v>201</v>
      </c>
      <c r="F10" s="1"/>
      <c r="G10" s="12"/>
      <c r="H10" s="2"/>
    </row>
    <row r="11" spans="3:8" x14ac:dyDescent="0.25">
      <c r="C11" s="29" t="s">
        <v>77</v>
      </c>
      <c r="D11" s="27" t="s">
        <v>18</v>
      </c>
      <c r="E11" s="30" t="s">
        <v>183</v>
      </c>
      <c r="F11" s="1"/>
      <c r="G11" s="12"/>
      <c r="H11" s="2"/>
    </row>
    <row r="12" spans="3:8" x14ac:dyDescent="0.25">
      <c r="C12" s="29" t="s">
        <v>211</v>
      </c>
      <c r="D12" s="27" t="s">
        <v>18</v>
      </c>
      <c r="E12" s="30" t="s">
        <v>212</v>
      </c>
      <c r="F12" s="1"/>
      <c r="G12" s="12"/>
      <c r="H12" s="2"/>
    </row>
    <row r="13" spans="3:8" x14ac:dyDescent="0.25">
      <c r="C13" s="29" t="s">
        <v>78</v>
      </c>
      <c r="D13" s="27" t="s">
        <v>18</v>
      </c>
      <c r="E13" s="30" t="s">
        <v>202</v>
      </c>
      <c r="F13" s="1"/>
      <c r="G13" s="12"/>
      <c r="H13" s="2"/>
    </row>
    <row r="14" spans="3:8" x14ac:dyDescent="0.25">
      <c r="C14" s="29" t="s">
        <v>79</v>
      </c>
      <c r="D14" s="27" t="s">
        <v>18</v>
      </c>
      <c r="E14" s="30" t="s">
        <v>203</v>
      </c>
      <c r="F14" s="1"/>
      <c r="G14" s="12"/>
      <c r="H14" s="2"/>
    </row>
    <row r="15" spans="3:8" x14ac:dyDescent="0.25">
      <c r="C15" s="29" t="s">
        <v>80</v>
      </c>
      <c r="D15" s="27" t="s">
        <v>18</v>
      </c>
      <c r="E15" s="30" t="s">
        <v>186</v>
      </c>
      <c r="F15" s="1"/>
      <c r="G15" s="12"/>
      <c r="H15" s="2"/>
    </row>
    <row r="16" spans="3:8" x14ac:dyDescent="0.25">
      <c r="C16" s="49" t="s">
        <v>81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82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83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49" t="s">
        <v>84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29" t="s">
        <v>85</v>
      </c>
      <c r="D20" s="27" t="s">
        <v>18</v>
      </c>
      <c r="E20" s="30" t="s">
        <v>204</v>
      </c>
      <c r="F20" s="1"/>
      <c r="G20" s="12"/>
      <c r="H20" s="2"/>
    </row>
    <row r="21" spans="3:8" x14ac:dyDescent="0.25">
      <c r="C21" s="49" t="s">
        <v>86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29" t="s">
        <v>87</v>
      </c>
      <c r="D22" s="27" t="s">
        <v>18</v>
      </c>
      <c r="E22" s="30" t="s">
        <v>210</v>
      </c>
      <c r="F22" s="1"/>
      <c r="G22" s="12"/>
      <c r="H22" s="2"/>
    </row>
    <row r="23" spans="3:8" x14ac:dyDescent="0.25">
      <c r="C23" s="29" t="s">
        <v>88</v>
      </c>
      <c r="D23" s="27" t="s">
        <v>18</v>
      </c>
      <c r="E23" s="30" t="s">
        <v>206</v>
      </c>
      <c r="F23" s="1"/>
      <c r="G23" s="12"/>
      <c r="H23" s="2" t="s">
        <v>28</v>
      </c>
    </row>
    <row r="24" spans="3:8" x14ac:dyDescent="0.25">
      <c r="C24" s="49" t="s">
        <v>89</v>
      </c>
      <c r="D24" s="50" t="s">
        <v>19</v>
      </c>
      <c r="E24" s="51" t="s">
        <v>28</v>
      </c>
      <c r="F24" s="5"/>
      <c r="G24" s="13"/>
      <c r="H24" s="2"/>
    </row>
    <row r="25" spans="3:8" x14ac:dyDescent="0.25">
      <c r="C25" s="49" t="s">
        <v>90</v>
      </c>
      <c r="D25" s="50" t="s">
        <v>19</v>
      </c>
      <c r="E25" s="51" t="s">
        <v>28</v>
      </c>
      <c r="F25" s="5"/>
      <c r="G25" s="13"/>
      <c r="H25" s="2"/>
    </row>
    <row r="26" spans="3:8" x14ac:dyDescent="0.25">
      <c r="C26" s="29" t="s">
        <v>91</v>
      </c>
      <c r="D26" s="27" t="s">
        <v>18</v>
      </c>
      <c r="E26" s="30" t="s">
        <v>205</v>
      </c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74" t="s">
        <v>34</v>
      </c>
      <c r="D32" s="74" t="s">
        <v>31</v>
      </c>
      <c r="E32" s="74" t="s">
        <v>20</v>
      </c>
      <c r="F32" s="74" t="s">
        <v>34</v>
      </c>
      <c r="G32" s="74" t="s">
        <v>31</v>
      </c>
      <c r="H32" s="20"/>
    </row>
    <row r="33" spans="3:8" x14ac:dyDescent="0.25">
      <c r="C33" s="9"/>
      <c r="D33" s="15"/>
      <c r="E33" s="10"/>
      <c r="F33" s="34" t="s">
        <v>213</v>
      </c>
      <c r="G33" s="34" t="s">
        <v>19</v>
      </c>
      <c r="H33" s="19"/>
    </row>
    <row r="34" spans="3:8" x14ac:dyDescent="0.25">
      <c r="C34" s="1"/>
      <c r="D34" s="12"/>
      <c r="E34" s="2"/>
      <c r="F34" s="34" t="s">
        <v>190</v>
      </c>
      <c r="G34" s="34" t="s">
        <v>19</v>
      </c>
      <c r="H34" s="19"/>
    </row>
    <row r="35" spans="3:8" x14ac:dyDescent="0.25">
      <c r="C35" s="1"/>
      <c r="D35" s="12"/>
      <c r="E35" s="2"/>
      <c r="F35" s="34" t="s">
        <v>214</v>
      </c>
      <c r="G35" s="34" t="s">
        <v>19</v>
      </c>
      <c r="H35" s="19"/>
    </row>
    <row r="36" spans="3:8" x14ac:dyDescent="0.25">
      <c r="C36" s="1"/>
      <c r="D36" s="12"/>
      <c r="E36" s="2"/>
      <c r="F36" s="34" t="s">
        <v>215</v>
      </c>
      <c r="G36" s="34" t="s">
        <v>19</v>
      </c>
      <c r="H36" s="19"/>
    </row>
    <row r="37" spans="3:8" x14ac:dyDescent="0.25">
      <c r="C37" s="1"/>
      <c r="D37" s="12"/>
      <c r="E37" s="2"/>
      <c r="F37" s="34" t="s">
        <v>216</v>
      </c>
      <c r="G37" s="34" t="s">
        <v>19</v>
      </c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299</v>
      </c>
      <c r="F44" s="25" t="s">
        <v>708</v>
      </c>
    </row>
    <row r="45" spans="3:8" x14ac:dyDescent="0.25">
      <c r="E45" s="33" t="s">
        <v>298</v>
      </c>
      <c r="F45" s="34" t="s">
        <v>709</v>
      </c>
    </row>
    <row r="46" spans="3:8" x14ac:dyDescent="0.25">
      <c r="E46" s="31" t="s">
        <v>300</v>
      </c>
      <c r="F46" s="32" t="s">
        <v>710</v>
      </c>
    </row>
    <row r="47" spans="3:8" ht="15.75" thickBot="1" x14ac:dyDescent="0.3">
      <c r="E47" s="44" t="s">
        <v>301</v>
      </c>
      <c r="F47" s="45" t="s">
        <v>711</v>
      </c>
    </row>
    <row r="48" spans="3:8" ht="15.75" thickBot="1" x14ac:dyDescent="0.3"/>
    <row r="49" spans="5:6" ht="15.75" thickBot="1" x14ac:dyDescent="0.3">
      <c r="E49" s="68" t="s">
        <v>715</v>
      </c>
      <c r="F49" s="69" t="s">
        <v>712</v>
      </c>
    </row>
    <row r="51" spans="5:6" x14ac:dyDescent="0.25">
      <c r="E51" s="21" t="s">
        <v>43</v>
      </c>
      <c r="F51" s="12">
        <f>ROWS(F7)+ROWS(F5)+ROWS(E26)+ROWS(E22:E23)+ROWS(E20)+ROWS(E5:E15)</f>
        <v>17</v>
      </c>
    </row>
    <row r="52" spans="5:6" x14ac:dyDescent="0.25">
      <c r="E52" s="21" t="s">
        <v>44</v>
      </c>
      <c r="F52" s="12">
        <f>ROWS(F33:F37)</f>
        <v>5</v>
      </c>
    </row>
    <row r="53" spans="5:6" x14ac:dyDescent="0.25">
      <c r="E53" s="21" t="s">
        <v>45</v>
      </c>
      <c r="F53" s="12">
        <v>0</v>
      </c>
    </row>
    <row r="54" spans="5:6" x14ac:dyDescent="0.25">
      <c r="E54" s="21" t="s">
        <v>46</v>
      </c>
      <c r="F54" s="12">
        <f>ROWS(F6)+ROWS(E24:E25)+ROWS(E21)+ROWS(E16:E19)</f>
        <v>8</v>
      </c>
    </row>
    <row r="56" spans="5:6" x14ac:dyDescent="0.25">
      <c r="E56" s="21" t="s">
        <v>47</v>
      </c>
      <c r="F56" s="12">
        <f>F51/(F51+F53)</f>
        <v>1</v>
      </c>
    </row>
    <row r="57" spans="5:6" x14ac:dyDescent="0.25">
      <c r="E57" s="21" t="s">
        <v>48</v>
      </c>
      <c r="F57" s="12">
        <f>F51/(F51+F54)</f>
        <v>0.68</v>
      </c>
    </row>
    <row r="58" spans="5:6" x14ac:dyDescent="0.25">
      <c r="E58" s="21" t="s">
        <v>49</v>
      </c>
      <c r="F58" s="12">
        <f>F52/(F53+F52)</f>
        <v>1</v>
      </c>
    </row>
    <row r="59" spans="5:6" x14ac:dyDescent="0.25">
      <c r="E59" s="21" t="s">
        <v>302</v>
      </c>
      <c r="F59" s="12">
        <f>2*F51/((2*F51)+F53+F54)</f>
        <v>0.80952380952380953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F67" sqref="F6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4.42578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516</v>
      </c>
      <c r="D5" s="26"/>
      <c r="E5" s="25" t="s">
        <v>646</v>
      </c>
      <c r="F5" s="46" t="s">
        <v>519</v>
      </c>
      <c r="G5" s="47" t="s">
        <v>19</v>
      </c>
      <c r="H5" s="48" t="s">
        <v>28</v>
      </c>
    </row>
    <row r="6" spans="3:8" x14ac:dyDescent="0.25">
      <c r="C6" s="49" t="s">
        <v>517</v>
      </c>
      <c r="D6" s="50"/>
      <c r="E6" s="51" t="s">
        <v>28</v>
      </c>
      <c r="F6" s="29" t="s">
        <v>520</v>
      </c>
      <c r="G6" s="27" t="s">
        <v>18</v>
      </c>
      <c r="H6" s="30" t="s">
        <v>638</v>
      </c>
    </row>
    <row r="7" spans="3:8" x14ac:dyDescent="0.25">
      <c r="C7" s="29" t="s">
        <v>77</v>
      </c>
      <c r="D7" s="27"/>
      <c r="E7" s="30" t="s">
        <v>183</v>
      </c>
      <c r="F7" s="1"/>
      <c r="G7" s="12"/>
      <c r="H7" s="2"/>
    </row>
    <row r="8" spans="3:8" x14ac:dyDescent="0.25">
      <c r="C8" s="29" t="s">
        <v>518</v>
      </c>
      <c r="D8" s="27"/>
      <c r="E8" s="30" t="s">
        <v>671</v>
      </c>
      <c r="F8" s="1"/>
      <c r="G8" s="12"/>
      <c r="H8" s="2"/>
    </row>
    <row r="9" spans="3:8" x14ac:dyDescent="0.25">
      <c r="C9" s="29" t="s">
        <v>371</v>
      </c>
      <c r="D9" s="27"/>
      <c r="E9" s="30" t="s">
        <v>558</v>
      </c>
      <c r="F9" s="1"/>
      <c r="G9" s="12"/>
      <c r="H9" s="2"/>
    </row>
    <row r="10" spans="3:8" x14ac:dyDescent="0.25">
      <c r="C10" s="29" t="s">
        <v>74</v>
      </c>
      <c r="D10" s="27"/>
      <c r="E10" s="30" t="s">
        <v>177</v>
      </c>
      <c r="F10" s="1"/>
      <c r="G10" s="12"/>
      <c r="H10" s="2"/>
    </row>
    <row r="11" spans="3:8" x14ac:dyDescent="0.25">
      <c r="C11" s="29" t="s">
        <v>52</v>
      </c>
      <c r="D11" s="27"/>
      <c r="E11" s="30" t="s">
        <v>258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685</v>
      </c>
      <c r="D33" s="39" t="s">
        <v>19</v>
      </c>
      <c r="E33" s="40" t="s">
        <v>686</v>
      </c>
      <c r="F33" s="35" t="s">
        <v>687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583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38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688</v>
      </c>
      <c r="G36" s="34" t="s">
        <v>19</v>
      </c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COUNTA(F6,C5,C7:C11)</f>
        <v>7</v>
      </c>
    </row>
    <row r="51" spans="5:6" x14ac:dyDescent="0.25">
      <c r="E51" s="21" t="s">
        <v>44</v>
      </c>
      <c r="F51" s="12">
        <f>COUNTA(F33:F36)</f>
        <v>4</v>
      </c>
    </row>
    <row r="52" spans="5:6" x14ac:dyDescent="0.25">
      <c r="E52" s="21" t="s">
        <v>45</v>
      </c>
      <c r="F52" s="12">
        <f>COUNTA(C33)</f>
        <v>1</v>
      </c>
    </row>
    <row r="53" spans="5:6" x14ac:dyDescent="0.25">
      <c r="E53" s="21" t="s">
        <v>46</v>
      </c>
      <c r="F53" s="12">
        <f>COUNTA(F5,C6)</f>
        <v>2</v>
      </c>
    </row>
    <row r="55" spans="5:6" x14ac:dyDescent="0.25">
      <c r="E55" s="21" t="s">
        <v>47</v>
      </c>
      <c r="F55" s="12">
        <f>F50/(F50+F52)</f>
        <v>0.875</v>
      </c>
    </row>
    <row r="56" spans="5:6" x14ac:dyDescent="0.25">
      <c r="E56" s="21" t="s">
        <v>48</v>
      </c>
      <c r="F56" s="12">
        <f>F50/(F50+F53)</f>
        <v>0.77777777777777779</v>
      </c>
    </row>
    <row r="57" spans="5:6" x14ac:dyDescent="0.25">
      <c r="E57" s="21" t="s">
        <v>49</v>
      </c>
      <c r="F57" s="12">
        <f>F51/(F52+F51)</f>
        <v>0.8</v>
      </c>
    </row>
    <row r="58" spans="5:6" x14ac:dyDescent="0.25">
      <c r="E58" s="21" t="s">
        <v>302</v>
      </c>
      <c r="F58" s="12">
        <f>2*F50/((2*F50)+F52+F53)</f>
        <v>0.82352941176470584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35"/>
  <sheetViews>
    <sheetView tabSelected="1" workbookViewId="0">
      <selection activeCell="R15" sqref="R15"/>
    </sheetView>
  </sheetViews>
  <sheetFormatPr baseColWidth="10" defaultRowHeight="15" x14ac:dyDescent="0.25"/>
  <cols>
    <col min="5" max="5" width="32.42578125" customWidth="1"/>
    <col min="6" max="6" width="13.140625" customWidth="1"/>
    <col min="7" max="7" width="12.7109375" customWidth="1"/>
    <col min="8" max="8" width="14.5703125" customWidth="1"/>
    <col min="9" max="9" width="14.7109375" customWidth="1"/>
  </cols>
  <sheetData>
    <row r="2" spans="4:13" ht="15.75" thickBot="1" x14ac:dyDescent="0.3"/>
    <row r="3" spans="4:13" ht="15.75" thickBot="1" x14ac:dyDescent="0.3">
      <c r="D3" s="105" t="s">
        <v>695</v>
      </c>
      <c r="E3" s="105" t="s">
        <v>216</v>
      </c>
      <c r="F3" s="105" t="s">
        <v>47</v>
      </c>
      <c r="G3" s="105" t="s">
        <v>48</v>
      </c>
      <c r="H3" s="105" t="s">
        <v>49</v>
      </c>
      <c r="I3" s="105" t="s">
        <v>302</v>
      </c>
    </row>
    <row r="4" spans="4:13" x14ac:dyDescent="0.25">
      <c r="D4" s="103">
        <v>1</v>
      </c>
      <c r="E4" s="106" t="s">
        <v>689</v>
      </c>
      <c r="F4" s="103">
        <f>Tonsillitis!F42</f>
        <v>0.77777777777777779</v>
      </c>
      <c r="G4" s="103">
        <f>Tonsillitis!F43</f>
        <v>0.53846153846153844</v>
      </c>
      <c r="H4" s="103">
        <f>Tonsillitis!F44</f>
        <v>0.75</v>
      </c>
      <c r="I4" s="109">
        <f>Tonsillitis!F45</f>
        <v>0.63636363636363635</v>
      </c>
    </row>
    <row r="5" spans="4:13" x14ac:dyDescent="0.25">
      <c r="D5" s="83">
        <v>2</v>
      </c>
      <c r="E5" s="107" t="s">
        <v>690</v>
      </c>
      <c r="F5" s="83">
        <f>Ebola!F57</f>
        <v>0.88888888888888884</v>
      </c>
      <c r="G5" s="83">
        <f>Ebola!F58</f>
        <v>0.5714285714285714</v>
      </c>
      <c r="H5" s="83">
        <f>Ebola!F59</f>
        <v>0.77777777777777779</v>
      </c>
      <c r="I5" s="78">
        <f>Ebola!F60</f>
        <v>0.69565217391304346</v>
      </c>
    </row>
    <row r="6" spans="4:13" x14ac:dyDescent="0.25">
      <c r="D6" s="83">
        <v>3</v>
      </c>
      <c r="E6" s="107" t="s">
        <v>213</v>
      </c>
      <c r="F6" s="83">
        <f>'Yellow Fever'!F56</f>
        <v>1</v>
      </c>
      <c r="G6" s="83">
        <f>'Yellow Fever'!F57</f>
        <v>0.68</v>
      </c>
      <c r="H6" s="83">
        <f>'Yellow Fever'!F58</f>
        <v>1</v>
      </c>
      <c r="I6" s="78">
        <f>'Yellow Fever'!F59</f>
        <v>0.80952380952380953</v>
      </c>
    </row>
    <row r="7" spans="4:13" x14ac:dyDescent="0.25">
      <c r="D7" s="83">
        <v>4</v>
      </c>
      <c r="E7" s="107" t="s">
        <v>691</v>
      </c>
      <c r="F7" s="83">
        <f>Leptospirosis!F53</f>
        <v>1</v>
      </c>
      <c r="G7" s="83">
        <f>Leptospirosis!F54</f>
        <v>0.8</v>
      </c>
      <c r="H7" s="83">
        <f>Leptospirosis!F55</f>
        <v>1</v>
      </c>
      <c r="I7" s="78">
        <f>Leptospirosis!F56</f>
        <v>0.88888888888888884</v>
      </c>
    </row>
    <row r="8" spans="4:13" x14ac:dyDescent="0.25">
      <c r="D8" s="83">
        <v>5</v>
      </c>
      <c r="E8" s="107" t="s">
        <v>239</v>
      </c>
      <c r="F8" s="83">
        <f>Brucellosis!F61</f>
        <v>0.9</v>
      </c>
      <c r="G8" s="83">
        <f>Brucellosis!F62</f>
        <v>0.6</v>
      </c>
      <c r="H8" s="83">
        <f>Brucellosis!F63</f>
        <v>0.7142857142857143</v>
      </c>
      <c r="I8" s="78">
        <f>Brucellosis!F64</f>
        <v>0.72</v>
      </c>
      <c r="L8" s="12" t="s">
        <v>47</v>
      </c>
      <c r="M8" s="12">
        <v>0.92933749300000001</v>
      </c>
    </row>
    <row r="9" spans="4:13" x14ac:dyDescent="0.25">
      <c r="D9" s="83">
        <v>6</v>
      </c>
      <c r="E9" s="107" t="s">
        <v>692</v>
      </c>
      <c r="F9" s="83">
        <f>Cholera!F57</f>
        <v>0.93333333333333335</v>
      </c>
      <c r="G9" s="83">
        <f>Cholera!F58</f>
        <v>0.77777777777777779</v>
      </c>
      <c r="H9" s="83">
        <f>Cholera!F59</f>
        <v>0.5</v>
      </c>
      <c r="I9" s="78">
        <f>Cholera!F60</f>
        <v>0.84848484848484851</v>
      </c>
      <c r="L9" s="12" t="s">
        <v>48</v>
      </c>
      <c r="M9" s="12">
        <v>0.67160504200000004</v>
      </c>
    </row>
    <row r="10" spans="4:13" x14ac:dyDescent="0.25">
      <c r="D10" s="83">
        <v>7</v>
      </c>
      <c r="E10" s="107" t="s">
        <v>693</v>
      </c>
      <c r="F10" s="83">
        <f>Diphteria!F57</f>
        <v>1</v>
      </c>
      <c r="G10" s="83">
        <f>Diphteria!F58</f>
        <v>0.56521739130434778</v>
      </c>
      <c r="H10" s="83">
        <f>Diphteria!F59</f>
        <v>1</v>
      </c>
      <c r="I10" s="78">
        <f>Diphteria!F60</f>
        <v>0.72222222222222221</v>
      </c>
      <c r="L10" s="12" t="s">
        <v>713</v>
      </c>
      <c r="M10" s="12">
        <v>0.84279100500000004</v>
      </c>
    </row>
    <row r="11" spans="4:13" x14ac:dyDescent="0.25">
      <c r="D11" s="83">
        <v>8</v>
      </c>
      <c r="E11" s="107" t="s">
        <v>694</v>
      </c>
      <c r="F11" s="83">
        <f>Erypselas!F56</f>
        <v>0.75</v>
      </c>
      <c r="G11" s="83">
        <f>Erypselas!F57</f>
        <v>0.75</v>
      </c>
      <c r="H11" s="83">
        <f>Erypselas!F58</f>
        <v>0.5</v>
      </c>
      <c r="I11" s="78">
        <f>Erypselas!F59</f>
        <v>0.75</v>
      </c>
      <c r="L11" s="12" t="s">
        <v>714</v>
      </c>
      <c r="M11" s="12">
        <v>0.76524344600000005</v>
      </c>
    </row>
    <row r="12" spans="4:13" x14ac:dyDescent="0.25">
      <c r="D12" s="83">
        <v>9</v>
      </c>
      <c r="E12" s="107" t="s">
        <v>297</v>
      </c>
      <c r="F12" s="83">
        <f>'Q Fever'!F55</f>
        <v>0.9375</v>
      </c>
      <c r="G12" s="83">
        <f>'Q Fever'!F56</f>
        <v>0.78947368421052633</v>
      </c>
      <c r="H12" s="83">
        <f>'Q Fever'!F57</f>
        <v>0.66666666666666663</v>
      </c>
      <c r="I12" s="78">
        <f>'Q Fever'!F58</f>
        <v>0.8571428571428571</v>
      </c>
    </row>
    <row r="13" spans="4:13" x14ac:dyDescent="0.25">
      <c r="D13" s="83">
        <v>10</v>
      </c>
      <c r="E13" s="107" t="s">
        <v>334</v>
      </c>
      <c r="F13" s="83">
        <f>'Typhoid Fever'!F57</f>
        <v>0.94117647058823528</v>
      </c>
      <c r="G13" s="83">
        <f>'Typhoid Fever'!F58</f>
        <v>0.61538461538461542</v>
      </c>
      <c r="H13" s="83">
        <f>'Typhoid Fever'!F59</f>
        <v>0.875</v>
      </c>
      <c r="I13" s="78">
        <f>'Typhoid Fever'!F60</f>
        <v>0.7441860465116279</v>
      </c>
    </row>
    <row r="14" spans="4:13" x14ac:dyDescent="0.25">
      <c r="D14" s="83">
        <v>11</v>
      </c>
      <c r="E14" s="107" t="s">
        <v>696</v>
      </c>
      <c r="F14" s="83">
        <f>Legionnaire!F58</f>
        <v>0.95454545454545459</v>
      </c>
      <c r="G14" s="83">
        <f>Legionnaire!F59</f>
        <v>0.77777777777777779</v>
      </c>
      <c r="H14" s="83">
        <f>Legionnaire!F60</f>
        <v>0.83333333333333337</v>
      </c>
      <c r="I14" s="78">
        <f>Legionnaire!F61</f>
        <v>0.8571428571428571</v>
      </c>
    </row>
    <row r="15" spans="4:13" x14ac:dyDescent="0.25">
      <c r="D15" s="83">
        <v>12</v>
      </c>
      <c r="E15" s="107" t="s">
        <v>544</v>
      </c>
      <c r="F15" s="83">
        <f>Tetanus!F55</f>
        <v>0.88888888888888884</v>
      </c>
      <c r="G15" s="83">
        <f>Tetanus!F56</f>
        <v>0.44444444444444442</v>
      </c>
      <c r="H15" s="83">
        <f>Tetanus!F57</f>
        <v>0.83333333333333337</v>
      </c>
      <c r="I15" s="78">
        <f>Tetanus!F58</f>
        <v>0.59259259259259256</v>
      </c>
    </row>
    <row r="16" spans="4:13" x14ac:dyDescent="0.25">
      <c r="D16" s="83">
        <v>13</v>
      </c>
      <c r="E16" s="107" t="s">
        <v>697</v>
      </c>
      <c r="F16" s="83">
        <f>Chickenpox!F55</f>
        <v>1</v>
      </c>
      <c r="G16" s="83">
        <f>Chickenpox!F56</f>
        <v>0.625</v>
      </c>
      <c r="H16" s="83">
        <f>Chickenpox!F57</f>
        <v>1</v>
      </c>
      <c r="I16" s="78">
        <f>Chickenpox!F58</f>
        <v>0.76923076923076927</v>
      </c>
    </row>
    <row r="17" spans="4:9" x14ac:dyDescent="0.25">
      <c r="D17" s="83">
        <v>14</v>
      </c>
      <c r="E17" s="107" t="s">
        <v>698</v>
      </c>
      <c r="F17" s="83">
        <f>'Fifth disease'!F55</f>
        <v>0.63636363636363635</v>
      </c>
      <c r="G17" s="83">
        <f>'Fifth disease'!F56</f>
        <v>0.875</v>
      </c>
      <c r="H17" s="83">
        <f>'Fifth disease'!F57</f>
        <v>0.6</v>
      </c>
      <c r="I17" s="78">
        <f>'Fifth disease'!F58</f>
        <v>0.73684210526315785</v>
      </c>
    </row>
    <row r="18" spans="4:9" x14ac:dyDescent="0.25">
      <c r="D18" s="83">
        <v>15</v>
      </c>
      <c r="E18" s="107" t="s">
        <v>292</v>
      </c>
      <c r="F18" s="83">
        <f>Hepatitis!F59</f>
        <v>1</v>
      </c>
      <c r="G18" s="83">
        <f>Hepatitis!F60</f>
        <v>0.54166666666666663</v>
      </c>
      <c r="H18" s="83">
        <f>Hepatitis!F61</f>
        <v>1</v>
      </c>
      <c r="I18" s="78">
        <f>Hepatitis!F62</f>
        <v>0.70270270270270274</v>
      </c>
    </row>
    <row r="19" spans="4:9" x14ac:dyDescent="0.25">
      <c r="D19" s="83">
        <v>16</v>
      </c>
      <c r="E19" s="107" t="s">
        <v>591</v>
      </c>
      <c r="F19" s="83">
        <f>'Oral Herpes'!F57</f>
        <v>1</v>
      </c>
      <c r="G19" s="83">
        <f>'Oral Herpes'!F58</f>
        <v>0.33333333333333331</v>
      </c>
      <c r="H19" s="83">
        <f>'Oral Herpes'!F59</f>
        <v>1</v>
      </c>
      <c r="I19" s="78">
        <f>'Oral Herpes'!F60</f>
        <v>0.5</v>
      </c>
    </row>
    <row r="20" spans="4:9" x14ac:dyDescent="0.25">
      <c r="D20" s="83">
        <v>17</v>
      </c>
      <c r="E20" s="107" t="s">
        <v>699</v>
      </c>
      <c r="F20" s="83">
        <f>Impetigo!F55</f>
        <v>1</v>
      </c>
      <c r="G20" s="83">
        <f>Impetigo!F56</f>
        <v>0.8</v>
      </c>
      <c r="H20" s="83">
        <f>Impetigo!F57</f>
        <v>1</v>
      </c>
      <c r="I20" s="78">
        <f>Impetigo!F58</f>
        <v>0.88888888888888884</v>
      </c>
    </row>
    <row r="21" spans="4:9" x14ac:dyDescent="0.25">
      <c r="D21" s="83">
        <v>18</v>
      </c>
      <c r="E21" s="107" t="s">
        <v>241</v>
      </c>
      <c r="F21" s="83">
        <f>Flu!F57</f>
        <v>0.88235294117647056</v>
      </c>
      <c r="G21" s="83">
        <f>Flu!F58</f>
        <v>0.88235294117647056</v>
      </c>
      <c r="H21" s="83">
        <f>Flu!F59</f>
        <v>0.77777777777777779</v>
      </c>
      <c r="I21" s="78">
        <f>Flu!F60</f>
        <v>0.88235294117647056</v>
      </c>
    </row>
    <row r="22" spans="4:9" x14ac:dyDescent="0.25">
      <c r="D22" s="83">
        <v>19</v>
      </c>
      <c r="E22" s="107" t="s">
        <v>700</v>
      </c>
      <c r="F22" s="83">
        <f>Meningitis!F54</f>
        <v>0.88235294117647056</v>
      </c>
      <c r="G22" s="83">
        <f>Meningitis!F55</f>
        <v>0.625</v>
      </c>
      <c r="H22" s="83">
        <f>Meningitis!F56</f>
        <v>0.6</v>
      </c>
      <c r="I22" s="78">
        <f>Meningitis!F57</f>
        <v>0.73170731707317072</v>
      </c>
    </row>
    <row r="23" spans="4:9" x14ac:dyDescent="0.25">
      <c r="D23" s="83">
        <v>20</v>
      </c>
      <c r="E23" s="107" t="s">
        <v>701</v>
      </c>
      <c r="F23" s="83">
        <f>Mumps!F55</f>
        <v>1</v>
      </c>
      <c r="G23" s="83">
        <f>Mumps!F56</f>
        <v>0.9</v>
      </c>
      <c r="H23" s="83">
        <f>Mumps!F57</f>
        <v>1</v>
      </c>
      <c r="I23" s="78">
        <f>Mumps!F58</f>
        <v>0.94736842105263153</v>
      </c>
    </row>
    <row r="24" spans="4:9" x14ac:dyDescent="0.25">
      <c r="D24" s="83">
        <v>21</v>
      </c>
      <c r="E24" s="107" t="s">
        <v>629</v>
      </c>
      <c r="F24" s="83">
        <f>Poliomyelitis!F62</f>
        <v>1</v>
      </c>
      <c r="G24" s="83">
        <f>Poliomyelitis!F63</f>
        <v>0.5</v>
      </c>
      <c r="H24" s="83">
        <f>Poliomyelitis!F64</f>
        <v>1</v>
      </c>
      <c r="I24" s="78">
        <f>Poliomyelitis!F65</f>
        <v>0.66666666666666663</v>
      </c>
    </row>
    <row r="25" spans="4:9" x14ac:dyDescent="0.25">
      <c r="D25" s="83">
        <v>22</v>
      </c>
      <c r="E25" s="107" t="s">
        <v>547</v>
      </c>
      <c r="F25" s="83">
        <f>Rabies!F56</f>
        <v>1</v>
      </c>
      <c r="G25" s="83">
        <f>Rabies!F57</f>
        <v>0.5</v>
      </c>
      <c r="H25" s="83">
        <f>Rabies!F58</f>
        <v>1</v>
      </c>
      <c r="I25" s="78">
        <f>Rabies!F59</f>
        <v>0.66666666666666663</v>
      </c>
    </row>
    <row r="26" spans="4:9" x14ac:dyDescent="0.25">
      <c r="D26" s="83">
        <v>23</v>
      </c>
      <c r="E26" s="107" t="s">
        <v>702</v>
      </c>
      <c r="F26" s="83">
        <f>'Rocky Mountain spotted fever'!F55</f>
        <v>1</v>
      </c>
      <c r="G26" s="83">
        <f>'Rocky Mountain spotted fever'!F56</f>
        <v>0.70833333333333337</v>
      </c>
      <c r="H26" s="83">
        <f>'Rocky Mountain spotted fever'!F57</f>
        <v>1</v>
      </c>
      <c r="I26" s="78">
        <f>'Rocky Mountain spotted fever'!F58</f>
        <v>0.82926829268292679</v>
      </c>
    </row>
    <row r="27" spans="4:9" x14ac:dyDescent="0.25">
      <c r="D27" s="83">
        <v>24</v>
      </c>
      <c r="E27" s="107" t="s">
        <v>703</v>
      </c>
      <c r="F27" s="83">
        <f>Roseola!F55</f>
        <v>0.77777777777777779</v>
      </c>
      <c r="G27" s="83">
        <f>Roseola!F56</f>
        <v>1</v>
      </c>
      <c r="H27" s="83">
        <f>Roseola!F57</f>
        <v>0.5</v>
      </c>
      <c r="I27" s="78">
        <f>Roseola!F58</f>
        <v>0.875</v>
      </c>
    </row>
    <row r="28" spans="4:9" x14ac:dyDescent="0.25">
      <c r="D28" s="83">
        <v>25</v>
      </c>
      <c r="E28" s="107" t="s">
        <v>704</v>
      </c>
      <c r="F28" s="83">
        <f>Rubella!F55</f>
        <v>1</v>
      </c>
      <c r="G28" s="83">
        <f>Rubella!F56</f>
        <v>0.72727272727272729</v>
      </c>
      <c r="H28" s="83">
        <f>Rubella!F57</f>
        <v>1</v>
      </c>
      <c r="I28" s="78">
        <f>Rubella!F58</f>
        <v>0.84210526315789469</v>
      </c>
    </row>
    <row r="29" spans="4:9" x14ac:dyDescent="0.25">
      <c r="D29" s="83">
        <v>26</v>
      </c>
      <c r="E29" s="107" t="s">
        <v>655</v>
      </c>
      <c r="F29" s="83">
        <f>Measles!F57</f>
        <v>1</v>
      </c>
      <c r="G29" s="83">
        <f>Measles!F58</f>
        <v>0.6875</v>
      </c>
      <c r="H29" s="83">
        <f>Measles!F59</f>
        <v>1</v>
      </c>
      <c r="I29" s="78">
        <f>Measles!F60</f>
        <v>0.81481481481481477</v>
      </c>
    </row>
    <row r="30" spans="4:9" x14ac:dyDescent="0.25">
      <c r="D30" s="83">
        <v>27</v>
      </c>
      <c r="E30" s="107" t="s">
        <v>705</v>
      </c>
      <c r="F30" s="83">
        <f>'Scarlet fever'!F54</f>
        <v>0.91666666666666663</v>
      </c>
      <c r="G30" s="83">
        <f>'Scarlet fever'!F55</f>
        <v>0.6875</v>
      </c>
      <c r="H30" s="83">
        <f>'Scarlet fever'!F56</f>
        <v>0.66666666666666663</v>
      </c>
      <c r="I30" s="78">
        <f>'Scarlet fever'!F57</f>
        <v>0.7857142857142857</v>
      </c>
    </row>
    <row r="31" spans="4:9" x14ac:dyDescent="0.25">
      <c r="D31" s="83">
        <v>28</v>
      </c>
      <c r="E31" s="107" t="s">
        <v>662</v>
      </c>
      <c r="F31" s="83">
        <f>SARS!F62</f>
        <v>0.9375</v>
      </c>
      <c r="G31" s="83">
        <f>SARS!F63</f>
        <v>0.45454545454545453</v>
      </c>
      <c r="H31" s="83">
        <f>SARS!F64</f>
        <v>0.88888888888888884</v>
      </c>
      <c r="I31" s="78">
        <f>SARS!F65</f>
        <v>0.61224489795918369</v>
      </c>
    </row>
    <row r="32" spans="4:9" x14ac:dyDescent="0.25">
      <c r="D32" s="83">
        <v>29</v>
      </c>
      <c r="E32" s="107" t="s">
        <v>706</v>
      </c>
      <c r="F32" s="83">
        <f>'West Nile Virus'!$F$67</f>
        <v>1</v>
      </c>
      <c r="G32" s="83">
        <f>'West Nile Virus'!F68</f>
        <v>0.61290322580645162</v>
      </c>
      <c r="H32" s="83">
        <f>'West Nile Virus'!F69</f>
        <v>1</v>
      </c>
      <c r="I32" s="78">
        <f>'West Nile Virus'!F70</f>
        <v>0.76</v>
      </c>
    </row>
    <row r="33" spans="4:9" ht="15.75" thickBot="1" x14ac:dyDescent="0.3">
      <c r="D33" s="104">
        <v>30</v>
      </c>
      <c r="E33" s="108" t="s">
        <v>687</v>
      </c>
      <c r="F33" s="104">
        <f>Pertussis!F55</f>
        <v>0.875</v>
      </c>
      <c r="G33" s="104">
        <f>Pertussis!F56</f>
        <v>0.77777777777777779</v>
      </c>
      <c r="H33" s="104">
        <f>Pertussis!F57</f>
        <v>0.8</v>
      </c>
      <c r="I33" s="79">
        <f>Pertussis!F58</f>
        <v>0.82352941176470584</v>
      </c>
    </row>
    <row r="34" spans="4:9" ht="15.75" thickBot="1" x14ac:dyDescent="0.3"/>
    <row r="35" spans="4:9" ht="15.75" thickBot="1" x14ac:dyDescent="0.3">
      <c r="E35" s="110" t="s">
        <v>707</v>
      </c>
      <c r="F35" s="102">
        <f>SUM(F4:F33)/COUNTA(F4:F33)</f>
        <v>0.92933749257278675</v>
      </c>
      <c r="G35" s="102">
        <f>SUM(G4:G33)/COUNTA(G4:G33)</f>
        <v>0.67160504202339388</v>
      </c>
      <c r="H35" s="102">
        <f t="shared" ref="H35:I35" si="0">SUM(H4:H33)/COUNTA(H4:H33)</f>
        <v>0.84279100529100537</v>
      </c>
      <c r="I35" s="102">
        <f t="shared" si="0"/>
        <v>0.76524344592004401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6"/>
  <sheetViews>
    <sheetView workbookViewId="0">
      <selection activeCell="C58" sqref="C5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44.7109375" customWidth="1"/>
    <col min="8" max="8" width="47.42578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95</v>
      </c>
      <c r="D5" s="26" t="s">
        <v>18</v>
      </c>
      <c r="E5" s="25" t="s">
        <v>217</v>
      </c>
      <c r="F5" s="58" t="s">
        <v>67</v>
      </c>
      <c r="G5" s="26" t="s">
        <v>18</v>
      </c>
      <c r="H5" s="25" t="s">
        <v>187</v>
      </c>
    </row>
    <row r="6" spans="3:8" x14ac:dyDescent="0.25">
      <c r="C6" s="29" t="s">
        <v>4</v>
      </c>
      <c r="D6" s="27" t="s">
        <v>18</v>
      </c>
      <c r="E6" s="30" t="s">
        <v>177</v>
      </c>
      <c r="F6" s="49" t="s">
        <v>109</v>
      </c>
      <c r="G6" s="50" t="s">
        <v>19</v>
      </c>
      <c r="H6" s="51" t="s">
        <v>28</v>
      </c>
    </row>
    <row r="7" spans="3:8" x14ac:dyDescent="0.25">
      <c r="C7" s="29" t="s">
        <v>6</v>
      </c>
      <c r="D7" s="27" t="s">
        <v>18</v>
      </c>
      <c r="E7" s="30" t="s">
        <v>178</v>
      </c>
      <c r="F7" s="29" t="s">
        <v>110</v>
      </c>
      <c r="G7" s="27" t="s">
        <v>18</v>
      </c>
      <c r="H7" s="30" t="s">
        <v>225</v>
      </c>
    </row>
    <row r="8" spans="3:8" x14ac:dyDescent="0.25">
      <c r="C8" s="29" t="s">
        <v>96</v>
      </c>
      <c r="D8" s="27" t="s">
        <v>18</v>
      </c>
      <c r="E8" s="30" t="s">
        <v>209</v>
      </c>
      <c r="F8" s="29" t="s">
        <v>111</v>
      </c>
      <c r="G8" s="27" t="s">
        <v>18</v>
      </c>
      <c r="H8" s="30" t="s">
        <v>226</v>
      </c>
    </row>
    <row r="9" spans="3:8" x14ac:dyDescent="0.25">
      <c r="C9" s="29" t="s">
        <v>55</v>
      </c>
      <c r="D9" s="27" t="s">
        <v>18</v>
      </c>
      <c r="E9" s="30" t="s">
        <v>180</v>
      </c>
      <c r="F9" s="1"/>
      <c r="G9" s="12"/>
      <c r="H9" s="2"/>
    </row>
    <row r="10" spans="3:8" x14ac:dyDescent="0.25">
      <c r="C10" s="29" t="s">
        <v>77</v>
      </c>
      <c r="D10" s="27" t="s">
        <v>18</v>
      </c>
      <c r="E10" s="30" t="s">
        <v>183</v>
      </c>
      <c r="F10" s="1"/>
      <c r="G10" s="12"/>
      <c r="H10" s="2"/>
    </row>
    <row r="11" spans="3:8" x14ac:dyDescent="0.25">
      <c r="C11" s="29" t="s">
        <v>97</v>
      </c>
      <c r="D11" s="27" t="s">
        <v>18</v>
      </c>
      <c r="E11" s="30" t="s">
        <v>175</v>
      </c>
      <c r="F11" s="1"/>
      <c r="G11" s="12"/>
      <c r="H11" s="2"/>
    </row>
    <row r="12" spans="3:8" x14ac:dyDescent="0.25">
      <c r="C12" s="29" t="s">
        <v>98</v>
      </c>
      <c r="D12" s="27" t="s">
        <v>18</v>
      </c>
      <c r="E12" s="30" t="s">
        <v>218</v>
      </c>
      <c r="F12" s="1"/>
      <c r="G12" s="12"/>
      <c r="H12" s="2"/>
    </row>
    <row r="13" spans="3:8" x14ac:dyDescent="0.25">
      <c r="C13" s="29" t="s">
        <v>99</v>
      </c>
      <c r="D13" s="27" t="s">
        <v>18</v>
      </c>
      <c r="E13" s="30" t="s">
        <v>219</v>
      </c>
      <c r="F13" s="1"/>
      <c r="G13" s="12"/>
      <c r="H13" s="2"/>
    </row>
    <row r="14" spans="3:8" x14ac:dyDescent="0.25">
      <c r="C14" s="49" t="s">
        <v>100</v>
      </c>
      <c r="D14" s="50" t="s">
        <v>19</v>
      </c>
      <c r="E14" s="51" t="s">
        <v>28</v>
      </c>
      <c r="F14" s="1"/>
      <c r="G14" s="12"/>
      <c r="H14" s="2"/>
    </row>
    <row r="15" spans="3:8" x14ac:dyDescent="0.25">
      <c r="C15" s="29" t="s">
        <v>101</v>
      </c>
      <c r="D15" s="27" t="s">
        <v>18</v>
      </c>
      <c r="E15" s="30" t="s">
        <v>220</v>
      </c>
      <c r="F15" s="1"/>
      <c r="G15" s="12"/>
      <c r="H15" s="2"/>
    </row>
    <row r="16" spans="3:8" x14ac:dyDescent="0.25">
      <c r="C16" s="29" t="s">
        <v>102</v>
      </c>
      <c r="D16" s="27" t="s">
        <v>18</v>
      </c>
      <c r="E16" s="30" t="s">
        <v>184</v>
      </c>
      <c r="F16" s="1"/>
      <c r="G16" s="12"/>
      <c r="H16" s="2"/>
    </row>
    <row r="17" spans="3:8" x14ac:dyDescent="0.25">
      <c r="C17" s="29" t="s">
        <v>103</v>
      </c>
      <c r="D17" s="27" t="s">
        <v>18</v>
      </c>
      <c r="E17" s="30" t="s">
        <v>221</v>
      </c>
      <c r="F17" s="1"/>
      <c r="G17" s="12"/>
      <c r="H17" s="2"/>
    </row>
    <row r="18" spans="3:8" x14ac:dyDescent="0.25">
      <c r="C18" s="29" t="s">
        <v>104</v>
      </c>
      <c r="D18" s="27" t="s">
        <v>18</v>
      </c>
      <c r="E18" s="30" t="s">
        <v>222</v>
      </c>
      <c r="F18" s="1"/>
      <c r="G18" s="12"/>
      <c r="H18" s="2"/>
    </row>
    <row r="19" spans="3:8" x14ac:dyDescent="0.25">
      <c r="C19" s="29" t="s">
        <v>105</v>
      </c>
      <c r="D19" s="27" t="s">
        <v>18</v>
      </c>
      <c r="E19" s="30" t="s">
        <v>199</v>
      </c>
      <c r="F19" s="1"/>
      <c r="G19" s="12"/>
      <c r="H19" s="2"/>
    </row>
    <row r="20" spans="3:8" x14ac:dyDescent="0.25">
      <c r="C20" s="29" t="s">
        <v>106</v>
      </c>
      <c r="D20" s="27" t="s">
        <v>18</v>
      </c>
      <c r="E20" s="30" t="s">
        <v>223</v>
      </c>
      <c r="F20" s="1"/>
      <c r="G20" s="12"/>
      <c r="H20" s="2"/>
    </row>
    <row r="21" spans="3:8" x14ac:dyDescent="0.25">
      <c r="C21" s="49" t="s">
        <v>107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29" t="s">
        <v>108</v>
      </c>
      <c r="D22" s="27" t="s">
        <v>18</v>
      </c>
      <c r="E22" s="30" t="s">
        <v>224</v>
      </c>
      <c r="F22" s="1"/>
      <c r="G22" s="12"/>
      <c r="H22" s="2" t="s">
        <v>28</v>
      </c>
    </row>
    <row r="23" spans="3:8" x14ac:dyDescent="0.25">
      <c r="C23" s="29" t="s">
        <v>7</v>
      </c>
      <c r="D23" s="27" t="s">
        <v>18</v>
      </c>
      <c r="E23" s="30" t="s">
        <v>182</v>
      </c>
      <c r="F23" s="5"/>
      <c r="G23" s="13"/>
      <c r="H23" s="2"/>
    </row>
    <row r="24" spans="3:8" ht="15.75" thickBot="1" x14ac:dyDescent="0.3">
      <c r="C24" s="3"/>
      <c r="D24" s="16"/>
      <c r="E24" s="4"/>
      <c r="F24" s="6"/>
      <c r="G24" s="17"/>
      <c r="H24" s="4"/>
    </row>
    <row r="26" spans="3:8" ht="15.75" thickBot="1" x14ac:dyDescent="0.3"/>
    <row r="27" spans="3:8" ht="15.75" thickBot="1" x14ac:dyDescent="0.3">
      <c r="C27" s="111" t="s">
        <v>17</v>
      </c>
      <c r="D27" s="112"/>
      <c r="E27" s="112"/>
      <c r="F27" s="112"/>
      <c r="G27" s="113"/>
      <c r="H27" s="18"/>
    </row>
    <row r="28" spans="3:8" ht="15.75" thickBot="1" x14ac:dyDescent="0.3">
      <c r="C28" s="117" t="s">
        <v>35</v>
      </c>
      <c r="D28" s="112"/>
      <c r="E28" s="113"/>
      <c r="F28" s="117" t="s">
        <v>42</v>
      </c>
      <c r="G28" s="118"/>
      <c r="H28" s="18"/>
    </row>
    <row r="29" spans="3:8" ht="15.75" thickBot="1" x14ac:dyDescent="0.3">
      <c r="C29" s="8" t="s">
        <v>34</v>
      </c>
      <c r="D29" s="8" t="s">
        <v>31</v>
      </c>
      <c r="E29" s="8" t="s">
        <v>20</v>
      </c>
      <c r="F29" s="8" t="s">
        <v>34</v>
      </c>
      <c r="G29" s="8" t="s">
        <v>31</v>
      </c>
      <c r="H29" s="20"/>
    </row>
    <row r="30" spans="3:8" x14ac:dyDescent="0.25">
      <c r="C30" s="9"/>
      <c r="D30" s="15"/>
      <c r="E30" s="59"/>
      <c r="F30" s="80" t="s">
        <v>107</v>
      </c>
      <c r="G30" s="76" t="s">
        <v>18</v>
      </c>
      <c r="H30" s="19"/>
    </row>
    <row r="31" spans="3:8" x14ac:dyDescent="0.25">
      <c r="C31" s="1"/>
      <c r="D31" s="12"/>
      <c r="E31" s="60"/>
      <c r="F31" s="81" t="s">
        <v>227</v>
      </c>
      <c r="G31" s="77" t="s">
        <v>18</v>
      </c>
      <c r="H31" s="19"/>
    </row>
    <row r="32" spans="3:8" x14ac:dyDescent="0.25">
      <c r="C32" s="1"/>
      <c r="D32" s="12"/>
      <c r="E32" s="60"/>
      <c r="F32" s="82" t="s">
        <v>193</v>
      </c>
      <c r="G32" s="75" t="s">
        <v>19</v>
      </c>
      <c r="H32" s="19"/>
    </row>
    <row r="33" spans="3:8" x14ac:dyDescent="0.25">
      <c r="C33" s="1"/>
      <c r="D33" s="12"/>
      <c r="E33" s="60"/>
      <c r="F33" s="83"/>
      <c r="G33" s="78"/>
      <c r="H33" s="19"/>
    </row>
    <row r="34" spans="3:8" x14ac:dyDescent="0.25">
      <c r="C34" s="1"/>
      <c r="D34" s="12"/>
      <c r="E34" s="60"/>
      <c r="F34" s="83"/>
      <c r="G34" s="78"/>
      <c r="H34" s="19"/>
    </row>
    <row r="35" spans="3:8" x14ac:dyDescent="0.25">
      <c r="C35" s="1"/>
      <c r="D35" s="12"/>
      <c r="E35" s="60"/>
      <c r="F35" s="83"/>
      <c r="G35" s="78"/>
      <c r="H35" s="19"/>
    </row>
    <row r="36" spans="3:8" x14ac:dyDescent="0.25">
      <c r="C36" s="1"/>
      <c r="D36" s="12"/>
      <c r="E36" s="60"/>
      <c r="F36" s="84"/>
      <c r="G36" s="78"/>
      <c r="H36" s="19"/>
    </row>
    <row r="37" spans="3:8" x14ac:dyDescent="0.25">
      <c r="C37" s="1"/>
      <c r="D37" s="12"/>
      <c r="E37" s="60"/>
      <c r="F37" s="84"/>
      <c r="G37" s="78"/>
      <c r="H37" s="19"/>
    </row>
    <row r="38" spans="3:8" ht="15.75" thickBot="1" x14ac:dyDescent="0.3">
      <c r="C38" s="3"/>
      <c r="D38" s="16"/>
      <c r="E38" s="62"/>
      <c r="F38" s="85"/>
      <c r="G38" s="79"/>
      <c r="H38" s="19"/>
    </row>
    <row r="40" spans="3:8" ht="15.75" thickBot="1" x14ac:dyDescent="0.3"/>
    <row r="41" spans="3:8" x14ac:dyDescent="0.25">
      <c r="E41" s="24" t="s">
        <v>299</v>
      </c>
      <c r="F41" s="25" t="s">
        <v>708</v>
      </c>
    </row>
    <row r="42" spans="3:8" x14ac:dyDescent="0.25">
      <c r="E42" s="33" t="s">
        <v>298</v>
      </c>
      <c r="F42" s="34" t="s">
        <v>709</v>
      </c>
    </row>
    <row r="43" spans="3:8" x14ac:dyDescent="0.25">
      <c r="E43" s="31" t="s">
        <v>300</v>
      </c>
      <c r="F43" s="32" t="s">
        <v>710</v>
      </c>
    </row>
    <row r="44" spans="3:8" ht="15.75" thickBot="1" x14ac:dyDescent="0.3">
      <c r="E44" s="44" t="s">
        <v>301</v>
      </c>
      <c r="F44" s="45" t="s">
        <v>711</v>
      </c>
    </row>
    <row r="45" spans="3:8" ht="15.75" thickBot="1" x14ac:dyDescent="0.3"/>
    <row r="46" spans="3:8" ht="15.75" thickBot="1" x14ac:dyDescent="0.3">
      <c r="E46" s="68" t="s">
        <v>715</v>
      </c>
      <c r="F46" s="69" t="s">
        <v>712</v>
      </c>
    </row>
    <row r="48" spans="3:8" x14ac:dyDescent="0.25">
      <c r="E48" s="21" t="s">
        <v>43</v>
      </c>
      <c r="F48" s="12">
        <f>ROWS(F7:F8)+ROWS(F5)+ROWS(E22:E23)+ROWS(E15:E20)+ROWS(E5:E13)</f>
        <v>20</v>
      </c>
    </row>
    <row r="49" spans="5:6" x14ac:dyDescent="0.25">
      <c r="E49" s="21" t="s">
        <v>44</v>
      </c>
      <c r="F49" s="12">
        <f>ROWS(F32)</f>
        <v>1</v>
      </c>
    </row>
    <row r="50" spans="5:6" x14ac:dyDescent="0.25">
      <c r="E50" s="21" t="s">
        <v>45</v>
      </c>
      <c r="F50" s="12">
        <v>0</v>
      </c>
    </row>
    <row r="51" spans="5:6" x14ac:dyDescent="0.25">
      <c r="E51" s="21" t="s">
        <v>46</v>
      </c>
      <c r="F51" s="12">
        <f>ROWS(F30:F31)+ROWS(F6)+ROWS(E21)+ROWS(E14)</f>
        <v>5</v>
      </c>
    </row>
    <row r="53" spans="5:6" x14ac:dyDescent="0.25">
      <c r="E53" s="21" t="s">
        <v>47</v>
      </c>
      <c r="F53" s="12">
        <f>F48/(F48+F50)</f>
        <v>1</v>
      </c>
    </row>
    <row r="54" spans="5:6" x14ac:dyDescent="0.25">
      <c r="E54" s="21" t="s">
        <v>48</v>
      </c>
      <c r="F54" s="12">
        <f>F48/(F48+F51)</f>
        <v>0.8</v>
      </c>
    </row>
    <row r="55" spans="5:6" x14ac:dyDescent="0.25">
      <c r="E55" s="21" t="s">
        <v>49</v>
      </c>
      <c r="F55" s="12">
        <f>F49/(F50+F49)</f>
        <v>1</v>
      </c>
    </row>
    <row r="56" spans="5:6" x14ac:dyDescent="0.25">
      <c r="E56" s="21" t="s">
        <v>302</v>
      </c>
      <c r="F56" s="12">
        <f>2*F48/((2*F48)+F50+F51)</f>
        <v>0.88888888888888884</v>
      </c>
    </row>
  </sheetData>
  <mergeCells count="4">
    <mergeCell ref="C3:H3"/>
    <mergeCell ref="C27:G27"/>
    <mergeCell ref="C28:E28"/>
    <mergeCell ref="F28:G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4"/>
  <sheetViews>
    <sheetView workbookViewId="0">
      <selection activeCell="C70" sqref="C7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6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99</v>
      </c>
      <c r="D5" s="26" t="s">
        <v>18</v>
      </c>
      <c r="E5" s="25" t="s">
        <v>219</v>
      </c>
      <c r="F5" s="28" t="s">
        <v>119</v>
      </c>
      <c r="G5" s="26" t="s">
        <v>18</v>
      </c>
      <c r="H5" s="25" t="s">
        <v>235</v>
      </c>
    </row>
    <row r="6" spans="3:8" x14ac:dyDescent="0.25">
      <c r="C6" s="29" t="s">
        <v>112</v>
      </c>
      <c r="D6" s="27" t="s">
        <v>18</v>
      </c>
      <c r="E6" s="30" t="s">
        <v>172</v>
      </c>
      <c r="F6" s="49" t="s">
        <v>120</v>
      </c>
      <c r="G6" s="50" t="s">
        <v>19</v>
      </c>
      <c r="H6" s="51" t="s">
        <v>28</v>
      </c>
    </row>
    <row r="7" spans="3:8" x14ac:dyDescent="0.25">
      <c r="C7" s="29" t="s">
        <v>5</v>
      </c>
      <c r="D7" s="27" t="s">
        <v>18</v>
      </c>
      <c r="E7" s="30" t="s">
        <v>218</v>
      </c>
      <c r="F7" s="29" t="s">
        <v>121</v>
      </c>
      <c r="G7" s="27" t="s">
        <v>18</v>
      </c>
      <c r="H7" s="30" t="s">
        <v>236</v>
      </c>
    </row>
    <row r="8" spans="3:8" x14ac:dyDescent="0.25">
      <c r="C8" s="29" t="s">
        <v>113</v>
      </c>
      <c r="D8" s="27" t="s">
        <v>18</v>
      </c>
      <c r="E8" s="30" t="s">
        <v>228</v>
      </c>
      <c r="F8" s="49" t="s">
        <v>122</v>
      </c>
      <c r="G8" s="50" t="s">
        <v>19</v>
      </c>
      <c r="H8" s="51" t="s">
        <v>28</v>
      </c>
    </row>
    <row r="9" spans="3:8" x14ac:dyDescent="0.25">
      <c r="C9" s="29" t="s">
        <v>53</v>
      </c>
      <c r="D9" s="27" t="s">
        <v>18</v>
      </c>
      <c r="E9" s="30" t="s">
        <v>176</v>
      </c>
      <c r="F9" s="29" t="s">
        <v>123</v>
      </c>
      <c r="G9" s="27" t="s">
        <v>18</v>
      </c>
      <c r="H9" s="30" t="s">
        <v>237</v>
      </c>
    </row>
    <row r="10" spans="3:8" x14ac:dyDescent="0.25">
      <c r="C10" s="29" t="s">
        <v>4</v>
      </c>
      <c r="D10" s="27" t="s">
        <v>18</v>
      </c>
      <c r="E10" s="30" t="s">
        <v>177</v>
      </c>
      <c r="F10" s="29" t="s">
        <v>124</v>
      </c>
      <c r="G10" s="27" t="s">
        <v>18</v>
      </c>
      <c r="H10" s="30" t="s">
        <v>238</v>
      </c>
    </row>
    <row r="11" spans="3:8" x14ac:dyDescent="0.25">
      <c r="C11" s="29" t="s">
        <v>6</v>
      </c>
      <c r="D11" s="27" t="s">
        <v>18</v>
      </c>
      <c r="E11" s="30" t="s">
        <v>178</v>
      </c>
      <c r="F11" s="29" t="s">
        <v>125</v>
      </c>
      <c r="G11" s="27" t="s">
        <v>18</v>
      </c>
      <c r="H11" s="30" t="s">
        <v>177</v>
      </c>
    </row>
    <row r="12" spans="3:8" x14ac:dyDescent="0.25">
      <c r="C12" s="29" t="s">
        <v>114</v>
      </c>
      <c r="D12" s="27" t="s">
        <v>18</v>
      </c>
      <c r="E12" s="30" t="s">
        <v>199</v>
      </c>
      <c r="F12" s="49" t="s">
        <v>126</v>
      </c>
      <c r="G12" s="50" t="s">
        <v>19</v>
      </c>
      <c r="H12" s="51" t="s">
        <v>28</v>
      </c>
    </row>
    <row r="13" spans="3:8" x14ac:dyDescent="0.25">
      <c r="C13" s="29" t="s">
        <v>115</v>
      </c>
      <c r="D13" s="27" t="s">
        <v>18</v>
      </c>
      <c r="E13" s="30" t="s">
        <v>229</v>
      </c>
      <c r="F13" s="49" t="s">
        <v>127</v>
      </c>
      <c r="G13" s="50" t="s">
        <v>19</v>
      </c>
      <c r="H13" s="51" t="s">
        <v>28</v>
      </c>
    </row>
    <row r="14" spans="3:8" x14ac:dyDescent="0.25">
      <c r="C14" s="29" t="s">
        <v>116</v>
      </c>
      <c r="D14" s="27" t="s">
        <v>18</v>
      </c>
      <c r="E14" s="30" t="s">
        <v>230</v>
      </c>
      <c r="F14" s="1"/>
      <c r="G14" s="12"/>
      <c r="H14" s="2"/>
    </row>
    <row r="15" spans="3:8" x14ac:dyDescent="0.25">
      <c r="C15" s="29" t="s">
        <v>117</v>
      </c>
      <c r="D15" s="27" t="s">
        <v>18</v>
      </c>
      <c r="E15" s="30" t="s">
        <v>231</v>
      </c>
      <c r="F15" s="1"/>
      <c r="G15" s="12"/>
      <c r="H15" s="2"/>
    </row>
    <row r="16" spans="3:8" x14ac:dyDescent="0.25">
      <c r="C16" s="29" t="s">
        <v>96</v>
      </c>
      <c r="D16" s="27" t="s">
        <v>18</v>
      </c>
      <c r="E16" s="30" t="s">
        <v>232</v>
      </c>
      <c r="F16" s="1"/>
      <c r="G16" s="12"/>
      <c r="H16" s="2"/>
    </row>
    <row r="17" spans="3:8" x14ac:dyDescent="0.25">
      <c r="C17" s="29" t="s">
        <v>118</v>
      </c>
      <c r="D17" s="27" t="s">
        <v>18</v>
      </c>
      <c r="E17" s="30" t="s">
        <v>221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248</v>
      </c>
      <c r="D33" s="32" t="s">
        <v>19</v>
      </c>
      <c r="E33" s="32" t="s">
        <v>233</v>
      </c>
      <c r="F33" s="63" t="s">
        <v>239</v>
      </c>
      <c r="G33" s="55" t="s">
        <v>19</v>
      </c>
      <c r="H33" s="19"/>
    </row>
    <row r="34" spans="3:8" x14ac:dyDescent="0.25">
      <c r="C34" s="32" t="s">
        <v>249</v>
      </c>
      <c r="D34" s="32" t="s">
        <v>19</v>
      </c>
      <c r="E34" s="32" t="s">
        <v>234</v>
      </c>
      <c r="F34" s="70" t="s">
        <v>240</v>
      </c>
      <c r="G34" s="71" t="s">
        <v>18</v>
      </c>
      <c r="H34" s="19"/>
    </row>
    <row r="35" spans="3:8" x14ac:dyDescent="0.25">
      <c r="C35" s="1"/>
      <c r="D35" s="12"/>
      <c r="E35" s="60"/>
      <c r="F35" s="37" t="s">
        <v>241</v>
      </c>
      <c r="G35" s="34" t="s">
        <v>19</v>
      </c>
      <c r="H35" s="19"/>
    </row>
    <row r="36" spans="3:8" x14ac:dyDescent="0.25">
      <c r="C36" s="1"/>
      <c r="D36" s="12"/>
      <c r="E36" s="60"/>
      <c r="F36" s="70" t="s">
        <v>242</v>
      </c>
      <c r="G36" s="71" t="s">
        <v>18</v>
      </c>
      <c r="H36" s="19"/>
    </row>
    <row r="37" spans="3:8" x14ac:dyDescent="0.25">
      <c r="C37" s="1"/>
      <c r="D37" s="12"/>
      <c r="E37" s="60"/>
      <c r="F37" s="37" t="s">
        <v>216</v>
      </c>
      <c r="G37" s="34" t="s">
        <v>19</v>
      </c>
      <c r="H37" s="19"/>
    </row>
    <row r="38" spans="3:8" x14ac:dyDescent="0.25">
      <c r="C38" s="1"/>
      <c r="D38" s="12"/>
      <c r="E38" s="60"/>
      <c r="F38" s="70" t="s">
        <v>120</v>
      </c>
      <c r="G38" s="71" t="s">
        <v>18</v>
      </c>
      <c r="H38" s="19"/>
    </row>
    <row r="39" spans="3:8" x14ac:dyDescent="0.25">
      <c r="C39" s="1"/>
      <c r="D39" s="12"/>
      <c r="E39" s="60"/>
      <c r="F39" s="37" t="s">
        <v>243</v>
      </c>
      <c r="G39" s="34" t="s">
        <v>19</v>
      </c>
      <c r="H39" s="19"/>
    </row>
    <row r="40" spans="3:8" x14ac:dyDescent="0.25">
      <c r="C40" s="1"/>
      <c r="D40" s="12"/>
      <c r="E40" s="60"/>
      <c r="F40" s="70" t="s">
        <v>244</v>
      </c>
      <c r="G40" s="71" t="s">
        <v>18</v>
      </c>
      <c r="H40" s="19"/>
    </row>
    <row r="41" spans="3:8" x14ac:dyDescent="0.25">
      <c r="C41" s="1"/>
      <c r="D41" s="12"/>
      <c r="E41" s="60"/>
      <c r="F41" s="70" t="s">
        <v>245</v>
      </c>
      <c r="G41" s="71" t="s">
        <v>18</v>
      </c>
      <c r="H41" s="19"/>
    </row>
    <row r="42" spans="3:8" x14ac:dyDescent="0.25">
      <c r="C42" s="1"/>
      <c r="D42" s="12"/>
      <c r="E42" s="60"/>
      <c r="F42" s="37" t="s">
        <v>40</v>
      </c>
      <c r="G42" s="34" t="s">
        <v>19</v>
      </c>
      <c r="H42" s="19"/>
    </row>
    <row r="43" spans="3:8" x14ac:dyDescent="0.25">
      <c r="C43" s="1"/>
      <c r="D43" s="12"/>
      <c r="E43" s="60"/>
      <c r="F43" s="70" t="s">
        <v>246</v>
      </c>
      <c r="G43" s="71" t="s">
        <v>18</v>
      </c>
      <c r="H43" s="19"/>
    </row>
    <row r="44" spans="3:8" x14ac:dyDescent="0.25">
      <c r="C44" s="1"/>
      <c r="D44" s="12"/>
      <c r="E44" s="60"/>
      <c r="F44" s="70" t="s">
        <v>247</v>
      </c>
      <c r="G44" s="71" t="s">
        <v>18</v>
      </c>
      <c r="H44" s="19"/>
    </row>
    <row r="45" spans="3:8" x14ac:dyDescent="0.25">
      <c r="C45" s="1"/>
      <c r="D45" s="12"/>
      <c r="E45" s="60"/>
      <c r="F45" s="70" t="s">
        <v>127</v>
      </c>
      <c r="G45" s="71" t="s">
        <v>18</v>
      </c>
      <c r="H45" s="19"/>
    </row>
    <row r="46" spans="3:8" ht="15.75" thickBot="1" x14ac:dyDescent="0.3">
      <c r="C46" s="3"/>
      <c r="D46" s="16"/>
      <c r="E46" s="62"/>
      <c r="F46" s="6"/>
      <c r="G46" s="4"/>
      <c r="H46" s="19"/>
    </row>
    <row r="48" spans="3:8" ht="15.75" thickBot="1" x14ac:dyDescent="0.3"/>
    <row r="49" spans="5:6" x14ac:dyDescent="0.25">
      <c r="E49" s="24" t="s">
        <v>299</v>
      </c>
      <c r="F49" s="25" t="s">
        <v>708</v>
      </c>
    </row>
    <row r="50" spans="5:6" x14ac:dyDescent="0.25">
      <c r="E50" s="33" t="s">
        <v>298</v>
      </c>
      <c r="F50" s="34" t="s">
        <v>709</v>
      </c>
    </row>
    <row r="51" spans="5:6" x14ac:dyDescent="0.25">
      <c r="E51" s="31" t="s">
        <v>300</v>
      </c>
      <c r="F51" s="32" t="s">
        <v>710</v>
      </c>
    </row>
    <row r="52" spans="5:6" ht="15.75" thickBot="1" x14ac:dyDescent="0.3">
      <c r="E52" s="44" t="s">
        <v>301</v>
      </c>
      <c r="F52" s="45" t="s">
        <v>711</v>
      </c>
    </row>
    <row r="53" spans="5:6" ht="15.75" thickBot="1" x14ac:dyDescent="0.3"/>
    <row r="54" spans="5:6" ht="15.75" thickBot="1" x14ac:dyDescent="0.3">
      <c r="E54" s="68" t="s">
        <v>715</v>
      </c>
      <c r="F54" s="69" t="s">
        <v>712</v>
      </c>
    </row>
    <row r="56" spans="5:6" x14ac:dyDescent="0.25">
      <c r="E56" s="21" t="s">
        <v>43</v>
      </c>
      <c r="F56" s="12">
        <f>ROWS(F9:F11)+ROWS(F7)+ROWS(F5)+ROWS(E5:E17)</f>
        <v>18</v>
      </c>
    </row>
    <row r="57" spans="5:6" x14ac:dyDescent="0.25">
      <c r="E57" s="21" t="s">
        <v>44</v>
      </c>
      <c r="F57" s="12">
        <f>ROWS(F42)+ROWS(F39)+ROWS(F37)+ROWS(F35)+ROWS(F33)</f>
        <v>5</v>
      </c>
    </row>
    <row r="58" spans="5:6" x14ac:dyDescent="0.25">
      <c r="E58" s="21" t="s">
        <v>45</v>
      </c>
      <c r="F58" s="12">
        <f>ROWS(E33:E34)</f>
        <v>2</v>
      </c>
    </row>
    <row r="59" spans="5:6" x14ac:dyDescent="0.25">
      <c r="E59" s="21" t="s">
        <v>46</v>
      </c>
      <c r="F59" s="12">
        <f>ROWS(F43:F45)+ROWS(F40:F41)+ROWS(F38)+ROWS(F36)+ROWS(F34)+ROWS(F12:F13)+ROWS(F8)+ROWS(F6)</f>
        <v>12</v>
      </c>
    </row>
    <row r="61" spans="5:6" x14ac:dyDescent="0.25">
      <c r="E61" s="21" t="s">
        <v>47</v>
      </c>
      <c r="F61" s="12">
        <f>F56/(F56+F58)</f>
        <v>0.9</v>
      </c>
    </row>
    <row r="62" spans="5:6" x14ac:dyDescent="0.25">
      <c r="E62" s="21" t="s">
        <v>48</v>
      </c>
      <c r="F62" s="12">
        <f>F56/(F56+F59)</f>
        <v>0.6</v>
      </c>
    </row>
    <row r="63" spans="5:6" x14ac:dyDescent="0.25">
      <c r="E63" s="21" t="s">
        <v>49</v>
      </c>
      <c r="F63" s="12">
        <f>F57/(F58+F57)</f>
        <v>0.7142857142857143</v>
      </c>
    </row>
    <row r="64" spans="5:6" x14ac:dyDescent="0.25">
      <c r="E64" s="21" t="s">
        <v>302</v>
      </c>
      <c r="F64" s="12">
        <f>2*F56/((2*F56)+F58+F59)</f>
        <v>0.72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workbookViewId="0">
      <selection activeCell="C71" sqref="C7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6.140625" customWidth="1"/>
    <col min="6" max="6" width="87.5703125" customWidth="1"/>
    <col min="7" max="7" width="28.5703125" customWidth="1"/>
    <col min="8" max="8" width="50.855468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128</v>
      </c>
      <c r="D5" s="26" t="s">
        <v>18</v>
      </c>
      <c r="E5" s="25" t="s">
        <v>250</v>
      </c>
      <c r="F5" s="58" t="s">
        <v>119</v>
      </c>
      <c r="G5" s="26" t="s">
        <v>18</v>
      </c>
      <c r="H5" s="25" t="s">
        <v>235</v>
      </c>
    </row>
    <row r="6" spans="3:8" x14ac:dyDescent="0.25">
      <c r="C6" s="29" t="s">
        <v>129</v>
      </c>
      <c r="D6" s="27" t="s">
        <v>18</v>
      </c>
      <c r="E6" s="30" t="s">
        <v>251</v>
      </c>
      <c r="F6" s="29" t="s">
        <v>141</v>
      </c>
      <c r="G6" s="27" t="s">
        <v>18</v>
      </c>
      <c r="H6" s="30" t="s">
        <v>259</v>
      </c>
    </row>
    <row r="7" spans="3:8" x14ac:dyDescent="0.25">
      <c r="C7" s="29" t="s">
        <v>130</v>
      </c>
      <c r="D7" s="27" t="s">
        <v>18</v>
      </c>
      <c r="E7" s="30" t="s">
        <v>252</v>
      </c>
      <c r="F7" s="49" t="s">
        <v>142</v>
      </c>
      <c r="G7" s="50" t="s">
        <v>19</v>
      </c>
      <c r="H7" s="51" t="s">
        <v>28</v>
      </c>
    </row>
    <row r="8" spans="3:8" x14ac:dyDescent="0.25">
      <c r="C8" s="29" t="s">
        <v>131</v>
      </c>
      <c r="D8" s="27" t="s">
        <v>18</v>
      </c>
      <c r="E8" s="30" t="s">
        <v>253</v>
      </c>
      <c r="F8" s="1"/>
      <c r="G8" s="12"/>
      <c r="H8" s="2"/>
    </row>
    <row r="9" spans="3:8" x14ac:dyDescent="0.25">
      <c r="C9" s="49" t="s">
        <v>132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133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134</v>
      </c>
      <c r="D11" s="27" t="s">
        <v>18</v>
      </c>
      <c r="E11" s="30" t="s">
        <v>176</v>
      </c>
      <c r="F11" s="1"/>
      <c r="G11" s="12"/>
      <c r="H11" s="2"/>
    </row>
    <row r="12" spans="3:8" x14ac:dyDescent="0.25">
      <c r="C12" s="29" t="s">
        <v>135</v>
      </c>
      <c r="D12" s="27" t="s">
        <v>18</v>
      </c>
      <c r="E12" s="30" t="s">
        <v>210</v>
      </c>
      <c r="F12" s="1"/>
      <c r="G12" s="12"/>
      <c r="H12" s="2"/>
    </row>
    <row r="13" spans="3:8" x14ac:dyDescent="0.25">
      <c r="C13" s="29" t="s">
        <v>55</v>
      </c>
      <c r="D13" s="27" t="s">
        <v>18</v>
      </c>
      <c r="E13" s="30" t="s">
        <v>254</v>
      </c>
      <c r="F13" s="1"/>
      <c r="G13" s="12"/>
      <c r="H13" s="2"/>
    </row>
    <row r="14" spans="3:8" x14ac:dyDescent="0.25">
      <c r="C14" s="29" t="s">
        <v>136</v>
      </c>
      <c r="D14" s="27" t="s">
        <v>18</v>
      </c>
      <c r="E14" s="30" t="s">
        <v>255</v>
      </c>
      <c r="F14" s="1"/>
      <c r="G14" s="12"/>
      <c r="H14" s="2"/>
    </row>
    <row r="15" spans="3:8" x14ac:dyDescent="0.25">
      <c r="C15" s="64" t="s">
        <v>137</v>
      </c>
      <c r="D15" s="27" t="s">
        <v>18</v>
      </c>
      <c r="E15" s="30" t="s">
        <v>256</v>
      </c>
      <c r="F15" s="1"/>
      <c r="G15" s="12"/>
      <c r="H15" s="2"/>
    </row>
    <row r="16" spans="3:8" x14ac:dyDescent="0.25">
      <c r="C16" s="65" t="s">
        <v>138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64" t="s">
        <v>139</v>
      </c>
      <c r="D17" s="27" t="s">
        <v>18</v>
      </c>
      <c r="E17" s="30" t="s">
        <v>176</v>
      </c>
      <c r="F17" s="1"/>
      <c r="G17" s="12"/>
      <c r="H17" s="2"/>
    </row>
    <row r="18" spans="3:8" x14ac:dyDescent="0.25">
      <c r="C18" s="64" t="s">
        <v>56</v>
      </c>
      <c r="D18" s="27" t="s">
        <v>18</v>
      </c>
      <c r="E18" s="30" t="s">
        <v>183</v>
      </c>
      <c r="F18" s="1"/>
      <c r="G18" s="12"/>
      <c r="H18" s="2"/>
    </row>
    <row r="19" spans="3:8" x14ac:dyDescent="0.25">
      <c r="C19" s="64" t="s">
        <v>140</v>
      </c>
      <c r="D19" s="27" t="s">
        <v>18</v>
      </c>
      <c r="E19" s="30" t="s">
        <v>258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30" spans="3:8" ht="15.75" thickBot="1" x14ac:dyDescent="0.3"/>
    <row r="31" spans="3:8" ht="15.75" thickBot="1" x14ac:dyDescent="0.3">
      <c r="C31" s="111" t="s">
        <v>17</v>
      </c>
      <c r="D31" s="112"/>
      <c r="E31" s="112"/>
      <c r="F31" s="112"/>
      <c r="G31" s="113"/>
      <c r="H31" s="18"/>
    </row>
    <row r="32" spans="3:8" ht="15.75" thickBot="1" x14ac:dyDescent="0.3">
      <c r="C32" s="117" t="s">
        <v>35</v>
      </c>
      <c r="D32" s="112"/>
      <c r="E32" s="113"/>
      <c r="F32" s="117" t="s">
        <v>42</v>
      </c>
      <c r="G32" s="118"/>
      <c r="H32" s="18"/>
    </row>
    <row r="33" spans="3:8" ht="15.75" thickBot="1" x14ac:dyDescent="0.3">
      <c r="C33" s="8" t="s">
        <v>34</v>
      </c>
      <c r="D33" s="8" t="s">
        <v>31</v>
      </c>
      <c r="E33" s="8" t="s">
        <v>20</v>
      </c>
      <c r="F33" s="61" t="s">
        <v>34</v>
      </c>
      <c r="G33" s="8" t="s">
        <v>31</v>
      </c>
      <c r="H33" s="20"/>
    </row>
    <row r="34" spans="3:8" x14ac:dyDescent="0.25">
      <c r="C34" s="32" t="s">
        <v>29</v>
      </c>
      <c r="D34" s="32" t="s">
        <v>19</v>
      </c>
      <c r="E34" s="86" t="s">
        <v>257</v>
      </c>
      <c r="F34" s="88" t="s">
        <v>38</v>
      </c>
      <c r="G34" s="75" t="s">
        <v>19</v>
      </c>
      <c r="H34" s="19"/>
    </row>
    <row r="35" spans="3:8" x14ac:dyDescent="0.25">
      <c r="C35" s="1"/>
      <c r="D35" s="12"/>
      <c r="E35" s="60"/>
      <c r="F35" s="89" t="s">
        <v>303</v>
      </c>
      <c r="G35" s="87" t="s">
        <v>18</v>
      </c>
      <c r="H35" s="19"/>
    </row>
    <row r="36" spans="3:8" x14ac:dyDescent="0.25">
      <c r="C36" s="1"/>
      <c r="D36" s="12"/>
      <c r="E36" s="60"/>
      <c r="F36" s="83"/>
      <c r="G36" s="78"/>
      <c r="H36" s="19"/>
    </row>
    <row r="37" spans="3:8" x14ac:dyDescent="0.25">
      <c r="C37" s="1"/>
      <c r="D37" s="12"/>
      <c r="E37" s="60"/>
      <c r="F37" s="83"/>
      <c r="G37" s="78"/>
      <c r="H37" s="19"/>
    </row>
    <row r="38" spans="3:8" x14ac:dyDescent="0.25">
      <c r="C38" s="1"/>
      <c r="D38" s="12"/>
      <c r="E38" s="60"/>
      <c r="F38" s="83"/>
      <c r="G38" s="78"/>
      <c r="H38" s="19"/>
    </row>
    <row r="39" spans="3:8" x14ac:dyDescent="0.25">
      <c r="C39" s="1"/>
      <c r="D39" s="12"/>
      <c r="E39" s="60"/>
      <c r="F39" s="83"/>
      <c r="G39" s="78"/>
      <c r="H39" s="19"/>
    </row>
    <row r="40" spans="3:8" x14ac:dyDescent="0.25">
      <c r="C40" s="1"/>
      <c r="D40" s="12"/>
      <c r="E40" s="60"/>
      <c r="F40" s="84"/>
      <c r="G40" s="78"/>
      <c r="H40" s="19"/>
    </row>
    <row r="41" spans="3:8" x14ac:dyDescent="0.25">
      <c r="C41" s="1"/>
      <c r="D41" s="12"/>
      <c r="E41" s="60"/>
      <c r="F41" s="84"/>
      <c r="G41" s="78"/>
      <c r="H41" s="19"/>
    </row>
    <row r="42" spans="3:8" ht="15.75" thickBot="1" x14ac:dyDescent="0.3">
      <c r="C42" s="3"/>
      <c r="D42" s="16"/>
      <c r="E42" s="62"/>
      <c r="F42" s="85"/>
      <c r="G42" s="79"/>
      <c r="H42" s="19"/>
    </row>
    <row r="44" spans="3:8" ht="15.75" thickBot="1" x14ac:dyDescent="0.3"/>
    <row r="45" spans="3:8" x14ac:dyDescent="0.25">
      <c r="E45" s="24" t="s">
        <v>299</v>
      </c>
      <c r="F45" s="25" t="s">
        <v>708</v>
      </c>
    </row>
    <row r="46" spans="3:8" x14ac:dyDescent="0.25">
      <c r="E46" s="33" t="s">
        <v>298</v>
      </c>
      <c r="F46" s="34" t="s">
        <v>709</v>
      </c>
    </row>
    <row r="47" spans="3:8" x14ac:dyDescent="0.25">
      <c r="E47" s="31" t="s">
        <v>300</v>
      </c>
      <c r="F47" s="32" t="s">
        <v>710</v>
      </c>
    </row>
    <row r="48" spans="3:8" ht="15.75" thickBot="1" x14ac:dyDescent="0.3">
      <c r="E48" s="44" t="s">
        <v>301</v>
      </c>
      <c r="F48" s="45" t="s">
        <v>711</v>
      </c>
    </row>
    <row r="49" spans="5:6" ht="15.75" thickBot="1" x14ac:dyDescent="0.3"/>
    <row r="50" spans="5:6" ht="15.75" thickBot="1" x14ac:dyDescent="0.3">
      <c r="E50" s="68" t="s">
        <v>715</v>
      </c>
      <c r="F50" s="69" t="s">
        <v>712</v>
      </c>
    </row>
    <row r="52" spans="5:6" x14ac:dyDescent="0.25">
      <c r="E52" s="21" t="s">
        <v>43</v>
      </c>
      <c r="F52" s="12">
        <f>ROWS(C17:C19)+ROWS(C11:C15)+ROWS(C5:C8)+ROWS(F5:F6)</f>
        <v>14</v>
      </c>
    </row>
    <row r="53" spans="5:6" x14ac:dyDescent="0.25">
      <c r="E53" s="21" t="s">
        <v>44</v>
      </c>
      <c r="F53" s="12">
        <f>ROWS(F34)</f>
        <v>1</v>
      </c>
    </row>
    <row r="54" spans="5:6" x14ac:dyDescent="0.25">
      <c r="E54" s="21" t="s">
        <v>45</v>
      </c>
      <c r="F54" s="12">
        <f>ROWS(C34)</f>
        <v>1</v>
      </c>
    </row>
    <row r="55" spans="5:6" x14ac:dyDescent="0.25">
      <c r="E55" s="21" t="s">
        <v>46</v>
      </c>
      <c r="F55" s="12">
        <f>ROWS(F35)+ROWS(C9:C10)+ROWS(C16)</f>
        <v>4</v>
      </c>
    </row>
    <row r="57" spans="5:6" x14ac:dyDescent="0.25">
      <c r="E57" s="21" t="s">
        <v>47</v>
      </c>
      <c r="F57" s="12">
        <f>F52/(F52+F54)</f>
        <v>0.93333333333333335</v>
      </c>
    </row>
    <row r="58" spans="5:6" x14ac:dyDescent="0.25">
      <c r="E58" s="21" t="s">
        <v>48</v>
      </c>
      <c r="F58" s="12">
        <f>F52/(F52+F55)</f>
        <v>0.77777777777777779</v>
      </c>
    </row>
    <row r="59" spans="5:6" x14ac:dyDescent="0.25">
      <c r="E59" s="21" t="s">
        <v>49</v>
      </c>
      <c r="F59" s="12">
        <f>F53/(F54+F53)</f>
        <v>0.5</v>
      </c>
    </row>
    <row r="60" spans="5:6" x14ac:dyDescent="0.25">
      <c r="E60" s="21" t="s">
        <v>302</v>
      </c>
      <c r="F60" s="12">
        <f>2*F52/((2*F52)+F54+F55)</f>
        <v>0.84848484848484851</v>
      </c>
    </row>
    <row r="62" spans="5:6" x14ac:dyDescent="0.25">
      <c r="F62" t="s">
        <v>716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3"/>
  <sheetViews>
    <sheetView topLeftCell="B1" workbookViewId="0">
      <selection activeCell="F63" sqref="F63"/>
    </sheetView>
  </sheetViews>
  <sheetFormatPr baseColWidth="10" defaultRowHeight="15" x14ac:dyDescent="0.25"/>
  <cols>
    <col min="1" max="1" width="1.140625" customWidth="1"/>
    <col min="2" max="2" width="2" customWidth="1"/>
    <col min="3" max="3" width="93.425781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7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143</v>
      </c>
      <c r="D5" s="47" t="s">
        <v>19</v>
      </c>
      <c r="E5" s="48" t="s">
        <v>28</v>
      </c>
      <c r="F5" s="46" t="s">
        <v>151</v>
      </c>
      <c r="G5" s="47" t="s">
        <v>19</v>
      </c>
      <c r="H5" s="48" t="s">
        <v>28</v>
      </c>
    </row>
    <row r="6" spans="3:8" x14ac:dyDescent="0.25">
      <c r="C6" s="49" t="s">
        <v>144</v>
      </c>
      <c r="D6" s="50" t="s">
        <v>19</v>
      </c>
      <c r="E6" s="51" t="s">
        <v>28</v>
      </c>
      <c r="F6" s="29" t="s">
        <v>152</v>
      </c>
      <c r="G6" s="27" t="s">
        <v>18</v>
      </c>
      <c r="H6" s="30" t="s">
        <v>221</v>
      </c>
    </row>
    <row r="7" spans="3:8" x14ac:dyDescent="0.25">
      <c r="C7" s="29" t="s">
        <v>145</v>
      </c>
      <c r="D7" s="27" t="s">
        <v>18</v>
      </c>
      <c r="E7" s="30" t="s">
        <v>261</v>
      </c>
      <c r="F7" s="29" t="s">
        <v>153</v>
      </c>
      <c r="G7" s="27" t="s">
        <v>18</v>
      </c>
      <c r="H7" s="30" t="s">
        <v>267</v>
      </c>
    </row>
    <row r="8" spans="3:8" x14ac:dyDescent="0.25">
      <c r="C8" s="29" t="s">
        <v>5</v>
      </c>
      <c r="D8" s="27" t="s">
        <v>18</v>
      </c>
      <c r="E8" s="30" t="s">
        <v>218</v>
      </c>
      <c r="F8" s="49" t="s">
        <v>154</v>
      </c>
      <c r="G8" s="50" t="s">
        <v>19</v>
      </c>
      <c r="H8" s="51" t="s">
        <v>28</v>
      </c>
    </row>
    <row r="9" spans="3:8" x14ac:dyDescent="0.25">
      <c r="C9" s="29" t="s">
        <v>146</v>
      </c>
      <c r="D9" s="27" t="s">
        <v>18</v>
      </c>
      <c r="E9" s="30" t="s">
        <v>262</v>
      </c>
      <c r="F9" s="29" t="s">
        <v>155</v>
      </c>
      <c r="G9" s="27" t="s">
        <v>18</v>
      </c>
      <c r="H9" s="30" t="s">
        <v>268</v>
      </c>
    </row>
    <row r="10" spans="3:8" x14ac:dyDescent="0.25">
      <c r="C10" s="29" t="s">
        <v>147</v>
      </c>
      <c r="D10" s="27" t="s">
        <v>18</v>
      </c>
      <c r="E10" s="30" t="s">
        <v>263</v>
      </c>
      <c r="F10" s="49" t="s">
        <v>156</v>
      </c>
      <c r="G10" s="50" t="s">
        <v>19</v>
      </c>
      <c r="H10" s="51" t="s">
        <v>28</v>
      </c>
    </row>
    <row r="11" spans="3:8" x14ac:dyDescent="0.25">
      <c r="C11" s="29" t="s">
        <v>4</v>
      </c>
      <c r="D11" s="27" t="s">
        <v>18</v>
      </c>
      <c r="E11" s="30" t="s">
        <v>177</v>
      </c>
      <c r="F11" s="29" t="s">
        <v>157</v>
      </c>
      <c r="G11" s="27" t="s">
        <v>18</v>
      </c>
      <c r="H11" s="30" t="s">
        <v>269</v>
      </c>
    </row>
    <row r="12" spans="3:8" x14ac:dyDescent="0.25">
      <c r="C12" s="29" t="s">
        <v>148</v>
      </c>
      <c r="D12" s="27" t="s">
        <v>18</v>
      </c>
      <c r="E12" s="30" t="s">
        <v>264</v>
      </c>
      <c r="F12" s="1"/>
      <c r="G12" s="12"/>
      <c r="H12" s="2"/>
    </row>
    <row r="13" spans="3:8" x14ac:dyDescent="0.25">
      <c r="C13" s="29" t="s">
        <v>149</v>
      </c>
      <c r="D13" s="27" t="s">
        <v>18</v>
      </c>
      <c r="E13" s="30" t="s">
        <v>265</v>
      </c>
      <c r="F13" s="1"/>
      <c r="G13" s="12"/>
      <c r="H13" s="2"/>
    </row>
    <row r="14" spans="3:8" x14ac:dyDescent="0.25">
      <c r="C14" s="29" t="s">
        <v>150</v>
      </c>
      <c r="D14" s="27" t="s">
        <v>18</v>
      </c>
      <c r="E14" s="30" t="s">
        <v>266</v>
      </c>
      <c r="F14" s="1"/>
      <c r="G14" s="12"/>
      <c r="H14" s="2"/>
    </row>
    <row r="15" spans="3:8" x14ac:dyDescent="0.25">
      <c r="C15" s="64" t="s">
        <v>7</v>
      </c>
      <c r="D15" s="27" t="s">
        <v>18</v>
      </c>
      <c r="E15" s="30" t="s">
        <v>181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72" t="s">
        <v>270</v>
      </c>
      <c r="G33" s="73" t="s">
        <v>18</v>
      </c>
      <c r="H33" s="19"/>
    </row>
    <row r="34" spans="3:8" x14ac:dyDescent="0.25">
      <c r="C34" s="1"/>
      <c r="D34" s="12"/>
      <c r="E34" s="2"/>
      <c r="F34" s="70" t="s">
        <v>271</v>
      </c>
      <c r="G34" s="71" t="s">
        <v>18</v>
      </c>
      <c r="H34" s="19"/>
    </row>
    <row r="35" spans="3:8" x14ac:dyDescent="0.25">
      <c r="C35" s="1"/>
      <c r="D35" s="12"/>
      <c r="E35" s="2"/>
      <c r="F35" s="37" t="s">
        <v>193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194</v>
      </c>
      <c r="G36" s="34" t="s">
        <v>19</v>
      </c>
      <c r="H36" s="19"/>
    </row>
    <row r="37" spans="3:8" x14ac:dyDescent="0.25">
      <c r="C37" s="1"/>
      <c r="D37" s="12"/>
      <c r="E37" s="2"/>
      <c r="F37" s="70" t="s">
        <v>260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272</v>
      </c>
      <c r="G38" s="34" t="s">
        <v>19</v>
      </c>
      <c r="H38" s="19"/>
    </row>
    <row r="39" spans="3:8" x14ac:dyDescent="0.25">
      <c r="C39" s="1"/>
      <c r="D39" s="12"/>
      <c r="E39" s="2"/>
      <c r="F39" s="70" t="s">
        <v>273</v>
      </c>
      <c r="G39" s="71" t="s">
        <v>18</v>
      </c>
      <c r="H39" s="19"/>
    </row>
    <row r="40" spans="3:8" x14ac:dyDescent="0.25">
      <c r="C40" s="1"/>
      <c r="D40" s="12"/>
      <c r="E40" s="2"/>
      <c r="F40" s="37" t="s">
        <v>274</v>
      </c>
      <c r="G40" s="34" t="s">
        <v>19</v>
      </c>
      <c r="H40" s="19"/>
    </row>
    <row r="41" spans="3:8" x14ac:dyDescent="0.25">
      <c r="C41" s="1"/>
      <c r="D41" s="12"/>
      <c r="E41" s="2"/>
      <c r="F41" s="70" t="s">
        <v>275</v>
      </c>
      <c r="G41" s="71" t="s">
        <v>18</v>
      </c>
      <c r="H41" s="19"/>
    </row>
    <row r="42" spans="3:8" ht="15.75" thickBot="1" x14ac:dyDescent="0.3">
      <c r="C42" s="3"/>
      <c r="D42" s="16"/>
      <c r="E42" s="4"/>
      <c r="F42" s="66" t="s">
        <v>304</v>
      </c>
      <c r="G42" s="67" t="s">
        <v>19</v>
      </c>
      <c r="H42" s="19"/>
    </row>
    <row r="44" spans="3:8" ht="15.75" thickBot="1" x14ac:dyDescent="0.3"/>
    <row r="45" spans="3:8" x14ac:dyDescent="0.25">
      <c r="E45" s="24" t="s">
        <v>299</v>
      </c>
      <c r="F45" s="25" t="s">
        <v>708</v>
      </c>
    </row>
    <row r="46" spans="3:8" x14ac:dyDescent="0.25">
      <c r="E46" s="33" t="s">
        <v>298</v>
      </c>
      <c r="F46" s="34" t="s">
        <v>709</v>
      </c>
    </row>
    <row r="47" spans="3:8" x14ac:dyDescent="0.25">
      <c r="E47" s="31" t="s">
        <v>300</v>
      </c>
      <c r="F47" s="32" t="s">
        <v>710</v>
      </c>
    </row>
    <row r="48" spans="3:8" ht="15.75" thickBot="1" x14ac:dyDescent="0.3">
      <c r="E48" s="44" t="s">
        <v>301</v>
      </c>
      <c r="F48" s="45" t="s">
        <v>711</v>
      </c>
    </row>
    <row r="49" spans="5:6" ht="15.75" thickBot="1" x14ac:dyDescent="0.3"/>
    <row r="50" spans="5:6" ht="15.75" thickBot="1" x14ac:dyDescent="0.3">
      <c r="E50" s="68" t="s">
        <v>715</v>
      </c>
      <c r="F50" s="69" t="s">
        <v>712</v>
      </c>
    </row>
    <row r="52" spans="5:6" x14ac:dyDescent="0.25">
      <c r="E52" s="21" t="s">
        <v>43</v>
      </c>
      <c r="F52" s="12">
        <f>ROWS(F11)+ROWS(F9)+ROWS(F6:F7)+ROWS(E7:E15)</f>
        <v>13</v>
      </c>
    </row>
    <row r="53" spans="5:6" x14ac:dyDescent="0.25">
      <c r="E53" s="21" t="s">
        <v>44</v>
      </c>
      <c r="F53" s="12">
        <f>ROWS(F40)+ROWS(F38)+ROWS(F35:F36)</f>
        <v>4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ROWS(F41)+ROWS(F39)+ROWS(F37)+ROWS(F33:F34)+ROWS(F10)+ROWS(F8)+ROWS(F5)+ROWS(E5:E6)</f>
        <v>10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0.56521739130434778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0.72222222222222221</v>
      </c>
    </row>
    <row r="63" spans="5:6" x14ac:dyDescent="0.25">
      <c r="F63" t="s">
        <v>716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workbookViewId="0">
      <selection activeCell="B15" sqref="B1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7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46" t="s">
        <v>158</v>
      </c>
      <c r="D5" s="47" t="s">
        <v>19</v>
      </c>
      <c r="E5" s="48" t="s">
        <v>28</v>
      </c>
      <c r="F5" s="28" t="s">
        <v>279</v>
      </c>
      <c r="G5" s="26" t="s">
        <v>18</v>
      </c>
      <c r="H5" s="25" t="s">
        <v>280</v>
      </c>
    </row>
    <row r="6" spans="3:8" x14ac:dyDescent="0.25">
      <c r="C6" s="29" t="s">
        <v>4</v>
      </c>
      <c r="D6" s="27" t="s">
        <v>18</v>
      </c>
      <c r="E6" s="30" t="s">
        <v>177</v>
      </c>
      <c r="F6" s="1"/>
      <c r="G6" s="12"/>
      <c r="H6" s="2" t="s">
        <v>28</v>
      </c>
    </row>
    <row r="7" spans="3:8" x14ac:dyDescent="0.25">
      <c r="C7" s="29" t="s">
        <v>159</v>
      </c>
      <c r="D7" s="27" t="s">
        <v>18</v>
      </c>
      <c r="E7" s="30" t="s">
        <v>276</v>
      </c>
      <c r="F7" s="1"/>
      <c r="G7" s="12"/>
      <c r="H7" s="2" t="s">
        <v>28</v>
      </c>
    </row>
    <row r="8" spans="3:8" x14ac:dyDescent="0.25">
      <c r="C8" s="29" t="s">
        <v>160</v>
      </c>
      <c r="D8" s="27" t="s">
        <v>18</v>
      </c>
      <c r="E8" s="30" t="s">
        <v>173</v>
      </c>
      <c r="F8" s="1"/>
      <c r="G8" s="12"/>
      <c r="H8" s="2"/>
    </row>
    <row r="9" spans="3:8" x14ac:dyDescent="0.25">
      <c r="C9" s="29" t="s">
        <v>161</v>
      </c>
      <c r="D9" s="27" t="s">
        <v>18</v>
      </c>
      <c r="E9" s="30" t="s">
        <v>278</v>
      </c>
      <c r="F9" s="1"/>
      <c r="G9" s="12"/>
      <c r="H9" s="2"/>
    </row>
    <row r="10" spans="3:8" x14ac:dyDescent="0.25">
      <c r="C10" s="29" t="s">
        <v>162</v>
      </c>
      <c r="D10" s="27" t="s">
        <v>18</v>
      </c>
      <c r="E10" s="30" t="s">
        <v>277</v>
      </c>
      <c r="F10" s="1"/>
      <c r="G10" s="12"/>
      <c r="H10" s="2"/>
    </row>
    <row r="11" spans="3:8" x14ac:dyDescent="0.25">
      <c r="C11" s="65" t="s">
        <v>163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282</v>
      </c>
      <c r="D33" s="32" t="s">
        <v>19</v>
      </c>
      <c r="E33" s="32" t="s">
        <v>281</v>
      </c>
      <c r="F33" s="35" t="s">
        <v>37</v>
      </c>
      <c r="G33" s="36" t="s">
        <v>19</v>
      </c>
      <c r="H33" s="19"/>
    </row>
    <row r="34" spans="3:8" x14ac:dyDescent="0.25">
      <c r="C34" s="32" t="s">
        <v>283</v>
      </c>
      <c r="D34" s="32" t="s">
        <v>19</v>
      </c>
      <c r="E34" s="32" t="s">
        <v>284</v>
      </c>
      <c r="F34" s="37" t="s">
        <v>285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299</v>
      </c>
      <c r="F44" s="25" t="s">
        <v>708</v>
      </c>
    </row>
    <row r="45" spans="3:8" x14ac:dyDescent="0.25">
      <c r="E45" s="33" t="s">
        <v>298</v>
      </c>
      <c r="F45" s="34" t="s">
        <v>709</v>
      </c>
    </row>
    <row r="46" spans="3:8" x14ac:dyDescent="0.25">
      <c r="E46" s="31" t="s">
        <v>300</v>
      </c>
      <c r="F46" s="32" t="s">
        <v>710</v>
      </c>
    </row>
    <row r="47" spans="3:8" ht="15.75" thickBot="1" x14ac:dyDescent="0.3">
      <c r="E47" s="44" t="s">
        <v>301</v>
      </c>
      <c r="F47" s="45" t="s">
        <v>711</v>
      </c>
    </row>
    <row r="48" spans="3:8" ht="15.75" thickBot="1" x14ac:dyDescent="0.3"/>
    <row r="49" spans="5:6" ht="15.75" thickBot="1" x14ac:dyDescent="0.3">
      <c r="E49" s="68" t="s">
        <v>715</v>
      </c>
      <c r="F49" s="69" t="s">
        <v>712</v>
      </c>
    </row>
    <row r="51" spans="5:6" x14ac:dyDescent="0.25">
      <c r="E51" s="21" t="s">
        <v>43</v>
      </c>
      <c r="F51" s="12">
        <f>ROWS(F5)+ROWS(E6:E10)</f>
        <v>6</v>
      </c>
    </row>
    <row r="52" spans="5:6" x14ac:dyDescent="0.25">
      <c r="E52" s="21" t="s">
        <v>44</v>
      </c>
      <c r="F52" s="12">
        <f>ROWS(F33:F34)</f>
        <v>2</v>
      </c>
    </row>
    <row r="53" spans="5:6" x14ac:dyDescent="0.25">
      <c r="E53" s="21" t="s">
        <v>45</v>
      </c>
      <c r="F53" s="12">
        <f>ROWS(E33:E34)</f>
        <v>2</v>
      </c>
    </row>
    <row r="54" spans="5:6" x14ac:dyDescent="0.25">
      <c r="E54" s="21" t="s">
        <v>46</v>
      </c>
      <c r="F54" s="12">
        <f>ROWS(E11)+ROWS(E5)</f>
        <v>2</v>
      </c>
    </row>
    <row r="56" spans="5:6" x14ac:dyDescent="0.25">
      <c r="E56" s="21" t="s">
        <v>47</v>
      </c>
      <c r="F56" s="12">
        <f>F51/(F51+F53)</f>
        <v>0.75</v>
      </c>
    </row>
    <row r="57" spans="5:6" x14ac:dyDescent="0.25">
      <c r="E57" s="21" t="s">
        <v>48</v>
      </c>
      <c r="F57" s="12">
        <f>F51/(F51+F54)</f>
        <v>0.75</v>
      </c>
    </row>
    <row r="58" spans="5:6" x14ac:dyDescent="0.25">
      <c r="E58" s="21" t="s">
        <v>49</v>
      </c>
      <c r="F58" s="12">
        <f>F52/(F53+F52)</f>
        <v>0.5</v>
      </c>
    </row>
    <row r="59" spans="5:6" x14ac:dyDescent="0.25">
      <c r="E59" s="21" t="s">
        <v>302</v>
      </c>
      <c r="F59" s="12">
        <f>2*F51/((2*F51)+F53+F54)</f>
        <v>0.75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workbookViewId="0">
      <selection activeCell="F60" sqref="F6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8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95</v>
      </c>
      <c r="D5" s="26" t="s">
        <v>18</v>
      </c>
      <c r="E5" s="25" t="s">
        <v>217</v>
      </c>
      <c r="F5" s="58" t="s">
        <v>170</v>
      </c>
      <c r="G5" s="26" t="s">
        <v>18</v>
      </c>
      <c r="H5" s="25" t="s">
        <v>237</v>
      </c>
    </row>
    <row r="6" spans="3:8" x14ac:dyDescent="0.25">
      <c r="C6" s="29" t="s">
        <v>4</v>
      </c>
      <c r="D6" s="27" t="s">
        <v>18</v>
      </c>
      <c r="E6" s="30" t="s">
        <v>177</v>
      </c>
      <c r="F6" s="29" t="s">
        <v>291</v>
      </c>
      <c r="G6" s="27" t="s">
        <v>18</v>
      </c>
      <c r="H6" s="30" t="s">
        <v>295</v>
      </c>
    </row>
    <row r="7" spans="3:8" x14ac:dyDescent="0.25">
      <c r="C7" s="29" t="s">
        <v>6</v>
      </c>
      <c r="D7" s="27" t="s">
        <v>18</v>
      </c>
      <c r="E7" s="30" t="s">
        <v>178</v>
      </c>
      <c r="F7" s="49" t="s">
        <v>292</v>
      </c>
      <c r="G7" s="50" t="s">
        <v>19</v>
      </c>
      <c r="H7" s="51" t="s">
        <v>28</v>
      </c>
    </row>
    <row r="8" spans="3:8" x14ac:dyDescent="0.25">
      <c r="C8" s="29" t="s">
        <v>114</v>
      </c>
      <c r="D8" s="27" t="s">
        <v>18</v>
      </c>
      <c r="E8" s="30" t="s">
        <v>199</v>
      </c>
      <c r="F8" s="49" t="s">
        <v>293</v>
      </c>
      <c r="G8" s="50" t="s">
        <v>19</v>
      </c>
      <c r="H8" s="51" t="s">
        <v>28</v>
      </c>
    </row>
    <row r="9" spans="3:8" x14ac:dyDescent="0.25">
      <c r="C9" s="29" t="s">
        <v>164</v>
      </c>
      <c r="D9" s="27" t="s">
        <v>18</v>
      </c>
      <c r="E9" s="30" t="s">
        <v>209</v>
      </c>
      <c r="F9" s="49" t="s">
        <v>294</v>
      </c>
      <c r="G9" s="50" t="s">
        <v>19</v>
      </c>
      <c r="H9" s="51" t="s">
        <v>28</v>
      </c>
    </row>
    <row r="10" spans="3:8" x14ac:dyDescent="0.25">
      <c r="C10" s="29" t="s">
        <v>99</v>
      </c>
      <c r="D10" s="27" t="s">
        <v>18</v>
      </c>
      <c r="E10" s="30" t="s">
        <v>286</v>
      </c>
      <c r="F10" s="1"/>
      <c r="G10" s="12"/>
      <c r="H10" s="2"/>
    </row>
    <row r="11" spans="3:8" x14ac:dyDescent="0.25">
      <c r="C11" s="49" t="s">
        <v>165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166</v>
      </c>
      <c r="D12" s="27" t="s">
        <v>18</v>
      </c>
      <c r="E12" s="30" t="s">
        <v>224</v>
      </c>
      <c r="F12" s="1"/>
      <c r="G12" s="12"/>
      <c r="H12" s="2"/>
    </row>
    <row r="13" spans="3:8" x14ac:dyDescent="0.25">
      <c r="C13" s="29" t="s">
        <v>167</v>
      </c>
      <c r="D13" s="27" t="s">
        <v>18</v>
      </c>
      <c r="E13" s="30" t="s">
        <v>212</v>
      </c>
      <c r="F13" s="1"/>
      <c r="G13" s="12"/>
      <c r="H13" s="2"/>
    </row>
    <row r="14" spans="3:8" x14ac:dyDescent="0.25">
      <c r="C14" s="29" t="s">
        <v>5</v>
      </c>
      <c r="D14" s="27" t="s">
        <v>18</v>
      </c>
      <c r="E14" s="30" t="s">
        <v>173</v>
      </c>
      <c r="F14" s="1"/>
      <c r="G14" s="12"/>
      <c r="H14" s="2"/>
    </row>
    <row r="15" spans="3:8" x14ac:dyDescent="0.25">
      <c r="C15" s="64" t="s">
        <v>53</v>
      </c>
      <c r="D15" s="27" t="s">
        <v>18</v>
      </c>
      <c r="E15" s="30" t="s">
        <v>176</v>
      </c>
      <c r="F15" s="1"/>
      <c r="G15" s="12"/>
      <c r="H15" s="2"/>
    </row>
    <row r="16" spans="3:8" x14ac:dyDescent="0.25">
      <c r="C16" s="64" t="s">
        <v>168</v>
      </c>
      <c r="D16" s="27" t="s">
        <v>18</v>
      </c>
      <c r="E16" s="30" t="s">
        <v>228</v>
      </c>
      <c r="F16" s="1"/>
      <c r="G16" s="12"/>
      <c r="H16" s="2"/>
    </row>
    <row r="17" spans="3:8" x14ac:dyDescent="0.25">
      <c r="C17" s="64" t="s">
        <v>169</v>
      </c>
      <c r="D17" s="27" t="s">
        <v>18</v>
      </c>
      <c r="E17" s="30" t="s">
        <v>261</v>
      </c>
      <c r="F17" s="1"/>
      <c r="G17" s="12"/>
      <c r="H17" s="2"/>
    </row>
    <row r="18" spans="3:8" x14ac:dyDescent="0.25">
      <c r="C18" s="29" t="s">
        <v>287</v>
      </c>
      <c r="D18" s="27" t="s">
        <v>18</v>
      </c>
      <c r="E18" s="30" t="s">
        <v>288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289</v>
      </c>
      <c r="D33" s="32" t="s">
        <v>19</v>
      </c>
      <c r="E33" s="32" t="s">
        <v>290</v>
      </c>
      <c r="F33" s="35" t="s">
        <v>296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297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305</v>
      </c>
      <c r="G35" s="71" t="s">
        <v>18</v>
      </c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708</v>
      </c>
    </row>
    <row r="44" spans="3:8" x14ac:dyDescent="0.25">
      <c r="E44" s="33" t="s">
        <v>298</v>
      </c>
      <c r="F44" s="34" t="s">
        <v>709</v>
      </c>
    </row>
    <row r="45" spans="3:8" x14ac:dyDescent="0.25">
      <c r="E45" s="31" t="s">
        <v>300</v>
      </c>
      <c r="F45" s="32" t="s">
        <v>710</v>
      </c>
    </row>
    <row r="46" spans="3:8" ht="15.75" thickBot="1" x14ac:dyDescent="0.3">
      <c r="E46" s="44" t="s">
        <v>301</v>
      </c>
      <c r="F46" s="45" t="s">
        <v>711</v>
      </c>
    </row>
    <row r="47" spans="3:8" ht="15.75" thickBot="1" x14ac:dyDescent="0.3"/>
    <row r="48" spans="3:8" ht="15.75" thickBot="1" x14ac:dyDescent="0.3">
      <c r="E48" s="68" t="s">
        <v>715</v>
      </c>
      <c r="F48" s="69" t="s">
        <v>712</v>
      </c>
    </row>
    <row r="50" spans="5:6" x14ac:dyDescent="0.25">
      <c r="E50" s="21" t="s">
        <v>43</v>
      </c>
      <c r="F50" s="12">
        <f>ROWS(E12:E18)+ROWS(E5:E10)+ROWS(F5:F6)</f>
        <v>15</v>
      </c>
    </row>
    <row r="51" spans="5:6" x14ac:dyDescent="0.25">
      <c r="E51" s="21" t="s">
        <v>44</v>
      </c>
      <c r="F51" s="12">
        <f>ROWS(F33:F34)</f>
        <v>2</v>
      </c>
    </row>
    <row r="52" spans="5:6" x14ac:dyDescent="0.25">
      <c r="E52" s="21" t="s">
        <v>45</v>
      </c>
      <c r="F52" s="12">
        <f>ROWS(E33)</f>
        <v>1</v>
      </c>
    </row>
    <row r="53" spans="5:6" x14ac:dyDescent="0.25">
      <c r="E53" s="21" t="s">
        <v>46</v>
      </c>
      <c r="F53" s="12">
        <f>ROWS(F7:F9)+ROWS(E11)</f>
        <v>4</v>
      </c>
    </row>
    <row r="55" spans="5:6" x14ac:dyDescent="0.25">
      <c r="E55" s="21" t="s">
        <v>47</v>
      </c>
      <c r="F55" s="12">
        <f>F50/(F50+F52)</f>
        <v>0.9375</v>
      </c>
    </row>
    <row r="56" spans="5:6" x14ac:dyDescent="0.25">
      <c r="E56" s="21" t="s">
        <v>48</v>
      </c>
      <c r="F56" s="12">
        <f>F50/(F50+F53)</f>
        <v>0.78947368421052633</v>
      </c>
    </row>
    <row r="57" spans="5:6" x14ac:dyDescent="0.25">
      <c r="E57" s="21" t="s">
        <v>49</v>
      </c>
      <c r="F57" s="12">
        <f>F51/(F52+F51)</f>
        <v>0.66666666666666663</v>
      </c>
    </row>
    <row r="58" spans="5:6" x14ac:dyDescent="0.25">
      <c r="E58" s="21" t="s">
        <v>302</v>
      </c>
      <c r="F58" s="12">
        <f>2*F50/((2*F50)+F52+F53)</f>
        <v>0.8571428571428571</v>
      </c>
    </row>
    <row r="60" spans="5:6" x14ac:dyDescent="0.25">
      <c r="F60" t="s">
        <v>716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Tonsillitis</vt:lpstr>
      <vt:lpstr>Ebola</vt:lpstr>
      <vt:lpstr>Yellow Fever</vt:lpstr>
      <vt:lpstr>Leptospirosis</vt:lpstr>
      <vt:lpstr>Brucellosis</vt:lpstr>
      <vt:lpstr>Cholera</vt:lpstr>
      <vt:lpstr>Diphteria</vt:lpstr>
      <vt:lpstr>Erypselas</vt:lpstr>
      <vt:lpstr>Q Fever</vt:lpstr>
      <vt:lpstr>Typhoid Fever</vt:lpstr>
      <vt:lpstr>Legionnaire</vt:lpstr>
      <vt:lpstr>Tetanus</vt:lpstr>
      <vt:lpstr>Chickenpox</vt:lpstr>
      <vt:lpstr>Fifth disease</vt:lpstr>
      <vt:lpstr>Hepatitis</vt:lpstr>
      <vt:lpstr>Oral Herpes</vt:lpstr>
      <vt:lpstr>Impetigo</vt:lpstr>
      <vt:lpstr>Flu</vt:lpstr>
      <vt:lpstr>Meningitis</vt:lpstr>
      <vt:lpstr>Mumps</vt:lpstr>
      <vt:lpstr>Poliomyelitis</vt:lpstr>
      <vt:lpstr>Rabies</vt:lpstr>
      <vt:lpstr>Rocky Mountain spotted fever</vt:lpstr>
      <vt:lpstr>Roseola</vt:lpstr>
      <vt:lpstr>Rubella</vt:lpstr>
      <vt:lpstr>Measles</vt:lpstr>
      <vt:lpstr>Scarlet fever</vt:lpstr>
      <vt:lpstr>SARS</vt:lpstr>
      <vt:lpstr>West Nile Virus</vt:lpstr>
      <vt:lpstr>Pertussis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2014-10-25T17:48:20Z</dcterms:created>
  <dcterms:modified xsi:type="dcterms:W3CDTF">2015-01-21T23:08:15Z</dcterms:modified>
</cp:coreProperties>
</file>