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0499110\Desktop\"/>
    </mc:Choice>
  </mc:AlternateContent>
  <xr:revisionPtr revIDLastSave="0" documentId="13_ncr:1_{2B2D8D2A-BD31-4F97-A280-34C2D3F0BFBB}" xr6:coauthVersionLast="36" xr6:coauthVersionMax="36" xr10:uidLastSave="{00000000-0000-0000-0000-000000000000}"/>
  <bookViews>
    <workbookView xWindow="2340" yWindow="600" windowWidth="15780" windowHeight="8370" activeTab="1" xr2:uid="{3AB0DBF5-7A10-4E11-95DA-20642CB006F0}"/>
  </bookViews>
  <sheets>
    <sheet name="Sheet1" sheetId="1" r:id="rId1"/>
    <sheet name="Sheet2" sheetId="2" r:id="rId2"/>
    <sheet name="Goodbye" sheetId="3" r:id="rId3"/>
    <sheet name="Sheet5" sheetId="5" r:id="rId4"/>
    <sheet name="Sheet4" sheetId="4" r:id="rId5"/>
  </sheets>
  <externalReferences>
    <externalReference r:id="rId6"/>
    <externalReference r:id="rId7"/>
  </externalReferences>
  <definedNames>
    <definedName name="PLCTemplate">[1]LookupData!$A$47:$A$48</definedName>
    <definedName name="PLCTemplate2">[2]LookupData!$A$47:$A$48</definedName>
    <definedName name="RRRServer">[2]LookupData!$A$59:$A$68</definedName>
    <definedName name="RRServer">[1]LookupData!$A$59:$A$68</definedName>
    <definedName name="ScanGroupList">[1]LookupData!$A$52:$A$55</definedName>
    <definedName name="ScanGroupList2">[2]LookupData!$A$52:$A$55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7" i="2" l="1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58" i="2"/>
  <c r="C458" i="2"/>
  <c r="E455" i="2"/>
  <c r="C455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C442" i="2"/>
  <c r="E441" i="2"/>
  <c r="C441" i="2"/>
  <c r="E440" i="2"/>
  <c r="C440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6" i="2"/>
  <c r="C356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38" i="2"/>
  <c r="C338" i="2"/>
  <c r="E335" i="2"/>
  <c r="C335" i="2"/>
  <c r="E332" i="2"/>
  <c r="C332" i="2"/>
  <c r="E329" i="2"/>
  <c r="C329" i="2"/>
  <c r="E326" i="2"/>
  <c r="C326" i="2"/>
  <c r="E323" i="2"/>
  <c r="C323" i="2"/>
  <c r="E320" i="2"/>
  <c r="C320" i="2"/>
  <c r="E317" i="2"/>
  <c r="C317" i="2"/>
  <c r="E314" i="2"/>
  <c r="C314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1" i="2"/>
  <c r="C301" i="2"/>
  <c r="E298" i="2"/>
  <c r="C298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0" i="2"/>
  <c r="C230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7" i="2"/>
  <c r="C207" i="2"/>
  <c r="C204" i="2"/>
  <c r="E203" i="2"/>
  <c r="C203" i="2"/>
  <c r="E202" i="2"/>
  <c r="C202" i="2"/>
  <c r="C199" i="2"/>
  <c r="E198" i="2"/>
  <c r="C198" i="2"/>
  <c r="E197" i="2"/>
  <c r="C197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2" i="2"/>
  <c r="C182" i="2"/>
  <c r="E179" i="2"/>
  <c r="C179" i="2"/>
  <c r="E176" i="2"/>
  <c r="C176" i="2"/>
  <c r="E173" i="2"/>
  <c r="C173" i="2"/>
  <c r="E170" i="2"/>
  <c r="C170" i="2"/>
  <c r="E167" i="2"/>
  <c r="C167" i="2"/>
  <c r="E164" i="2"/>
  <c r="C164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C81" i="2"/>
  <c r="E80" i="2"/>
  <c r="C80" i="2"/>
  <c r="E79" i="2"/>
  <c r="C79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C56" i="2"/>
  <c r="E55" i="2"/>
  <c r="C55" i="2"/>
  <c r="E54" i="2"/>
  <c r="C54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3" i="2"/>
  <c r="C13" i="2"/>
  <c r="D13" i="2" s="1"/>
  <c r="E12" i="2"/>
  <c r="C12" i="2"/>
  <c r="D12" i="2" s="1"/>
  <c r="E11" i="2"/>
  <c r="C11" i="2"/>
  <c r="D11" i="2" s="1"/>
  <c r="E10" i="2"/>
  <c r="C10" i="2"/>
  <c r="D10" i="2" s="1"/>
  <c r="E9" i="2"/>
  <c r="C9" i="2"/>
  <c r="D9" i="2" s="1"/>
  <c r="E8" i="2"/>
  <c r="C8" i="2"/>
  <c r="D8" i="2" s="1"/>
  <c r="E7" i="2"/>
  <c r="C7" i="2"/>
  <c r="D7" i="2" s="1"/>
  <c r="E6" i="2"/>
  <c r="C6" i="2"/>
  <c r="B1" i="5"/>
  <c r="B1" i="4"/>
  <c r="D6" i="2" l="1"/>
  <c r="D472" i="2"/>
</calcChain>
</file>

<file path=xl/sharedStrings.xml><?xml version="1.0" encoding="utf-8"?>
<sst xmlns="http://schemas.openxmlformats.org/spreadsheetml/2006/main" count="943" uniqueCount="438">
  <si>
    <t>Date</t>
  </si>
  <si>
    <t>Amount</t>
  </si>
  <si>
    <t>AI_Limits_03</t>
  </si>
  <si>
    <t>FAF1_BFDP_W133</t>
  </si>
  <si>
    <t>BOOL</t>
  </si>
  <si>
    <t>PLCW133.4000ms.ModbusNetwork.W133.412621:1</t>
  </si>
  <si>
    <t>REAL</t>
  </si>
  <si>
    <t>PLCW133.4000ms.ModbusNetwork.W133.412629 F</t>
  </si>
  <si>
    <t>PSID</t>
  </si>
  <si>
    <t>PLCW133.4000ms.ModbusNetwork.W133.412627:9</t>
  </si>
  <si>
    <t>FAF1_BP_W133</t>
  </si>
  <si>
    <t>PLCW133.4000ms.ModbusNetwork.W133.412909:1</t>
  </si>
  <si>
    <t>PLCW133.4000ms.ModbusNetwork.W133.412907 F</t>
  </si>
  <si>
    <t>PLCW133.4000ms.ModbusNetwork.W133.412905:9</t>
  </si>
  <si>
    <t>FAF1_CCDTT_W133</t>
  </si>
  <si>
    <t>PLCW133.4000ms.ModbusNetwork.W133.412559:1</t>
  </si>
  <si>
    <t>PLCW133.4000ms.ModbusNetwork.W133.412557 F</t>
  </si>
  <si>
    <t>PLCW133.4000ms.ModbusNetwork.W133.412555:9</t>
  </si>
  <si>
    <t>FAF1_CHWRTT_W133</t>
  </si>
  <si>
    <t>PLCW133.4000ms.ModbusNetwork.W133.412535:1</t>
  </si>
  <si>
    <t>PLCW133.4000ms.ModbusNetwork.W133.412533 F</t>
  </si>
  <si>
    <t>PLCW133.4000ms.ModbusNetwork.W133.412531:9</t>
  </si>
  <si>
    <t>FAF1_CHWSTT_W133</t>
  </si>
  <si>
    <t>PLCW133.4000ms.ModbusNetwork.W133.412547:1</t>
  </si>
  <si>
    <t>PLCW133.4000ms.ModbusNetwork.W133.412545 F</t>
  </si>
  <si>
    <t>PLCW133.4000ms.ModbusNetwork.W133.412543:9</t>
  </si>
  <si>
    <t>FAF1_OAMT_W133</t>
  </si>
  <si>
    <t>PLCW133.4000ms.ModbusNetwork.W133.412657:1</t>
  </si>
  <si>
    <t>PLCW133.4000ms.ModbusNetwork.W133.412655 F</t>
  </si>
  <si>
    <t>PLCW133.4000ms.ModbusNetwork.W133.412653:9</t>
  </si>
  <si>
    <t>FAF1_OATT_W133</t>
  </si>
  <si>
    <t>PLCW133.4000ms.ModbusNetwork.W133.412645:1</t>
  </si>
  <si>
    <t>PLCW133.4000ms.ModbusNetwork.W133.412643 F</t>
  </si>
  <si>
    <t>PLCW133.4000ms.ModbusNetwork.W133.412641:9</t>
  </si>
  <si>
    <t>FAF1_PFDP_W133</t>
  </si>
  <si>
    <t>PLCW133.4000ms.ModbusNetwork.W133.412619:1</t>
  </si>
  <si>
    <t>PLCW133.4000ms.ModbusNetwork.W133.412617 F</t>
  </si>
  <si>
    <t>PLCW133.4000ms.ModbusNetwork.W133.412615:9</t>
  </si>
  <si>
    <t>FAF1_PHDTT_W133</t>
  </si>
  <si>
    <t>PLCW133.4000ms.ModbusNetwork.W133.412523:1</t>
  </si>
  <si>
    <t>PLCW133.4000ms.ModbusNetwork.W133.412521 F</t>
  </si>
  <si>
    <t>PLCW133.4000ms.ModbusNetwork.W133.412519:9</t>
  </si>
  <si>
    <t>FAF1_PHRTT_W133</t>
  </si>
  <si>
    <t>PLCW133.4000ms.ModbusNetwork.W133.412499:1</t>
  </si>
  <si>
    <t>PLCW133.4000ms.ModbusNetwork.W133.412497 F</t>
  </si>
  <si>
    <t>PLCW133.4000ms.ModbusNetwork.W133.412495:9</t>
  </si>
  <si>
    <t>FAF1_PHSTT_W133</t>
  </si>
  <si>
    <t>PLCW133.4000ms.ModbusNetwork.W133.412511:1</t>
  </si>
  <si>
    <t>PLCW133.4000ms.ModbusNetwork.W133.412509 F</t>
  </si>
  <si>
    <t>PLCW133.4000ms.ModbusNetwork.W133.412507:9</t>
  </si>
  <si>
    <t>FAF1_PS_DP1_W133</t>
  </si>
  <si>
    <t>PLCW133.4000ms.ModbusNetwork.W133.412309:1</t>
  </si>
  <si>
    <t>PLCW133.4000ms.ModbusNetwork.W133.412315 F</t>
  </si>
  <si>
    <t>PLCW133.4000ms.ModbusNetwork.W133.412309:9</t>
  </si>
  <si>
    <t>FAF1_PS_FOG_PT_W133</t>
  </si>
  <si>
    <t>PLCW133.4000ms.ModbusNetwork.W133.412341:1</t>
  </si>
  <si>
    <t>PLCW133.4000ms.ModbusNetwork.W133.412347 F</t>
  </si>
  <si>
    <t>PLCW133.4000ms.ModbusNetwork.W133.412341:9</t>
  </si>
  <si>
    <t>FAF1_PS_TT1_W133</t>
  </si>
  <si>
    <t>PLCW133.4000ms.ModbusNetwork.W133.412301:1</t>
  </si>
  <si>
    <t>PLCW133.4000ms.ModbusNetwork.W133.412307 F</t>
  </si>
  <si>
    <t>PLCW133.4000ms.ModbusNetwork.W133.412301:9</t>
  </si>
  <si>
    <t>FAF1_RARTT_W133</t>
  </si>
  <si>
    <t>PLCW133.4000ms.ModbusNetwork.W133.412571:1</t>
  </si>
  <si>
    <t>PLCW133.4000ms.ModbusNetwork.W133.412569 F</t>
  </si>
  <si>
    <t>PLCW133.4000ms.ModbusNetwork.W133.412567:9</t>
  </si>
  <si>
    <t>FAF1_RHRTT_W133</t>
  </si>
  <si>
    <t>PLCW133.4000ms.ModbusNetwork.W133.412583:1</t>
  </si>
  <si>
    <t>PLCW133.4000ms.ModbusNetwork.W133.412581 F</t>
  </si>
  <si>
    <t>PLCW133.4000ms.ModbusNetwork.W133.412579:9</t>
  </si>
  <si>
    <t>FAF1_RHSTT_W133</t>
  </si>
  <si>
    <t>PLCW133.4000ms.ModbusNetwork.W133.412595:1</t>
  </si>
  <si>
    <t>PLCW133.4000ms.ModbusNetwork.W133.412593 F</t>
  </si>
  <si>
    <t>PLCW133.4000ms.ModbusNetwork.W133.412591:9</t>
  </si>
  <si>
    <t>FAF1_SATT_W133</t>
  </si>
  <si>
    <t>PLCW133.4000ms.ModbusNetwork.W133.412607:1</t>
  </si>
  <si>
    <t>PLCW133.4000ms.ModbusNetwork.W133.412605 F</t>
  </si>
  <si>
    <t>PLCW133.4000ms.ModbusNetwork.W133.412603:9</t>
  </si>
  <si>
    <t>AI_Limits_04</t>
  </si>
  <si>
    <t>FAF1_WETBULB_W133</t>
  </si>
  <si>
    <t>PLCW133.4000ms.ModbusNetwork.W133.412415:13</t>
  </si>
  <si>
    <t>PLCW133.4000ms.ModbusNetwork.W133.412829 F</t>
  </si>
  <si>
    <t>SCADA System</t>
  </si>
  <si>
    <t>Driver</t>
  </si>
  <si>
    <t>Channel</t>
  </si>
  <si>
    <t>PLC</t>
  </si>
  <si>
    <t>Scan Group</t>
  </si>
  <si>
    <t>PLC Description</t>
  </si>
  <si>
    <t>PLC Template</t>
  </si>
  <si>
    <t>PLC Host Object</t>
  </si>
  <si>
    <t>PLC Address</t>
  </si>
  <si>
    <t>Remote Response Server</t>
  </si>
  <si>
    <t>MAINEAOS1</t>
  </si>
  <si>
    <t>ICONICS.IconicsOPCUAServer.V5</t>
  </si>
  <si>
    <t>MaineLSS</t>
  </si>
  <si>
    <t>PLCW133</t>
  </si>
  <si>
    <t>4000ms</t>
  </si>
  <si>
    <t>Modbus</t>
  </si>
  <si>
    <t>ModbusNetwork</t>
  </si>
  <si>
    <t>Analog Definition</t>
  </si>
  <si>
    <t>Discrete Definition</t>
  </si>
  <si>
    <t>ID</t>
  </si>
  <si>
    <t>I/O Type</t>
  </si>
  <si>
    <t>Instrument Tagname</t>
  </si>
  <si>
    <t>Description</t>
  </si>
  <si>
    <t>Maximo
Location</t>
  </si>
  <si>
    <t>Physical Location</t>
  </si>
  <si>
    <t>PLC MW Address</t>
  </si>
  <si>
    <t>Internal Address</t>
  </si>
  <si>
    <t xml:space="preserve">New. 
PLC </t>
  </si>
  <si>
    <t>I/O Address</t>
  </si>
  <si>
    <t>Input Range/Type</t>
  </si>
  <si>
    <t>Hist.
Enable</t>
  </si>
  <si>
    <t>Paging Enable</t>
  </si>
  <si>
    <t>Alarm Enable</t>
  </si>
  <si>
    <t>Area</t>
  </si>
  <si>
    <t>Container</t>
  </si>
  <si>
    <t>Contained Name</t>
  </si>
  <si>
    <t>Lo EGU</t>
  </si>
  <si>
    <t>Hi EGU</t>
  </si>
  <si>
    <t>Ext. EGU Min</t>
  </si>
  <si>
    <t>Ext. EGU Max</t>
  </si>
  <si>
    <t>Raw Min</t>
  </si>
  <si>
    <t>Raw Max</t>
  </si>
  <si>
    <t>EGU</t>
  </si>
  <si>
    <t>Alm LoLo</t>
  </si>
  <si>
    <t>LoLo Priority</t>
  </si>
  <si>
    <t>Alm Lo</t>
  </si>
  <si>
    <t>Lo Priority</t>
  </si>
  <si>
    <t>Alm Hi</t>
  </si>
  <si>
    <t>Hi Priority</t>
  </si>
  <si>
    <t>Alm HiHi</t>
  </si>
  <si>
    <t>HiHi Priority</t>
  </si>
  <si>
    <t>Deadband</t>
  </si>
  <si>
    <t>Delay</t>
  </si>
  <si>
    <t>Dig Stat 0</t>
  </si>
  <si>
    <t>Dig Stat 1</t>
  </si>
  <si>
    <t>Alm Type</t>
  </si>
  <si>
    <t>Alm Priority</t>
  </si>
  <si>
    <t>Alm Inhibit</t>
  </si>
  <si>
    <t>Enable Output</t>
  </si>
  <si>
    <t>Comments</t>
  </si>
  <si>
    <t>Install</t>
  </si>
  <si>
    <t>Signal</t>
  </si>
  <si>
    <t>SCADA</t>
  </si>
  <si>
    <t>Function</t>
  </si>
  <si>
    <t>IOBOOL_00</t>
  </si>
  <si>
    <t>FAF1_FREE_COOLING_W133</t>
  </si>
  <si>
    <t>PLCW133.4000ms.ModbusNetwork.W133.412414:15</t>
  </si>
  <si>
    <t>FAF1_FREEZE_W133</t>
  </si>
  <si>
    <t>PLCW133.4000ms.ModbusNetwork.W133.412415:2</t>
  </si>
  <si>
    <t>FAF1_FRZ_RESET_CMD_HMI_W133</t>
  </si>
  <si>
    <t>PLCW133.4000ms.ModbusNetwork.W133.412414:16</t>
  </si>
  <si>
    <t>FAF1_HILOAD_W133</t>
  </si>
  <si>
    <t>PLCW133.4000ms.ModbusNetwork.W133.412414:13</t>
  </si>
  <si>
    <t>FAF1_LOWLOAD_W133</t>
  </si>
  <si>
    <t>FAF1_ONLINE_W133</t>
  </si>
  <si>
    <t>PLCW133.4000ms.ModbusNetwork.W133.412415:4</t>
  </si>
  <si>
    <t>FAF1_PS_FOG_FAULT_W133</t>
  </si>
  <si>
    <t>PLCW133.4000ms.ModbusNetwork.W133.412339:9</t>
  </si>
  <si>
    <t>FAF1_PS_FOG_ON_TO_METASYS</t>
  </si>
  <si>
    <t>PLCW133.4000ms.ModbusNetwork.W133.412359:1</t>
  </si>
  <si>
    <t>FAF1_PS_FOG_RTM_ALM_RST_I_W133</t>
  </si>
  <si>
    <t>FAF1_PS_FOG_SOL1</t>
  </si>
  <si>
    <t>PLCW133.4000ms.ModbusNetwork.W133.412337:1</t>
  </si>
  <si>
    <t>FAF1_PS_FOG_SOL2</t>
  </si>
  <si>
    <t>PLCW133.4000ms.ModbusNetwork.W133.412337:9</t>
  </si>
  <si>
    <t>FAF1_PS_FOG_SOL3</t>
  </si>
  <si>
    <t>PLCW133.4000ms.ModbusNetwork.W133.412338:1</t>
  </si>
  <si>
    <t>FAF1_PS_FOG_SOL4</t>
  </si>
  <si>
    <t>PLCW133.4000ms.ModbusNetwork.W133.412338:9</t>
  </si>
  <si>
    <t>FAF1_PS_SUP_AIR_PS_W133</t>
  </si>
  <si>
    <t>PLCW133.4000ms.ModbusNetwork.W133.412339:1</t>
  </si>
  <si>
    <t>FAF1_TEMP_CONTROL_W133</t>
  </si>
  <si>
    <t>PLCW133.4000ms.ModbusNetwork.W133.412414:14</t>
  </si>
  <si>
    <t>FAF1_TRANSITION_W133</t>
  </si>
  <si>
    <t>PLCW133.4000ms.ModbusNetwork.W133.412415:1</t>
  </si>
  <si>
    <t>FAF1_TSL_W133</t>
  </si>
  <si>
    <t>PLCW133.4000ms.ModbusNetwork.W133.412415:7</t>
  </si>
  <si>
    <t>IOBOOL_01</t>
  </si>
  <si>
    <t>FAF1_FREEZEBTA_W133</t>
  </si>
  <si>
    <t>PLCW133.4000ms.ModbusNetwork.W133.412416:2</t>
  </si>
  <si>
    <t>FAF1_FREEZETT_W133</t>
  </si>
  <si>
    <t>PLCW133.4000ms.ModbusNetwork.W133.412416:3</t>
  </si>
  <si>
    <t>IOFLOAT_00</t>
  </si>
  <si>
    <t>FAF1_PS_FOG_RTM_AFT_O_W133</t>
  </si>
  <si>
    <t>Write C.M. to Change Oil On Meefog #1</t>
  </si>
  <si>
    <t>FAF1_PS_FOG_RTM_AFT_O_W133.PV_Calc</t>
  </si>
  <si>
    <t>FAF1_PS_FOG_RUNTIME_CUM_W133</t>
  </si>
  <si>
    <t>PLCW133.4000ms.ModbusNetwork.W133.412355</t>
  </si>
  <si>
    <t>FAF1_PS_FOG_RUNTIME_W133</t>
  </si>
  <si>
    <t>PLCW133.4000ms.ModbusNetwork.W133.412353</t>
  </si>
  <si>
    <t>FAF1_PS_HUMIDITY_P_OUT_W133</t>
  </si>
  <si>
    <t>PLCW133.4000ms.ModbusNetwork.W133.412321 F</t>
  </si>
  <si>
    <t>Wago_Damper</t>
  </si>
  <si>
    <t>FAF1_DAMPER_W133</t>
  </si>
  <si>
    <t>PLCW133.4000ms.ModbusNetwork.W133.412413:9</t>
  </si>
  <si>
    <t>PLCW133.4000ms.ModbusNetwork.W133.412413:6</t>
  </si>
  <si>
    <t>PLCW133.4000ms.ModbusNetwork.W133.412413:5</t>
  </si>
  <si>
    <t>PLCW133.4000ms.ModbusNetwork.W133.412413:4</t>
  </si>
  <si>
    <t>PLCW133.4000ms.ModbusNetwork.W133.412413:8</t>
  </si>
  <si>
    <t>PLCW133.4000ms.ModbusNetwork.W133.412413:1</t>
  </si>
  <si>
    <t>PLCW133.4000ms.ModbusNetwork.W133.412413:2</t>
  </si>
  <si>
    <t>Wago_Loop</t>
  </si>
  <si>
    <t>FAF1_COIL_PROTECT_W133</t>
  </si>
  <si>
    <t>PLCW133.4000ms.ModbusNetwork.W133.412748:9</t>
  </si>
  <si>
    <t>PLCW133.4000ms.ModbusNetwork.W133.412748:1</t>
  </si>
  <si>
    <t>PLCW133.4000ms.ModbusNetwork.W133.412745 F</t>
  </si>
  <si>
    <t>PLCW133.4000ms.ModbusNetwork.W133.412743 F</t>
  </si>
  <si>
    <t>PLCW133.4000ms.ModbusNetwork.W133.412741 F</t>
  </si>
  <si>
    <t>PLCW133.4000ms.ModbusNetwork.W133.412739 F</t>
  </si>
  <si>
    <t>PLCW133.4000ms.ModbusNetwork.W133.412747:1</t>
  </si>
  <si>
    <t>PLCW133.4000ms.ModbusNetwork.W133.412733 F</t>
  </si>
  <si>
    <t>PLCW133.4000ms.ModbusNetwork.W133.412729 F</t>
  </si>
  <si>
    <t>PLCW133.4000ms.ModbusNetwork.W133.412737 F</t>
  </si>
  <si>
    <t>PLCW133.4000ms.ModbusNetwork.W133.412731 F</t>
  </si>
  <si>
    <t>PLCW133.4000ms.ModbusNetwork.W133.412747:9</t>
  </si>
  <si>
    <t>PLCW133.4000ms.ModbusNetwork.W133.412735 F</t>
  </si>
  <si>
    <t>FAF1_COOLING_W133</t>
  </si>
  <si>
    <t>PLCW133.4000ms.ModbusNetwork.W133.412768:9</t>
  </si>
  <si>
    <t>PLCW133.4000ms.ModbusNetwork.W133.412768:1</t>
  </si>
  <si>
    <t>PLCW133.4000ms.ModbusNetwork.W133.412765 F</t>
  </si>
  <si>
    <t>PLCW133.4000ms.ModbusNetwork.W133.412763 F</t>
  </si>
  <si>
    <t>PLCW133.4000ms.ModbusNetwork.W133.412761 F</t>
  </si>
  <si>
    <t>PLCW133.4000ms.ModbusNetwork.W133.412759 F</t>
  </si>
  <si>
    <t>PLCW133.4000ms.ModbusNetwork.W133.412767:1</t>
  </si>
  <si>
    <t>PLCW133.4000ms.ModbusNetwork.W133.412753 F</t>
  </si>
  <si>
    <t>PLCW133.4000ms.ModbusNetwork.W133.412749 F</t>
  </si>
  <si>
    <t>PLCW133.4000ms.ModbusNetwork.W133.412757 F</t>
  </si>
  <si>
    <t>PLCW133.4000ms.ModbusNetwork.W133.412751 F</t>
  </si>
  <si>
    <t>PLCW133.4000ms.ModbusNetwork.W133.412767:9</t>
  </si>
  <si>
    <t>PLCW133.4000ms.ModbusNetwork.W133.412755 F</t>
  </si>
  <si>
    <t>FAF1_DEHUM_W133</t>
  </si>
  <si>
    <t>PLCW133.4000ms.ModbusNetwork.W133.412788:9</t>
  </si>
  <si>
    <t>PLCW133.4000ms.ModbusNetwork.W133.412788:1</t>
  </si>
  <si>
    <t>PLCW133.4000ms.ModbusNetwork.W133.412785 F</t>
  </si>
  <si>
    <t>PLCW133.4000ms.ModbusNetwork.W133.412783 F</t>
  </si>
  <si>
    <t>PLCW133.4000ms.ModbusNetwork.W133.412781 F</t>
  </si>
  <si>
    <t>PLCW133.4000ms.ModbusNetwork.W133.412779 F</t>
  </si>
  <si>
    <t>PLCW133.4000ms.ModbusNetwork.W133.412787:1</t>
  </si>
  <si>
    <t>PLCW133.4000ms.ModbusNetwork.W133.412773 F</t>
  </si>
  <si>
    <t>PLCW133.4000ms.ModbusNetwork.W133.412769 F</t>
  </si>
  <si>
    <t>PLCW133.4000ms.ModbusNetwork.W133.412777 F</t>
  </si>
  <si>
    <t>PLCW133.4000ms.ModbusNetwork.W133.412771 F</t>
  </si>
  <si>
    <t>PLCW133.4000ms.ModbusNetwork.W133.412787:9</t>
  </si>
  <si>
    <t>PLCW133.4000ms.ModbusNetwork.W133.412775 F</t>
  </si>
  <si>
    <t>FAF1_PREHEAT_W133</t>
  </si>
  <si>
    <t>PLCW133.4000ms.ModbusNetwork.W133.412808:9</t>
  </si>
  <si>
    <t>PLCW133.4000ms.ModbusNetwork.W133.412808:1</t>
  </si>
  <si>
    <t>PLCW133.4000ms.ModbusNetwork.W133.412805 F</t>
  </si>
  <si>
    <t>PLCW133.4000ms.ModbusNetwork.W133.412803 F</t>
  </si>
  <si>
    <t>PLCW133.4000ms.ModbusNetwork.W133.412801 F</t>
  </si>
  <si>
    <t>PLCW133.4000ms.ModbusNetwork.W133.412799 F</t>
  </si>
  <si>
    <t>PLCW133.4000ms.ModbusNetwork.W133.412807:1</t>
  </si>
  <si>
    <t>PLCW133.4000ms.ModbusNetwork.W133.412793 F</t>
  </si>
  <si>
    <t>PLCW133.4000ms.ModbusNetwork.W133.412789 F</t>
  </si>
  <si>
    <t>PLCW133.4000ms.ModbusNetwork.W133.412797 F</t>
  </si>
  <si>
    <t>PLCW133.4000ms.ModbusNetwork.W133.412791 F</t>
  </si>
  <si>
    <t>PLCW133.4000ms.ModbusNetwork.W133.412807:9</t>
  </si>
  <si>
    <t>PLCW133.4000ms.ModbusNetwork.W133.412795 F</t>
  </si>
  <si>
    <t>FAF1_PS_HUMIDITY_W133</t>
  </si>
  <si>
    <t>PLCW133.4000ms.ModbusNetwork.W133.412336:9</t>
  </si>
  <si>
    <t>PLCW133.4000ms.ModbusNetwork.W133.412336:1</t>
  </si>
  <si>
    <t>PLCW133.4000ms.ModbusNetwork.W133.412333 F</t>
  </si>
  <si>
    <t>PLCW133.4000ms.ModbusNetwork.W133.412331 F</t>
  </si>
  <si>
    <t>PLCW133.4000ms.ModbusNetwork.W133.412329 F</t>
  </si>
  <si>
    <t>PLCW133.4000ms.ModbusNetwork.W133.412327 F</t>
  </si>
  <si>
    <t>PLCW133.4000ms.ModbusNetwork.W133.412335:1</t>
  </si>
  <si>
    <t>PLCW133.4000ms.ModbusNetwork.W133.412317 F</t>
  </si>
  <si>
    <t>PLCW133.4000ms.ModbusNetwork.W133.412325 F</t>
  </si>
  <si>
    <t>PLCW133.4000ms.ModbusNetwork.W133.412319 F</t>
  </si>
  <si>
    <t>PLCW133.4000ms.ModbusNetwork.W133.412335:9</t>
  </si>
  <si>
    <t>PLCW133.4000ms.ModbusNetwork.W133.412323 F</t>
  </si>
  <si>
    <t>FAF1_RHT_W133</t>
  </si>
  <si>
    <t>PLCW133.4000ms.ModbusNetwork.W133.412828:9</t>
  </si>
  <si>
    <t>PLCW133.4000ms.ModbusNetwork.W133.412828:1</t>
  </si>
  <si>
    <t>PLCW133.4000ms.ModbusNetwork.W133.412825 F</t>
  </si>
  <si>
    <t>PLCW133.4000ms.ModbusNetwork.W133.412823 F</t>
  </si>
  <si>
    <t>PLCW133.4000ms.ModbusNetwork.W133.412821 F</t>
  </si>
  <si>
    <t>PLCW133.4000ms.ModbusNetwork.W133.412819 F</t>
  </si>
  <si>
    <t>PLCW133.4000ms.ModbusNetwork.W133.412827:1</t>
  </si>
  <si>
    <t>PLCW133.4000ms.ModbusNetwork.W133.412813 F</t>
  </si>
  <si>
    <t>PLCW133.4000ms.ModbusNetwork.W133.412809 F</t>
  </si>
  <si>
    <t>PLCW133.4000ms.ModbusNetwork.W133.412817 F</t>
  </si>
  <si>
    <t>PLCW133.4000ms.ModbusNetwork.W133.412811 F</t>
  </si>
  <si>
    <t>PLCW133.4000ms.ModbusNetwork.W133.412827:9</t>
  </si>
  <si>
    <t>PLCW133.4000ms.ModbusNetwork.W133.412815 F</t>
  </si>
  <si>
    <t>Wago_MSS</t>
  </si>
  <si>
    <t>FAF1_HWPMP_W133</t>
  </si>
  <si>
    <t>PLCW133.4000ms.ModbusNetwork.W133.412414:5</t>
  </si>
  <si>
    <t>PLCW133.4000ms.ModbusNetwork.W133.412415:10</t>
  </si>
  <si>
    <t>PLCW133.4000ms.ModbusNetwork.W133.413089:2</t>
  </si>
  <si>
    <t>PLCW133.4000ms.ModbusNetwork.W133.412414:3</t>
  </si>
  <si>
    <t>PLCW133.4000ms.ModbusNetwork.W133.412414:4</t>
  </si>
  <si>
    <t>PLCW133.4000ms.ModbusNetwork.W133.412415:16</t>
  </si>
  <si>
    <t>PLCW133.4000ms.ModbusNetwork.W133.412414:2</t>
  </si>
  <si>
    <t>PLCW133.4000ms.ModbusNetwork.W133.412414:6</t>
  </si>
  <si>
    <t>PLCW133.4000ms.ModbusNetwork.W133.412414:1</t>
  </si>
  <si>
    <t>Wago_VDD</t>
  </si>
  <si>
    <t>FAF1_RBV1_W133</t>
  </si>
  <si>
    <t>PLCW133.4000ms.ModbusNetwork.W133.412713:1</t>
  </si>
  <si>
    <t>PLCW133.4000ms.ModbusNetwork.W133.412713:9</t>
  </si>
  <si>
    <t>PLCW133.4000ms.ModbusNetwork.W133.412709:9</t>
  </si>
  <si>
    <t>PLCW133.4000ms.ModbusNetwork.W133.412711:9</t>
  </si>
  <si>
    <t>PLCW133.4000ms.ModbusNetwork.W133.412711:1</t>
  </si>
  <si>
    <t>PLCW133.4000ms.ModbusNetwork.W133.412710:9</t>
  </si>
  <si>
    <t>PLCW133.4000ms.ModbusNetwork.W133.412712:9</t>
  </si>
  <si>
    <t>PLCW133.4000ms.ModbusNetwork.W133.412712:1</t>
  </si>
  <si>
    <t>PLCW133.4000ms.ModbusNetwork.W133.412709:1</t>
  </si>
  <si>
    <t>PLCW133.4000ms.ModbusNetwork.W133.412714 F</t>
  </si>
  <si>
    <t>PLCW133.4000ms.ModbusNetwork.W133.412710:1</t>
  </si>
  <si>
    <t>FAF1_RBV2_W133</t>
  </si>
  <si>
    <t>PLCW133.4000ms.ModbusNetwork.W133.412835:1</t>
  </si>
  <si>
    <t>PLCW133.4000ms.ModbusNetwork.W133.412835:9</t>
  </si>
  <si>
    <t>PLCW133.4000ms.ModbusNetwork.W133.412831:9</t>
  </si>
  <si>
    <t>PLCW133.4000ms.ModbusNetwork.W133.412833:9</t>
  </si>
  <si>
    <t>PLCW133.4000ms.ModbusNetwork.W133.412833:1</t>
  </si>
  <si>
    <t>PLCW133.4000ms.ModbusNetwork.W133.412832:9</t>
  </si>
  <si>
    <t>PLCW133.4000ms.ModbusNetwork.W133.412834:9</t>
  </si>
  <si>
    <t>PLCW133.4000ms.ModbusNetwork.W133.412834:1</t>
  </si>
  <si>
    <t>PLCW133.4000ms.ModbusNetwork.W133.412831:1</t>
  </si>
  <si>
    <t>PLCW133.4000ms.ModbusNetwork.W133.412836 F</t>
  </si>
  <si>
    <t>PLCW133.4000ms.ModbusNetwork.W133.412832:1</t>
  </si>
  <si>
    <t>Wago_VFD_00</t>
  </si>
  <si>
    <t>FAF1_CHWPMP_W133</t>
  </si>
  <si>
    <t>PLCW133.4000ms.ModbusNetwork.W133.412415:9</t>
  </si>
  <si>
    <t>PLCW133.4000ms.ModbusNetwork.W133.412955 F</t>
  </si>
  <si>
    <t>PLCW133.4000ms.ModbusNetwork.W133.412413:16</t>
  </si>
  <si>
    <t>PLCW133.4000ms.ModbusNetwork.W133.412413:12</t>
  </si>
  <si>
    <t>PLCW133.4000ms.ModbusNetwork.W133.412413:14</t>
  </si>
  <si>
    <t>PLCW133.4000ms.ModbusNetwork.W133.412415:15</t>
  </si>
  <si>
    <t>PLCW133.4000ms.ModbusNetwork.W133.412413:15</t>
  </si>
  <si>
    <t>PLCW133.4000ms.ModbusNetwork.W133.412413:11</t>
  </si>
  <si>
    <t>PLCW133.4000ms.ModbusNetwork.W133.412413:10</t>
  </si>
  <si>
    <t>PLCW133.4000ms.ModbusNetwork.W133.412951 F</t>
  </si>
  <si>
    <t>PLCW133.4000ms.ModbusNetwork.W133.412953:1</t>
  </si>
  <si>
    <t>PLCW133.4000ms.ModbusNetwork.W133.412949:9</t>
  </si>
  <si>
    <t>PLCW133.4000ms.ModbusNetwork.W133.412939 F</t>
  </si>
  <si>
    <t>PLCW133.4000ms.ModbusNetwork.W133.412941:1</t>
  </si>
  <si>
    <t>PLCW133.4000ms.ModbusNetwork.W133.412937:9</t>
  </si>
  <si>
    <t>Wago_VFD_01</t>
  </si>
  <si>
    <t>FAF1_FAN1_W133</t>
  </si>
  <si>
    <t>PLCW133.4000ms.ModbusNetwork.W133.412416:1</t>
  </si>
  <si>
    <t>PLCW133.4000ms.ModbusNetwork.W133.412415:8</t>
  </si>
  <si>
    <t>PLCW133.4000ms.ModbusNetwork.W133.412913 F</t>
  </si>
  <si>
    <t>PLCW133.4000ms.ModbusNetwork.W133.412917:1</t>
  </si>
  <si>
    <t>PLCW133.4000ms.ModbusNetwork.W133.412923 F</t>
  </si>
  <si>
    <t>PLCW133.4000ms.ModbusNetwork.W133.412414:12</t>
  </si>
  <si>
    <t>PLCW133.4000ms.ModbusNetwork.W133.412414:9</t>
  </si>
  <si>
    <t>PLCW133.4000ms.ModbusNetwork.W133.412414:10</t>
  </si>
  <si>
    <t>PLCW133.4000ms.ModbusNetwork.W133.412859 F</t>
  </si>
  <si>
    <t>PLCW133.4000ms.ModbusNetwork.W133.412416:7</t>
  </si>
  <si>
    <t>PLCW133.4000ms.ModbusNetwork.W133.412911 F</t>
  </si>
  <si>
    <t>PLCW133.4000ms.ModbusNetwork.W133.412414:11</t>
  </si>
  <si>
    <t>PLCW133.4000ms.ModbusNetwork.W133.412871 F</t>
  </si>
  <si>
    <t>PLCW133.4000ms.ModbusNetwork.W133.412873:1</t>
  </si>
  <si>
    <t>PLCW133.4000ms.ModbusNetwork.W133.412869:9</t>
  </si>
  <si>
    <t>PLCW133.4000ms.ModbusNetwork.W133.412861:1</t>
  </si>
  <si>
    <t>PLCW133.4000ms.ModbusNetwork.W133.412857:9</t>
  </si>
  <si>
    <t>PLCW133.4000ms.ModbusNetwork.W133.412414:8</t>
  </si>
  <si>
    <t>PLCW133.4000ms.ModbusNetwork.W133.412414:7</t>
  </si>
  <si>
    <t>Wago_VVD</t>
  </si>
  <si>
    <t>FAF1_CHWPMPBV_W133</t>
  </si>
  <si>
    <t>PLCW133.4000ms.ModbusNetwork.W133.412663:1</t>
  </si>
  <si>
    <t>PLCW133.4000ms.ModbusNetwork.W133.412659 F</t>
  </si>
  <si>
    <t>FAF1_CHWTCV_W133</t>
  </si>
  <si>
    <t>PLCW133.4000ms.ModbusNetwork.W133.412673:1</t>
  </si>
  <si>
    <t>PLCW133.4000ms.ModbusNetwork.W133.412669 F</t>
  </si>
  <si>
    <t>FAF1_HWPMPBV_W133</t>
  </si>
  <si>
    <t>PLCW133.4000ms.ModbusNetwork.W133.412683:1</t>
  </si>
  <si>
    <t>PLCW133.4000ms.ModbusNetwork.W133.412679 F</t>
  </si>
  <si>
    <t>FAF1_HWTCV_W133</t>
  </si>
  <si>
    <t>PLCW133.4000ms.ModbusNetwork.W133.412693:1</t>
  </si>
  <si>
    <t>PLCW133.4000ms.ModbusNetwork.W133.412689 F</t>
  </si>
  <si>
    <t>FAF1_RHTCV_W133</t>
  </si>
  <si>
    <t>PLCW133.4000ms.ModbusNetwork.W133.412703:1</t>
  </si>
  <si>
    <t>PLCW133.4000ms.ModbusNetwork.W133.412699 F</t>
  </si>
  <si>
    <t>192.168.1.34</t>
  </si>
  <si>
    <t>B10PS FAF1 Supply Fan Total Filter DP</t>
  </si>
  <si>
    <t>---</t>
  </si>
  <si>
    <t>B10PS FAF1 Building Pressure</t>
  </si>
  <si>
    <t>B10PS FAF1 Cooling Coil Discharge Temperature</t>
  </si>
  <si>
    <t>FAF1 CHW Pump</t>
  </si>
  <si>
    <t>B10PS FAF1 CHW Pump Bypass Valve</t>
  </si>
  <si>
    <t>Contrl Value</t>
  </si>
  <si>
    <t>B10PS FAF1 Chillwater Coil Return Temperature</t>
  </si>
  <si>
    <t>B10PS FAF1 Chillwater Coil Supply Temperature</t>
  </si>
  <si>
    <t>B10PS FAF1 CHW Valve</t>
  </si>
  <si>
    <t>B10PS FAF1 Coil Protection Loop</t>
  </si>
  <si>
    <t>B10PS FAF1 Cooling Loop</t>
  </si>
  <si>
    <t>B10PS FAF1 Damper</t>
  </si>
  <si>
    <t>B10PS FAF1 Dehumidification Loop</t>
  </si>
  <si>
    <t>B10PS FAF1 Fan</t>
  </si>
  <si>
    <t>B10PS FAF1 Free Cooling</t>
  </si>
  <si>
    <t>B10PS FAF1 Freeze</t>
  </si>
  <si>
    <t>B10PS FAF1 Freeze initiated by BTAs</t>
  </si>
  <si>
    <t>B10PS FAF1 Freeze initiated by TTs 40deg</t>
  </si>
  <si>
    <t>B10PS FAF1 Freeze Reset</t>
  </si>
  <si>
    <t>B10PS FAF1 Freeze Stat</t>
  </si>
  <si>
    <t>B10PS FAF1 HiLoad</t>
  </si>
  <si>
    <t>B10PS FAF1 HW Pump</t>
  </si>
  <si>
    <t>B10PS FAF1 HW Pump Bypass Valve</t>
  </si>
  <si>
    <t>B10PS FAF1 Preheat Temperature Control Valve</t>
  </si>
  <si>
    <t>B10PS FAF1 LowLoad</t>
  </si>
  <si>
    <t>B10PS FAF1 Outside Air Dewpoint Temperature</t>
  </si>
  <si>
    <t>B10PS FAF1 Outside Air Temperature</t>
  </si>
  <si>
    <t>B10PS FAF1 Online</t>
  </si>
  <si>
    <t>B10PS FAF1 Supply Fan Filter</t>
  </si>
  <si>
    <t>B10PS FAF1 Preheat Discharge Air Temperature</t>
  </si>
  <si>
    <t>B10PS FAF1 Preheat Return Water Temperature</t>
  </si>
  <si>
    <t>B10PS FAF1 Preheat Supply Water Temperature</t>
  </si>
  <si>
    <t>B10PS FAF1 Preheat Loop</t>
  </si>
  <si>
    <t>B10PS FAF1 Pipe Space Dew Point</t>
  </si>
  <si>
    <t>B10PS FAF 1 Meefog Panel Fault</t>
  </si>
  <si>
    <t>B10PS FAF1 Fog System On Signal to MetaSys</t>
  </si>
  <si>
    <t>B10PS FAF1 Pipe Space Fog</t>
  </si>
  <si>
    <t>B10PS FAF1 Fog System Cummulative Run Time</t>
  </si>
  <si>
    <t>B10PS FAF1 Pipe Space Fog System Run Time</t>
  </si>
  <si>
    <t>B10PS FAF1 Pipe Space Fogger Solenoid_1</t>
  </si>
  <si>
    <t>B10PS FAF1 Pipe Space Fogger Solenoid_2</t>
  </si>
  <si>
    <t>B10PS FAF1 Pipe Space Fogger Solenoid_3</t>
  </si>
  <si>
    <t>B10PS FAF1 Pipe Space Fogger Solenoid_4</t>
  </si>
  <si>
    <t>B10PS FAF1 Humidity Loop Output</t>
  </si>
  <si>
    <t>B10PS FAF1 Humidity Loop</t>
  </si>
  <si>
    <t>B10PS FAF1 PipeSpace SupplyAir Pressure Switch</t>
  </si>
  <si>
    <t>B10PS FAF1 Pipe Space Temperature</t>
  </si>
  <si>
    <t>B10PS FAF1 Reclaim Water Return Temperature</t>
  </si>
  <si>
    <t>B10PS FAF 1 Reclaim Bypass Valve 1</t>
  </si>
  <si>
    <t>B10PS FAF 1 Reclaim Bypass Valve 2</t>
  </si>
  <si>
    <t>B10PS FAF1 Reheat Coil Water Return Temperature</t>
  </si>
  <si>
    <t>B10PS FAF1 Reheat Coil Water Supply Temperature</t>
  </si>
  <si>
    <t>B10PS FAF 1 Reheat Loop</t>
  </si>
  <si>
    <t>B10PS FAF1 Reheat Temperature Control Valve</t>
  </si>
  <si>
    <t>B10PS FAF1 Supply Air Temperature Transmitter</t>
  </si>
  <si>
    <t>B10PS FAF1 Temperature Control</t>
  </si>
  <si>
    <t>B10PS FAF1 Transition</t>
  </si>
  <si>
    <t>B10PS FAF1 Wetbulb Temperature</t>
  </si>
  <si>
    <t>FAF1_HWPMP_OAT_SP_W133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</si>
</sst>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b/>
      <sz val="8"/>
      <color rgb="FFFF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8" fillId="0" borderId="1" xfId="2" quotePrefix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9" fillId="0" borderId="0" xfId="0" applyFont="1" applyFill="1"/>
    <xf numFmtId="0" fontId="10" fillId="2" borderId="0" xfId="1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20" fontId="9" fillId="6" borderId="1" xfId="0" applyNumberFormat="1" applyFont="1" applyFill="1" applyBorder="1" applyAlignment="1">
      <alignment horizontal="center"/>
    </xf>
    <xf numFmtId="0" fontId="10" fillId="0" borderId="0" xfId="1" applyFont="1" applyFill="1"/>
    <xf numFmtId="49" fontId="9" fillId="6" borderId="1" xfId="0" applyNumberFormat="1" applyFont="1" applyFill="1" applyBorder="1" applyAlignment="1">
      <alignment horizontal="center"/>
    </xf>
    <xf numFmtId="0" fontId="9" fillId="0" borderId="0" xfId="0" applyFont="1"/>
    <xf numFmtId="0" fontId="9" fillId="7" borderId="0" xfId="0" applyFont="1" applyFill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6" borderId="1" xfId="0" applyFont="1" applyFill="1" applyBorder="1"/>
    <xf numFmtId="0" fontId="9" fillId="0" borderId="0" xfId="0" quotePrefix="1" applyFont="1" applyFill="1" applyAlignment="1">
      <alignment horizontal="center" vertical="center"/>
    </xf>
    <xf numFmtId="0" fontId="9" fillId="2" borderId="0" xfId="0" applyFont="1" applyFill="1"/>
    <xf numFmtId="0" fontId="9" fillId="6" borderId="1" xfId="0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7" borderId="0" xfId="1" applyFont="1" applyFill="1"/>
    <xf numFmtId="0" fontId="9" fillId="0" borderId="0" xfId="0" applyNumberFormat="1" applyFont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</cellXfs>
  <cellStyles count="3">
    <cellStyle name="Normal" xfId="0" builtinId="0"/>
    <cellStyle name="Normal 2 2" xfId="1" xr:uid="{D7B4D8F0-D9DB-452A-AAFB-4516D15712F2}"/>
    <cellStyle name="Normal 3" xfId="2" xr:uid="{B7AE34D2-AA35-4BC1-B282-4F7115814DB4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47625</xdr:rowOff>
        </xdr:from>
        <xdr:to>
          <xdr:col>1</xdr:col>
          <xdr:colOff>676275</xdr:colOff>
          <xdr:row>1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Pivot Table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47625</xdr:rowOff>
        </xdr:from>
        <xdr:to>
          <xdr:col>1</xdr:col>
          <xdr:colOff>676275</xdr:colOff>
          <xdr:row>1</xdr:row>
          <xdr:rowOff>104775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Pivot Table Update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0499110/Downloads/FAF1%20IO%20Template%20Update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0499110/Downloads/FAF1%20IO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fault Stuctures"/>
      <sheetName val="IO List"/>
      <sheetName val="Area List"/>
      <sheetName val="KEP_Ware"/>
      <sheetName val="AlmConfigAnalog"/>
      <sheetName val="AlmConfigDiscrete"/>
      <sheetName val="CanaryExport"/>
      <sheetName val="WWSP"/>
      <sheetName val="GalaxyLoad"/>
      <sheetName val="GalaxyObjects"/>
      <sheetName val="IntellitionExportAA"/>
      <sheetName val="IntellitionExportDA"/>
      <sheetName val="Material to Order"/>
      <sheetName val="KEP_WarePivot"/>
      <sheetName val="IntellutionAAPivot"/>
      <sheetName val="IntellutionDAPivot"/>
      <sheetName val="AnalogPivot"/>
      <sheetName val="DiscretePivot"/>
      <sheetName val="CanaryPivot"/>
      <sheetName val="WWPivot"/>
      <sheetName val="LookupData"/>
      <sheetName val="KEP_WareExport"/>
      <sheetName val="GalaxyTemplates"/>
      <sheetName val="Revision Notes"/>
      <sheetName val="FAF1 IO Template Updated"/>
    </sheetNames>
    <definedNames>
      <definedName name="PivotUpdat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7">
          <cell r="A47" t="str">
            <v>Modbus</v>
          </cell>
        </row>
        <row r="52">
          <cell r="A52" t="str">
            <v>250ms</v>
          </cell>
        </row>
        <row r="53">
          <cell r="A53" t="str">
            <v>500ms</v>
          </cell>
        </row>
        <row r="54">
          <cell r="A54" t="str">
            <v>1000ms</v>
          </cell>
        </row>
        <row r="55">
          <cell r="A55" t="str">
            <v>4000ms</v>
          </cell>
        </row>
        <row r="59">
          <cell r="A59" t="str">
            <v>EmailServerConnector_LSS</v>
          </cell>
        </row>
        <row r="60">
          <cell r="A60" t="str">
            <v>EmailServerConnector_IWW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fault Stuctures"/>
      <sheetName val="IO List"/>
      <sheetName val="Area List"/>
      <sheetName val="KEP_Ware"/>
      <sheetName val="AlmConfigAnalog"/>
      <sheetName val="AlmConfigDiscrete"/>
      <sheetName val="CanaryExport"/>
      <sheetName val="WWSP"/>
      <sheetName val="GalaxyLoad"/>
      <sheetName val="GalaxyObjects"/>
      <sheetName val="IntellitionExportAA"/>
      <sheetName val="IntellitionExportDA"/>
      <sheetName val="Material to Order"/>
      <sheetName val="KEP_WarePivot"/>
      <sheetName val="IntellutionAAPivot"/>
      <sheetName val="IntellutionDAPivot"/>
      <sheetName val="AnalogPivot"/>
      <sheetName val="DiscretePivot"/>
      <sheetName val="CanaryPivot"/>
      <sheetName val="WWPivot"/>
      <sheetName val="LookupData"/>
      <sheetName val="KEP_WareExport"/>
      <sheetName val="GalaxyTemplates"/>
      <sheetName val="Revision Notes"/>
      <sheetName val="FAF1 IO Template"/>
    </sheetNames>
    <definedNames>
      <definedName name="PivotUpdat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7">
          <cell r="A47" t="str">
            <v>Modbus</v>
          </cell>
        </row>
        <row r="48">
          <cell r="A48"/>
        </row>
        <row r="52">
          <cell r="A52" t="str">
            <v>250ms</v>
          </cell>
        </row>
        <row r="53">
          <cell r="A53" t="str">
            <v>500ms</v>
          </cell>
        </row>
        <row r="54">
          <cell r="A54" t="str">
            <v>1000ms</v>
          </cell>
        </row>
        <row r="55">
          <cell r="A55" t="str">
            <v>4000ms</v>
          </cell>
        </row>
        <row r="59">
          <cell r="A59" t="str">
            <v>EmailServerConnector_LSS</v>
          </cell>
        </row>
        <row r="60">
          <cell r="A60" t="str">
            <v>EmailServerConnector_IWW</v>
          </cell>
        </row>
        <row r="61">
          <cell r="A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</row>
      </sheetData>
      <sheetData sheetId="22"/>
      <sheetData sheetId="23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FAC4-DD4C-4936-AA13-43D332A85881}">
  <sheetPr codeName="Sheet1"/>
  <dimension ref="A5:B7"/>
  <sheetViews>
    <sheetView workbookViewId="0">
      <selection activeCell="D16" sqref="D16"/>
    </sheetView>
  </sheetViews>
  <sheetFormatPr defaultRowHeight="15" x14ac:dyDescent="0.25"/>
  <sheetData>
    <row r="5" spans="1:2" x14ac:dyDescent="0.25">
      <c r="A5" t="s">
        <v>0</v>
      </c>
      <c r="B5" t="s">
        <v>1</v>
      </c>
    </row>
    <row r="6" spans="1:2" x14ac:dyDescent="0.25">
      <c r="A6" s="1">
        <v>44927</v>
      </c>
      <c r="B6">
        <v>45</v>
      </c>
    </row>
    <row r="7" spans="1:2" x14ac:dyDescent="0.25">
      <c r="A7" s="1">
        <v>44928</v>
      </c>
      <c r="B7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DB06-9071-4D33-B04C-D5F61F45958A}">
  <sheetPr codeName="Sheet2"/>
  <dimension ref="A1:AU472"/>
  <sheetViews>
    <sheetView tabSelected="1" zoomScaleNormal="100" workbookViewId="0">
      <selection activeCell="Y6" sqref="Y6"/>
    </sheetView>
  </sheetViews>
  <sheetFormatPr defaultRowHeight="9.75" customHeight="1" outlineLevelRow="1" x14ac:dyDescent="0.2"/>
  <cols>
    <col min="1" max="1" width="3.140625" style="6" customWidth="1"/>
    <col min="2" max="2" width="11" style="7" bestFit="1" customWidth="1"/>
    <col min="3" max="3" width="21.140625" style="6" customWidth="1"/>
    <col min="4" max="4" width="17.5703125" style="6" customWidth="1"/>
    <col min="5" max="5" width="5.85546875" style="6" customWidth="1"/>
    <col min="6" max="6" width="1.140625" style="6" customWidth="1"/>
    <col min="7" max="8" width="1.140625" style="10" customWidth="1"/>
    <col min="9" max="9" width="1.140625" style="11" customWidth="1"/>
    <col min="10" max="10" width="1.140625" style="10" customWidth="1"/>
    <col min="11" max="11" width="4.5703125" style="10" customWidth="1"/>
    <col min="12" max="12" width="0.85546875" style="10" customWidth="1"/>
    <col min="13" max="13" width="0.85546875" style="11" customWidth="1"/>
    <col min="14" max="14" width="0.85546875" style="10" customWidth="1"/>
    <col min="15" max="15" width="0.85546875" style="11" customWidth="1"/>
    <col min="16" max="17" width="1.140625" style="11" customWidth="1"/>
    <col min="18" max="18" width="9.140625" style="11" customWidth="1"/>
    <col min="19" max="24" width="7.7109375" style="11" customWidth="1"/>
    <col min="25" max="25" width="8.140625" style="11" customWidth="1"/>
    <col min="26" max="35" width="7.7109375" style="10" customWidth="1"/>
    <col min="36" max="36" width="10.7109375" style="10" customWidth="1"/>
    <col min="37" max="37" width="10.7109375" style="11" customWidth="1"/>
    <col min="38" max="38" width="5.7109375" style="11" customWidth="1"/>
    <col min="39" max="39" width="7.7109375" style="10" customWidth="1"/>
    <col min="40" max="41" width="7.7109375" style="11" customWidth="1"/>
    <col min="42" max="42" width="50.7109375" style="6" customWidth="1"/>
    <col min="43" max="47" width="10.7109375" style="6" customWidth="1"/>
    <col min="48" max="16384" width="9.140625" style="6"/>
  </cols>
  <sheetData>
    <row r="1" spans="1:47" ht="9.75" customHeight="1" x14ac:dyDescent="0.2">
      <c r="C1" s="8" t="s">
        <v>82</v>
      </c>
      <c r="D1" s="8"/>
      <c r="E1" s="8" t="s">
        <v>83</v>
      </c>
      <c r="F1" s="8" t="s">
        <v>84</v>
      </c>
      <c r="G1" s="8" t="s">
        <v>85</v>
      </c>
      <c r="H1" s="8" t="s">
        <v>86</v>
      </c>
      <c r="I1" s="9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O1" s="10"/>
      <c r="P1" s="10"/>
      <c r="R1" s="10"/>
      <c r="Z1" s="11"/>
      <c r="AB1" s="11"/>
      <c r="AC1" s="11"/>
      <c r="AD1" s="11"/>
      <c r="AE1" s="11"/>
      <c r="AF1" s="11"/>
      <c r="AG1" s="11"/>
      <c r="AK1" s="10"/>
      <c r="AL1" s="10"/>
      <c r="AN1" s="10"/>
      <c r="AP1" s="11"/>
      <c r="AQ1" s="11"/>
      <c r="AR1" s="11"/>
      <c r="AS1" s="11"/>
    </row>
    <row r="2" spans="1:47" ht="9.75" customHeight="1" thickBot="1" x14ac:dyDescent="0.25">
      <c r="C2" s="12" t="s">
        <v>92</v>
      </c>
      <c r="D2" s="12"/>
      <c r="E2" s="12" t="s">
        <v>93</v>
      </c>
      <c r="F2" s="12" t="s">
        <v>94</v>
      </c>
      <c r="G2" s="13" t="s">
        <v>95</v>
      </c>
      <c r="H2" s="13" t="s">
        <v>96</v>
      </c>
      <c r="I2" s="14" t="s">
        <v>85</v>
      </c>
      <c r="J2" s="15" t="s">
        <v>97</v>
      </c>
      <c r="K2" s="16" t="s">
        <v>98</v>
      </c>
      <c r="L2" s="17" t="s">
        <v>377</v>
      </c>
      <c r="M2" s="16"/>
      <c r="O2" s="10"/>
      <c r="P2" s="10"/>
      <c r="R2" s="10"/>
      <c r="Z2" s="11"/>
      <c r="AB2" s="11"/>
      <c r="AC2" s="11"/>
      <c r="AD2" s="11"/>
      <c r="AE2" s="11"/>
      <c r="AF2" s="11"/>
      <c r="AG2" s="11"/>
      <c r="AK2" s="10"/>
      <c r="AL2" s="10"/>
      <c r="AN2" s="10"/>
      <c r="AP2" s="11"/>
      <c r="AQ2" s="11"/>
      <c r="AR2" s="11"/>
      <c r="AS2" s="11"/>
    </row>
    <row r="3" spans="1:47" ht="9.75" customHeight="1" thickBot="1" x14ac:dyDescent="0.25">
      <c r="S3" s="47" t="s">
        <v>99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47" t="s">
        <v>100</v>
      </c>
      <c r="AK3" s="48"/>
      <c r="AL3" s="48"/>
      <c r="AM3" s="49"/>
      <c r="AN3" s="18"/>
      <c r="AO3" s="19"/>
    </row>
    <row r="4" spans="1:47" s="23" customFormat="1" ht="9.75" customHeight="1" thickBot="1" x14ac:dyDescent="0.3">
      <c r="A4" s="20" t="s">
        <v>101</v>
      </c>
      <c r="B4" s="21" t="s">
        <v>102</v>
      </c>
      <c r="C4" s="21" t="s">
        <v>103</v>
      </c>
      <c r="D4" s="21"/>
      <c r="E4" s="21" t="s">
        <v>104</v>
      </c>
      <c r="F4" s="21" t="s">
        <v>105</v>
      </c>
      <c r="G4" s="21" t="s">
        <v>106</v>
      </c>
      <c r="H4" s="21" t="s">
        <v>107</v>
      </c>
      <c r="I4" s="21" t="s">
        <v>108</v>
      </c>
      <c r="J4" s="21" t="s">
        <v>109</v>
      </c>
      <c r="K4" s="21" t="s">
        <v>110</v>
      </c>
      <c r="L4" s="21" t="s">
        <v>111</v>
      </c>
      <c r="M4" s="21" t="s">
        <v>112</v>
      </c>
      <c r="N4" s="21" t="s">
        <v>113</v>
      </c>
      <c r="O4" s="21" t="s">
        <v>114</v>
      </c>
      <c r="P4" s="22" t="s">
        <v>115</v>
      </c>
      <c r="Q4" s="22" t="s">
        <v>116</v>
      </c>
      <c r="R4" s="22" t="s">
        <v>117</v>
      </c>
      <c r="S4" s="22" t="s">
        <v>118</v>
      </c>
      <c r="T4" s="22" t="s">
        <v>119</v>
      </c>
      <c r="U4" s="22" t="s">
        <v>120</v>
      </c>
      <c r="V4" s="22" t="s">
        <v>121</v>
      </c>
      <c r="W4" s="22" t="s">
        <v>122</v>
      </c>
      <c r="X4" s="22" t="s">
        <v>123</v>
      </c>
      <c r="Y4" s="22" t="s">
        <v>124</v>
      </c>
      <c r="Z4" s="22" t="s">
        <v>125</v>
      </c>
      <c r="AA4" s="22" t="s">
        <v>126</v>
      </c>
      <c r="AB4" s="22" t="s">
        <v>127</v>
      </c>
      <c r="AC4" s="22" t="s">
        <v>128</v>
      </c>
      <c r="AD4" s="22" t="s">
        <v>129</v>
      </c>
      <c r="AE4" s="22" t="s">
        <v>130</v>
      </c>
      <c r="AF4" s="22" t="s">
        <v>131</v>
      </c>
      <c r="AG4" s="22" t="s">
        <v>132</v>
      </c>
      <c r="AH4" s="22" t="s">
        <v>133</v>
      </c>
      <c r="AI4" s="22" t="s">
        <v>134</v>
      </c>
      <c r="AJ4" s="22" t="s">
        <v>135</v>
      </c>
      <c r="AK4" s="22" t="s">
        <v>136</v>
      </c>
      <c r="AL4" s="22" t="s">
        <v>137</v>
      </c>
      <c r="AM4" s="22" t="s">
        <v>138</v>
      </c>
      <c r="AN4" s="22" t="s">
        <v>139</v>
      </c>
      <c r="AO4" s="22" t="s">
        <v>140</v>
      </c>
      <c r="AP4" s="21" t="s">
        <v>141</v>
      </c>
      <c r="AQ4" s="21" t="s">
        <v>142</v>
      </c>
      <c r="AR4" s="21" t="s">
        <v>143</v>
      </c>
      <c r="AS4" s="21" t="s">
        <v>85</v>
      </c>
      <c r="AT4" s="21" t="s">
        <v>144</v>
      </c>
      <c r="AU4" s="21" t="s">
        <v>145</v>
      </c>
    </row>
    <row r="5" spans="1:47" s="24" customFormat="1" ht="9.75" customHeight="1" x14ac:dyDescent="0.2">
      <c r="B5" s="24" t="s">
        <v>2</v>
      </c>
      <c r="C5" s="25" t="s">
        <v>3</v>
      </c>
      <c r="D5" s="25"/>
      <c r="E5" s="24" t="s">
        <v>378</v>
      </c>
      <c r="G5" s="26"/>
      <c r="H5" s="27"/>
      <c r="I5" s="27"/>
      <c r="J5" s="27"/>
      <c r="K5" s="27"/>
      <c r="L5" s="26"/>
      <c r="M5" s="26"/>
      <c r="N5" s="26"/>
      <c r="O5" s="26"/>
      <c r="P5" s="28"/>
      <c r="Q5" s="29"/>
      <c r="R5" s="29"/>
      <c r="S5" s="30"/>
      <c r="T5" s="30"/>
      <c r="U5" s="30"/>
      <c r="V5" s="30"/>
      <c r="W5" s="30"/>
      <c r="X5" s="30"/>
      <c r="Y5" s="30" t="s">
        <v>8</v>
      </c>
      <c r="Z5" s="30"/>
      <c r="AA5" s="30"/>
      <c r="AB5" s="30"/>
      <c r="AC5" s="30"/>
      <c r="AD5" s="30">
        <v>0.75</v>
      </c>
      <c r="AE5" s="30"/>
      <c r="AF5" s="30">
        <v>0.6</v>
      </c>
      <c r="AG5" s="30"/>
      <c r="AH5" s="30">
        <v>0</v>
      </c>
      <c r="AI5" s="31">
        <v>4.1666666666666664E-2</v>
      </c>
      <c r="AJ5" s="30"/>
      <c r="AK5" s="30"/>
      <c r="AL5" s="30"/>
      <c r="AM5" s="30"/>
      <c r="AN5" s="30"/>
      <c r="AO5" s="30"/>
    </row>
    <row r="6" spans="1:47" s="24" customFormat="1" ht="9.75" customHeight="1" outlineLevel="1" x14ac:dyDescent="0.2">
      <c r="B6" s="32" t="s">
        <v>4</v>
      </c>
      <c r="C6" s="24" t="str">
        <f>C5&amp;".BTA"</f>
        <v>FAF1_BFDP_W133.BTA</v>
      </c>
      <c r="D6" s="24" t="str">
        <f>LEFT(C6,9)</f>
        <v>FAF1_BFDP</v>
      </c>
      <c r="E6" s="32" t="str">
        <f>E5&amp;" BTA"</f>
        <v>B10PS FAF1 Supply Fan Total Filter DP BTA</v>
      </c>
      <c r="G6" s="26"/>
      <c r="H6" s="27"/>
      <c r="I6" s="27"/>
      <c r="J6" s="27"/>
      <c r="K6" s="27" t="s">
        <v>5</v>
      </c>
      <c r="L6" s="26"/>
      <c r="M6" s="26"/>
      <c r="N6" s="26"/>
      <c r="O6" s="26"/>
      <c r="P6" s="28"/>
      <c r="Q6" s="29"/>
      <c r="R6" s="29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7" s="24" customFormat="1" ht="9.75" customHeight="1" outlineLevel="1" x14ac:dyDescent="0.2">
      <c r="B7" s="32" t="s">
        <v>4</v>
      </c>
      <c r="C7" s="24" t="str">
        <f>C5&amp;".IsDS"</f>
        <v>FAF1_BFDP_W133.IsDS</v>
      </c>
      <c r="D7" s="24" t="str">
        <f t="shared" ref="D7:D13" si="0">SUBSTITUTE(C7,".","_")</f>
        <v>FAF1_BFDP_W133_IsDS</v>
      </c>
      <c r="E7" s="32" t="str">
        <f>E5&amp;" Alarm Disabled"</f>
        <v>B10PS FAF1 Supply Fan Total Filter DP Alarm Disabled</v>
      </c>
      <c r="G7" s="26"/>
      <c r="H7" s="27"/>
      <c r="I7" s="27"/>
      <c r="J7" s="27"/>
      <c r="K7" s="27" t="s">
        <v>379</v>
      </c>
      <c r="L7" s="26"/>
      <c r="M7" s="26"/>
      <c r="N7" s="26"/>
      <c r="O7" s="26"/>
      <c r="P7" s="28"/>
      <c r="Q7" s="29"/>
      <c r="R7" s="29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7" s="24" customFormat="1" ht="9.75" customHeight="1" outlineLevel="1" x14ac:dyDescent="0.2">
      <c r="B8" s="32" t="s">
        <v>6</v>
      </c>
      <c r="C8" s="24" t="str">
        <f>C5&amp;".PV"</f>
        <v>FAF1_BFDP_W133.PV</v>
      </c>
      <c r="D8" s="24" t="str">
        <f t="shared" si="0"/>
        <v>FAF1_BFDP_W133_PV</v>
      </c>
      <c r="E8" s="32" t="str">
        <f>E5&amp;" PV"</f>
        <v>B10PS FAF1 Supply Fan Total Filter DP PV</v>
      </c>
      <c r="G8" s="26"/>
      <c r="H8" s="27"/>
      <c r="I8" s="27"/>
      <c r="J8" s="27"/>
      <c r="K8" s="27" t="s">
        <v>7</v>
      </c>
      <c r="L8" s="26"/>
      <c r="M8" s="26"/>
      <c r="N8" s="26"/>
      <c r="O8" s="26"/>
      <c r="P8" s="28"/>
      <c r="Q8" s="29"/>
      <c r="R8" s="29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3"/>
      <c r="AJ8" s="30"/>
      <c r="AK8" s="30"/>
      <c r="AL8" s="30"/>
      <c r="AM8" s="30"/>
      <c r="AN8" s="30"/>
      <c r="AO8" s="30"/>
    </row>
    <row r="9" spans="1:47" s="24" customFormat="1" ht="9.75" customHeight="1" outlineLevel="1" x14ac:dyDescent="0.2">
      <c r="B9" s="32" t="s">
        <v>6</v>
      </c>
      <c r="C9" s="24" t="str">
        <f>C5&amp;".PV_H_Alm"</f>
        <v>FAF1_BFDP_W133.PV_H_Alm</v>
      </c>
      <c r="D9" s="24" t="str">
        <f t="shared" si="0"/>
        <v>FAF1_BFDP_W133_PV_H_Alm</v>
      </c>
      <c r="E9" s="32" t="str">
        <f>E5&amp;" PV Hi"</f>
        <v>B10PS FAF1 Supply Fan Total Filter DP PV Hi</v>
      </c>
      <c r="G9" s="26"/>
      <c r="H9" s="27"/>
      <c r="I9" s="27"/>
      <c r="J9" s="27"/>
      <c r="K9" s="27" t="s">
        <v>379</v>
      </c>
      <c r="L9" s="26"/>
      <c r="M9" s="26"/>
      <c r="N9" s="26"/>
      <c r="O9" s="26"/>
      <c r="P9" s="2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7" s="24" customFormat="1" ht="9.75" customHeight="1" outlineLevel="1" x14ac:dyDescent="0.2">
      <c r="B10" s="32" t="s">
        <v>6</v>
      </c>
      <c r="C10" s="24" t="str">
        <f>C5&amp;".PV_HH_Alm"</f>
        <v>FAF1_BFDP_W133.PV_HH_Alm</v>
      </c>
      <c r="D10" s="24" t="str">
        <f t="shared" si="0"/>
        <v>FAF1_BFDP_W133_PV_HH_Alm</v>
      </c>
      <c r="E10" s="32" t="str">
        <f>E5&amp;" PV HiHi"</f>
        <v>B10PS FAF1 Supply Fan Total Filter DP PV HiHi</v>
      </c>
      <c r="G10" s="26"/>
      <c r="H10" s="27"/>
      <c r="I10" s="27"/>
      <c r="J10" s="27"/>
      <c r="K10" s="27" t="s">
        <v>379</v>
      </c>
      <c r="L10" s="26"/>
      <c r="M10" s="26"/>
      <c r="N10" s="26"/>
      <c r="O10" s="26"/>
      <c r="P10" s="28"/>
      <c r="Q10" s="29"/>
      <c r="R10" s="29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7" s="24" customFormat="1" ht="9.75" customHeight="1" outlineLevel="1" x14ac:dyDescent="0.2">
      <c r="B11" s="32" t="s">
        <v>6</v>
      </c>
      <c r="C11" s="24" t="str">
        <f>C5&amp;".PV_L_Alm"</f>
        <v>FAF1_BFDP_W133.PV_L_Alm</v>
      </c>
      <c r="D11" s="24" t="str">
        <f t="shared" si="0"/>
        <v>FAF1_BFDP_W133_PV_L_Alm</v>
      </c>
      <c r="E11" s="32" t="str">
        <f>E5&amp;" PV Lo"</f>
        <v>B10PS FAF1 Supply Fan Total Filter DP PV Lo</v>
      </c>
      <c r="G11" s="26"/>
      <c r="H11" s="27"/>
      <c r="I11" s="27"/>
      <c r="J11" s="27"/>
      <c r="K11" s="27" t="s">
        <v>379</v>
      </c>
      <c r="L11" s="26"/>
      <c r="M11" s="26"/>
      <c r="N11" s="26"/>
      <c r="O11" s="26"/>
      <c r="P11" s="28"/>
      <c r="Q11" s="29"/>
      <c r="R11" s="29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7" s="24" customFormat="1" ht="9.75" customHeight="1" outlineLevel="1" x14ac:dyDescent="0.2">
      <c r="B12" s="32" t="s">
        <v>6</v>
      </c>
      <c r="C12" s="24" t="str">
        <f>C5&amp;".PV_LL_Alm"</f>
        <v>FAF1_BFDP_W133.PV_LL_Alm</v>
      </c>
      <c r="D12" s="24" t="str">
        <f t="shared" si="0"/>
        <v>FAF1_BFDP_W133_PV_LL_Alm</v>
      </c>
      <c r="E12" s="32" t="str">
        <f>E5&amp;" PV LoLo"</f>
        <v>B10PS FAF1 Supply Fan Total Filter DP PV LoLo</v>
      </c>
      <c r="G12" s="26"/>
      <c r="H12" s="27"/>
      <c r="I12" s="27"/>
      <c r="J12" s="27"/>
      <c r="K12" s="27" t="s">
        <v>379</v>
      </c>
      <c r="L12" s="26"/>
      <c r="M12" s="26"/>
      <c r="N12" s="26"/>
      <c r="O12" s="26"/>
      <c r="P12" s="28"/>
      <c r="Q12" s="29"/>
      <c r="R12" s="29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7" s="24" customFormat="1" ht="9.75" customHeight="1" outlineLevel="1" x14ac:dyDescent="0.2">
      <c r="B13" s="32" t="s">
        <v>4</v>
      </c>
      <c r="C13" s="24" t="str">
        <f>C5&amp;".Reset"</f>
        <v>FAF1_BFDP_W133.Reset</v>
      </c>
      <c r="D13" s="24" t="str">
        <f t="shared" si="0"/>
        <v>FAF1_BFDP_W133_Reset</v>
      </c>
      <c r="E13" s="32" t="str">
        <f>E5&amp;" BTA Reset"</f>
        <v>B10PS FAF1 Supply Fan Total Filter DP BTA Reset</v>
      </c>
      <c r="G13" s="26"/>
      <c r="H13" s="27"/>
      <c r="I13" s="27"/>
      <c r="J13" s="27"/>
      <c r="K13" s="27" t="s">
        <v>9</v>
      </c>
      <c r="L13" s="26"/>
      <c r="M13" s="26"/>
      <c r="N13" s="26"/>
      <c r="O13" s="26"/>
      <c r="P13" s="28"/>
      <c r="Q13" s="29"/>
      <c r="R13" s="29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7" s="24" customFormat="1" ht="9.75" customHeight="1" outlineLevel="1" x14ac:dyDescent="0.2">
      <c r="G14" s="26"/>
      <c r="H14" s="27"/>
      <c r="I14" s="27"/>
      <c r="J14" s="27"/>
      <c r="K14" s="27"/>
      <c r="L14" s="26"/>
      <c r="M14" s="26"/>
      <c r="N14" s="26"/>
      <c r="O14" s="26"/>
      <c r="P14" s="28"/>
      <c r="Q14" s="29"/>
      <c r="R14" s="29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7" s="24" customFormat="1" ht="9.75" customHeight="1" x14ac:dyDescent="0.2">
      <c r="B15" s="24" t="s">
        <v>2</v>
      </c>
      <c r="C15" s="25" t="s">
        <v>10</v>
      </c>
      <c r="D15" s="25"/>
      <c r="E15" s="24" t="s">
        <v>380</v>
      </c>
      <c r="G15" s="26"/>
      <c r="H15" s="26"/>
      <c r="I15" s="27"/>
      <c r="J15" s="27"/>
      <c r="K15" s="27"/>
      <c r="L15" s="26"/>
      <c r="M15" s="26"/>
      <c r="N15" s="26"/>
      <c r="O15" s="26"/>
      <c r="P15" s="28"/>
      <c r="Q15" s="29"/>
      <c r="R15" s="29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7" s="24" customFormat="1" ht="9.75" customHeight="1" outlineLevel="1" x14ac:dyDescent="0.2">
      <c r="B16" s="32" t="s">
        <v>4</v>
      </c>
      <c r="C16" s="24" t="str">
        <f>C15&amp;".BTA"</f>
        <v>FAF1_BP_W133.BTA</v>
      </c>
      <c r="E16" s="32" t="str">
        <f>E15&amp;" BTA"</f>
        <v>B10PS FAF1 Building Pressure BTA</v>
      </c>
      <c r="G16" s="26"/>
      <c r="H16" s="27"/>
      <c r="I16" s="27"/>
      <c r="J16" s="27"/>
      <c r="K16" s="27" t="s">
        <v>11</v>
      </c>
      <c r="L16" s="26"/>
      <c r="M16" s="26"/>
      <c r="N16" s="26"/>
      <c r="O16" s="26"/>
      <c r="P16" s="28"/>
      <c r="Q16" s="29"/>
      <c r="R16" s="29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2:41" s="24" customFormat="1" ht="9.75" customHeight="1" outlineLevel="1" x14ac:dyDescent="0.2">
      <c r="B17" s="32" t="s">
        <v>4</v>
      </c>
      <c r="C17" s="24" t="str">
        <f>C15&amp;".IsDS"</f>
        <v>FAF1_BP_W133.IsDS</v>
      </c>
      <c r="E17" s="32" t="str">
        <f>E15&amp;" Alarm Disabled"</f>
        <v>B10PS FAF1 Building Pressure Alarm Disabled</v>
      </c>
      <c r="G17" s="26"/>
      <c r="H17" s="26"/>
      <c r="I17" s="27"/>
      <c r="J17" s="27"/>
      <c r="K17" s="27" t="s">
        <v>379</v>
      </c>
      <c r="L17" s="26"/>
      <c r="M17" s="26"/>
      <c r="N17" s="26"/>
      <c r="O17" s="26"/>
      <c r="P17" s="28"/>
      <c r="Q17" s="29"/>
      <c r="R17" s="29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2:41" s="24" customFormat="1" ht="9.75" customHeight="1" outlineLevel="1" x14ac:dyDescent="0.2">
      <c r="B18" s="32" t="s">
        <v>6</v>
      </c>
      <c r="C18" s="24" t="str">
        <f>C15&amp;".PV"</f>
        <v>FAF1_BP_W133.PV</v>
      </c>
      <c r="E18" s="32" t="str">
        <f>E15&amp;" PV"</f>
        <v>B10PS FAF1 Building Pressure PV</v>
      </c>
      <c r="G18" s="26"/>
      <c r="H18" s="27"/>
      <c r="I18" s="27"/>
      <c r="J18" s="27"/>
      <c r="K18" s="27" t="s">
        <v>12</v>
      </c>
      <c r="L18" s="26"/>
      <c r="M18" s="26"/>
      <c r="N18" s="26"/>
      <c r="O18" s="26"/>
      <c r="P18" s="28"/>
      <c r="Q18" s="29"/>
      <c r="R18" s="29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2:41" s="24" customFormat="1" ht="9.75" customHeight="1" outlineLevel="1" x14ac:dyDescent="0.2">
      <c r="B19" s="32" t="s">
        <v>6</v>
      </c>
      <c r="C19" s="24" t="str">
        <f>C15&amp;".PV_H_Alm"</f>
        <v>FAF1_BP_W133.PV_H_Alm</v>
      </c>
      <c r="E19" s="32" t="str">
        <f>E15&amp;" PV Hi"</f>
        <v>B10PS FAF1 Building Pressure PV Hi</v>
      </c>
      <c r="G19" s="26"/>
      <c r="H19" s="27"/>
      <c r="I19" s="27"/>
      <c r="J19" s="27"/>
      <c r="K19" s="27" t="s">
        <v>379</v>
      </c>
      <c r="L19" s="26"/>
      <c r="M19" s="26"/>
      <c r="N19" s="26"/>
      <c r="O19" s="26"/>
      <c r="P19" s="28"/>
      <c r="Q19" s="29"/>
      <c r="R19" s="29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2:41" s="24" customFormat="1" ht="9.75" customHeight="1" outlineLevel="1" x14ac:dyDescent="0.2">
      <c r="B20" s="32" t="s">
        <v>6</v>
      </c>
      <c r="C20" s="24" t="str">
        <f>C15&amp;".PV_HH_Alm"</f>
        <v>FAF1_BP_W133.PV_HH_Alm</v>
      </c>
      <c r="E20" s="32" t="str">
        <f>E15&amp;" PV HiHi"</f>
        <v>B10PS FAF1 Building Pressure PV HiHi</v>
      </c>
      <c r="G20" s="26"/>
      <c r="H20" s="27"/>
      <c r="I20" s="27"/>
      <c r="J20" s="27"/>
      <c r="K20" s="27" t="s">
        <v>379</v>
      </c>
      <c r="L20" s="26"/>
      <c r="M20" s="26"/>
      <c r="N20" s="26"/>
      <c r="O20" s="26"/>
      <c r="P20" s="28"/>
      <c r="Q20" s="29"/>
      <c r="R20" s="29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2:41" s="24" customFormat="1" ht="9.75" customHeight="1" outlineLevel="1" x14ac:dyDescent="0.2">
      <c r="B21" s="32" t="s">
        <v>6</v>
      </c>
      <c r="C21" s="24" t="str">
        <f>C15&amp;".PV_L_Alm"</f>
        <v>FAF1_BP_W133.PV_L_Alm</v>
      </c>
      <c r="E21" s="32" t="str">
        <f>E15&amp;" PV Lo"</f>
        <v>B10PS FAF1 Building Pressure PV Lo</v>
      </c>
      <c r="G21" s="26"/>
      <c r="H21" s="27"/>
      <c r="I21" s="27"/>
      <c r="J21" s="27"/>
      <c r="K21" s="27" t="s">
        <v>379</v>
      </c>
      <c r="L21" s="26"/>
      <c r="M21" s="26"/>
      <c r="N21" s="26"/>
      <c r="O21" s="26"/>
      <c r="P21" s="28"/>
      <c r="Q21" s="29"/>
      <c r="R21" s="29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2:41" s="24" customFormat="1" ht="9.75" customHeight="1" outlineLevel="1" x14ac:dyDescent="0.2">
      <c r="B22" s="32" t="s">
        <v>6</v>
      </c>
      <c r="C22" s="24" t="str">
        <f>C15&amp;".PV_LL_Alm"</f>
        <v>FAF1_BP_W133.PV_LL_Alm</v>
      </c>
      <c r="E22" s="32" t="str">
        <f>E15&amp;" PV LoLo"</f>
        <v>B10PS FAF1 Building Pressure PV LoLo</v>
      </c>
      <c r="G22" s="26"/>
      <c r="H22" s="27"/>
      <c r="I22" s="27"/>
      <c r="J22" s="27"/>
      <c r="K22" s="27" t="s">
        <v>379</v>
      </c>
      <c r="L22" s="26"/>
      <c r="M22" s="26"/>
      <c r="N22" s="26"/>
      <c r="O22" s="26"/>
      <c r="P22" s="28"/>
      <c r="Q22" s="29"/>
      <c r="R22" s="29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2:41" s="24" customFormat="1" ht="9.75" customHeight="1" outlineLevel="1" x14ac:dyDescent="0.2">
      <c r="B23" s="32" t="s">
        <v>4</v>
      </c>
      <c r="C23" s="24" t="str">
        <f>C15&amp;".Reset"</f>
        <v>FAF1_BP_W133.Reset</v>
      </c>
      <c r="E23" s="32" t="str">
        <f>E15&amp;" BTA Reset"</f>
        <v>B10PS FAF1 Building Pressure BTA Reset</v>
      </c>
      <c r="G23" s="26"/>
      <c r="H23" s="27"/>
      <c r="I23" s="27"/>
      <c r="J23" s="27"/>
      <c r="K23" s="27" t="s">
        <v>13</v>
      </c>
      <c r="L23" s="26"/>
      <c r="M23" s="26"/>
      <c r="N23" s="26"/>
      <c r="O23" s="26"/>
      <c r="P23" s="28"/>
      <c r="Q23" s="29"/>
      <c r="R23" s="29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2:41" s="24" customFormat="1" ht="9.75" customHeight="1" outlineLevel="1" x14ac:dyDescent="0.2">
      <c r="G24" s="26"/>
      <c r="H24" s="27"/>
      <c r="I24" s="27"/>
      <c r="J24" s="27"/>
      <c r="K24" s="27"/>
      <c r="L24" s="26"/>
      <c r="M24" s="26"/>
      <c r="N24" s="26"/>
      <c r="O24" s="26"/>
      <c r="P24" s="28"/>
      <c r="Q24" s="29"/>
      <c r="R24" s="29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2:41" s="24" customFormat="1" ht="9.75" customHeight="1" x14ac:dyDescent="0.2">
      <c r="B25" s="24" t="s">
        <v>2</v>
      </c>
      <c r="C25" s="25" t="s">
        <v>14</v>
      </c>
      <c r="D25" s="25"/>
      <c r="E25" s="24" t="s">
        <v>381</v>
      </c>
      <c r="G25" s="26"/>
      <c r="H25" s="27"/>
      <c r="I25" s="27"/>
      <c r="J25" s="27"/>
      <c r="K25" s="27"/>
      <c r="L25" s="26"/>
      <c r="M25" s="26"/>
      <c r="N25" s="26"/>
      <c r="O25" s="26"/>
      <c r="P25" s="28"/>
      <c r="Q25" s="29"/>
      <c r="R25" s="29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2:41" s="24" customFormat="1" ht="9.75" customHeight="1" outlineLevel="1" x14ac:dyDescent="0.2">
      <c r="B26" s="32" t="s">
        <v>4</v>
      </c>
      <c r="C26" s="24" t="str">
        <f>C25&amp;".BTA"</f>
        <v>FAF1_CCDTT_W133.BTA</v>
      </c>
      <c r="E26" s="32" t="str">
        <f>E25&amp;" BTA"</f>
        <v>B10PS FAF1 Cooling Coil Discharge Temperature BTA</v>
      </c>
      <c r="G26" s="26"/>
      <c r="H26" s="27"/>
      <c r="I26" s="27"/>
      <c r="J26" s="27"/>
      <c r="K26" s="27" t="s">
        <v>15</v>
      </c>
      <c r="L26" s="26"/>
      <c r="M26" s="26"/>
      <c r="N26" s="26"/>
      <c r="O26" s="26"/>
      <c r="P26" s="28"/>
      <c r="Q26" s="29"/>
      <c r="R26" s="29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2:41" s="24" customFormat="1" ht="9.75" customHeight="1" outlineLevel="1" x14ac:dyDescent="0.2">
      <c r="B27" s="32" t="s">
        <v>4</v>
      </c>
      <c r="C27" s="24" t="str">
        <f>C25&amp;".IsDS"</f>
        <v>FAF1_CCDTT_W133.IsDS</v>
      </c>
      <c r="E27" s="32" t="str">
        <f>E25&amp;" Alarm Disabled"</f>
        <v>B10PS FAF1 Cooling Coil Discharge Temperature Alarm Disabled</v>
      </c>
      <c r="G27" s="26"/>
      <c r="H27" s="27"/>
      <c r="I27" s="27"/>
      <c r="J27" s="27"/>
      <c r="K27" s="27" t="s">
        <v>379</v>
      </c>
      <c r="L27" s="26"/>
      <c r="M27" s="26"/>
      <c r="N27" s="26"/>
      <c r="O27" s="26"/>
      <c r="P27" s="28"/>
      <c r="Q27" s="29"/>
      <c r="R27" s="29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2:41" s="24" customFormat="1" ht="9.75" customHeight="1" outlineLevel="1" x14ac:dyDescent="0.2">
      <c r="B28" s="32" t="s">
        <v>6</v>
      </c>
      <c r="C28" s="24" t="str">
        <f>C25&amp;".PV"</f>
        <v>FAF1_CCDTT_W133.PV</v>
      </c>
      <c r="E28" s="32" t="str">
        <f>E25&amp;" PV"</f>
        <v>B10PS FAF1 Cooling Coil Discharge Temperature PV</v>
      </c>
      <c r="G28" s="26"/>
      <c r="H28" s="27"/>
      <c r="I28" s="27"/>
      <c r="J28" s="27"/>
      <c r="K28" s="27" t="s">
        <v>16</v>
      </c>
      <c r="L28" s="26"/>
      <c r="M28" s="26"/>
      <c r="N28" s="26"/>
      <c r="O28" s="26"/>
      <c r="P28" s="28"/>
      <c r="Q28" s="29"/>
      <c r="R28" s="29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2:41" s="24" customFormat="1" ht="9.75" customHeight="1" outlineLevel="1" x14ac:dyDescent="0.2">
      <c r="B29" s="32" t="s">
        <v>6</v>
      </c>
      <c r="C29" s="24" t="str">
        <f>C25&amp;".PV_H_Alm"</f>
        <v>FAF1_CCDTT_W133.PV_H_Alm</v>
      </c>
      <c r="E29" s="32" t="str">
        <f>E25&amp;" PV Hi"</f>
        <v>B10PS FAF1 Cooling Coil Discharge Temperature PV Hi</v>
      </c>
      <c r="G29" s="26"/>
      <c r="H29" s="27"/>
      <c r="I29" s="27"/>
      <c r="J29" s="27"/>
      <c r="K29" s="27" t="s">
        <v>379</v>
      </c>
      <c r="L29" s="26"/>
      <c r="M29" s="26"/>
      <c r="N29" s="26"/>
      <c r="O29" s="26"/>
      <c r="P29" s="28"/>
      <c r="Q29" s="29"/>
      <c r="R29" s="29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2:41" s="24" customFormat="1" ht="9.75" customHeight="1" outlineLevel="1" collapsed="1" x14ac:dyDescent="0.2">
      <c r="B30" s="32" t="s">
        <v>6</v>
      </c>
      <c r="C30" s="24" t="str">
        <f>C25&amp;".PV_HH_Alm"</f>
        <v>FAF1_CCDTT_W133.PV_HH_Alm</v>
      </c>
      <c r="E30" s="32" t="str">
        <f>E25&amp;" PV HiHi"</f>
        <v>B10PS FAF1 Cooling Coil Discharge Temperature PV HiHi</v>
      </c>
      <c r="G30" s="26"/>
      <c r="H30" s="27"/>
      <c r="I30" s="27"/>
      <c r="J30" s="27"/>
      <c r="K30" s="27" t="s">
        <v>379</v>
      </c>
      <c r="L30" s="26"/>
      <c r="M30" s="26"/>
      <c r="N30" s="26"/>
      <c r="O30" s="26"/>
      <c r="P30" s="28"/>
      <c r="Q30" s="29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2:41" s="24" customFormat="1" ht="9.75" customHeight="1" outlineLevel="1" x14ac:dyDescent="0.2">
      <c r="B31" s="32" t="s">
        <v>6</v>
      </c>
      <c r="C31" s="24" t="str">
        <f>C25&amp;".PV_L_Alm"</f>
        <v>FAF1_CCDTT_W133.PV_L_Alm</v>
      </c>
      <c r="E31" s="32" t="str">
        <f>E25&amp;" PV Lo"</f>
        <v>B10PS FAF1 Cooling Coil Discharge Temperature PV Lo</v>
      </c>
      <c r="G31" s="26"/>
      <c r="H31" s="27"/>
      <c r="I31" s="27"/>
      <c r="J31" s="27"/>
      <c r="K31" s="27" t="s">
        <v>379</v>
      </c>
      <c r="L31" s="26"/>
      <c r="M31" s="26"/>
      <c r="N31" s="26"/>
      <c r="O31" s="26"/>
      <c r="P31" s="28"/>
      <c r="Q31" s="29"/>
      <c r="R31" s="29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2:41" s="24" customFormat="1" ht="9.75" customHeight="1" outlineLevel="1" x14ac:dyDescent="0.2">
      <c r="B32" s="32" t="s">
        <v>6</v>
      </c>
      <c r="C32" s="24" t="str">
        <f>C25&amp;".PV_LL_Alm"</f>
        <v>FAF1_CCDTT_W133.PV_LL_Alm</v>
      </c>
      <c r="E32" s="32" t="str">
        <f>E25&amp;" PV LoLo"</f>
        <v>B10PS FAF1 Cooling Coil Discharge Temperature PV LoLo</v>
      </c>
      <c r="G32" s="26"/>
      <c r="H32" s="27"/>
      <c r="I32" s="27"/>
      <c r="J32" s="27"/>
      <c r="K32" s="27" t="s">
        <v>379</v>
      </c>
      <c r="L32" s="26"/>
      <c r="M32" s="26"/>
      <c r="N32" s="26"/>
      <c r="O32" s="26"/>
      <c r="P32" s="28"/>
      <c r="Q32" s="29"/>
      <c r="R32" s="29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2:41" s="24" customFormat="1" ht="9.75" customHeight="1" outlineLevel="1" x14ac:dyDescent="0.2">
      <c r="B33" s="32" t="s">
        <v>4</v>
      </c>
      <c r="C33" s="24" t="str">
        <f>C25&amp;".Reset"</f>
        <v>FAF1_CCDTT_W133.Reset</v>
      </c>
      <c r="E33" s="32" t="str">
        <f>E25&amp;" BTA Reset"</f>
        <v>B10PS FAF1 Cooling Coil Discharge Temperature BTA Reset</v>
      </c>
      <c r="G33" s="26"/>
      <c r="H33" s="27"/>
      <c r="I33" s="27"/>
      <c r="J33" s="27"/>
      <c r="K33" s="27" t="s">
        <v>17</v>
      </c>
      <c r="L33" s="26"/>
      <c r="M33" s="26"/>
      <c r="N33" s="26"/>
      <c r="O33" s="26"/>
      <c r="P33" s="28"/>
      <c r="Q33" s="29"/>
      <c r="R33" s="29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2:41" s="24" customFormat="1" ht="9.75" customHeight="1" outlineLevel="1" x14ac:dyDescent="0.2">
      <c r="E34" s="32"/>
      <c r="G34" s="26"/>
      <c r="H34" s="27"/>
      <c r="I34" s="27"/>
      <c r="J34" s="27"/>
      <c r="K34" s="27"/>
      <c r="L34" s="26"/>
      <c r="M34" s="26"/>
      <c r="N34" s="26"/>
      <c r="O34" s="26"/>
      <c r="P34" s="28"/>
      <c r="Q34" s="29"/>
      <c r="R34" s="29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2:41" s="34" customFormat="1" ht="9.75" customHeight="1" x14ac:dyDescent="0.2">
      <c r="B35" s="24" t="s">
        <v>323</v>
      </c>
      <c r="C35" s="35" t="s">
        <v>324</v>
      </c>
      <c r="D35" s="35"/>
      <c r="E35" s="32" t="s">
        <v>382</v>
      </c>
      <c r="F35" s="24"/>
      <c r="G35" s="24"/>
      <c r="H35" s="26"/>
      <c r="I35" s="26"/>
      <c r="J35" s="24"/>
      <c r="K35" s="36"/>
      <c r="M35" s="37"/>
      <c r="N35" s="37"/>
      <c r="O35" s="37"/>
      <c r="P35" s="28"/>
      <c r="Q35" s="29"/>
      <c r="R35" s="29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2:41" s="34" customFormat="1" ht="9.75" customHeight="1" outlineLevel="1" x14ac:dyDescent="0.2">
      <c r="B36" s="32" t="s">
        <v>4</v>
      </c>
      <c r="C36" s="24" t="str">
        <f>C35&amp;".AUX"</f>
        <v>FAF1_CHWPMP_W133.AUX</v>
      </c>
      <c r="D36" s="24"/>
      <c r="E36" s="32" t="str">
        <f>E35&amp;" Run Feedback"</f>
        <v>FAF1 CHW Pump Run Feedback</v>
      </c>
      <c r="F36" s="24"/>
      <c r="G36" s="24"/>
      <c r="H36" s="26"/>
      <c r="I36" s="26"/>
      <c r="J36" s="24"/>
      <c r="K36" s="36" t="s">
        <v>325</v>
      </c>
      <c r="M36" s="37"/>
      <c r="N36" s="37"/>
      <c r="O36" s="37"/>
      <c r="P36" s="28"/>
      <c r="Q36" s="29"/>
      <c r="R36" s="29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8"/>
      <c r="AJ36" s="30"/>
      <c r="AK36" s="30"/>
      <c r="AL36" s="30"/>
      <c r="AM36" s="30"/>
      <c r="AN36" s="30"/>
      <c r="AO36" s="30"/>
    </row>
    <row r="37" spans="2:41" s="34" customFormat="1" ht="9.75" customHeight="1" outlineLevel="1" x14ac:dyDescent="0.2">
      <c r="B37" s="24" t="s">
        <v>6</v>
      </c>
      <c r="C37" s="32" t="str">
        <f>C35&amp;".CMD"</f>
        <v>FAF1_CHWPMP_W133.CMD</v>
      </c>
      <c r="D37" s="32"/>
      <c r="E37" s="32" t="str">
        <f>E35&amp;" Speed CMD"</f>
        <v>FAF1 CHW Pump Speed CMD</v>
      </c>
      <c r="F37" s="24"/>
      <c r="G37" s="24"/>
      <c r="H37" s="26"/>
      <c r="I37" s="26"/>
      <c r="J37" s="24"/>
      <c r="K37" s="36" t="s">
        <v>326</v>
      </c>
      <c r="M37" s="37"/>
      <c r="N37" s="37"/>
      <c r="O37" s="37"/>
      <c r="P37" s="28"/>
      <c r="Q37" s="29"/>
      <c r="R37" s="29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8"/>
      <c r="AJ37" s="30"/>
      <c r="AK37" s="30"/>
      <c r="AL37" s="30"/>
      <c r="AM37" s="30"/>
      <c r="AN37" s="30"/>
      <c r="AO37" s="30"/>
    </row>
    <row r="38" spans="2:41" s="34" customFormat="1" ht="9.75" customHeight="1" outlineLevel="1" x14ac:dyDescent="0.2">
      <c r="B38" s="32" t="s">
        <v>4</v>
      </c>
      <c r="C38" s="32" t="str">
        <f>C35&amp;".FLT"</f>
        <v>FAF1_CHWPMP_W133.FLT</v>
      </c>
      <c r="D38" s="32"/>
      <c r="E38" s="32" t="str">
        <f>E35&amp;" Fault"</f>
        <v>FAF1 CHW Pump Fault</v>
      </c>
      <c r="F38" s="24"/>
      <c r="G38" s="24"/>
      <c r="H38" s="26"/>
      <c r="I38" s="26"/>
      <c r="J38" s="24"/>
      <c r="K38" s="36" t="s">
        <v>327</v>
      </c>
      <c r="M38" s="37"/>
      <c r="N38" s="37"/>
      <c r="O38" s="37"/>
      <c r="P38" s="28"/>
      <c r="Q38" s="29"/>
      <c r="R38" s="29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8"/>
      <c r="AJ38" s="30"/>
      <c r="AK38" s="30"/>
      <c r="AL38" s="30"/>
      <c r="AM38" s="30"/>
      <c r="AN38" s="30"/>
      <c r="AO38" s="30"/>
    </row>
    <row r="39" spans="2:41" s="34" customFormat="1" ht="9.75" customHeight="1" outlineLevel="1" x14ac:dyDescent="0.2">
      <c r="B39" s="32" t="s">
        <v>4</v>
      </c>
      <c r="C39" s="32" t="str">
        <f>C35&amp;".FTR"</f>
        <v>FAF1_CHWPMP_W133.FTR</v>
      </c>
      <c r="D39" s="32"/>
      <c r="E39" s="32" t="str">
        <f>E35&amp;" Fail to Run"</f>
        <v>FAF1 CHW Pump Fail to Run</v>
      </c>
      <c r="F39" s="24"/>
      <c r="G39" s="24"/>
      <c r="H39" s="26"/>
      <c r="I39" s="26"/>
      <c r="J39" s="24"/>
      <c r="K39" s="36" t="s">
        <v>328</v>
      </c>
      <c r="M39" s="37"/>
      <c r="N39" s="37"/>
      <c r="O39" s="37"/>
      <c r="P39" s="28"/>
      <c r="Q39" s="29"/>
      <c r="R39" s="29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8"/>
      <c r="AJ39" s="30"/>
      <c r="AK39" s="30"/>
      <c r="AL39" s="30"/>
      <c r="AM39" s="30"/>
      <c r="AN39" s="30"/>
      <c r="AO39" s="30"/>
    </row>
    <row r="40" spans="2:41" s="34" customFormat="1" ht="9.75" customHeight="1" outlineLevel="1" x14ac:dyDescent="0.2">
      <c r="B40" s="32" t="s">
        <v>4</v>
      </c>
      <c r="C40" s="32" t="str">
        <f>C35&amp;".FTS"</f>
        <v>FAF1_CHWPMP_W133.FTS</v>
      </c>
      <c r="D40" s="32"/>
      <c r="E40" s="32" t="str">
        <f>E35&amp;" Fail to Stop"</f>
        <v>FAF1 CHW Pump Fail to Stop</v>
      </c>
      <c r="F40" s="24"/>
      <c r="G40" s="24"/>
      <c r="H40" s="26"/>
      <c r="I40" s="26"/>
      <c r="J40" s="24"/>
      <c r="K40" s="36" t="s">
        <v>329</v>
      </c>
      <c r="M40" s="37"/>
      <c r="N40" s="37"/>
      <c r="O40" s="37"/>
      <c r="P40" s="28"/>
      <c r="Q40" s="29"/>
      <c r="R40" s="29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8"/>
      <c r="AJ40" s="30"/>
      <c r="AK40" s="30"/>
      <c r="AL40" s="30"/>
      <c r="AM40" s="30"/>
      <c r="AN40" s="30"/>
      <c r="AO40" s="30"/>
    </row>
    <row r="41" spans="2:41" s="34" customFormat="1" ht="9.75" customHeight="1" outlineLevel="1" x14ac:dyDescent="0.2">
      <c r="B41" s="32" t="s">
        <v>4</v>
      </c>
      <c r="C41" s="32" t="str">
        <f>C35&amp;".MAN"</f>
        <v>FAF1_CHWPMP_W133.MAN</v>
      </c>
      <c r="D41" s="32"/>
      <c r="E41" s="32" t="str">
        <f>E35&amp;" In Manual Mode"</f>
        <v>FAF1 CHW Pump In Manual Mode</v>
      </c>
      <c r="F41" s="24"/>
      <c r="G41" s="24"/>
      <c r="H41" s="26"/>
      <c r="I41" s="26"/>
      <c r="J41" s="24"/>
      <c r="K41" s="36" t="s">
        <v>330</v>
      </c>
      <c r="M41" s="37"/>
      <c r="N41" s="37"/>
      <c r="O41" s="37"/>
      <c r="P41" s="28"/>
      <c r="Q41" s="29"/>
      <c r="R41" s="29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8"/>
      <c r="AJ41" s="30"/>
      <c r="AK41" s="30"/>
      <c r="AL41" s="30"/>
      <c r="AM41" s="30"/>
      <c r="AN41" s="30"/>
      <c r="AO41" s="30"/>
    </row>
    <row r="42" spans="2:41" s="34" customFormat="1" ht="9.75" customHeight="1" outlineLevel="1" x14ac:dyDescent="0.2">
      <c r="B42" s="32" t="s">
        <v>6</v>
      </c>
      <c r="C42" s="32" t="str">
        <f>C35&amp;".MAN_SPD_CMD"</f>
        <v>FAF1_CHWPMP_W133.MAN_SPD_CMD</v>
      </c>
      <c r="D42" s="32"/>
      <c r="E42" s="32" t="str">
        <f>E35&amp;" Speed SP"</f>
        <v>FAF1 CHW Pump Speed SP</v>
      </c>
      <c r="F42" s="24"/>
      <c r="G42" s="24"/>
      <c r="H42" s="26"/>
      <c r="I42" s="26"/>
      <c r="J42" s="24"/>
      <c r="K42" s="36" t="s">
        <v>326</v>
      </c>
      <c r="M42" s="37"/>
      <c r="N42" s="37"/>
      <c r="O42" s="37"/>
      <c r="P42" s="28"/>
      <c r="Q42" s="29"/>
      <c r="R42" s="29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8"/>
      <c r="AJ42" s="30"/>
      <c r="AK42" s="30"/>
      <c r="AL42" s="30"/>
      <c r="AM42" s="30"/>
      <c r="AN42" s="30"/>
      <c r="AO42" s="30"/>
    </row>
    <row r="43" spans="2:41" s="34" customFormat="1" ht="9.75" customHeight="1" outlineLevel="1" x14ac:dyDescent="0.2">
      <c r="B43" s="32" t="s">
        <v>4</v>
      </c>
      <c r="C43" s="32" t="str">
        <f>C35&amp;".NIA"</f>
        <v>FAF1_CHWPMP_W133.NIA</v>
      </c>
      <c r="D43" s="32"/>
      <c r="E43" s="32" t="str">
        <f>E35&amp;" Not in Auto"</f>
        <v>FAF1 CHW Pump Not in Auto</v>
      </c>
      <c r="F43" s="24"/>
      <c r="G43" s="24"/>
      <c r="H43" s="26"/>
      <c r="I43" s="26"/>
      <c r="J43" s="24"/>
      <c r="K43" s="36" t="s">
        <v>331</v>
      </c>
      <c r="M43" s="37"/>
      <c r="N43" s="37"/>
      <c r="O43" s="37"/>
      <c r="P43" s="28"/>
      <c r="Q43" s="29"/>
      <c r="R43" s="29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8"/>
      <c r="AJ43" s="30"/>
      <c r="AK43" s="30"/>
      <c r="AL43" s="30"/>
      <c r="AM43" s="30"/>
      <c r="AN43" s="30"/>
      <c r="AO43" s="30"/>
    </row>
    <row r="44" spans="2:41" s="34" customFormat="1" ht="9.75" customHeight="1" outlineLevel="1" x14ac:dyDescent="0.2">
      <c r="B44" s="32" t="s">
        <v>4</v>
      </c>
      <c r="C44" s="32" t="str">
        <f>C35&amp;".OFF_CMD"</f>
        <v>FAF1_CHWPMP_W133.OFF_CMD</v>
      </c>
      <c r="D44" s="32"/>
      <c r="E44" s="32" t="str">
        <f>E35&amp;" Off Command"</f>
        <v>FAF1 CHW Pump Off Command</v>
      </c>
      <c r="F44" s="24"/>
      <c r="G44" s="24"/>
      <c r="H44" s="26"/>
      <c r="I44" s="26"/>
      <c r="J44" s="24"/>
      <c r="K44" s="36" t="s">
        <v>332</v>
      </c>
      <c r="M44" s="37"/>
      <c r="N44" s="37"/>
      <c r="O44" s="37"/>
      <c r="P44" s="28"/>
      <c r="Q44" s="29"/>
      <c r="R44" s="29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8"/>
      <c r="AJ44" s="30"/>
      <c r="AK44" s="30"/>
      <c r="AL44" s="30"/>
      <c r="AM44" s="30"/>
      <c r="AN44" s="30"/>
      <c r="AO44" s="30"/>
    </row>
    <row r="45" spans="2:41" s="34" customFormat="1" ht="9.75" customHeight="1" outlineLevel="1" x14ac:dyDescent="0.2">
      <c r="B45" s="32" t="s">
        <v>4</v>
      </c>
      <c r="C45" s="32" t="str">
        <f>C35&amp;".ON_CMD"</f>
        <v>FAF1_CHWPMP_W133.ON_CMD</v>
      </c>
      <c r="D45" s="32"/>
      <c r="E45" s="32" t="str">
        <f>E35&amp;" On Command"</f>
        <v>FAF1 CHW Pump On Command</v>
      </c>
      <c r="F45" s="24"/>
      <c r="G45" s="24"/>
      <c r="H45" s="26"/>
      <c r="I45" s="26"/>
      <c r="J45" s="24"/>
      <c r="K45" s="36" t="s">
        <v>333</v>
      </c>
      <c r="M45" s="37"/>
      <c r="N45" s="37"/>
      <c r="O45" s="37"/>
      <c r="P45" s="28"/>
      <c r="Q45" s="29"/>
      <c r="R45" s="29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8"/>
      <c r="AJ45" s="30"/>
      <c r="AK45" s="30"/>
      <c r="AL45" s="30"/>
      <c r="AM45" s="30"/>
      <c r="AN45" s="30"/>
      <c r="AO45" s="30"/>
    </row>
    <row r="46" spans="2:41" s="34" customFormat="1" ht="9.75" customHeight="1" outlineLevel="1" x14ac:dyDescent="0.2">
      <c r="B46" s="32" t="s">
        <v>6</v>
      </c>
      <c r="C46" s="32" t="str">
        <f>C35&amp;".PWR"</f>
        <v>FAF1_CHWPMP_W133.PWR</v>
      </c>
      <c r="D46" s="32"/>
      <c r="E46" s="32" t="str">
        <f>E35&amp;" Power Feedback"</f>
        <v>FAF1 CHW Pump Power Feedback</v>
      </c>
      <c r="F46" s="24"/>
      <c r="G46" s="24"/>
      <c r="H46" s="26"/>
      <c r="I46" s="26"/>
      <c r="J46" s="24"/>
      <c r="K46" s="36" t="s">
        <v>334</v>
      </c>
      <c r="M46" s="37"/>
      <c r="N46" s="37"/>
      <c r="O46" s="37"/>
      <c r="P46" s="28"/>
      <c r="Q46" s="29"/>
      <c r="R46" s="29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8"/>
      <c r="AJ46" s="30"/>
      <c r="AK46" s="30"/>
      <c r="AL46" s="30"/>
      <c r="AM46" s="30"/>
      <c r="AN46" s="30"/>
      <c r="AO46" s="30"/>
    </row>
    <row r="47" spans="2:41" s="34" customFormat="1" ht="9.75" customHeight="1" outlineLevel="1" x14ac:dyDescent="0.2">
      <c r="B47" s="32" t="s">
        <v>4</v>
      </c>
      <c r="C47" s="32" t="str">
        <f>C35&amp;".PWR_BTA"</f>
        <v>FAF1_CHWPMP_W133.PWR_BTA</v>
      </c>
      <c r="D47" s="32"/>
      <c r="E47" s="32" t="str">
        <f>E35&amp;" Power Feedback BTA"</f>
        <v>FAF1 CHW Pump Power Feedback BTA</v>
      </c>
      <c r="F47" s="24"/>
      <c r="G47" s="24"/>
      <c r="H47" s="26"/>
      <c r="I47" s="26"/>
      <c r="J47" s="24"/>
      <c r="K47" s="36" t="s">
        <v>335</v>
      </c>
      <c r="M47" s="37"/>
      <c r="N47" s="37"/>
      <c r="O47" s="37"/>
      <c r="P47" s="28"/>
      <c r="Q47" s="29"/>
      <c r="R47" s="29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8"/>
      <c r="AJ47" s="30"/>
      <c r="AK47" s="30"/>
      <c r="AL47" s="30"/>
      <c r="AM47" s="30"/>
      <c r="AN47" s="30"/>
      <c r="AO47" s="30"/>
    </row>
    <row r="48" spans="2:41" s="34" customFormat="1" ht="9.75" customHeight="1" outlineLevel="1" x14ac:dyDescent="0.2">
      <c r="B48" s="32" t="s">
        <v>4</v>
      </c>
      <c r="C48" s="32" t="str">
        <f>C35&amp;".PWR_BTA_RST"</f>
        <v>FAF1_CHWPMP_W133.PWR_BTA_RST</v>
      </c>
      <c r="D48" s="32"/>
      <c r="E48" s="32" t="str">
        <f>E35&amp;" Power Feedback BTA Reset"</f>
        <v>FAF1 CHW Pump Power Feedback BTA Reset</v>
      </c>
      <c r="F48" s="24"/>
      <c r="G48" s="24"/>
      <c r="H48" s="26"/>
      <c r="I48" s="26"/>
      <c r="J48" s="24"/>
      <c r="K48" s="36" t="s">
        <v>336</v>
      </c>
      <c r="M48" s="37"/>
      <c r="N48" s="37"/>
      <c r="O48" s="37"/>
      <c r="P48" s="28"/>
      <c r="Q48" s="29"/>
      <c r="R48" s="29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8"/>
      <c r="AJ48" s="30"/>
      <c r="AK48" s="30"/>
      <c r="AL48" s="30"/>
      <c r="AM48" s="30"/>
      <c r="AN48" s="30"/>
      <c r="AO48" s="30"/>
    </row>
    <row r="49" spans="2:41" s="34" customFormat="1" ht="9.75" customHeight="1" outlineLevel="1" x14ac:dyDescent="0.2">
      <c r="B49" s="32" t="s">
        <v>6</v>
      </c>
      <c r="C49" s="32" t="str">
        <f>C35&amp;".SPD"</f>
        <v>FAF1_CHWPMP_W133.SPD</v>
      </c>
      <c r="D49" s="32"/>
      <c r="E49" s="32" t="str">
        <f>E35&amp;" Speed Feeback"</f>
        <v>FAF1 CHW Pump Speed Feeback</v>
      </c>
      <c r="F49" s="24"/>
      <c r="G49" s="24"/>
      <c r="H49" s="26"/>
      <c r="I49" s="26"/>
      <c r="J49" s="24"/>
      <c r="K49" s="36" t="s">
        <v>337</v>
      </c>
      <c r="M49" s="37"/>
      <c r="N49" s="37"/>
      <c r="O49" s="37"/>
      <c r="P49" s="28"/>
      <c r="Q49" s="29"/>
      <c r="R49" s="29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8"/>
      <c r="AJ49" s="30"/>
      <c r="AK49" s="30"/>
      <c r="AL49" s="30"/>
      <c r="AM49" s="30"/>
      <c r="AN49" s="30"/>
      <c r="AO49" s="30"/>
    </row>
    <row r="50" spans="2:41" s="34" customFormat="1" ht="9.75" customHeight="1" outlineLevel="1" collapsed="1" x14ac:dyDescent="0.2">
      <c r="B50" s="32" t="s">
        <v>4</v>
      </c>
      <c r="C50" s="32" t="str">
        <f>C35&amp;".SPD_BTA"</f>
        <v>FAF1_CHWPMP_W133.SPD_BTA</v>
      </c>
      <c r="D50" s="32"/>
      <c r="E50" s="32" t="str">
        <f>E35&amp;" Speed Feeback BTA"</f>
        <v>FAF1 CHW Pump Speed Feeback BTA</v>
      </c>
      <c r="F50" s="24"/>
      <c r="G50" s="24"/>
      <c r="H50" s="26"/>
      <c r="I50" s="26"/>
      <c r="J50" s="24"/>
      <c r="K50" s="36" t="s">
        <v>338</v>
      </c>
      <c r="M50" s="37"/>
      <c r="N50" s="37"/>
      <c r="O50" s="37"/>
      <c r="P50" s="28"/>
      <c r="Q50" s="29"/>
      <c r="R50" s="29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8"/>
      <c r="AJ50" s="30"/>
      <c r="AK50" s="30"/>
      <c r="AL50" s="30"/>
      <c r="AM50" s="30"/>
      <c r="AN50" s="30"/>
      <c r="AO50" s="30"/>
    </row>
    <row r="51" spans="2:41" s="24" customFormat="1" ht="9.75" customHeight="1" outlineLevel="1" x14ac:dyDescent="0.2">
      <c r="B51" s="32" t="s">
        <v>4</v>
      </c>
      <c r="C51" s="32" t="str">
        <f>C35&amp;".SPD_BTA_RST"</f>
        <v>FAF1_CHWPMP_W133.SPD_BTA_RST</v>
      </c>
      <c r="D51" s="32"/>
      <c r="E51" s="32" t="str">
        <f>E35&amp;" Speed Feeback BTA Reset"</f>
        <v>FAF1 CHW Pump Speed Feeback BTA Reset</v>
      </c>
      <c r="G51" s="26"/>
      <c r="H51" s="27"/>
      <c r="I51" s="27"/>
      <c r="J51" s="27"/>
      <c r="K51" s="27" t="s">
        <v>339</v>
      </c>
      <c r="L51" s="26"/>
      <c r="M51" s="26"/>
      <c r="N51" s="26"/>
      <c r="O51" s="26"/>
      <c r="P51" s="28"/>
      <c r="Q51" s="29"/>
      <c r="R51" s="29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8"/>
      <c r="AJ51" s="30"/>
      <c r="AK51" s="30"/>
      <c r="AL51" s="30"/>
      <c r="AM51" s="30"/>
      <c r="AN51" s="30"/>
      <c r="AO51" s="30"/>
    </row>
    <row r="52" spans="2:41" s="24" customFormat="1" ht="9.75" customHeight="1" outlineLevel="1" x14ac:dyDescent="0.2">
      <c r="B52" s="32"/>
      <c r="C52" s="32"/>
      <c r="D52" s="32"/>
      <c r="E52" s="32"/>
      <c r="G52" s="26"/>
      <c r="H52" s="27"/>
      <c r="I52" s="27"/>
      <c r="J52" s="27"/>
      <c r="K52" s="27"/>
      <c r="L52" s="26"/>
      <c r="M52" s="26"/>
      <c r="N52" s="26"/>
      <c r="O52" s="26"/>
      <c r="P52" s="28"/>
      <c r="Q52" s="29"/>
      <c r="R52" s="29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2:41" s="34" customFormat="1" ht="9.75" customHeight="1" x14ac:dyDescent="0.2">
      <c r="B53" s="24" t="s">
        <v>361</v>
      </c>
      <c r="C53" s="35" t="s">
        <v>362</v>
      </c>
      <c r="D53" s="35"/>
      <c r="E53" s="24" t="s">
        <v>383</v>
      </c>
      <c r="F53" s="24"/>
      <c r="G53" s="24"/>
      <c r="H53" s="26"/>
      <c r="I53" s="26"/>
      <c r="J53" s="24"/>
      <c r="K53" s="36"/>
      <c r="M53" s="37"/>
      <c r="N53" s="37"/>
      <c r="O53" s="37"/>
      <c r="P53" s="28"/>
      <c r="Q53" s="29"/>
      <c r="R53" s="29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2:41" s="34" customFormat="1" ht="9.75" hidden="1" customHeight="1" outlineLevel="1" x14ac:dyDescent="0.2">
      <c r="B54" s="24" t="s">
        <v>4</v>
      </c>
      <c r="C54" s="24" t="str">
        <f>C53&amp;".MAN"</f>
        <v>FAF1_CHWPMPBV_W133.MAN</v>
      </c>
      <c r="D54" s="24"/>
      <c r="E54" s="24" t="str">
        <f>E53&amp;" In Man"</f>
        <v>B10PS FAF1 CHW Pump Bypass Valve In Man</v>
      </c>
      <c r="F54" s="24"/>
      <c r="G54" s="24"/>
      <c r="H54" s="26"/>
      <c r="I54" s="26"/>
      <c r="J54" s="24"/>
      <c r="K54" s="36" t="s">
        <v>363</v>
      </c>
      <c r="M54" s="37"/>
      <c r="N54" s="37"/>
      <c r="O54" s="37"/>
      <c r="P54" s="28"/>
      <c r="Q54" s="29"/>
      <c r="R54" s="29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2:41" s="34" customFormat="1" ht="9.75" hidden="1" customHeight="1" outlineLevel="1" x14ac:dyDescent="0.2">
      <c r="B55" s="24" t="s">
        <v>6</v>
      </c>
      <c r="C55" s="24" t="str">
        <f>C53&amp;".OUT"</f>
        <v>FAF1_CHWPMPBV_W133.OUT</v>
      </c>
      <c r="D55" s="24"/>
      <c r="E55" s="24" t="str">
        <f>E53&amp;" Control Value"</f>
        <v>B10PS FAF1 CHW Pump Bypass Valve Control Value</v>
      </c>
      <c r="F55" s="24"/>
      <c r="G55" s="24"/>
      <c r="H55" s="26"/>
      <c r="I55" s="26"/>
      <c r="J55" s="24"/>
      <c r="K55" s="36" t="s">
        <v>364</v>
      </c>
      <c r="M55" s="37"/>
      <c r="N55" s="37"/>
      <c r="O55" s="37"/>
      <c r="P55" s="28"/>
      <c r="Q55" s="29"/>
      <c r="R55" s="29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2:41" s="34" customFormat="1" ht="9.75" hidden="1" customHeight="1" outlineLevel="1" x14ac:dyDescent="0.2">
      <c r="B56" s="24" t="s">
        <v>6</v>
      </c>
      <c r="C56" s="24" t="str">
        <f>C53&amp;".PercentOpen"</f>
        <v>FAF1_CHWPMPBV_W133.PercentOpen</v>
      </c>
      <c r="D56" s="24"/>
      <c r="E56" s="24" t="s">
        <v>384</v>
      </c>
      <c r="F56" s="24"/>
      <c r="G56" s="24"/>
      <c r="H56" s="26"/>
      <c r="I56" s="26"/>
      <c r="J56" s="24"/>
      <c r="K56" s="27" t="s">
        <v>379</v>
      </c>
      <c r="M56" s="37"/>
      <c r="N56" s="37"/>
      <c r="O56" s="37"/>
      <c r="P56" s="28"/>
      <c r="Q56" s="29"/>
      <c r="R56" s="29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2:41" s="24" customFormat="1" ht="9.75" hidden="1" customHeight="1" outlineLevel="1" x14ac:dyDescent="0.2">
      <c r="E57" s="32"/>
      <c r="G57" s="26"/>
      <c r="H57" s="27"/>
      <c r="I57" s="27"/>
      <c r="J57" s="27"/>
      <c r="K57" s="27"/>
      <c r="L57" s="26"/>
      <c r="M57" s="26"/>
      <c r="N57" s="26"/>
      <c r="O57" s="26"/>
      <c r="P57" s="28"/>
      <c r="Q57" s="29"/>
      <c r="R57" s="29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2:41" s="34" customFormat="1" ht="9.75" customHeight="1" collapsed="1" x14ac:dyDescent="0.2">
      <c r="B58" s="24" t="s">
        <v>2</v>
      </c>
      <c r="C58" s="25" t="s">
        <v>18</v>
      </c>
      <c r="D58" s="25"/>
      <c r="E58" s="24" t="s">
        <v>385</v>
      </c>
      <c r="F58" s="24"/>
      <c r="G58" s="24"/>
      <c r="H58" s="26"/>
      <c r="I58" s="26"/>
      <c r="J58" s="24"/>
      <c r="K58" s="36"/>
      <c r="M58" s="37"/>
      <c r="N58" s="37"/>
      <c r="O58" s="37"/>
      <c r="P58" s="28"/>
      <c r="Q58" s="29"/>
      <c r="R58" s="29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2:41" s="34" customFormat="1" ht="9.75" hidden="1" customHeight="1" outlineLevel="1" x14ac:dyDescent="0.2">
      <c r="B59" s="32" t="s">
        <v>4</v>
      </c>
      <c r="C59" s="24" t="str">
        <f>C58&amp;".BTA"</f>
        <v>FAF1_CHWRTT_W133.BTA</v>
      </c>
      <c r="D59" s="24"/>
      <c r="E59" s="32" t="str">
        <f>E58&amp;" BTA"</f>
        <v>B10PS FAF1 Chillwater Coil Return Temperature BTA</v>
      </c>
      <c r="F59" s="24"/>
      <c r="G59" s="24"/>
      <c r="H59" s="26"/>
      <c r="I59" s="26"/>
      <c r="J59" s="24"/>
      <c r="K59" s="36" t="s">
        <v>19</v>
      </c>
      <c r="M59" s="37"/>
      <c r="N59" s="37"/>
      <c r="O59" s="37"/>
      <c r="P59" s="28"/>
      <c r="Q59" s="29"/>
      <c r="R59" s="29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2:41" s="34" customFormat="1" ht="9.75" hidden="1" customHeight="1" outlineLevel="1" x14ac:dyDescent="0.2">
      <c r="B60" s="32" t="s">
        <v>4</v>
      </c>
      <c r="C60" s="24" t="str">
        <f>C58&amp;".IsDS"</f>
        <v>FAF1_CHWRTT_W133.IsDS</v>
      </c>
      <c r="D60" s="24"/>
      <c r="E60" s="32" t="str">
        <f>E58&amp;" Alarm Disabled"</f>
        <v>B10PS FAF1 Chillwater Coil Return Temperature Alarm Disabled</v>
      </c>
      <c r="F60" s="24"/>
      <c r="G60" s="24"/>
      <c r="H60" s="26"/>
      <c r="I60" s="26"/>
      <c r="J60" s="24"/>
      <c r="K60" s="36" t="s">
        <v>379</v>
      </c>
      <c r="M60" s="37"/>
      <c r="N60" s="37"/>
      <c r="O60" s="37"/>
      <c r="P60" s="28"/>
      <c r="Q60" s="29"/>
      <c r="R60" s="29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2:41" s="34" customFormat="1" ht="9.75" hidden="1" customHeight="1" outlineLevel="1" x14ac:dyDescent="0.2">
      <c r="B61" s="32" t="s">
        <v>6</v>
      </c>
      <c r="C61" s="24" t="str">
        <f>C58&amp;".PV"</f>
        <v>FAF1_CHWRTT_W133.PV</v>
      </c>
      <c r="D61" s="24"/>
      <c r="E61" s="32" t="str">
        <f>E58&amp;" PV"</f>
        <v>B10PS FAF1 Chillwater Coil Return Temperature PV</v>
      </c>
      <c r="F61" s="24"/>
      <c r="G61" s="24"/>
      <c r="H61" s="26"/>
      <c r="I61" s="26"/>
      <c r="J61" s="24"/>
      <c r="K61" s="36" t="s">
        <v>20</v>
      </c>
      <c r="M61" s="37"/>
      <c r="N61" s="37"/>
      <c r="O61" s="37"/>
      <c r="P61" s="28"/>
      <c r="Q61" s="29"/>
      <c r="R61" s="2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2:41" s="34" customFormat="1" ht="9.75" hidden="1" customHeight="1" outlineLevel="1" x14ac:dyDescent="0.2">
      <c r="B62" s="32" t="s">
        <v>6</v>
      </c>
      <c r="C62" s="24" t="str">
        <f>C58&amp;".PV_H_Alm"</f>
        <v>FAF1_CHWRTT_W133.PV_H_Alm</v>
      </c>
      <c r="D62" s="24"/>
      <c r="E62" s="32" t="str">
        <f>E58&amp;" PV Hi"</f>
        <v>B10PS FAF1 Chillwater Coil Return Temperature PV Hi</v>
      </c>
      <c r="F62" s="24"/>
      <c r="G62" s="24"/>
      <c r="H62" s="26"/>
      <c r="I62" s="26"/>
      <c r="J62" s="24"/>
      <c r="K62" s="36" t="s">
        <v>379</v>
      </c>
      <c r="M62" s="37"/>
      <c r="N62" s="37"/>
      <c r="O62" s="37"/>
      <c r="P62" s="28"/>
      <c r="Q62" s="29"/>
      <c r="R62" s="2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2:41" s="34" customFormat="1" ht="9.75" hidden="1" customHeight="1" outlineLevel="1" x14ac:dyDescent="0.2">
      <c r="B63" s="32" t="s">
        <v>6</v>
      </c>
      <c r="C63" s="24" t="str">
        <f>C58&amp;".PV_HH_Alm"</f>
        <v>FAF1_CHWRTT_W133.PV_HH_Alm</v>
      </c>
      <c r="D63" s="24"/>
      <c r="E63" s="32" t="str">
        <f>E58&amp;" PV HiHi"</f>
        <v>B10PS FAF1 Chillwater Coil Return Temperature PV HiHi</v>
      </c>
      <c r="F63" s="24"/>
      <c r="G63" s="24"/>
      <c r="H63" s="26"/>
      <c r="I63" s="26"/>
      <c r="J63" s="24"/>
      <c r="K63" s="36" t="s">
        <v>379</v>
      </c>
      <c r="M63" s="37"/>
      <c r="N63" s="37"/>
      <c r="O63" s="37"/>
      <c r="P63" s="28"/>
      <c r="Q63" s="29"/>
      <c r="R63" s="2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2:41" s="34" customFormat="1" ht="9.75" hidden="1" customHeight="1" outlineLevel="1" x14ac:dyDescent="0.2">
      <c r="B64" s="32" t="s">
        <v>6</v>
      </c>
      <c r="C64" s="24" t="str">
        <f>C58&amp;".PV_L_Alm"</f>
        <v>FAF1_CHWRTT_W133.PV_L_Alm</v>
      </c>
      <c r="D64" s="24"/>
      <c r="E64" s="32" t="str">
        <f>E58&amp;" PV Lo"</f>
        <v>B10PS FAF1 Chillwater Coil Return Temperature PV Lo</v>
      </c>
      <c r="F64" s="24"/>
      <c r="G64" s="24"/>
      <c r="H64" s="26"/>
      <c r="I64" s="26"/>
      <c r="J64" s="24"/>
      <c r="K64" s="36" t="s">
        <v>379</v>
      </c>
      <c r="M64" s="37"/>
      <c r="N64" s="37"/>
      <c r="O64" s="37"/>
      <c r="P64" s="28"/>
      <c r="Q64" s="29"/>
      <c r="R64" s="29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2:41" s="34" customFormat="1" ht="9.75" hidden="1" customHeight="1" outlineLevel="1" x14ac:dyDescent="0.2">
      <c r="B65" s="32" t="s">
        <v>6</v>
      </c>
      <c r="C65" s="24" t="str">
        <f>C58&amp;".PV_LL_Alm"</f>
        <v>FAF1_CHWRTT_W133.PV_LL_Alm</v>
      </c>
      <c r="D65" s="24"/>
      <c r="E65" s="32" t="str">
        <f>E58&amp;" PV LoLo"</f>
        <v>B10PS FAF1 Chillwater Coil Return Temperature PV LoLo</v>
      </c>
      <c r="F65" s="24"/>
      <c r="G65" s="24"/>
      <c r="H65" s="26"/>
      <c r="I65" s="26"/>
      <c r="J65" s="24"/>
      <c r="K65" s="36" t="s">
        <v>379</v>
      </c>
      <c r="M65" s="37"/>
      <c r="N65" s="37"/>
      <c r="O65" s="37"/>
      <c r="P65" s="28"/>
      <c r="Q65" s="29"/>
      <c r="R65" s="29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2:41" s="34" customFormat="1" ht="9.75" hidden="1" customHeight="1" outlineLevel="1" x14ac:dyDescent="0.2">
      <c r="B66" s="32" t="s">
        <v>4</v>
      </c>
      <c r="C66" s="24" t="str">
        <f>C58&amp;".Reset"</f>
        <v>FAF1_CHWRTT_W133.Reset</v>
      </c>
      <c r="D66" s="24"/>
      <c r="E66" s="32" t="str">
        <f>E58&amp;" BTA Reset"</f>
        <v>B10PS FAF1 Chillwater Coil Return Temperature BTA Reset</v>
      </c>
      <c r="F66" s="24"/>
      <c r="G66" s="24"/>
      <c r="H66" s="26"/>
      <c r="I66" s="26"/>
      <c r="J66" s="24"/>
      <c r="K66" s="36" t="s">
        <v>21</v>
      </c>
      <c r="M66" s="37"/>
      <c r="N66" s="37"/>
      <c r="O66" s="37"/>
      <c r="P66" s="28"/>
      <c r="Q66" s="29"/>
      <c r="R66" s="29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2:41" s="24" customFormat="1" ht="9.75" hidden="1" customHeight="1" outlineLevel="1" x14ac:dyDescent="0.2">
      <c r="B67" s="32"/>
      <c r="G67" s="26"/>
      <c r="H67" s="27"/>
      <c r="I67" s="39"/>
      <c r="J67" s="27"/>
      <c r="K67" s="27"/>
      <c r="L67" s="26"/>
      <c r="M67" s="26"/>
      <c r="N67" s="26"/>
      <c r="O67" s="26"/>
      <c r="P67" s="28"/>
      <c r="Q67" s="29"/>
      <c r="R67" s="29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2:41" s="34" customFormat="1" ht="9.75" customHeight="1" collapsed="1" x14ac:dyDescent="0.2">
      <c r="B68" s="24" t="s">
        <v>2</v>
      </c>
      <c r="C68" s="25" t="s">
        <v>22</v>
      </c>
      <c r="D68" s="25"/>
      <c r="E68" s="24" t="s">
        <v>386</v>
      </c>
      <c r="F68" s="24"/>
      <c r="G68" s="24"/>
      <c r="H68" s="26"/>
      <c r="I68" s="26"/>
      <c r="J68" s="24"/>
      <c r="K68" s="36"/>
      <c r="M68" s="37"/>
      <c r="N68" s="37"/>
      <c r="O68" s="37"/>
      <c r="P68" s="28"/>
      <c r="Q68" s="29"/>
      <c r="R68" s="29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2:41" s="34" customFormat="1" ht="9.75" hidden="1" customHeight="1" outlineLevel="1" x14ac:dyDescent="0.2">
      <c r="B69" s="32" t="s">
        <v>4</v>
      </c>
      <c r="C69" s="24" t="str">
        <f>C68&amp;".BTA"</f>
        <v>FAF1_CHWSTT_W133.BTA</v>
      </c>
      <c r="D69" s="24"/>
      <c r="E69" s="32" t="str">
        <f>E68&amp;" BTA"</f>
        <v>B10PS FAF1 Chillwater Coil Supply Temperature BTA</v>
      </c>
      <c r="F69" s="24"/>
      <c r="G69" s="24"/>
      <c r="H69" s="26"/>
      <c r="I69" s="26"/>
      <c r="J69" s="24"/>
      <c r="K69" s="36" t="s">
        <v>23</v>
      </c>
      <c r="M69" s="37"/>
      <c r="N69" s="37"/>
      <c r="O69" s="37"/>
      <c r="P69" s="28"/>
      <c r="Q69" s="29"/>
      <c r="R69" s="29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2:41" s="34" customFormat="1" ht="9.75" hidden="1" customHeight="1" outlineLevel="1" x14ac:dyDescent="0.2">
      <c r="B70" s="32" t="s">
        <v>4</v>
      </c>
      <c r="C70" s="24" t="str">
        <f>C68&amp;".IsDS"</f>
        <v>FAF1_CHWSTT_W133.IsDS</v>
      </c>
      <c r="D70" s="24"/>
      <c r="E70" s="32" t="str">
        <f>E68&amp;" Alarm Disabled"</f>
        <v>B10PS FAF1 Chillwater Coil Supply Temperature Alarm Disabled</v>
      </c>
      <c r="F70" s="24"/>
      <c r="G70" s="24"/>
      <c r="H70" s="26"/>
      <c r="I70" s="26"/>
      <c r="J70" s="24"/>
      <c r="K70" s="36" t="s">
        <v>379</v>
      </c>
      <c r="M70" s="37"/>
      <c r="N70" s="37"/>
      <c r="O70" s="37"/>
      <c r="P70" s="28"/>
      <c r="Q70" s="29"/>
      <c r="R70" s="29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2:41" s="34" customFormat="1" ht="9.75" hidden="1" customHeight="1" outlineLevel="1" x14ac:dyDescent="0.2">
      <c r="B71" s="32" t="s">
        <v>6</v>
      </c>
      <c r="C71" s="24" t="str">
        <f>C68&amp;".PV"</f>
        <v>FAF1_CHWSTT_W133.PV</v>
      </c>
      <c r="D71" s="24"/>
      <c r="E71" s="32" t="str">
        <f>E68&amp;" PV"</f>
        <v>B10PS FAF1 Chillwater Coil Supply Temperature PV</v>
      </c>
      <c r="F71" s="24"/>
      <c r="G71" s="24"/>
      <c r="H71" s="26"/>
      <c r="I71" s="26"/>
      <c r="J71" s="24"/>
      <c r="K71" s="36" t="s">
        <v>24</v>
      </c>
      <c r="M71" s="37"/>
      <c r="N71" s="37"/>
      <c r="O71" s="37"/>
      <c r="P71" s="28"/>
      <c r="Q71" s="29"/>
      <c r="R71" s="29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2:41" s="34" customFormat="1" ht="9.75" hidden="1" customHeight="1" outlineLevel="1" x14ac:dyDescent="0.2">
      <c r="B72" s="32" t="s">
        <v>6</v>
      </c>
      <c r="C72" s="24" t="str">
        <f>C68&amp;".PV_H_Alm"</f>
        <v>FAF1_CHWSTT_W133.PV_H_Alm</v>
      </c>
      <c r="D72" s="24"/>
      <c r="E72" s="32" t="str">
        <f>E68&amp;" PV Hi"</f>
        <v>B10PS FAF1 Chillwater Coil Supply Temperature PV Hi</v>
      </c>
      <c r="F72" s="24"/>
      <c r="G72" s="24"/>
      <c r="H72" s="26"/>
      <c r="I72" s="26"/>
      <c r="J72" s="24"/>
      <c r="K72" s="36" t="s">
        <v>379</v>
      </c>
      <c r="M72" s="37"/>
      <c r="N72" s="37"/>
      <c r="O72" s="37"/>
      <c r="P72" s="28"/>
      <c r="Q72" s="29"/>
      <c r="R72" s="29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2:41" s="34" customFormat="1" ht="9.75" hidden="1" customHeight="1" outlineLevel="1" x14ac:dyDescent="0.2">
      <c r="B73" s="32" t="s">
        <v>6</v>
      </c>
      <c r="C73" s="24" t="str">
        <f>C68&amp;".PV_HH_Alm"</f>
        <v>FAF1_CHWSTT_W133.PV_HH_Alm</v>
      </c>
      <c r="D73" s="24"/>
      <c r="E73" s="32" t="str">
        <f>E68&amp;" PV HiHi"</f>
        <v>B10PS FAF1 Chillwater Coil Supply Temperature PV HiHi</v>
      </c>
      <c r="F73" s="24"/>
      <c r="G73" s="24"/>
      <c r="H73" s="26"/>
      <c r="I73" s="26"/>
      <c r="J73" s="24"/>
      <c r="K73" s="36" t="s">
        <v>379</v>
      </c>
      <c r="M73" s="37"/>
      <c r="N73" s="37"/>
      <c r="O73" s="37"/>
      <c r="P73" s="28"/>
      <c r="Q73" s="29"/>
      <c r="R73" s="29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2:41" s="34" customFormat="1" ht="9.75" hidden="1" customHeight="1" outlineLevel="1" x14ac:dyDescent="0.2">
      <c r="B74" s="32" t="s">
        <v>6</v>
      </c>
      <c r="C74" s="24" t="str">
        <f>C68&amp;".PV_L_Alm"</f>
        <v>FAF1_CHWSTT_W133.PV_L_Alm</v>
      </c>
      <c r="D74" s="24"/>
      <c r="E74" s="32" t="str">
        <f>E68&amp;" PV Lo"</f>
        <v>B10PS FAF1 Chillwater Coil Supply Temperature PV Lo</v>
      </c>
      <c r="F74" s="24"/>
      <c r="G74" s="24"/>
      <c r="H74" s="26"/>
      <c r="I74" s="26"/>
      <c r="J74" s="24"/>
      <c r="K74" s="36" t="s">
        <v>379</v>
      </c>
      <c r="M74" s="37"/>
      <c r="N74" s="37"/>
      <c r="O74" s="37"/>
      <c r="P74" s="28"/>
      <c r="Q74" s="29"/>
      <c r="R74" s="29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2:41" s="34" customFormat="1" ht="9.75" hidden="1" customHeight="1" outlineLevel="1" x14ac:dyDescent="0.2">
      <c r="B75" s="32" t="s">
        <v>6</v>
      </c>
      <c r="C75" s="24" t="str">
        <f>C68&amp;".PV_LL_Alm"</f>
        <v>FAF1_CHWSTT_W133.PV_LL_Alm</v>
      </c>
      <c r="D75" s="24"/>
      <c r="E75" s="32" t="str">
        <f>E68&amp;" PV LoLo"</f>
        <v>B10PS FAF1 Chillwater Coil Supply Temperature PV LoLo</v>
      </c>
      <c r="F75" s="24"/>
      <c r="G75" s="24"/>
      <c r="H75" s="26"/>
      <c r="I75" s="26"/>
      <c r="J75" s="24"/>
      <c r="K75" s="36" t="s">
        <v>379</v>
      </c>
      <c r="M75" s="37"/>
      <c r="N75" s="37"/>
      <c r="O75" s="37"/>
      <c r="P75" s="28"/>
      <c r="Q75" s="29"/>
      <c r="R75" s="29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2:41" s="34" customFormat="1" ht="9.75" hidden="1" customHeight="1" outlineLevel="1" x14ac:dyDescent="0.2">
      <c r="B76" s="32" t="s">
        <v>4</v>
      </c>
      <c r="C76" s="24" t="str">
        <f>C68&amp;".Reset"</f>
        <v>FAF1_CHWSTT_W133.Reset</v>
      </c>
      <c r="D76" s="24"/>
      <c r="E76" s="32" t="str">
        <f>E68&amp;" BTA Reset"</f>
        <v>B10PS FAF1 Chillwater Coil Supply Temperature BTA Reset</v>
      </c>
      <c r="F76" s="24"/>
      <c r="G76" s="24"/>
      <c r="H76" s="26"/>
      <c r="I76" s="26"/>
      <c r="J76" s="24"/>
      <c r="K76" s="36" t="s">
        <v>25</v>
      </c>
      <c r="M76" s="37"/>
      <c r="N76" s="37"/>
      <c r="O76" s="37"/>
      <c r="P76" s="28"/>
      <c r="Q76" s="29"/>
      <c r="R76" s="29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2:41" s="24" customFormat="1" ht="9.75" hidden="1" customHeight="1" outlineLevel="1" x14ac:dyDescent="0.2">
      <c r="B77" s="32"/>
      <c r="G77" s="26"/>
      <c r="H77" s="27"/>
      <c r="I77" s="27"/>
      <c r="J77" s="27"/>
      <c r="K77" s="27"/>
      <c r="L77" s="26"/>
      <c r="M77" s="26"/>
      <c r="N77" s="26"/>
      <c r="O77" s="26"/>
      <c r="P77" s="28"/>
      <c r="Q77" s="29"/>
      <c r="R77" s="29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2:41" s="34" customFormat="1" ht="9.75" customHeight="1" collapsed="1" x14ac:dyDescent="0.2">
      <c r="B78" s="24" t="s">
        <v>361</v>
      </c>
      <c r="C78" s="40" t="s">
        <v>365</v>
      </c>
      <c r="D78" s="40"/>
      <c r="E78" s="24" t="s">
        <v>387</v>
      </c>
      <c r="F78" s="24"/>
      <c r="G78" s="24"/>
      <c r="H78" s="26"/>
      <c r="I78" s="26"/>
      <c r="J78" s="24"/>
      <c r="K78" s="36"/>
      <c r="M78" s="37"/>
      <c r="N78" s="37"/>
      <c r="O78" s="37"/>
      <c r="P78" s="28"/>
      <c r="Q78" s="29"/>
      <c r="R78" s="29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2:41" s="34" customFormat="1" ht="9.75" hidden="1" customHeight="1" outlineLevel="1" x14ac:dyDescent="0.2">
      <c r="B79" s="24" t="s">
        <v>4</v>
      </c>
      <c r="C79" s="24" t="str">
        <f>C78&amp;".In Man"</f>
        <v>FAF1_CHWTCV_W133.In Man</v>
      </c>
      <c r="D79" s="24"/>
      <c r="E79" s="24" t="str">
        <f>E78&amp;" Manual"</f>
        <v>B10PS FAF1 CHW Valve Manual</v>
      </c>
      <c r="F79" s="24"/>
      <c r="G79" s="24"/>
      <c r="H79" s="26"/>
      <c r="I79" s="26"/>
      <c r="J79" s="24"/>
      <c r="K79" s="36" t="s">
        <v>366</v>
      </c>
      <c r="M79" s="37"/>
      <c r="N79" s="37"/>
      <c r="O79" s="37"/>
      <c r="P79" s="28"/>
      <c r="Q79" s="29"/>
      <c r="R79" s="29"/>
      <c r="S79" s="30"/>
      <c r="T79" s="30"/>
      <c r="U79" s="30"/>
      <c r="V79" s="30"/>
      <c r="W79" s="30"/>
      <c r="X79" s="30"/>
      <c r="Y79" s="30"/>
      <c r="Z79" s="30"/>
      <c r="AA79" s="30"/>
      <c r="AB79" s="38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2:41" s="34" customFormat="1" ht="9.75" hidden="1" customHeight="1" outlineLevel="1" x14ac:dyDescent="0.2">
      <c r="B80" s="24" t="s">
        <v>6</v>
      </c>
      <c r="C80" s="24" t="str">
        <f>C78&amp;".OUT"</f>
        <v>FAF1_CHWTCV_W133.OUT</v>
      </c>
      <c r="D80" s="24"/>
      <c r="E80" s="24" t="str">
        <f>E78&amp;" Control Value"</f>
        <v>B10PS FAF1 CHW Valve Control Value</v>
      </c>
      <c r="F80" s="24"/>
      <c r="G80" s="24"/>
      <c r="H80" s="26"/>
      <c r="I80" s="26"/>
      <c r="J80" s="24"/>
      <c r="K80" s="36" t="s">
        <v>367</v>
      </c>
      <c r="M80" s="37"/>
      <c r="N80" s="37"/>
      <c r="O80" s="37"/>
      <c r="P80" s="28"/>
      <c r="Q80" s="29"/>
      <c r="R80" s="29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2:41" s="34" customFormat="1" ht="9.75" hidden="1" customHeight="1" outlineLevel="1" x14ac:dyDescent="0.2">
      <c r="B81" s="24" t="s">
        <v>6</v>
      </c>
      <c r="C81" s="24" t="str">
        <f>C78&amp;".PercentOpen"</f>
        <v>FAF1_CHWTCV_W133.PercentOpen</v>
      </c>
      <c r="D81" s="24"/>
      <c r="E81" s="24" t="s">
        <v>384</v>
      </c>
      <c r="F81" s="24"/>
      <c r="G81" s="24"/>
      <c r="H81" s="26"/>
      <c r="I81" s="26"/>
      <c r="J81" s="24"/>
      <c r="K81" s="36"/>
      <c r="M81" s="37"/>
      <c r="N81" s="37"/>
      <c r="O81" s="37"/>
      <c r="P81" s="28"/>
      <c r="Q81" s="29"/>
      <c r="R81" s="29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2:41" s="34" customFormat="1" ht="9.75" hidden="1" customHeight="1" outlineLevel="1" x14ac:dyDescent="0.2">
      <c r="B82" s="24"/>
      <c r="C82" s="24"/>
      <c r="D82" s="24"/>
      <c r="E82" s="24"/>
      <c r="F82" s="24"/>
      <c r="G82" s="24"/>
      <c r="H82" s="26"/>
      <c r="I82" s="26"/>
      <c r="J82" s="24"/>
      <c r="K82" s="36"/>
      <c r="M82" s="37"/>
      <c r="N82" s="37"/>
      <c r="O82" s="37"/>
      <c r="P82" s="28"/>
      <c r="Q82" s="29"/>
      <c r="R82" s="29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2:41" s="34" customFormat="1" ht="9.75" customHeight="1" collapsed="1" x14ac:dyDescent="0.2">
      <c r="B83" s="24" t="s">
        <v>203</v>
      </c>
      <c r="C83" s="35" t="s">
        <v>204</v>
      </c>
      <c r="D83" s="35"/>
      <c r="E83" s="24" t="s">
        <v>388</v>
      </c>
      <c r="F83" s="24"/>
      <c r="G83" s="24"/>
      <c r="H83" s="26"/>
      <c r="I83" s="26"/>
      <c r="J83" s="24"/>
      <c r="K83" s="36"/>
      <c r="M83" s="37"/>
      <c r="N83" s="37"/>
      <c r="O83" s="37"/>
      <c r="P83" s="28"/>
      <c r="Q83" s="29"/>
      <c r="R83" s="29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2:41" s="34" customFormat="1" ht="9.75" hidden="1" customHeight="1" outlineLevel="1" x14ac:dyDescent="0.2">
      <c r="B84" s="24" t="s">
        <v>4</v>
      </c>
      <c r="C84" s="24" t="str">
        <f>C83&amp;".CA"</f>
        <v>FAF1_COIL_PROTECT_W133.CA</v>
      </c>
      <c r="D84" s="24"/>
      <c r="E84" s="24" t="str">
        <f>E83&amp;" Control Action"</f>
        <v>B10PS FAF1 Coil Protection Loop Control Action</v>
      </c>
      <c r="F84" s="24"/>
      <c r="G84" s="24"/>
      <c r="H84" s="26"/>
      <c r="I84" s="26"/>
      <c r="J84" s="24"/>
      <c r="K84" s="36" t="s">
        <v>205</v>
      </c>
      <c r="M84" s="37"/>
      <c r="N84" s="37"/>
      <c r="O84" s="37"/>
      <c r="P84" s="28"/>
      <c r="Q84" s="29"/>
      <c r="R84" s="29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2:41" s="34" customFormat="1" ht="9.75" hidden="1" customHeight="1" outlineLevel="1" x14ac:dyDescent="0.2">
      <c r="B85" s="24" t="s">
        <v>4</v>
      </c>
      <c r="C85" s="24" t="str">
        <f>C83&amp;".CL"</f>
        <v>FAF1_COIL_PROTECT_W133.CL</v>
      </c>
      <c r="D85" s="24"/>
      <c r="E85" s="24" t="str">
        <f>E83&amp;" Cascade"</f>
        <v>B10PS FAF1 Coil Protection Loop Cascade</v>
      </c>
      <c r="F85" s="24"/>
      <c r="G85" s="24"/>
      <c r="H85" s="26"/>
      <c r="I85" s="26"/>
      <c r="J85" s="24"/>
      <c r="K85" s="36" t="s">
        <v>206</v>
      </c>
      <c r="M85" s="37"/>
      <c r="N85" s="37"/>
      <c r="O85" s="37"/>
      <c r="P85" s="28"/>
      <c r="Q85" s="29"/>
      <c r="R85" s="29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2:41" s="34" customFormat="1" ht="9.75" hidden="1" customHeight="1" outlineLevel="1" x14ac:dyDescent="0.2">
      <c r="B86" s="24" t="s">
        <v>6</v>
      </c>
      <c r="C86" s="24" t="str">
        <f>C83&amp;".CL_SP"</f>
        <v>FAF1_COIL_PROTECT_W133.CL_SP</v>
      </c>
      <c r="D86" s="24"/>
      <c r="E86" s="24" t="str">
        <f>E83&amp;" Cascaded Setpoint"</f>
        <v>B10PS FAF1 Coil Protection Loop Cascaded Setpoint</v>
      </c>
      <c r="F86" s="24"/>
      <c r="G86" s="24"/>
      <c r="H86" s="26"/>
      <c r="I86" s="26"/>
      <c r="J86" s="24"/>
      <c r="K86" s="36" t="s">
        <v>207</v>
      </c>
      <c r="M86" s="37"/>
      <c r="N86" s="37"/>
      <c r="O86" s="37"/>
      <c r="P86" s="28"/>
      <c r="Q86" s="29"/>
      <c r="R86" s="29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2:41" s="34" customFormat="1" ht="9.75" hidden="1" customHeight="1" outlineLevel="1" collapsed="1" x14ac:dyDescent="0.2">
      <c r="B87" s="24" t="s">
        <v>6</v>
      </c>
      <c r="C87" s="32" t="str">
        <f>C83&amp;".KD"</f>
        <v>FAF1_COIL_PROTECT_W133.KD</v>
      </c>
      <c r="D87" s="32"/>
      <c r="E87" s="32" t="str">
        <f>E83&amp;" Derivative"</f>
        <v>B10PS FAF1 Coil Protection Loop Derivative</v>
      </c>
      <c r="F87" s="24"/>
      <c r="G87" s="24"/>
      <c r="H87" s="26"/>
      <c r="I87" s="26"/>
      <c r="J87" s="24"/>
      <c r="K87" s="36" t="s">
        <v>208</v>
      </c>
      <c r="M87" s="37"/>
      <c r="N87" s="37"/>
      <c r="O87" s="37"/>
      <c r="P87" s="28"/>
      <c r="Q87" s="29"/>
      <c r="R87" s="29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2:41" s="24" customFormat="1" ht="9.75" hidden="1" customHeight="1" outlineLevel="1" x14ac:dyDescent="0.2">
      <c r="B88" s="24" t="s">
        <v>6</v>
      </c>
      <c r="C88" s="24" t="str">
        <f>C83&amp;".KI"</f>
        <v>FAF1_COIL_PROTECT_W133.KI</v>
      </c>
      <c r="E88" s="24" t="str">
        <f>E83&amp;" Integral"</f>
        <v>B10PS FAF1 Coil Protection Loop Integral</v>
      </c>
      <c r="H88" s="26"/>
      <c r="I88" s="26"/>
      <c r="K88" s="27" t="s">
        <v>209</v>
      </c>
      <c r="M88" s="26"/>
      <c r="N88" s="26"/>
      <c r="O88" s="26"/>
      <c r="P88" s="28"/>
      <c r="Q88" s="29"/>
      <c r="R88" s="29"/>
      <c r="S88" s="41"/>
      <c r="T88" s="30"/>
      <c r="U88" s="30"/>
      <c r="V88" s="42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2:41" s="34" customFormat="1" ht="9.75" hidden="1" customHeight="1" outlineLevel="1" x14ac:dyDescent="0.2">
      <c r="B89" s="24" t="s">
        <v>6</v>
      </c>
      <c r="C89" s="24" t="str">
        <f>C83&amp;".KP"</f>
        <v>FAF1_COIL_PROTECT_W133.KP</v>
      </c>
      <c r="D89" s="24"/>
      <c r="E89" s="24" t="str">
        <f>E83&amp;" Proportional"</f>
        <v>B10PS FAF1 Coil Protection Loop Proportional</v>
      </c>
      <c r="F89" s="24"/>
      <c r="G89" s="24"/>
      <c r="H89" s="26"/>
      <c r="I89" s="26"/>
      <c r="J89" s="24"/>
      <c r="K89" s="36" t="s">
        <v>210</v>
      </c>
      <c r="M89" s="37"/>
      <c r="N89" s="37"/>
      <c r="O89" s="37"/>
      <c r="P89" s="28"/>
      <c r="Q89" s="29"/>
      <c r="R89" s="29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2:41" s="34" customFormat="1" ht="9.75" hidden="1" customHeight="1" outlineLevel="1" x14ac:dyDescent="0.2">
      <c r="B90" s="24" t="s">
        <v>4</v>
      </c>
      <c r="C90" s="24" t="str">
        <f>C83&amp;".MO"</f>
        <v>FAF1_COIL_PROTECT_W133.MO</v>
      </c>
      <c r="D90" s="24"/>
      <c r="E90" s="24" t="str">
        <f>E83&amp;" Auto/Man Mode"</f>
        <v>B10PS FAF1 Coil Protection Loop Auto/Man Mode</v>
      </c>
      <c r="F90" s="24"/>
      <c r="G90" s="24"/>
      <c r="H90" s="26"/>
      <c r="I90" s="26"/>
      <c r="J90" s="24"/>
      <c r="K90" s="36" t="s">
        <v>211</v>
      </c>
      <c r="M90" s="37"/>
      <c r="N90" s="37"/>
      <c r="O90" s="37"/>
      <c r="P90" s="28"/>
      <c r="Q90" s="29"/>
      <c r="R90" s="29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2:41" s="34" customFormat="1" ht="9.75" hidden="1" customHeight="1" outlineLevel="1" x14ac:dyDescent="0.2">
      <c r="B91" s="24" t="s">
        <v>6</v>
      </c>
      <c r="C91" s="24" t="str">
        <f>C83&amp;".OUT"</f>
        <v>FAF1_COIL_PROTECT_W133.OUT</v>
      </c>
      <c r="D91" s="24"/>
      <c r="E91" s="24" t="str">
        <f>E83&amp;" Output Value"</f>
        <v>B10PS FAF1 Coil Protection Loop Output Value</v>
      </c>
      <c r="F91" s="24"/>
      <c r="G91" s="24"/>
      <c r="H91" s="26"/>
      <c r="I91" s="26"/>
      <c r="J91" s="24"/>
      <c r="K91" s="36" t="s">
        <v>212</v>
      </c>
      <c r="M91" s="37"/>
      <c r="N91" s="37"/>
      <c r="O91" s="37"/>
      <c r="P91" s="28"/>
      <c r="Q91" s="29"/>
      <c r="R91" s="29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2:41" s="34" customFormat="1" ht="9.75" hidden="1" customHeight="1" outlineLevel="1" x14ac:dyDescent="0.2">
      <c r="B92" s="24" t="s">
        <v>6</v>
      </c>
      <c r="C92" s="24" t="str">
        <f>C83&amp;".PV"</f>
        <v>FAF1_COIL_PROTECT_W133.PV</v>
      </c>
      <c r="D92" s="24"/>
      <c r="E92" s="24" t="str">
        <f>E83&amp;" Process Variable"</f>
        <v>B10PS FAF1 Coil Protection Loop Process Variable</v>
      </c>
      <c r="F92" s="24"/>
      <c r="G92" s="24"/>
      <c r="H92" s="26"/>
      <c r="I92" s="26"/>
      <c r="J92" s="24"/>
      <c r="K92" s="43" t="s">
        <v>213</v>
      </c>
      <c r="M92" s="37"/>
      <c r="N92" s="37"/>
      <c r="O92" s="37"/>
      <c r="P92" s="28"/>
      <c r="Q92" s="29"/>
      <c r="R92" s="29"/>
      <c r="S92" s="30"/>
      <c r="T92" s="30"/>
      <c r="U92" s="30"/>
      <c r="V92" s="30"/>
      <c r="W92" s="30"/>
      <c r="X92" s="30"/>
      <c r="Y92" s="41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2:41" s="34" customFormat="1" ht="9.75" hidden="1" customHeight="1" outlineLevel="1" x14ac:dyDescent="0.2">
      <c r="B93" s="24" t="s">
        <v>6</v>
      </c>
      <c r="C93" s="24" t="str">
        <f>C83&amp;".SO"</f>
        <v>FAF1_COIL_PROTECT_W133.SO</v>
      </c>
      <c r="D93" s="24"/>
      <c r="E93" s="24" t="str">
        <f>E83&amp;" Set Output"</f>
        <v>B10PS FAF1 Coil Protection Loop Set Output</v>
      </c>
      <c r="F93" s="24"/>
      <c r="G93" s="24"/>
      <c r="H93" s="26"/>
      <c r="I93" s="26"/>
      <c r="J93" s="24"/>
      <c r="K93" s="43" t="s">
        <v>214</v>
      </c>
      <c r="M93" s="37"/>
      <c r="N93" s="37"/>
      <c r="O93" s="37"/>
      <c r="P93" s="28"/>
      <c r="Q93" s="29"/>
      <c r="R93" s="29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2:41" s="34" customFormat="1" ht="9.75" hidden="1" customHeight="1" outlineLevel="1" x14ac:dyDescent="0.2">
      <c r="B94" s="24" t="s">
        <v>6</v>
      </c>
      <c r="C94" s="24" t="str">
        <f>C83&amp;".SP"</f>
        <v>FAF1_COIL_PROTECT_W133.SP</v>
      </c>
      <c r="D94" s="24"/>
      <c r="E94" s="24" t="str">
        <f>E83&amp;" Setpoint"</f>
        <v>B10PS FAF1 Coil Protection Loop Setpoint</v>
      </c>
      <c r="F94" s="24"/>
      <c r="G94" s="24"/>
      <c r="H94" s="26"/>
      <c r="I94" s="26"/>
      <c r="J94" s="24"/>
      <c r="K94" s="36" t="s">
        <v>215</v>
      </c>
      <c r="M94" s="37"/>
      <c r="N94" s="37"/>
      <c r="O94" s="37"/>
      <c r="P94" s="28"/>
      <c r="Q94" s="29"/>
      <c r="R94" s="29"/>
      <c r="S94" s="44"/>
      <c r="T94" s="44"/>
      <c r="U94" s="41"/>
      <c r="V94" s="41"/>
      <c r="W94" s="44"/>
      <c r="X94" s="44"/>
      <c r="Y94" s="41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2:41" s="24" customFormat="1" ht="9.75" hidden="1" customHeight="1" outlineLevel="1" x14ac:dyDescent="0.2">
      <c r="B95" s="24" t="s">
        <v>4</v>
      </c>
      <c r="C95" s="24" t="str">
        <f>C83&amp;".SWM"</f>
        <v>FAF1_COIL_PROTECT_W133.SWM</v>
      </c>
      <c r="E95" s="24" t="str">
        <f>E83&amp;"  Manual Mode"</f>
        <v>B10PS FAF1 Coil Protection Loop  Manual Mode</v>
      </c>
      <c r="H95" s="26"/>
      <c r="I95" s="26"/>
      <c r="K95" s="27" t="s">
        <v>216</v>
      </c>
      <c r="M95" s="26"/>
      <c r="N95" s="26"/>
      <c r="O95" s="26"/>
      <c r="P95" s="28"/>
      <c r="Q95" s="29"/>
      <c r="R95" s="29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2:41" s="34" customFormat="1" ht="9.75" hidden="1" customHeight="1" outlineLevel="1" x14ac:dyDescent="0.2">
      <c r="B96" s="24" t="s">
        <v>6</v>
      </c>
      <c r="C96" s="24" t="str">
        <f>C83&amp;".TIE"</f>
        <v>FAF1_COIL_PROTECT_W133.TIE</v>
      </c>
      <c r="D96" s="24"/>
      <c r="E96" s="24" t="str">
        <f>E83&amp;" Tieback Value"</f>
        <v>B10PS FAF1 Coil Protection Loop Tieback Value</v>
      </c>
      <c r="F96" s="24"/>
      <c r="G96" s="24"/>
      <c r="H96" s="26"/>
      <c r="I96" s="26"/>
      <c r="J96" s="24"/>
      <c r="K96" s="36" t="s">
        <v>217</v>
      </c>
      <c r="M96" s="37"/>
      <c r="N96" s="37"/>
      <c r="O96" s="37"/>
      <c r="P96" s="28"/>
      <c r="Q96" s="29"/>
      <c r="R96" s="29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2:41" s="34" customFormat="1" ht="9.75" hidden="1" customHeight="1" outlineLevel="1" x14ac:dyDescent="0.2">
      <c r="B97" s="24"/>
      <c r="C97" s="24"/>
      <c r="D97" s="24"/>
      <c r="E97" s="24"/>
      <c r="F97" s="24"/>
      <c r="G97" s="24"/>
      <c r="H97" s="26"/>
      <c r="I97" s="26"/>
      <c r="J97" s="24"/>
      <c r="K97" s="36"/>
      <c r="M97" s="37"/>
      <c r="N97" s="37"/>
      <c r="O97" s="37"/>
      <c r="P97" s="28"/>
      <c r="Q97" s="29"/>
      <c r="R97" s="29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2:41" s="34" customFormat="1" ht="9.75" customHeight="1" collapsed="1" x14ac:dyDescent="0.2">
      <c r="B98" s="24" t="s">
        <v>203</v>
      </c>
      <c r="C98" s="35" t="s">
        <v>218</v>
      </c>
      <c r="D98" s="35"/>
      <c r="E98" s="24" t="s">
        <v>389</v>
      </c>
      <c r="F98" s="24"/>
      <c r="G98" s="24"/>
      <c r="H98" s="26"/>
      <c r="I98" s="26"/>
      <c r="J98" s="24"/>
      <c r="K98" s="36"/>
      <c r="M98" s="37"/>
      <c r="N98" s="37"/>
      <c r="O98" s="37"/>
      <c r="P98" s="28"/>
      <c r="Q98" s="29"/>
      <c r="R98" s="29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2:41" s="34" customFormat="1" ht="9.75" hidden="1" customHeight="1" outlineLevel="1" x14ac:dyDescent="0.2">
      <c r="B99" s="24" t="s">
        <v>4</v>
      </c>
      <c r="C99" s="24" t="str">
        <f>C98&amp;".CA"</f>
        <v>FAF1_COOLING_W133.CA</v>
      </c>
      <c r="D99" s="24"/>
      <c r="E99" s="24" t="str">
        <f>E98&amp;" Control Action"</f>
        <v>B10PS FAF1 Cooling Loop Control Action</v>
      </c>
      <c r="F99" s="24"/>
      <c r="G99" s="24"/>
      <c r="H99" s="26"/>
      <c r="I99" s="26"/>
      <c r="J99" s="24"/>
      <c r="K99" s="36" t="s">
        <v>219</v>
      </c>
      <c r="M99" s="37"/>
      <c r="N99" s="37"/>
      <c r="O99" s="37"/>
      <c r="P99" s="28"/>
      <c r="Q99" s="29"/>
      <c r="R99" s="29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2:41" s="34" customFormat="1" ht="9.75" hidden="1" customHeight="1" outlineLevel="1" x14ac:dyDescent="0.2">
      <c r="B100" s="24" t="s">
        <v>4</v>
      </c>
      <c r="C100" s="24" t="str">
        <f>C98&amp;".CL"</f>
        <v>FAF1_COOLING_W133.CL</v>
      </c>
      <c r="D100" s="24"/>
      <c r="E100" s="24" t="str">
        <f>E98&amp;" Cascade"</f>
        <v>B10PS FAF1 Cooling Loop Cascade</v>
      </c>
      <c r="F100" s="24"/>
      <c r="G100" s="24"/>
      <c r="H100" s="26"/>
      <c r="I100" s="26"/>
      <c r="J100" s="24"/>
      <c r="K100" s="36" t="s">
        <v>220</v>
      </c>
      <c r="M100" s="37"/>
      <c r="N100" s="37"/>
      <c r="O100" s="37"/>
      <c r="P100" s="28"/>
      <c r="Q100" s="29"/>
      <c r="R100" s="29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2:41" s="34" customFormat="1" ht="9.75" hidden="1" customHeight="1" outlineLevel="1" x14ac:dyDescent="0.2">
      <c r="B101" s="24" t="s">
        <v>6</v>
      </c>
      <c r="C101" s="24" t="str">
        <f>C98&amp;".CL_SP"</f>
        <v>FAF1_COOLING_W133.CL_SP</v>
      </c>
      <c r="D101" s="24"/>
      <c r="E101" s="24" t="str">
        <f>E98&amp;" Cascaded Setpoint"</f>
        <v>B10PS FAF1 Cooling Loop Cascaded Setpoint</v>
      </c>
      <c r="F101" s="24"/>
      <c r="G101" s="24"/>
      <c r="H101" s="26"/>
      <c r="I101" s="26"/>
      <c r="J101" s="24"/>
      <c r="K101" s="36" t="s">
        <v>221</v>
      </c>
      <c r="M101" s="37"/>
      <c r="N101" s="37"/>
      <c r="O101" s="37"/>
      <c r="P101" s="28"/>
      <c r="Q101" s="29"/>
      <c r="R101" s="29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2:41" s="34" customFormat="1" ht="9.75" hidden="1" customHeight="1" outlineLevel="1" collapsed="1" x14ac:dyDescent="0.2">
      <c r="B102" s="24" t="s">
        <v>6</v>
      </c>
      <c r="C102" s="32" t="str">
        <f>C98&amp;".KD"</f>
        <v>FAF1_COOLING_W133.KD</v>
      </c>
      <c r="D102" s="32"/>
      <c r="E102" s="32" t="str">
        <f>E98&amp;" Derivative"</f>
        <v>B10PS FAF1 Cooling Loop Derivative</v>
      </c>
      <c r="F102" s="24"/>
      <c r="G102" s="24"/>
      <c r="H102" s="26"/>
      <c r="I102" s="26"/>
      <c r="J102" s="24"/>
      <c r="K102" s="36" t="s">
        <v>222</v>
      </c>
      <c r="M102" s="37"/>
      <c r="N102" s="37"/>
      <c r="O102" s="37"/>
      <c r="P102" s="28"/>
      <c r="Q102" s="29"/>
      <c r="R102" s="29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2:41" s="24" customFormat="1" ht="9.75" hidden="1" customHeight="1" outlineLevel="1" x14ac:dyDescent="0.2">
      <c r="B103" s="24" t="s">
        <v>6</v>
      </c>
      <c r="C103" s="24" t="str">
        <f>C98&amp;".KI"</f>
        <v>FAF1_COOLING_W133.KI</v>
      </c>
      <c r="E103" s="24" t="str">
        <f>E98&amp;" Integral"</f>
        <v>B10PS FAF1 Cooling Loop Integral</v>
      </c>
      <c r="H103" s="26"/>
      <c r="I103" s="26"/>
      <c r="K103" s="27" t="s">
        <v>223</v>
      </c>
      <c r="M103" s="26"/>
      <c r="N103" s="26"/>
      <c r="O103" s="26"/>
      <c r="P103" s="28"/>
      <c r="Q103" s="29"/>
      <c r="R103" s="29"/>
      <c r="S103" s="41"/>
      <c r="T103" s="30"/>
      <c r="U103" s="30"/>
      <c r="V103" s="42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2:41" s="34" customFormat="1" ht="9.75" hidden="1" customHeight="1" outlineLevel="1" x14ac:dyDescent="0.2">
      <c r="B104" s="24" t="s">
        <v>6</v>
      </c>
      <c r="C104" s="24" t="str">
        <f>C98&amp;".KP"</f>
        <v>FAF1_COOLING_W133.KP</v>
      </c>
      <c r="D104" s="24"/>
      <c r="E104" s="24" t="str">
        <f>E98&amp;" Proportional"</f>
        <v>B10PS FAF1 Cooling Loop Proportional</v>
      </c>
      <c r="F104" s="24"/>
      <c r="G104" s="24"/>
      <c r="H104" s="26"/>
      <c r="I104" s="26"/>
      <c r="J104" s="24"/>
      <c r="K104" s="36" t="s">
        <v>224</v>
      </c>
      <c r="M104" s="37"/>
      <c r="N104" s="37"/>
      <c r="O104" s="37"/>
      <c r="P104" s="28"/>
      <c r="Q104" s="29"/>
      <c r="R104" s="29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2:41" s="34" customFormat="1" ht="9.75" hidden="1" customHeight="1" outlineLevel="1" x14ac:dyDescent="0.2">
      <c r="B105" s="24" t="s">
        <v>4</v>
      </c>
      <c r="C105" s="24" t="str">
        <f>C98&amp;".MO"</f>
        <v>FAF1_COOLING_W133.MO</v>
      </c>
      <c r="D105" s="24"/>
      <c r="E105" s="24" t="str">
        <f>E98&amp;" Auto/Man Mode"</f>
        <v>B10PS FAF1 Cooling Loop Auto/Man Mode</v>
      </c>
      <c r="F105" s="24"/>
      <c r="G105" s="24"/>
      <c r="H105" s="26"/>
      <c r="I105" s="26"/>
      <c r="J105" s="24"/>
      <c r="K105" s="36" t="s">
        <v>225</v>
      </c>
      <c r="M105" s="37"/>
      <c r="N105" s="37"/>
      <c r="O105" s="37"/>
      <c r="P105" s="28"/>
      <c r="Q105" s="29"/>
      <c r="R105" s="29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2:41" s="34" customFormat="1" ht="9.75" hidden="1" customHeight="1" outlineLevel="1" x14ac:dyDescent="0.2">
      <c r="B106" s="24" t="s">
        <v>6</v>
      </c>
      <c r="C106" s="24" t="str">
        <f>C98&amp;".OUT"</f>
        <v>FAF1_COOLING_W133.OUT</v>
      </c>
      <c r="D106" s="24"/>
      <c r="E106" s="24" t="str">
        <f>E98&amp;" Output Value"</f>
        <v>B10PS FAF1 Cooling Loop Output Value</v>
      </c>
      <c r="F106" s="24"/>
      <c r="G106" s="24"/>
      <c r="H106" s="26"/>
      <c r="I106" s="26"/>
      <c r="J106" s="24"/>
      <c r="K106" s="36" t="s">
        <v>226</v>
      </c>
      <c r="M106" s="37"/>
      <c r="N106" s="37"/>
      <c r="O106" s="37"/>
      <c r="P106" s="28"/>
      <c r="Q106" s="29"/>
      <c r="R106" s="29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2:41" s="34" customFormat="1" ht="9.75" hidden="1" customHeight="1" outlineLevel="1" x14ac:dyDescent="0.2">
      <c r="B107" s="24" t="s">
        <v>6</v>
      </c>
      <c r="C107" s="24" t="str">
        <f>C98&amp;".PV"</f>
        <v>FAF1_COOLING_W133.PV</v>
      </c>
      <c r="D107" s="24"/>
      <c r="E107" s="24" t="str">
        <f>E98&amp;" Process Variable"</f>
        <v>B10PS FAF1 Cooling Loop Process Variable</v>
      </c>
      <c r="F107" s="24"/>
      <c r="G107" s="24"/>
      <c r="H107" s="26"/>
      <c r="I107" s="26"/>
      <c r="J107" s="24"/>
      <c r="K107" s="43" t="s">
        <v>227</v>
      </c>
      <c r="M107" s="37"/>
      <c r="N107" s="37"/>
      <c r="O107" s="37"/>
      <c r="P107" s="28"/>
      <c r="Q107" s="29"/>
      <c r="R107" s="29"/>
      <c r="S107" s="30"/>
      <c r="T107" s="30"/>
      <c r="U107" s="30"/>
      <c r="V107" s="30"/>
      <c r="W107" s="30"/>
      <c r="X107" s="30"/>
      <c r="Y107" s="41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2:41" s="34" customFormat="1" ht="9.75" hidden="1" customHeight="1" outlineLevel="1" x14ac:dyDescent="0.2">
      <c r="B108" s="24" t="s">
        <v>6</v>
      </c>
      <c r="C108" s="24" t="str">
        <f>C98&amp;".SO"</f>
        <v>FAF1_COOLING_W133.SO</v>
      </c>
      <c r="D108" s="24"/>
      <c r="E108" s="24" t="str">
        <f>E98&amp;" Set Output"</f>
        <v>B10PS FAF1 Cooling Loop Set Output</v>
      </c>
      <c r="F108" s="24"/>
      <c r="G108" s="24"/>
      <c r="H108" s="26"/>
      <c r="I108" s="26"/>
      <c r="J108" s="24"/>
      <c r="K108" s="43" t="s">
        <v>228</v>
      </c>
      <c r="M108" s="37"/>
      <c r="N108" s="37"/>
      <c r="O108" s="37"/>
      <c r="P108" s="28"/>
      <c r="Q108" s="29"/>
      <c r="R108" s="29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2:41" s="34" customFormat="1" ht="9.75" hidden="1" customHeight="1" outlineLevel="1" x14ac:dyDescent="0.2">
      <c r="B109" s="24" t="s">
        <v>6</v>
      </c>
      <c r="C109" s="24" t="str">
        <f>C98&amp;".SP"</f>
        <v>FAF1_COOLING_W133.SP</v>
      </c>
      <c r="D109" s="24"/>
      <c r="E109" s="24" t="str">
        <f>E98&amp;" Setpoint"</f>
        <v>B10PS FAF1 Cooling Loop Setpoint</v>
      </c>
      <c r="F109" s="24"/>
      <c r="G109" s="24"/>
      <c r="H109" s="26"/>
      <c r="I109" s="26"/>
      <c r="J109" s="24"/>
      <c r="K109" s="36" t="s">
        <v>229</v>
      </c>
      <c r="M109" s="37"/>
      <c r="N109" s="37"/>
      <c r="O109" s="37"/>
      <c r="P109" s="28"/>
      <c r="Q109" s="29"/>
      <c r="R109" s="29"/>
      <c r="S109" s="44"/>
      <c r="T109" s="44"/>
      <c r="U109" s="41"/>
      <c r="V109" s="41"/>
      <c r="W109" s="44"/>
      <c r="X109" s="44"/>
      <c r="Y109" s="41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2:41" s="24" customFormat="1" ht="9.75" hidden="1" customHeight="1" outlineLevel="1" x14ac:dyDescent="0.2">
      <c r="B110" s="24" t="s">
        <v>4</v>
      </c>
      <c r="C110" s="24" t="str">
        <f>C98&amp;".SWM"</f>
        <v>FAF1_COOLING_W133.SWM</v>
      </c>
      <c r="E110" s="24" t="str">
        <f>E98&amp;"  Manual Mode"</f>
        <v>B10PS FAF1 Cooling Loop  Manual Mode</v>
      </c>
      <c r="H110" s="26"/>
      <c r="I110" s="26"/>
      <c r="K110" s="27" t="s">
        <v>230</v>
      </c>
      <c r="M110" s="26"/>
      <c r="N110" s="26"/>
      <c r="O110" s="26"/>
      <c r="P110" s="28"/>
      <c r="Q110" s="29"/>
      <c r="R110" s="29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2:41" s="34" customFormat="1" ht="9.75" hidden="1" customHeight="1" outlineLevel="1" x14ac:dyDescent="0.2">
      <c r="B111" s="24" t="s">
        <v>6</v>
      </c>
      <c r="C111" s="24" t="str">
        <f>C98&amp;".TIE"</f>
        <v>FAF1_COOLING_W133.TIE</v>
      </c>
      <c r="D111" s="24"/>
      <c r="E111" s="24" t="str">
        <f>E98&amp;" Tieback Value"</f>
        <v>B10PS FAF1 Cooling Loop Tieback Value</v>
      </c>
      <c r="F111" s="24"/>
      <c r="G111" s="24"/>
      <c r="H111" s="26"/>
      <c r="I111" s="26"/>
      <c r="J111" s="24"/>
      <c r="K111" s="36" t="s">
        <v>231</v>
      </c>
      <c r="M111" s="37"/>
      <c r="N111" s="37"/>
      <c r="O111" s="37"/>
      <c r="P111" s="28"/>
      <c r="Q111" s="29"/>
      <c r="R111" s="29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2:41" s="34" customFormat="1" ht="9.75" hidden="1" customHeight="1" outlineLevel="1" x14ac:dyDescent="0.2">
      <c r="B112" s="24"/>
      <c r="C112" s="24"/>
      <c r="D112" s="24"/>
      <c r="E112" s="24"/>
      <c r="F112" s="24"/>
      <c r="G112" s="24"/>
      <c r="H112" s="26"/>
      <c r="I112" s="26"/>
      <c r="J112" s="24"/>
      <c r="K112" s="36"/>
      <c r="M112" s="37"/>
      <c r="N112" s="37"/>
      <c r="O112" s="37"/>
      <c r="P112" s="28"/>
      <c r="Q112" s="29"/>
      <c r="R112" s="29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2:41" s="34" customFormat="1" ht="9.75" customHeight="1" collapsed="1" x14ac:dyDescent="0.2">
      <c r="B113" s="24" t="s">
        <v>194</v>
      </c>
      <c r="C113" s="35" t="s">
        <v>195</v>
      </c>
      <c r="D113" s="35"/>
      <c r="E113" s="24" t="s">
        <v>390</v>
      </c>
      <c r="F113" s="24"/>
      <c r="G113" s="24"/>
      <c r="H113" s="26"/>
      <c r="I113" s="26"/>
      <c r="J113" s="24"/>
      <c r="K113" s="36"/>
      <c r="M113" s="37"/>
      <c r="N113" s="37"/>
      <c r="O113" s="37"/>
      <c r="P113" s="28"/>
      <c r="Q113" s="29"/>
      <c r="R113" s="29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2:41" s="34" customFormat="1" ht="9.75" hidden="1" customHeight="1" outlineLevel="1" x14ac:dyDescent="0.2">
      <c r="B114" s="24" t="s">
        <v>4</v>
      </c>
      <c r="C114" s="24" t="str">
        <f>C113&amp;".ALM_RESET"</f>
        <v>FAF1_DAMPER_W133.ALM_RESET</v>
      </c>
      <c r="D114" s="24"/>
      <c r="E114" s="24" t="str">
        <f>E113&amp;" Alarm Reset"</f>
        <v>B10PS FAF1 Damper Alarm Reset</v>
      </c>
      <c r="F114" s="24"/>
      <c r="G114" s="24"/>
      <c r="H114" s="26"/>
      <c r="I114" s="26"/>
      <c r="J114" s="24"/>
      <c r="K114" s="36" t="s">
        <v>196</v>
      </c>
      <c r="M114" s="37"/>
      <c r="N114" s="37"/>
      <c r="O114" s="37"/>
      <c r="P114" s="28"/>
      <c r="Q114" s="29"/>
      <c r="R114" s="29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2:41" s="34" customFormat="1" ht="9.75" hidden="1" customHeight="1" outlineLevel="1" x14ac:dyDescent="0.2">
      <c r="B115" s="24" t="s">
        <v>4</v>
      </c>
      <c r="C115" s="32" t="str">
        <f>C113&amp;".CLSD_CMD"</f>
        <v>FAF1_DAMPER_W133.CLSD_CMD</v>
      </c>
      <c r="D115" s="32"/>
      <c r="E115" s="32" t="str">
        <f>E113&amp;" Commanded to Close"</f>
        <v>B10PS FAF1 Damper Commanded to Close</v>
      </c>
      <c r="F115" s="24"/>
      <c r="G115" s="24"/>
      <c r="H115" s="26"/>
      <c r="I115" s="26"/>
      <c r="J115" s="24"/>
      <c r="K115" s="36" t="s">
        <v>197</v>
      </c>
      <c r="M115" s="37"/>
      <c r="N115" s="37"/>
      <c r="O115" s="37"/>
      <c r="P115" s="28"/>
      <c r="Q115" s="29"/>
      <c r="R115" s="29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2:41" s="34" customFormat="1" ht="9.75" hidden="1" customHeight="1" outlineLevel="1" collapsed="1" x14ac:dyDescent="0.2">
      <c r="B116" s="24" t="s">
        <v>4</v>
      </c>
      <c r="C116" s="32" t="str">
        <f>C113&amp;".FTC"</f>
        <v>FAF1_DAMPER_W133.FTC</v>
      </c>
      <c r="D116" s="32"/>
      <c r="E116" s="32" t="str">
        <f>E113&amp;" Failed to Close"</f>
        <v>B10PS FAF1 Damper Failed to Close</v>
      </c>
      <c r="F116" s="24"/>
      <c r="G116" s="24"/>
      <c r="H116" s="26"/>
      <c r="I116" s="26"/>
      <c r="J116" s="24"/>
      <c r="K116" s="36" t="s">
        <v>198</v>
      </c>
      <c r="M116" s="37"/>
      <c r="N116" s="37"/>
      <c r="O116" s="37"/>
      <c r="P116" s="28"/>
      <c r="Q116" s="29"/>
      <c r="R116" s="29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2:41" s="34" customFormat="1" ht="9.75" hidden="1" customHeight="1" outlineLevel="1" x14ac:dyDescent="0.2">
      <c r="B117" s="24" t="s">
        <v>4</v>
      </c>
      <c r="C117" s="24" t="str">
        <f>C113&amp;".FTO"</f>
        <v>FAF1_DAMPER_W133.FTO</v>
      </c>
      <c r="D117" s="24"/>
      <c r="E117" s="24" t="str">
        <f>E113&amp;" Failed to Open"</f>
        <v>B10PS FAF1 Damper Failed to Open</v>
      </c>
      <c r="F117" s="24"/>
      <c r="G117" s="24"/>
      <c r="H117" s="26"/>
      <c r="I117" s="26"/>
      <c r="J117" s="24"/>
      <c r="K117" s="36" t="s">
        <v>199</v>
      </c>
      <c r="M117" s="37"/>
      <c r="N117" s="37"/>
      <c r="O117" s="37"/>
      <c r="P117" s="28"/>
      <c r="Q117" s="29"/>
      <c r="R117" s="29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2:41" s="34" customFormat="1" ht="9.75" hidden="1" customHeight="1" outlineLevel="1" x14ac:dyDescent="0.2">
      <c r="B118" s="24" t="s">
        <v>4</v>
      </c>
      <c r="C118" s="24" t="str">
        <f>C113&amp;".OPEN_CMD"</f>
        <v>FAF1_DAMPER_W133.OPEN_CMD</v>
      </c>
      <c r="D118" s="24"/>
      <c r="E118" s="24" t="str">
        <f>E113&amp;" Commanded to Open"</f>
        <v>B10PS FAF1 Damper Commanded to Open</v>
      </c>
      <c r="F118" s="24"/>
      <c r="G118" s="24"/>
      <c r="H118" s="26"/>
      <c r="I118" s="26"/>
      <c r="J118" s="24"/>
      <c r="K118" s="36" t="s">
        <v>200</v>
      </c>
      <c r="M118" s="37"/>
      <c r="N118" s="37"/>
      <c r="O118" s="37"/>
      <c r="P118" s="28"/>
      <c r="Q118" s="29"/>
      <c r="R118" s="29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2:41" s="34" customFormat="1" ht="9.75" hidden="1" customHeight="1" outlineLevel="1" x14ac:dyDescent="0.2">
      <c r="B119" s="24" t="s">
        <v>4</v>
      </c>
      <c r="C119" s="24" t="str">
        <f>C113&amp;".ZSC"</f>
        <v>FAF1_DAMPER_W133.ZSC</v>
      </c>
      <c r="D119" s="24"/>
      <c r="E119" s="24" t="str">
        <f>E113&amp;" Position Status Fully Closed"</f>
        <v>B10PS FAF1 Damper Position Status Fully Closed</v>
      </c>
      <c r="F119" s="24"/>
      <c r="G119" s="24"/>
      <c r="H119" s="26"/>
      <c r="I119" s="26"/>
      <c r="J119" s="24"/>
      <c r="K119" s="36" t="s">
        <v>201</v>
      </c>
      <c r="M119" s="37"/>
      <c r="N119" s="37"/>
      <c r="O119" s="37"/>
      <c r="P119" s="28"/>
      <c r="Q119" s="29"/>
      <c r="R119" s="29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2:41" s="34" customFormat="1" ht="9.75" hidden="1" customHeight="1" outlineLevel="1" x14ac:dyDescent="0.2">
      <c r="B120" s="24" t="s">
        <v>4</v>
      </c>
      <c r="C120" s="24" t="str">
        <f>C113&amp;".ZSO"</f>
        <v>FAF1_DAMPER_W133.ZSO</v>
      </c>
      <c r="D120" s="24"/>
      <c r="E120" s="24" t="str">
        <f>E113&amp;" Position Status Fully Open"</f>
        <v>B10PS FAF1 Damper Position Status Fully Open</v>
      </c>
      <c r="F120" s="24"/>
      <c r="G120" s="24"/>
      <c r="H120" s="26"/>
      <c r="I120" s="26"/>
      <c r="J120" s="24"/>
      <c r="K120" s="36" t="s">
        <v>202</v>
      </c>
      <c r="M120" s="37"/>
      <c r="N120" s="37"/>
      <c r="O120" s="37"/>
      <c r="P120" s="28"/>
      <c r="Q120" s="29"/>
      <c r="R120" s="29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2:41" s="34" customFormat="1" ht="9.75" hidden="1" customHeight="1" outlineLevel="1" x14ac:dyDescent="0.2">
      <c r="B121" s="24"/>
      <c r="C121" s="24"/>
      <c r="D121" s="24"/>
      <c r="E121" s="24"/>
      <c r="F121" s="24"/>
      <c r="G121" s="24"/>
      <c r="H121" s="26"/>
      <c r="I121" s="26"/>
      <c r="J121" s="24"/>
      <c r="K121" s="36"/>
      <c r="M121" s="37"/>
      <c r="N121" s="37"/>
      <c r="O121" s="37"/>
      <c r="P121" s="28"/>
      <c r="Q121" s="29"/>
      <c r="R121" s="29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2:41" s="34" customFormat="1" ht="9.75" customHeight="1" collapsed="1" x14ac:dyDescent="0.2">
      <c r="B122" s="24" t="s">
        <v>203</v>
      </c>
      <c r="C122" s="35" t="s">
        <v>232</v>
      </c>
      <c r="D122" s="35"/>
      <c r="E122" s="24" t="s">
        <v>391</v>
      </c>
      <c r="F122" s="24"/>
      <c r="G122" s="24"/>
      <c r="H122" s="26"/>
      <c r="I122" s="26"/>
      <c r="J122" s="24"/>
      <c r="K122" s="36"/>
      <c r="M122" s="37"/>
      <c r="N122" s="37"/>
      <c r="O122" s="37"/>
      <c r="P122" s="28"/>
      <c r="Q122" s="29"/>
      <c r="R122" s="29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2:41" s="34" customFormat="1" ht="9.75" hidden="1" customHeight="1" outlineLevel="1" x14ac:dyDescent="0.2">
      <c r="B123" s="24" t="s">
        <v>4</v>
      </c>
      <c r="C123" s="24" t="str">
        <f>C122&amp;".CA"</f>
        <v>FAF1_DEHUM_W133.CA</v>
      </c>
      <c r="D123" s="24"/>
      <c r="E123" s="24" t="str">
        <f>E122&amp;" Control Action"</f>
        <v>B10PS FAF1 Dehumidification Loop Control Action</v>
      </c>
      <c r="F123" s="24"/>
      <c r="G123" s="24"/>
      <c r="H123" s="26"/>
      <c r="I123" s="26"/>
      <c r="J123" s="24"/>
      <c r="K123" s="36" t="s">
        <v>233</v>
      </c>
      <c r="M123" s="37"/>
      <c r="N123" s="37"/>
      <c r="O123" s="37"/>
      <c r="P123" s="28"/>
      <c r="Q123" s="29"/>
      <c r="R123" s="29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2:41" s="34" customFormat="1" ht="9.75" hidden="1" customHeight="1" outlineLevel="1" x14ac:dyDescent="0.2">
      <c r="B124" s="24" t="s">
        <v>4</v>
      </c>
      <c r="C124" s="24" t="str">
        <f>C122&amp;".CL"</f>
        <v>FAF1_DEHUM_W133.CL</v>
      </c>
      <c r="D124" s="24"/>
      <c r="E124" s="24" t="str">
        <f>E122&amp;" Cascade"</f>
        <v>B10PS FAF1 Dehumidification Loop Cascade</v>
      </c>
      <c r="F124" s="24"/>
      <c r="G124" s="24"/>
      <c r="H124" s="26"/>
      <c r="I124" s="26"/>
      <c r="J124" s="24"/>
      <c r="K124" s="36" t="s">
        <v>234</v>
      </c>
      <c r="M124" s="37"/>
      <c r="N124" s="37"/>
      <c r="O124" s="37"/>
      <c r="P124" s="28"/>
      <c r="Q124" s="29"/>
      <c r="R124" s="29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2:41" s="34" customFormat="1" ht="9.75" hidden="1" customHeight="1" outlineLevel="1" x14ac:dyDescent="0.2">
      <c r="B125" s="24" t="s">
        <v>6</v>
      </c>
      <c r="C125" s="24" t="str">
        <f>C122&amp;".CL_SP"</f>
        <v>FAF1_DEHUM_W133.CL_SP</v>
      </c>
      <c r="D125" s="24"/>
      <c r="E125" s="24" t="str">
        <f>E122&amp;" Cascaded Setpoint"</f>
        <v>B10PS FAF1 Dehumidification Loop Cascaded Setpoint</v>
      </c>
      <c r="F125" s="24"/>
      <c r="G125" s="24"/>
      <c r="H125" s="26"/>
      <c r="I125" s="26"/>
      <c r="J125" s="24"/>
      <c r="K125" s="36" t="s">
        <v>235</v>
      </c>
      <c r="M125" s="37"/>
      <c r="N125" s="37"/>
      <c r="O125" s="37"/>
      <c r="P125" s="28"/>
      <c r="Q125" s="29"/>
      <c r="R125" s="29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2:41" s="34" customFormat="1" ht="9.75" hidden="1" customHeight="1" outlineLevel="1" collapsed="1" x14ac:dyDescent="0.2">
      <c r="B126" s="24" t="s">
        <v>6</v>
      </c>
      <c r="C126" s="32" t="str">
        <f>C122&amp;".KD"</f>
        <v>FAF1_DEHUM_W133.KD</v>
      </c>
      <c r="D126" s="32"/>
      <c r="E126" s="32" t="str">
        <f>E122&amp;" Derivative"</f>
        <v>B10PS FAF1 Dehumidification Loop Derivative</v>
      </c>
      <c r="F126" s="24"/>
      <c r="G126" s="24"/>
      <c r="H126" s="26"/>
      <c r="I126" s="26"/>
      <c r="J126" s="24"/>
      <c r="K126" s="36" t="s">
        <v>236</v>
      </c>
      <c r="M126" s="37"/>
      <c r="N126" s="37"/>
      <c r="O126" s="37"/>
      <c r="P126" s="28"/>
      <c r="Q126" s="29"/>
      <c r="R126" s="29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2:41" s="24" customFormat="1" ht="9.75" hidden="1" customHeight="1" outlineLevel="1" x14ac:dyDescent="0.2">
      <c r="B127" s="24" t="s">
        <v>6</v>
      </c>
      <c r="C127" s="24" t="str">
        <f>C122&amp;".KI"</f>
        <v>FAF1_DEHUM_W133.KI</v>
      </c>
      <c r="E127" s="24" t="str">
        <f>E122&amp;" Integral"</f>
        <v>B10PS FAF1 Dehumidification Loop Integral</v>
      </c>
      <c r="H127" s="26"/>
      <c r="I127" s="26"/>
      <c r="K127" s="27" t="s">
        <v>237</v>
      </c>
      <c r="M127" s="26"/>
      <c r="N127" s="26"/>
      <c r="O127" s="26"/>
      <c r="P127" s="28"/>
      <c r="Q127" s="29"/>
      <c r="R127" s="29"/>
      <c r="S127" s="41"/>
      <c r="T127" s="30"/>
      <c r="U127" s="30"/>
      <c r="V127" s="42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2:41" s="34" customFormat="1" ht="9.75" hidden="1" customHeight="1" outlineLevel="1" x14ac:dyDescent="0.2">
      <c r="B128" s="24" t="s">
        <v>6</v>
      </c>
      <c r="C128" s="24" t="str">
        <f>C122&amp;".KP"</f>
        <v>FAF1_DEHUM_W133.KP</v>
      </c>
      <c r="D128" s="24"/>
      <c r="E128" s="24" t="str">
        <f>E122&amp;" Proportional"</f>
        <v>B10PS FAF1 Dehumidification Loop Proportional</v>
      </c>
      <c r="F128" s="24"/>
      <c r="G128" s="24"/>
      <c r="H128" s="26"/>
      <c r="I128" s="26"/>
      <c r="J128" s="24"/>
      <c r="K128" s="36" t="s">
        <v>238</v>
      </c>
      <c r="M128" s="37"/>
      <c r="N128" s="37"/>
      <c r="O128" s="37"/>
      <c r="P128" s="28"/>
      <c r="Q128" s="29"/>
      <c r="R128" s="29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2:41" s="34" customFormat="1" ht="9.75" hidden="1" customHeight="1" outlineLevel="1" x14ac:dyDescent="0.2">
      <c r="B129" s="24" t="s">
        <v>4</v>
      </c>
      <c r="C129" s="24" t="str">
        <f>C122&amp;".MO"</f>
        <v>FAF1_DEHUM_W133.MO</v>
      </c>
      <c r="D129" s="24"/>
      <c r="E129" s="24" t="str">
        <f>E122&amp;" Auto/Man"</f>
        <v>B10PS FAF1 Dehumidification Loop Auto/Man</v>
      </c>
      <c r="F129" s="24"/>
      <c r="G129" s="24"/>
      <c r="H129" s="26"/>
      <c r="I129" s="26"/>
      <c r="J129" s="24"/>
      <c r="K129" s="36" t="s">
        <v>239</v>
      </c>
      <c r="M129" s="37"/>
      <c r="N129" s="37"/>
      <c r="O129" s="37"/>
      <c r="P129" s="28"/>
      <c r="Q129" s="29"/>
      <c r="R129" s="29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2:41" s="34" customFormat="1" ht="9.75" hidden="1" customHeight="1" outlineLevel="1" x14ac:dyDescent="0.2">
      <c r="B130" s="24" t="s">
        <v>6</v>
      </c>
      <c r="C130" s="24" t="str">
        <f>C122&amp;".OUT"</f>
        <v>FAF1_DEHUM_W133.OUT</v>
      </c>
      <c r="D130" s="24"/>
      <c r="E130" s="24" t="str">
        <f>E122&amp;" Output Value"</f>
        <v>B10PS FAF1 Dehumidification Loop Output Value</v>
      </c>
      <c r="F130" s="24"/>
      <c r="G130" s="24"/>
      <c r="H130" s="26"/>
      <c r="I130" s="26"/>
      <c r="J130" s="24"/>
      <c r="K130" s="36" t="s">
        <v>240</v>
      </c>
      <c r="M130" s="37"/>
      <c r="N130" s="37"/>
      <c r="O130" s="37"/>
      <c r="P130" s="28"/>
      <c r="Q130" s="29"/>
      <c r="R130" s="29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2:41" s="34" customFormat="1" ht="9.75" hidden="1" customHeight="1" outlineLevel="1" x14ac:dyDescent="0.2">
      <c r="B131" s="24" t="s">
        <v>6</v>
      </c>
      <c r="C131" s="24" t="str">
        <f>C122&amp;".PV"</f>
        <v>FAF1_DEHUM_W133.PV</v>
      </c>
      <c r="D131" s="24"/>
      <c r="E131" s="24" t="str">
        <f>E122&amp;" Process Variable"</f>
        <v>B10PS FAF1 Dehumidification Loop Process Variable</v>
      </c>
      <c r="F131" s="24"/>
      <c r="G131" s="24"/>
      <c r="H131" s="26"/>
      <c r="I131" s="26"/>
      <c r="J131" s="24"/>
      <c r="K131" s="43" t="s">
        <v>241</v>
      </c>
      <c r="M131" s="37"/>
      <c r="N131" s="37"/>
      <c r="O131" s="37"/>
      <c r="P131" s="28"/>
      <c r="Q131" s="29"/>
      <c r="R131" s="29"/>
      <c r="S131" s="30"/>
      <c r="T131" s="30"/>
      <c r="U131" s="30"/>
      <c r="V131" s="30"/>
      <c r="W131" s="30"/>
      <c r="X131" s="30"/>
      <c r="Y131" s="41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2:41" s="34" customFormat="1" ht="9.75" hidden="1" customHeight="1" outlineLevel="1" x14ac:dyDescent="0.2">
      <c r="B132" s="24" t="s">
        <v>6</v>
      </c>
      <c r="C132" s="24" t="str">
        <f>C122&amp;".SO"</f>
        <v>FAF1_DEHUM_W133.SO</v>
      </c>
      <c r="D132" s="24"/>
      <c r="E132" s="24" t="str">
        <f>E122&amp;" Set Output"</f>
        <v>B10PS FAF1 Dehumidification Loop Set Output</v>
      </c>
      <c r="F132" s="24"/>
      <c r="G132" s="24"/>
      <c r="H132" s="26"/>
      <c r="I132" s="26"/>
      <c r="J132" s="24"/>
      <c r="K132" s="43" t="s">
        <v>242</v>
      </c>
      <c r="M132" s="37"/>
      <c r="N132" s="37"/>
      <c r="O132" s="37"/>
      <c r="P132" s="28"/>
      <c r="Q132" s="29"/>
      <c r="R132" s="29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2:41" s="34" customFormat="1" ht="9.75" hidden="1" customHeight="1" outlineLevel="1" x14ac:dyDescent="0.2">
      <c r="B133" s="24" t="s">
        <v>6</v>
      </c>
      <c r="C133" s="24" t="str">
        <f>C122&amp;".SP"</f>
        <v>FAF1_DEHUM_W133.SP</v>
      </c>
      <c r="D133" s="24"/>
      <c r="E133" s="24" t="str">
        <f>E122&amp;" Setpoint"</f>
        <v>B10PS FAF1 Dehumidification Loop Setpoint</v>
      </c>
      <c r="F133" s="24"/>
      <c r="G133" s="24"/>
      <c r="H133" s="26"/>
      <c r="I133" s="26"/>
      <c r="J133" s="24"/>
      <c r="K133" s="36" t="s">
        <v>243</v>
      </c>
      <c r="M133" s="37"/>
      <c r="N133" s="37"/>
      <c r="O133" s="37"/>
      <c r="P133" s="28"/>
      <c r="Q133" s="29"/>
      <c r="R133" s="29"/>
      <c r="S133" s="44"/>
      <c r="T133" s="30"/>
      <c r="U133" s="30"/>
      <c r="V133" s="30"/>
      <c r="W133" s="30"/>
      <c r="X133" s="30"/>
      <c r="Y133" s="41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2:41" s="24" customFormat="1" ht="9.75" hidden="1" customHeight="1" outlineLevel="1" x14ac:dyDescent="0.2">
      <c r="B134" s="24" t="s">
        <v>4</v>
      </c>
      <c r="C134" s="24" t="str">
        <f>C122&amp;".SWM"</f>
        <v>FAF1_DEHUM_W133.SWM</v>
      </c>
      <c r="E134" s="24" t="str">
        <f>E122&amp;"  Software Manual Mode"</f>
        <v>B10PS FAF1 Dehumidification Loop  Software Manual Mode</v>
      </c>
      <c r="H134" s="26"/>
      <c r="I134" s="26"/>
      <c r="K134" s="27" t="s">
        <v>244</v>
      </c>
      <c r="M134" s="26"/>
      <c r="N134" s="26"/>
      <c r="O134" s="26"/>
      <c r="P134" s="28"/>
      <c r="Q134" s="29"/>
      <c r="R134" s="29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2:41" s="34" customFormat="1" ht="9.75" hidden="1" customHeight="1" outlineLevel="1" x14ac:dyDescent="0.2">
      <c r="B135" s="24" t="s">
        <v>6</v>
      </c>
      <c r="C135" s="24" t="str">
        <f>C122&amp;".TIE"</f>
        <v>FAF1_DEHUM_W133.TIE</v>
      </c>
      <c r="D135" s="24"/>
      <c r="E135" s="24" t="str">
        <f>E122&amp;" Tieback Value"</f>
        <v>B10PS FAF1 Dehumidification Loop Tieback Value</v>
      </c>
      <c r="F135" s="24"/>
      <c r="G135" s="24"/>
      <c r="H135" s="26"/>
      <c r="I135" s="26"/>
      <c r="J135" s="24"/>
      <c r="K135" s="36" t="s">
        <v>245</v>
      </c>
      <c r="M135" s="37"/>
      <c r="N135" s="37"/>
      <c r="O135" s="37"/>
      <c r="P135" s="28"/>
      <c r="Q135" s="29"/>
      <c r="R135" s="29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2:41" s="34" customFormat="1" ht="9.75" hidden="1" customHeight="1" outlineLevel="1" x14ac:dyDescent="0.2">
      <c r="B136" s="24"/>
      <c r="C136" s="24"/>
      <c r="D136" s="24"/>
      <c r="E136" s="24"/>
      <c r="F136" s="24"/>
      <c r="G136" s="24"/>
      <c r="H136" s="26"/>
      <c r="I136" s="26"/>
      <c r="J136" s="24"/>
      <c r="K136" s="36"/>
      <c r="M136" s="37"/>
      <c r="N136" s="37"/>
      <c r="O136" s="37"/>
      <c r="P136" s="28"/>
      <c r="Q136" s="29"/>
      <c r="R136" s="29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2:41" s="34" customFormat="1" ht="9.75" customHeight="1" collapsed="1" x14ac:dyDescent="0.2">
      <c r="B137" s="24" t="s">
        <v>340</v>
      </c>
      <c r="C137" s="35" t="s">
        <v>341</v>
      </c>
      <c r="D137" s="35"/>
      <c r="E137" s="24" t="s">
        <v>392</v>
      </c>
      <c r="F137" s="24"/>
      <c r="G137" s="24"/>
      <c r="H137" s="26"/>
      <c r="I137" s="26"/>
      <c r="J137" s="24"/>
      <c r="K137" s="36"/>
      <c r="M137" s="37"/>
      <c r="N137" s="37"/>
      <c r="O137" s="37"/>
      <c r="P137" s="28"/>
      <c r="Q137" s="29"/>
      <c r="R137" s="29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2:41" s="34" customFormat="1" ht="9.75" hidden="1" customHeight="1" outlineLevel="1" x14ac:dyDescent="0.2">
      <c r="B138" s="24" t="s">
        <v>4</v>
      </c>
      <c r="C138" s="24" t="str">
        <f>C137&amp;".AUTO"</f>
        <v>FAF1_FAN1_W133.AUTO</v>
      </c>
      <c r="D138" s="24"/>
      <c r="E138" s="24" t="str">
        <f>E137&amp;" VFD Auto"</f>
        <v>B10PS FAF1 Fan VFD Auto</v>
      </c>
      <c r="F138" s="24"/>
      <c r="G138" s="24"/>
      <c r="H138" s="26"/>
      <c r="I138" s="26"/>
      <c r="J138" s="24"/>
      <c r="K138" s="36" t="s">
        <v>342</v>
      </c>
      <c r="M138" s="37"/>
      <c r="N138" s="37"/>
      <c r="O138" s="37"/>
      <c r="P138" s="28"/>
      <c r="Q138" s="29"/>
      <c r="R138" s="29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2:41" s="34" customFormat="1" ht="9.75" hidden="1" customHeight="1" outlineLevel="1" x14ac:dyDescent="0.2">
      <c r="B139" s="24" t="s">
        <v>4</v>
      </c>
      <c r="C139" s="24" t="str">
        <f>C137&amp;".AUX"</f>
        <v>FAF1_FAN1_W133.AUX</v>
      </c>
      <c r="D139" s="24"/>
      <c r="E139" s="24" t="str">
        <f>E137&amp;" VFD Running"</f>
        <v>B10PS FAF1 Fan VFD Running</v>
      </c>
      <c r="F139" s="24"/>
      <c r="G139" s="24"/>
      <c r="H139" s="26"/>
      <c r="I139" s="26"/>
      <c r="J139" s="24"/>
      <c r="K139" s="36" t="s">
        <v>343</v>
      </c>
      <c r="M139" s="37"/>
      <c r="N139" s="37"/>
      <c r="O139" s="37"/>
      <c r="P139" s="28"/>
      <c r="Q139" s="29"/>
      <c r="R139" s="29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2:41" s="34" customFormat="1" ht="9.75" hidden="1" customHeight="1" outlineLevel="1" x14ac:dyDescent="0.2">
      <c r="B140" s="24" t="s">
        <v>6</v>
      </c>
      <c r="C140" s="24" t="str">
        <f>C137&amp;".CMD"</f>
        <v>FAF1_FAN1_W133.CMD</v>
      </c>
      <c r="D140" s="24"/>
      <c r="E140" s="24" t="str">
        <f>E137&amp;" VFD Cmd"</f>
        <v>B10PS FAF1 Fan VFD Cmd</v>
      </c>
      <c r="F140" s="24"/>
      <c r="G140" s="24"/>
      <c r="H140" s="26"/>
      <c r="I140" s="26"/>
      <c r="J140" s="24"/>
      <c r="K140" s="36" t="s">
        <v>344</v>
      </c>
      <c r="M140" s="37"/>
      <c r="N140" s="37"/>
      <c r="O140" s="37"/>
      <c r="P140" s="28"/>
      <c r="Q140" s="29"/>
      <c r="R140" s="29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2:41" s="34" customFormat="1" ht="9.75" hidden="1" customHeight="1" outlineLevel="1" x14ac:dyDescent="0.2">
      <c r="B141" s="24" t="s">
        <v>4</v>
      </c>
      <c r="C141" s="24" t="str">
        <f>C137&amp;".CMD_MAN"</f>
        <v>FAF1_FAN1_W133.CMD_MAN</v>
      </c>
      <c r="D141" s="24"/>
      <c r="E141" s="24" t="str">
        <f>E137&amp;" VFD Manual Cmd"</f>
        <v>B10PS FAF1 Fan VFD Manual Cmd</v>
      </c>
      <c r="F141" s="24"/>
      <c r="G141" s="24"/>
      <c r="H141" s="26"/>
      <c r="I141" s="26"/>
      <c r="J141" s="24"/>
      <c r="K141" s="36" t="s">
        <v>345</v>
      </c>
      <c r="M141" s="37"/>
      <c r="N141" s="37"/>
      <c r="O141" s="37"/>
      <c r="P141" s="28"/>
      <c r="Q141" s="29"/>
      <c r="R141" s="29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2:41" s="34" customFormat="1" ht="9.75" hidden="1" customHeight="1" outlineLevel="1" x14ac:dyDescent="0.2">
      <c r="B142" s="24" t="s">
        <v>6</v>
      </c>
      <c r="C142" s="24" t="str">
        <f>C137&amp;".CMD_OFFSET"</f>
        <v>FAF1_FAN1_W133.CMD_OFFSET</v>
      </c>
      <c r="D142" s="24"/>
      <c r="E142" s="24" t="str">
        <f>E137&amp;" VFD Speed Command Offset"</f>
        <v>B10PS FAF1 Fan VFD Speed Command Offset</v>
      </c>
      <c r="F142" s="24"/>
      <c r="G142" s="24"/>
      <c r="H142" s="26"/>
      <c r="I142" s="26"/>
      <c r="J142" s="24"/>
      <c r="K142" s="36" t="s">
        <v>346</v>
      </c>
      <c r="M142" s="37"/>
      <c r="N142" s="37"/>
      <c r="O142" s="37"/>
      <c r="P142" s="28"/>
      <c r="Q142" s="29"/>
      <c r="R142" s="29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2:41" s="34" customFormat="1" ht="9.75" hidden="1" customHeight="1" outlineLevel="1" x14ac:dyDescent="0.2">
      <c r="B143" s="24" t="s">
        <v>4</v>
      </c>
      <c r="C143" s="24" t="str">
        <f>C137&amp;".ECALL"</f>
        <v>FAF1_FAN1_W133.ECALL</v>
      </c>
      <c r="D143" s="24"/>
      <c r="E143" s="24" t="str">
        <f>E137&amp;" VFD Ecall"</f>
        <v>B10PS FAF1 Fan VFD Ecall</v>
      </c>
      <c r="F143" s="24"/>
      <c r="G143" s="24"/>
      <c r="H143" s="26"/>
      <c r="I143" s="26"/>
      <c r="J143" s="24"/>
      <c r="K143" s="36" t="s">
        <v>379</v>
      </c>
      <c r="M143" s="37"/>
      <c r="N143" s="37"/>
      <c r="O143" s="37"/>
      <c r="P143" s="28"/>
      <c r="Q143" s="29"/>
      <c r="R143" s="29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  <row r="144" spans="2:41" s="34" customFormat="1" ht="9.75" hidden="1" customHeight="1" outlineLevel="1" x14ac:dyDescent="0.2">
      <c r="B144" s="24" t="s">
        <v>4</v>
      </c>
      <c r="C144" s="24" t="str">
        <f>C137&amp;".FLT"</f>
        <v>FAF1_FAN1_W133.FLT</v>
      </c>
      <c r="D144" s="24"/>
      <c r="E144" s="24" t="str">
        <f>E137&amp;" VFD Fault"</f>
        <v>B10PS FAF1 Fan VFD Fault</v>
      </c>
      <c r="F144" s="24"/>
      <c r="G144" s="24"/>
      <c r="H144" s="26"/>
      <c r="I144" s="26"/>
      <c r="J144" s="24"/>
      <c r="K144" s="36" t="s">
        <v>347</v>
      </c>
      <c r="M144" s="37"/>
      <c r="N144" s="37"/>
      <c r="O144" s="37"/>
      <c r="P144" s="28"/>
      <c r="Q144" s="29"/>
      <c r="R144" s="29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</row>
    <row r="145" spans="2:41" s="34" customFormat="1" ht="9.75" hidden="1" customHeight="1" outlineLevel="1" x14ac:dyDescent="0.2">
      <c r="B145" s="24" t="s">
        <v>4</v>
      </c>
      <c r="C145" s="24" t="str">
        <f>C137&amp;".FTR"</f>
        <v>FAF1_FAN1_W133.FTR</v>
      </c>
      <c r="D145" s="24"/>
      <c r="E145" s="24" t="str">
        <f>E137&amp;" VFD Fail to Run"</f>
        <v>B10PS FAF1 Fan VFD Fail to Run</v>
      </c>
      <c r="F145" s="24"/>
      <c r="G145" s="24"/>
      <c r="H145" s="26"/>
      <c r="I145" s="26"/>
      <c r="J145" s="24"/>
      <c r="K145" s="36" t="s">
        <v>348</v>
      </c>
      <c r="M145" s="37"/>
      <c r="N145" s="37"/>
      <c r="O145" s="37"/>
      <c r="P145" s="28"/>
      <c r="Q145" s="29"/>
      <c r="R145" s="29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</row>
    <row r="146" spans="2:41" s="34" customFormat="1" ht="9.75" hidden="1" customHeight="1" outlineLevel="1" x14ac:dyDescent="0.2">
      <c r="B146" s="24" t="s">
        <v>4</v>
      </c>
      <c r="C146" s="24" t="str">
        <f>C137&amp;".FTS"</f>
        <v>FAF1_FAN1_W133.FTS</v>
      </c>
      <c r="D146" s="24"/>
      <c r="E146" s="24" t="str">
        <f>E137&amp;" VFD Fail to Stop"</f>
        <v>B10PS FAF1 Fan VFD Fail to Stop</v>
      </c>
      <c r="F146" s="24"/>
      <c r="G146" s="24"/>
      <c r="H146" s="26"/>
      <c r="I146" s="26"/>
      <c r="J146" s="24"/>
      <c r="K146" s="36" t="s">
        <v>349</v>
      </c>
      <c r="M146" s="37"/>
      <c r="N146" s="37"/>
      <c r="O146" s="37"/>
      <c r="P146" s="28"/>
      <c r="Q146" s="29"/>
      <c r="R146" s="29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</row>
    <row r="147" spans="2:41" s="34" customFormat="1" ht="9.75" hidden="1" customHeight="1" outlineLevel="1" x14ac:dyDescent="0.2">
      <c r="B147" s="24" t="s">
        <v>6</v>
      </c>
      <c r="C147" s="24" t="str">
        <f>C137&amp;".HZ"</f>
        <v>FAF1_FAN1_W133.HZ</v>
      </c>
      <c r="D147" s="24"/>
      <c r="E147" s="24" t="str">
        <f>E137&amp;" VFD Hertz Feedback"</f>
        <v>B10PS FAF1 Fan VFD Hertz Feedback</v>
      </c>
      <c r="F147" s="24"/>
      <c r="G147" s="24"/>
      <c r="H147" s="26"/>
      <c r="I147" s="26"/>
      <c r="J147" s="24"/>
      <c r="K147" s="36" t="s">
        <v>350</v>
      </c>
      <c r="M147" s="37"/>
      <c r="N147" s="37"/>
      <c r="O147" s="37"/>
      <c r="P147" s="28"/>
      <c r="Q147" s="29"/>
      <c r="R147" s="29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</row>
    <row r="148" spans="2:41" s="34" customFormat="1" ht="9.75" hidden="1" customHeight="1" outlineLevel="1" x14ac:dyDescent="0.2">
      <c r="B148" s="24" t="s">
        <v>4</v>
      </c>
      <c r="C148" s="24" t="str">
        <f>C137&amp;".MAN"</f>
        <v>FAF1_FAN1_W133.MAN</v>
      </c>
      <c r="D148" s="24"/>
      <c r="E148" s="24" t="str">
        <f>E137&amp;" VFD In Manual"</f>
        <v>B10PS FAF1 Fan VFD In Manual</v>
      </c>
      <c r="F148" s="24"/>
      <c r="G148" s="24"/>
      <c r="H148" s="26"/>
      <c r="I148" s="26"/>
      <c r="J148" s="24"/>
      <c r="K148" s="36" t="s">
        <v>351</v>
      </c>
      <c r="M148" s="37"/>
      <c r="N148" s="37"/>
      <c r="O148" s="37"/>
      <c r="P148" s="28"/>
      <c r="Q148" s="29"/>
      <c r="R148" s="29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</row>
    <row r="149" spans="2:41" s="34" customFormat="1" ht="9.75" hidden="1" customHeight="1" outlineLevel="1" x14ac:dyDescent="0.2">
      <c r="B149" s="24" t="s">
        <v>6</v>
      </c>
      <c r="C149" s="24" t="str">
        <f>C137&amp;".MAN_VAL"</f>
        <v>FAF1_FAN1_W133.MAN_VAL</v>
      </c>
      <c r="D149" s="24"/>
      <c r="E149" s="24" t="str">
        <f>E137&amp;" VFD Manual Value"</f>
        <v>B10PS FAF1 Fan VFD Manual Value</v>
      </c>
      <c r="F149" s="24"/>
      <c r="G149" s="24"/>
      <c r="H149" s="26"/>
      <c r="I149" s="26"/>
      <c r="J149" s="24"/>
      <c r="K149" s="36" t="s">
        <v>352</v>
      </c>
      <c r="M149" s="37"/>
      <c r="N149" s="37"/>
      <c r="O149" s="37"/>
      <c r="P149" s="28"/>
      <c r="Q149" s="29"/>
      <c r="R149" s="29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</row>
    <row r="150" spans="2:41" s="34" customFormat="1" ht="9.75" hidden="1" customHeight="1" outlineLevel="1" x14ac:dyDescent="0.2">
      <c r="B150" s="24" t="s">
        <v>4</v>
      </c>
      <c r="C150" s="24" t="str">
        <f>C137&amp;".MIS"</f>
        <v>FAF1_FAN1_W133.MIS</v>
      </c>
      <c r="D150" s="24"/>
      <c r="E150" s="24" t="str">
        <f>E137&amp;" VFD Speed Mismatch"</f>
        <v>B10PS FAF1 Fan VFD Speed Mismatch</v>
      </c>
      <c r="F150" s="24"/>
      <c r="G150" s="24"/>
      <c r="H150" s="26"/>
      <c r="I150" s="26"/>
      <c r="J150" s="24"/>
      <c r="K150" s="36" t="s">
        <v>379</v>
      </c>
      <c r="M150" s="37"/>
      <c r="N150" s="37"/>
      <c r="O150" s="37"/>
      <c r="P150" s="28"/>
      <c r="Q150" s="29"/>
      <c r="R150" s="29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</row>
    <row r="151" spans="2:41" s="34" customFormat="1" ht="9.75" hidden="1" customHeight="1" outlineLevel="1" x14ac:dyDescent="0.2">
      <c r="B151" s="24" t="s">
        <v>4</v>
      </c>
      <c r="C151" s="24" t="str">
        <f>C137&amp;".NIA"</f>
        <v>FAF1_FAN1_W133.NIA</v>
      </c>
      <c r="D151" s="24"/>
      <c r="E151" s="24" t="str">
        <f>E137&amp;" VFD Not in Auto"</f>
        <v>B10PS FAF1 Fan VFD Not in Auto</v>
      </c>
      <c r="F151" s="24"/>
      <c r="G151" s="24"/>
      <c r="H151" s="26"/>
      <c r="I151" s="26"/>
      <c r="J151" s="24"/>
      <c r="K151" s="36" t="s">
        <v>353</v>
      </c>
      <c r="M151" s="37"/>
      <c r="N151" s="37"/>
      <c r="O151" s="37"/>
      <c r="P151" s="28"/>
      <c r="Q151" s="29"/>
      <c r="R151" s="29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</row>
    <row r="152" spans="2:41" s="34" customFormat="1" ht="9.75" hidden="1" customHeight="1" outlineLevel="1" x14ac:dyDescent="0.2">
      <c r="B152" s="24" t="s">
        <v>6</v>
      </c>
      <c r="C152" s="24" t="str">
        <f>C137&amp;".PWR"</f>
        <v>FAF1_FAN1_W133.PWR</v>
      </c>
      <c r="D152" s="24"/>
      <c r="E152" s="24" t="str">
        <f>E137&amp;" VFD Power Feedback"</f>
        <v>B10PS FAF1 Fan VFD Power Feedback</v>
      </c>
      <c r="F152" s="24"/>
      <c r="G152" s="24"/>
      <c r="H152" s="26"/>
      <c r="I152" s="26"/>
      <c r="J152" s="24"/>
      <c r="K152" s="36" t="s">
        <v>354</v>
      </c>
      <c r="M152" s="37"/>
      <c r="N152" s="37"/>
      <c r="O152" s="37"/>
      <c r="P152" s="28"/>
      <c r="Q152" s="29"/>
      <c r="R152" s="29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</row>
    <row r="153" spans="2:41" s="34" customFormat="1" ht="9.75" hidden="1" customHeight="1" outlineLevel="1" x14ac:dyDescent="0.2">
      <c r="B153" s="24" t="s">
        <v>4</v>
      </c>
      <c r="C153" s="24" t="str">
        <f>C137&amp;".PWR_BTA"</f>
        <v>FAF1_FAN1_W133.PWR_BTA</v>
      </c>
      <c r="D153" s="24"/>
      <c r="E153" s="24" t="str">
        <f>E137&amp;" VFD Power Feedback Broken Transmitter Alarm"</f>
        <v>B10PS FAF1 Fan VFD Power Feedback Broken Transmitter Alarm</v>
      </c>
      <c r="F153" s="24"/>
      <c r="G153" s="24"/>
      <c r="H153" s="26"/>
      <c r="I153" s="26"/>
      <c r="J153" s="24"/>
      <c r="K153" s="36" t="s">
        <v>355</v>
      </c>
      <c r="M153" s="37"/>
      <c r="N153" s="37"/>
      <c r="O153" s="37"/>
      <c r="P153" s="28"/>
      <c r="Q153" s="29"/>
      <c r="R153" s="29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</row>
    <row r="154" spans="2:41" s="34" customFormat="1" ht="9.75" hidden="1" customHeight="1" outlineLevel="1" x14ac:dyDescent="0.2">
      <c r="B154" s="24" t="s">
        <v>4</v>
      </c>
      <c r="C154" s="24" t="str">
        <f>C137&amp;".PWR_BTA_RST"</f>
        <v>FAF1_FAN1_W133.PWR_BTA_RST</v>
      </c>
      <c r="D154" s="24"/>
      <c r="E154" s="24" t="str">
        <f>E137&amp;" VFD Power Feedback Broken Transmitter Alarm Reset"</f>
        <v>B10PS FAF1 Fan VFD Power Feedback Broken Transmitter Alarm Reset</v>
      </c>
      <c r="F154" s="24"/>
      <c r="G154" s="24"/>
      <c r="H154" s="26"/>
      <c r="I154" s="26"/>
      <c r="J154" s="24"/>
      <c r="K154" s="36" t="s">
        <v>356</v>
      </c>
      <c r="M154" s="37"/>
      <c r="N154" s="37"/>
      <c r="O154" s="37"/>
      <c r="P154" s="28"/>
      <c r="Q154" s="29"/>
      <c r="R154" s="29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</row>
    <row r="155" spans="2:41" s="34" customFormat="1" ht="9.75" hidden="1" customHeight="1" outlineLevel="1" collapsed="1" x14ac:dyDescent="0.2">
      <c r="B155" s="24" t="s">
        <v>6</v>
      </c>
      <c r="C155" s="32" t="str">
        <f>C137&amp;".RPM"</f>
        <v>FAF1_FAN1_W133.RPM</v>
      </c>
      <c r="D155" s="32"/>
      <c r="E155" s="32" t="str">
        <f>E137&amp;" VFD RPM Feedback"</f>
        <v>B10PS FAF1 Fan VFD RPM Feedback</v>
      </c>
      <c r="F155" s="24"/>
      <c r="G155" s="24"/>
      <c r="H155" s="26"/>
      <c r="I155" s="26"/>
      <c r="J155" s="24"/>
      <c r="K155" s="36" t="s">
        <v>350</v>
      </c>
      <c r="M155" s="37"/>
      <c r="N155" s="37"/>
      <c r="O155" s="37"/>
      <c r="P155" s="28"/>
      <c r="Q155" s="29"/>
      <c r="R155" s="29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</row>
    <row r="156" spans="2:41" s="34" customFormat="1" ht="9.75" hidden="1" customHeight="1" outlineLevel="1" x14ac:dyDescent="0.2">
      <c r="B156" s="24" t="s">
        <v>6</v>
      </c>
      <c r="C156" s="24" t="str">
        <f>C137&amp;".SPD"</f>
        <v>FAF1_FAN1_W133.SPD</v>
      </c>
      <c r="D156" s="24"/>
      <c r="E156" s="24" t="str">
        <f>E137&amp;" VFD Speed Feedback"</f>
        <v>B10PS FAF1 Fan VFD Speed Feedback</v>
      </c>
      <c r="F156" s="24"/>
      <c r="G156" s="24"/>
      <c r="H156" s="26"/>
      <c r="I156" s="26"/>
      <c r="J156" s="24"/>
      <c r="K156" s="36" t="s">
        <v>350</v>
      </c>
      <c r="M156" s="37"/>
      <c r="N156" s="37"/>
      <c r="O156" s="37"/>
      <c r="P156" s="28"/>
      <c r="Q156" s="29"/>
      <c r="R156" s="29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8"/>
      <c r="AK156" s="38"/>
      <c r="AL156" s="30"/>
      <c r="AM156" s="30"/>
      <c r="AN156" s="30"/>
      <c r="AO156" s="30"/>
    </row>
    <row r="157" spans="2:41" s="34" customFormat="1" ht="9.75" hidden="1" customHeight="1" outlineLevel="1" x14ac:dyDescent="0.2">
      <c r="B157" s="24" t="s">
        <v>4</v>
      </c>
      <c r="C157" s="24" t="str">
        <f>C137&amp;".SPD_BTA"</f>
        <v>FAF1_FAN1_W133.SPD_BTA</v>
      </c>
      <c r="D157" s="24"/>
      <c r="E157" s="24" t="str">
        <f>E137&amp;" VFD Speed Feedback Broken Transmitter Alarm"</f>
        <v>B10PS FAF1 Fan VFD Speed Feedback Broken Transmitter Alarm</v>
      </c>
      <c r="F157" s="24"/>
      <c r="G157" s="24"/>
      <c r="H157" s="26"/>
      <c r="I157" s="26"/>
      <c r="J157" s="24"/>
      <c r="K157" s="36" t="s">
        <v>357</v>
      </c>
      <c r="M157" s="37"/>
      <c r="N157" s="37"/>
      <c r="O157" s="37"/>
      <c r="P157" s="28"/>
      <c r="Q157" s="29"/>
      <c r="R157" s="29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</row>
    <row r="158" spans="2:41" s="34" customFormat="1" ht="9.75" hidden="1" customHeight="1" outlineLevel="1" x14ac:dyDescent="0.2">
      <c r="B158" s="24" t="s">
        <v>4</v>
      </c>
      <c r="C158" s="24" t="str">
        <f>C137&amp;".SPD_BTA_RST"</f>
        <v>FAF1_FAN1_W133.SPD_BTA_RST</v>
      </c>
      <c r="D158" s="24"/>
      <c r="E158" s="24" t="str">
        <f>E137&amp;" VFD Speed Feedback Broken Transmitter Alarm Reset"</f>
        <v>B10PS FAF1 Fan VFD Speed Feedback Broken Transmitter Alarm Reset</v>
      </c>
      <c r="F158" s="24"/>
      <c r="G158" s="24"/>
      <c r="H158" s="26"/>
      <c r="I158" s="26"/>
      <c r="J158" s="24"/>
      <c r="K158" s="36" t="s">
        <v>358</v>
      </c>
      <c r="M158" s="37"/>
      <c r="N158" s="37"/>
      <c r="O158" s="37"/>
      <c r="P158" s="28"/>
      <c r="Q158" s="29"/>
      <c r="R158" s="29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</row>
    <row r="159" spans="2:41" s="34" customFormat="1" ht="9.75" hidden="1" customHeight="1" outlineLevel="1" x14ac:dyDescent="0.2">
      <c r="B159" s="24" t="s">
        <v>4</v>
      </c>
      <c r="C159" s="24" t="str">
        <f>C137&amp;".START_PMP"</f>
        <v>FAF1_FAN1_W133.START_PMP</v>
      </c>
      <c r="D159" s="24"/>
      <c r="E159" s="24" t="str">
        <f>E137&amp;" Pump Stopped Too Long"</f>
        <v>B10PS FAF1 Fan Pump Stopped Too Long</v>
      </c>
      <c r="F159" s="24"/>
      <c r="G159" s="24"/>
      <c r="H159" s="26"/>
      <c r="I159" s="26"/>
      <c r="J159" s="24"/>
      <c r="K159" s="36" t="s">
        <v>379</v>
      </c>
      <c r="M159" s="37"/>
      <c r="N159" s="37"/>
      <c r="O159" s="37"/>
      <c r="P159" s="28"/>
      <c r="Q159" s="29"/>
      <c r="R159" s="29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</row>
    <row r="160" spans="2:41" s="34" customFormat="1" ht="9.75" hidden="1" customHeight="1" outlineLevel="1" x14ac:dyDescent="0.2">
      <c r="B160" s="24" t="s">
        <v>4</v>
      </c>
      <c r="C160" s="24" t="str">
        <f>C137&amp;".STPSTR"</f>
        <v>FAF1_FAN1_W133.STPSTR</v>
      </c>
      <c r="D160" s="24"/>
      <c r="E160" s="24" t="str">
        <f>E137&amp;" VFD Stop/Start"</f>
        <v>B10PS FAF1 Fan VFD Stop/Start</v>
      </c>
      <c r="F160" s="24"/>
      <c r="G160" s="24"/>
      <c r="H160" s="26"/>
      <c r="I160" s="26"/>
      <c r="J160" s="24"/>
      <c r="K160" s="36" t="s">
        <v>359</v>
      </c>
      <c r="M160" s="37"/>
      <c r="N160" s="37"/>
      <c r="O160" s="37"/>
      <c r="P160" s="28"/>
      <c r="Q160" s="29"/>
      <c r="R160" s="29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</row>
    <row r="161" spans="2:41" s="34" customFormat="1" ht="9.75" hidden="1" customHeight="1" outlineLevel="1" x14ac:dyDescent="0.2">
      <c r="B161" s="24" t="s">
        <v>4</v>
      </c>
      <c r="C161" s="24" t="str">
        <f>C137&amp;".STRSTP"</f>
        <v>FAF1_FAN1_W133.STRSTP</v>
      </c>
      <c r="D161" s="24"/>
      <c r="E161" s="24" t="str">
        <f>E137&amp;" VFD Start/Stop"</f>
        <v>B10PS FAF1 Fan VFD Start/Stop</v>
      </c>
      <c r="F161" s="24"/>
      <c r="G161" s="24"/>
      <c r="H161" s="26"/>
      <c r="I161" s="26"/>
      <c r="J161" s="24"/>
      <c r="K161" s="36" t="s">
        <v>360</v>
      </c>
      <c r="M161" s="37"/>
      <c r="N161" s="37"/>
      <c r="O161" s="37"/>
      <c r="P161" s="28"/>
      <c r="Q161" s="29"/>
      <c r="R161" s="29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</row>
    <row r="162" spans="2:41" s="34" customFormat="1" ht="9.75" hidden="1" customHeight="1" outlineLevel="1" x14ac:dyDescent="0.2">
      <c r="B162" s="24"/>
      <c r="C162" s="24"/>
      <c r="D162" s="24"/>
      <c r="E162" s="24"/>
      <c r="F162" s="24"/>
      <c r="G162" s="24"/>
      <c r="H162" s="26"/>
      <c r="I162" s="26"/>
      <c r="J162" s="24"/>
      <c r="K162" s="36"/>
      <c r="M162" s="37"/>
      <c r="N162" s="37"/>
      <c r="O162" s="37"/>
      <c r="P162" s="28"/>
      <c r="Q162" s="29"/>
      <c r="R162" s="29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</row>
    <row r="163" spans="2:41" s="34" customFormat="1" ht="9.75" customHeight="1" collapsed="1" x14ac:dyDescent="0.2">
      <c r="B163" s="24" t="s">
        <v>146</v>
      </c>
      <c r="C163" s="40" t="s">
        <v>147</v>
      </c>
      <c r="D163" s="40"/>
      <c r="E163" s="24" t="s">
        <v>393</v>
      </c>
      <c r="F163" s="24"/>
      <c r="G163" s="24"/>
      <c r="H163" s="26"/>
      <c r="I163" s="26"/>
      <c r="J163" s="24"/>
      <c r="M163" s="37"/>
      <c r="N163" s="37"/>
      <c r="O163" s="37"/>
      <c r="P163" s="28"/>
      <c r="Q163" s="29"/>
      <c r="R163" s="29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</row>
    <row r="164" spans="2:41" s="34" customFormat="1" ht="9.75" hidden="1" customHeight="1" outlineLevel="1" x14ac:dyDescent="0.2">
      <c r="B164" s="24" t="s">
        <v>4</v>
      </c>
      <c r="C164" s="24" t="str">
        <f>C163&amp;".Value"</f>
        <v>FAF1_FREE_COOLING_W133.Value</v>
      </c>
      <c r="D164" s="24"/>
      <c r="E164" s="24" t="str">
        <f>E163</f>
        <v>B10PS FAF1 Free Cooling</v>
      </c>
      <c r="F164" s="24"/>
      <c r="G164" s="24"/>
      <c r="H164" s="26"/>
      <c r="I164" s="26"/>
      <c r="J164" s="24"/>
      <c r="K164" s="36" t="s">
        <v>148</v>
      </c>
      <c r="M164" s="37"/>
      <c r="N164" s="37"/>
      <c r="O164" s="37"/>
      <c r="P164" s="28"/>
      <c r="Q164" s="29"/>
      <c r="R164" s="29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</row>
    <row r="165" spans="2:41" s="34" customFormat="1" ht="9.75" hidden="1" customHeight="1" outlineLevel="1" x14ac:dyDescent="0.2">
      <c r="B165" s="24"/>
      <c r="C165" s="24"/>
      <c r="D165" s="24"/>
      <c r="E165" s="24"/>
      <c r="F165" s="24"/>
      <c r="G165" s="24"/>
      <c r="H165" s="26"/>
      <c r="I165" s="26"/>
      <c r="J165" s="24"/>
      <c r="K165" s="36"/>
      <c r="M165" s="37"/>
      <c r="N165" s="37"/>
      <c r="O165" s="37"/>
      <c r="P165" s="28"/>
      <c r="Q165" s="29"/>
      <c r="R165" s="29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</row>
    <row r="166" spans="2:41" s="34" customFormat="1" ht="9.75" customHeight="1" collapsed="1" x14ac:dyDescent="0.2">
      <c r="B166" s="24" t="s">
        <v>179</v>
      </c>
      <c r="C166" s="40" t="s">
        <v>149</v>
      </c>
      <c r="D166" s="40"/>
      <c r="E166" s="24" t="s">
        <v>394</v>
      </c>
      <c r="F166" s="24"/>
      <c r="G166" s="24"/>
      <c r="H166" s="26"/>
      <c r="I166" s="26"/>
      <c r="J166" s="24"/>
      <c r="M166" s="37"/>
      <c r="N166" s="37"/>
      <c r="O166" s="37"/>
      <c r="P166" s="28"/>
      <c r="Q166" s="29"/>
      <c r="R166" s="29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</row>
    <row r="167" spans="2:41" s="34" customFormat="1" ht="9.75" hidden="1" customHeight="1" outlineLevel="1" x14ac:dyDescent="0.2">
      <c r="B167" s="24" t="s">
        <v>4</v>
      </c>
      <c r="C167" s="24" t="str">
        <f>C166&amp;".Value"</f>
        <v>FAF1_FREEZE_W133.Value</v>
      </c>
      <c r="D167" s="24"/>
      <c r="E167" s="24" t="str">
        <f>E166</f>
        <v>B10PS FAF1 Freeze</v>
      </c>
      <c r="F167" s="24"/>
      <c r="G167" s="24"/>
      <c r="H167" s="26"/>
      <c r="I167" s="26"/>
      <c r="J167" s="24"/>
      <c r="K167" s="36" t="s">
        <v>150</v>
      </c>
      <c r="M167" s="37"/>
      <c r="N167" s="37"/>
      <c r="O167" s="37"/>
      <c r="P167" s="28"/>
      <c r="Q167" s="29"/>
      <c r="R167" s="29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</row>
    <row r="168" spans="2:41" s="34" customFormat="1" ht="9.75" hidden="1" customHeight="1" outlineLevel="1" x14ac:dyDescent="0.2">
      <c r="B168" s="24"/>
      <c r="C168" s="24"/>
      <c r="D168" s="24"/>
      <c r="E168" s="24"/>
      <c r="F168" s="24"/>
      <c r="G168" s="24"/>
      <c r="H168" s="26"/>
      <c r="I168" s="26"/>
      <c r="J168" s="24"/>
      <c r="K168" s="36"/>
      <c r="M168" s="37"/>
      <c r="N168" s="37"/>
      <c r="O168" s="37"/>
      <c r="P168" s="28"/>
      <c r="Q168" s="29"/>
      <c r="R168" s="29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</row>
    <row r="169" spans="2:41" s="34" customFormat="1" ht="9.75" customHeight="1" collapsed="1" x14ac:dyDescent="0.2">
      <c r="B169" s="24" t="s">
        <v>179</v>
      </c>
      <c r="C169" s="40" t="s">
        <v>180</v>
      </c>
      <c r="D169" s="40"/>
      <c r="E169" s="24" t="s">
        <v>395</v>
      </c>
      <c r="F169" s="24"/>
      <c r="G169" s="24"/>
      <c r="H169" s="26"/>
      <c r="I169" s="26"/>
      <c r="J169" s="24"/>
      <c r="M169" s="37"/>
      <c r="N169" s="37"/>
      <c r="O169" s="37"/>
      <c r="P169" s="28"/>
      <c r="Q169" s="29"/>
      <c r="R169" s="29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</row>
    <row r="170" spans="2:41" s="34" customFormat="1" ht="9.75" hidden="1" customHeight="1" outlineLevel="1" x14ac:dyDescent="0.2">
      <c r="B170" s="24" t="s">
        <v>4</v>
      </c>
      <c r="C170" s="24" t="str">
        <f>C169&amp;".Value"</f>
        <v>FAF1_FREEZEBTA_W133.Value</v>
      </c>
      <c r="D170" s="24"/>
      <c r="E170" s="24" t="str">
        <f>E169</f>
        <v>B10PS FAF1 Freeze initiated by BTAs</v>
      </c>
      <c r="F170" s="24"/>
      <c r="G170" s="24"/>
      <c r="H170" s="26"/>
      <c r="I170" s="26"/>
      <c r="J170" s="24"/>
      <c r="K170" s="36" t="s">
        <v>181</v>
      </c>
      <c r="M170" s="37"/>
      <c r="N170" s="37"/>
      <c r="O170" s="37"/>
      <c r="P170" s="28"/>
      <c r="Q170" s="29"/>
      <c r="R170" s="29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</row>
    <row r="171" spans="2:41" s="34" customFormat="1" ht="9.75" hidden="1" customHeight="1" outlineLevel="1" x14ac:dyDescent="0.2">
      <c r="B171" s="24"/>
      <c r="C171" s="24"/>
      <c r="D171" s="24"/>
      <c r="E171" s="24"/>
      <c r="F171" s="24"/>
      <c r="G171" s="24"/>
      <c r="H171" s="26"/>
      <c r="I171" s="26"/>
      <c r="J171" s="24"/>
      <c r="K171" s="36"/>
      <c r="M171" s="37"/>
      <c r="N171" s="37"/>
      <c r="O171" s="37"/>
      <c r="P171" s="28"/>
      <c r="Q171" s="29"/>
      <c r="R171" s="29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</row>
    <row r="172" spans="2:41" s="34" customFormat="1" ht="9.75" customHeight="1" collapsed="1" x14ac:dyDescent="0.2">
      <c r="B172" s="24" t="s">
        <v>146</v>
      </c>
      <c r="C172" s="40" t="s">
        <v>182</v>
      </c>
      <c r="D172" s="40"/>
      <c r="E172" s="24" t="s">
        <v>396</v>
      </c>
      <c r="F172" s="24"/>
      <c r="G172" s="24"/>
      <c r="H172" s="26"/>
      <c r="I172" s="26"/>
      <c r="J172" s="24"/>
      <c r="M172" s="37"/>
      <c r="N172" s="37"/>
      <c r="O172" s="37"/>
      <c r="P172" s="28"/>
      <c r="Q172" s="29"/>
      <c r="R172" s="29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</row>
    <row r="173" spans="2:41" s="34" customFormat="1" ht="9.75" hidden="1" customHeight="1" outlineLevel="1" x14ac:dyDescent="0.2">
      <c r="B173" s="24" t="s">
        <v>4</v>
      </c>
      <c r="C173" s="24" t="str">
        <f>C172&amp;".Value"</f>
        <v>FAF1_FREEZETT_W133.Value</v>
      </c>
      <c r="D173" s="24"/>
      <c r="E173" s="24" t="str">
        <f>E172</f>
        <v>B10PS FAF1 Freeze initiated by TTs 40deg</v>
      </c>
      <c r="F173" s="24"/>
      <c r="G173" s="24"/>
      <c r="H173" s="26"/>
      <c r="I173" s="26"/>
      <c r="J173" s="24"/>
      <c r="K173" s="36" t="s">
        <v>183</v>
      </c>
      <c r="M173" s="37"/>
      <c r="N173" s="37"/>
      <c r="O173" s="37"/>
      <c r="P173" s="28"/>
      <c r="Q173" s="29"/>
      <c r="R173" s="29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</row>
    <row r="174" spans="2:41" s="34" customFormat="1" ht="9.75" hidden="1" customHeight="1" outlineLevel="1" x14ac:dyDescent="0.2">
      <c r="B174" s="24"/>
      <c r="C174" s="24"/>
      <c r="D174" s="24"/>
      <c r="E174" s="24"/>
      <c r="F174" s="24"/>
      <c r="G174" s="24"/>
      <c r="H174" s="26"/>
      <c r="I174" s="26"/>
      <c r="J174" s="24"/>
      <c r="K174" s="36"/>
      <c r="M174" s="37"/>
      <c r="N174" s="37"/>
      <c r="O174" s="37"/>
      <c r="P174" s="28"/>
      <c r="Q174" s="29"/>
      <c r="R174" s="29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</row>
    <row r="175" spans="2:41" s="34" customFormat="1" ht="9.75" customHeight="1" collapsed="1" x14ac:dyDescent="0.2">
      <c r="B175" s="24" t="s">
        <v>146</v>
      </c>
      <c r="C175" s="40" t="s">
        <v>151</v>
      </c>
      <c r="D175" s="40"/>
      <c r="E175" s="24" t="s">
        <v>397</v>
      </c>
      <c r="F175" s="24"/>
      <c r="G175" s="24"/>
      <c r="H175" s="26"/>
      <c r="I175" s="26"/>
      <c r="J175" s="24"/>
      <c r="M175" s="37"/>
      <c r="N175" s="37"/>
      <c r="O175" s="37"/>
      <c r="P175" s="28"/>
      <c r="Q175" s="29"/>
      <c r="R175" s="29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</row>
    <row r="176" spans="2:41" s="34" customFormat="1" ht="9.75" hidden="1" customHeight="1" outlineLevel="1" x14ac:dyDescent="0.2">
      <c r="B176" s="24" t="s">
        <v>4</v>
      </c>
      <c r="C176" s="24" t="str">
        <f>C175&amp;".Value"</f>
        <v>FAF1_FRZ_RESET_CMD_HMI_W133.Value</v>
      </c>
      <c r="D176" s="24"/>
      <c r="E176" s="24" t="str">
        <f>E175</f>
        <v>B10PS FAF1 Freeze Reset</v>
      </c>
      <c r="F176" s="24"/>
      <c r="G176" s="24"/>
      <c r="H176" s="26"/>
      <c r="I176" s="26"/>
      <c r="J176" s="24"/>
      <c r="K176" s="36" t="s">
        <v>152</v>
      </c>
      <c r="M176" s="37"/>
      <c r="N176" s="37"/>
      <c r="O176" s="37"/>
      <c r="P176" s="28"/>
      <c r="Q176" s="29"/>
      <c r="R176" s="29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</row>
    <row r="177" spans="2:41" s="34" customFormat="1" ht="9.75" hidden="1" customHeight="1" outlineLevel="1" x14ac:dyDescent="0.2">
      <c r="B177" s="24"/>
      <c r="C177" s="24"/>
      <c r="D177" s="24"/>
      <c r="E177" s="24"/>
      <c r="F177" s="24"/>
      <c r="G177" s="24"/>
      <c r="H177" s="26"/>
      <c r="I177" s="26"/>
      <c r="J177" s="24"/>
      <c r="K177" s="36"/>
      <c r="M177" s="37"/>
      <c r="N177" s="37"/>
      <c r="O177" s="37"/>
      <c r="P177" s="28"/>
      <c r="Q177" s="29"/>
      <c r="R177" s="29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</row>
    <row r="178" spans="2:41" s="34" customFormat="1" ht="9.75" customHeight="1" collapsed="1" x14ac:dyDescent="0.2">
      <c r="B178" s="24" t="s">
        <v>146</v>
      </c>
      <c r="C178" s="40" t="s">
        <v>177</v>
      </c>
      <c r="D178" s="40"/>
      <c r="E178" s="24" t="s">
        <v>398</v>
      </c>
      <c r="F178" s="24"/>
      <c r="G178" s="24"/>
      <c r="H178" s="26"/>
      <c r="I178" s="26"/>
      <c r="J178" s="24"/>
      <c r="K178" s="36"/>
      <c r="M178" s="37"/>
      <c r="N178" s="37"/>
      <c r="O178" s="37"/>
      <c r="P178" s="28"/>
      <c r="Q178" s="29"/>
      <c r="R178" s="29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</row>
    <row r="179" spans="2:41" s="34" customFormat="1" ht="9.75" hidden="1" customHeight="1" outlineLevel="1" x14ac:dyDescent="0.2">
      <c r="B179" s="24" t="s">
        <v>4</v>
      </c>
      <c r="C179" s="24" t="str">
        <f>C178&amp;".Value"</f>
        <v>FAF1_TSL_W133.Value</v>
      </c>
      <c r="D179" s="24"/>
      <c r="E179" s="24" t="str">
        <f>E178</f>
        <v>B10PS FAF1 Freeze Stat</v>
      </c>
      <c r="F179" s="24"/>
      <c r="G179" s="24"/>
      <c r="H179" s="26"/>
      <c r="I179" s="26"/>
      <c r="J179" s="24"/>
      <c r="K179" s="36" t="s">
        <v>178</v>
      </c>
      <c r="M179" s="37"/>
      <c r="N179" s="37"/>
      <c r="O179" s="37"/>
      <c r="P179" s="28"/>
      <c r="Q179" s="29"/>
      <c r="R179" s="29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</row>
    <row r="180" spans="2:41" s="34" customFormat="1" ht="9.75" hidden="1" customHeight="1" outlineLevel="1" x14ac:dyDescent="0.2">
      <c r="B180" s="24"/>
      <c r="C180" s="24"/>
      <c r="D180" s="24"/>
      <c r="E180" s="24"/>
      <c r="F180" s="24"/>
      <c r="G180" s="24"/>
      <c r="H180" s="26"/>
      <c r="I180" s="26"/>
      <c r="J180" s="24"/>
      <c r="K180" s="36"/>
      <c r="M180" s="37"/>
      <c r="N180" s="37"/>
      <c r="O180" s="37"/>
      <c r="P180" s="28"/>
      <c r="Q180" s="29"/>
      <c r="R180" s="29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</row>
    <row r="181" spans="2:41" s="34" customFormat="1" ht="9.75" customHeight="1" collapsed="1" x14ac:dyDescent="0.2">
      <c r="B181" s="24" t="s">
        <v>146</v>
      </c>
      <c r="C181" s="40" t="s">
        <v>153</v>
      </c>
      <c r="D181" s="40"/>
      <c r="E181" s="24" t="s">
        <v>399</v>
      </c>
      <c r="F181" s="24"/>
      <c r="G181" s="24"/>
      <c r="H181" s="26"/>
      <c r="I181" s="26"/>
      <c r="J181" s="24"/>
      <c r="K181" s="36"/>
      <c r="M181" s="37"/>
      <c r="N181" s="37"/>
      <c r="O181" s="37"/>
      <c r="P181" s="28"/>
      <c r="Q181" s="29"/>
      <c r="R181" s="29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</row>
    <row r="182" spans="2:41" s="34" customFormat="1" ht="9.75" hidden="1" customHeight="1" outlineLevel="1" x14ac:dyDescent="0.2">
      <c r="B182" s="24" t="s">
        <v>4</v>
      </c>
      <c r="C182" s="24" t="str">
        <f>C181&amp;".Value"</f>
        <v>FAF1_HILOAD_W133.Value</v>
      </c>
      <c r="D182" s="24"/>
      <c r="E182" s="24" t="str">
        <f>E181</f>
        <v>B10PS FAF1 HiLoad</v>
      </c>
      <c r="F182" s="24"/>
      <c r="G182" s="24"/>
      <c r="H182" s="26"/>
      <c r="I182" s="26"/>
      <c r="J182" s="24"/>
      <c r="K182" s="36" t="s">
        <v>154</v>
      </c>
      <c r="M182" s="37"/>
      <c r="N182" s="37"/>
      <c r="O182" s="37"/>
      <c r="P182" s="28"/>
      <c r="Q182" s="29"/>
      <c r="R182" s="29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</row>
    <row r="183" spans="2:41" s="34" customFormat="1" ht="9.75" hidden="1" customHeight="1" outlineLevel="1" x14ac:dyDescent="0.2">
      <c r="B183" s="24"/>
      <c r="C183" s="24"/>
      <c r="D183" s="24"/>
      <c r="E183" s="24"/>
      <c r="F183" s="24"/>
      <c r="G183" s="24"/>
      <c r="H183" s="26"/>
      <c r="I183" s="26"/>
      <c r="J183" s="24"/>
      <c r="K183" s="36"/>
      <c r="M183" s="37"/>
      <c r="N183" s="37"/>
      <c r="O183" s="37"/>
      <c r="P183" s="28"/>
      <c r="Q183" s="29"/>
      <c r="R183" s="29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</row>
    <row r="184" spans="2:41" s="34" customFormat="1" ht="9.75" customHeight="1" collapsed="1" x14ac:dyDescent="0.2">
      <c r="B184" s="24" t="s">
        <v>287</v>
      </c>
      <c r="C184" s="35" t="s">
        <v>288</v>
      </c>
      <c r="D184" s="35"/>
      <c r="E184" s="24" t="s">
        <v>400</v>
      </c>
      <c r="F184" s="24"/>
      <c r="G184" s="24"/>
      <c r="H184" s="26"/>
      <c r="I184" s="26"/>
      <c r="J184" s="24"/>
      <c r="K184" s="36"/>
      <c r="M184" s="37"/>
      <c r="N184" s="37"/>
      <c r="O184" s="37"/>
      <c r="P184" s="28"/>
      <c r="Q184" s="29"/>
      <c r="R184" s="29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</row>
    <row r="185" spans="2:41" s="34" customFormat="1" ht="9.75" hidden="1" customHeight="1" outlineLevel="1" x14ac:dyDescent="0.2">
      <c r="B185" s="24" t="s">
        <v>4</v>
      </c>
      <c r="C185" s="24" t="str">
        <f>C184&amp;".AUTO"</f>
        <v>FAF1_HWPMP_W133.AUTO</v>
      </c>
      <c r="D185" s="24"/>
      <c r="E185" s="24" t="str">
        <f>E184&amp;" Auto Mode"</f>
        <v>B10PS FAF1 HW Pump Auto Mode</v>
      </c>
      <c r="F185" s="24"/>
      <c r="G185" s="24"/>
      <c r="H185" s="26"/>
      <c r="I185" s="26"/>
      <c r="J185" s="24"/>
      <c r="K185" s="36" t="s">
        <v>289</v>
      </c>
      <c r="M185" s="37"/>
      <c r="N185" s="37"/>
      <c r="O185" s="37"/>
      <c r="P185" s="28"/>
      <c r="Q185" s="29"/>
      <c r="R185" s="29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</row>
    <row r="186" spans="2:41" s="34" customFormat="1" ht="9.75" hidden="1" customHeight="1" outlineLevel="1" x14ac:dyDescent="0.2">
      <c r="B186" s="24" t="s">
        <v>4</v>
      </c>
      <c r="C186" s="24" t="str">
        <f>C184&amp;".AUX"</f>
        <v>FAF1_HWPMP_W133.AUX</v>
      </c>
      <c r="D186" s="24"/>
      <c r="E186" s="24" t="str">
        <f>E184&amp;" Run Feedback"</f>
        <v>B10PS FAF1 HW Pump Run Feedback</v>
      </c>
      <c r="F186" s="24"/>
      <c r="G186" s="24"/>
      <c r="H186" s="26"/>
      <c r="I186" s="26"/>
      <c r="J186" s="24"/>
      <c r="K186" s="36" t="s">
        <v>290</v>
      </c>
      <c r="M186" s="37"/>
      <c r="N186" s="37"/>
      <c r="O186" s="37"/>
      <c r="P186" s="28"/>
      <c r="Q186" s="29"/>
      <c r="R186" s="29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</row>
    <row r="187" spans="2:41" s="34" customFormat="1" ht="9.75" hidden="1" customHeight="1" outlineLevel="1" x14ac:dyDescent="0.2">
      <c r="B187" s="24" t="s">
        <v>4</v>
      </c>
      <c r="C187" s="24" t="str">
        <f>C184&amp;".CMD"</f>
        <v>FAF1_HWPMP_W133.CMD</v>
      </c>
      <c r="D187" s="24"/>
      <c r="E187" s="24" t="str">
        <f>E184&amp;" Run Command"</f>
        <v>B10PS FAF1 HW Pump Run Command</v>
      </c>
      <c r="F187" s="24"/>
      <c r="G187" s="24"/>
      <c r="H187" s="26"/>
      <c r="I187" s="26"/>
      <c r="J187" s="24"/>
      <c r="K187" s="36" t="s">
        <v>291</v>
      </c>
      <c r="M187" s="37"/>
      <c r="N187" s="37"/>
      <c r="O187" s="37"/>
      <c r="P187" s="28"/>
      <c r="Q187" s="29"/>
      <c r="R187" s="29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</row>
    <row r="188" spans="2:41" s="34" customFormat="1" ht="9.75" hidden="1" customHeight="1" outlineLevel="1" x14ac:dyDescent="0.2">
      <c r="B188" s="24" t="s">
        <v>4</v>
      </c>
      <c r="C188" s="24" t="str">
        <f>C184&amp;".FTR"</f>
        <v>FAF1_HWPMP_W133.FTR</v>
      </c>
      <c r="D188" s="24"/>
      <c r="E188" s="24" t="str">
        <f>E184&amp;" Fail to Run"</f>
        <v>B10PS FAF1 HW Pump Fail to Run</v>
      </c>
      <c r="F188" s="24"/>
      <c r="G188" s="24"/>
      <c r="H188" s="26"/>
      <c r="I188" s="26"/>
      <c r="J188" s="24"/>
      <c r="K188" s="36" t="s">
        <v>292</v>
      </c>
      <c r="M188" s="37"/>
      <c r="N188" s="37"/>
      <c r="O188" s="37"/>
      <c r="P188" s="28"/>
      <c r="Q188" s="29"/>
      <c r="R188" s="29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</row>
    <row r="189" spans="2:41" s="34" customFormat="1" ht="9.75" hidden="1" customHeight="1" outlineLevel="1" x14ac:dyDescent="0.2">
      <c r="B189" s="24" t="s">
        <v>4</v>
      </c>
      <c r="C189" s="24" t="str">
        <f>C184&amp;".FTS"</f>
        <v>FAF1_HWPMP_W133.FTS</v>
      </c>
      <c r="D189" s="24"/>
      <c r="E189" s="24" t="str">
        <f>E184&amp;" Fail to Stop"</f>
        <v>B10PS FAF1 HW Pump Fail to Stop</v>
      </c>
      <c r="F189" s="24"/>
      <c r="G189" s="24"/>
      <c r="H189" s="26"/>
      <c r="I189" s="26"/>
      <c r="J189" s="24"/>
      <c r="K189" s="36" t="s">
        <v>293</v>
      </c>
      <c r="M189" s="37"/>
      <c r="N189" s="37"/>
      <c r="O189" s="37"/>
      <c r="P189" s="28"/>
      <c r="Q189" s="29"/>
      <c r="R189" s="29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</row>
    <row r="190" spans="2:41" s="34" customFormat="1" ht="9.75" hidden="1" customHeight="1" outlineLevel="1" x14ac:dyDescent="0.2">
      <c r="B190" s="24" t="s">
        <v>4</v>
      </c>
      <c r="C190" s="24" t="str">
        <f>C184&amp;".MAN"</f>
        <v>FAF1_HWPMP_W133.MAN</v>
      </c>
      <c r="D190" s="24"/>
      <c r="E190" s="24" t="str">
        <f>E184&amp;" Valve In Man"</f>
        <v>B10PS FAF1 HW Pump Valve In Man</v>
      </c>
      <c r="F190" s="24"/>
      <c r="G190" s="24"/>
      <c r="H190" s="26"/>
      <c r="I190" s="26"/>
      <c r="J190" s="24"/>
      <c r="K190" s="36" t="s">
        <v>294</v>
      </c>
      <c r="M190" s="37"/>
      <c r="N190" s="37"/>
      <c r="O190" s="37"/>
      <c r="P190" s="28"/>
      <c r="Q190" s="29"/>
      <c r="R190" s="29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</row>
    <row r="191" spans="2:41" s="34" customFormat="1" ht="9.75" hidden="1" customHeight="1" outlineLevel="1" x14ac:dyDescent="0.2">
      <c r="B191" s="24" t="s">
        <v>4</v>
      </c>
      <c r="C191" s="24" t="str">
        <f>C184&amp;".NIA"</f>
        <v>FAF1_HWPMP_W133.NIA</v>
      </c>
      <c r="D191" s="24"/>
      <c r="E191" s="24" t="str">
        <f>E184&amp;" Not in Auto"</f>
        <v>B10PS FAF1 HW Pump Not in Auto</v>
      </c>
      <c r="F191" s="24"/>
      <c r="G191" s="24"/>
      <c r="H191" s="26"/>
      <c r="I191" s="26"/>
      <c r="J191" s="24"/>
      <c r="K191" s="36" t="s">
        <v>289</v>
      </c>
      <c r="M191" s="37"/>
      <c r="N191" s="37"/>
      <c r="O191" s="37"/>
      <c r="P191" s="28"/>
      <c r="Q191" s="29"/>
      <c r="R191" s="29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</row>
    <row r="192" spans="2:41" s="34" customFormat="1" ht="9.75" hidden="1" customHeight="1" outlineLevel="1" x14ac:dyDescent="0.2">
      <c r="B192" s="24" t="s">
        <v>4</v>
      </c>
      <c r="C192" s="24" t="str">
        <f>C184&amp;".OFF_CMD"</f>
        <v>FAF1_HWPMP_W133.OFF_CMD</v>
      </c>
      <c r="D192" s="24"/>
      <c r="E192" s="24" t="str">
        <f>E184&amp;" Off Command"</f>
        <v>B10PS FAF1 HW Pump Off Command</v>
      </c>
      <c r="F192" s="24"/>
      <c r="G192" s="24"/>
      <c r="H192" s="26"/>
      <c r="I192" s="26"/>
      <c r="J192" s="24"/>
      <c r="K192" s="36" t="s">
        <v>295</v>
      </c>
      <c r="M192" s="37"/>
      <c r="N192" s="37"/>
      <c r="O192" s="37"/>
      <c r="P192" s="28"/>
      <c r="Q192" s="29"/>
      <c r="R192" s="29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</row>
    <row r="193" spans="2:41" s="34" customFormat="1" ht="9.75" hidden="1" customHeight="1" outlineLevel="1" x14ac:dyDescent="0.2">
      <c r="B193" s="24" t="s">
        <v>4</v>
      </c>
      <c r="C193" s="24" t="str">
        <f>C184&amp;".OL"</f>
        <v>FAF1_HWPMP_W133.OL</v>
      </c>
      <c r="D193" s="24"/>
      <c r="E193" s="24" t="str">
        <f>E184&amp;" Overload trip"</f>
        <v>B10PS FAF1 HW Pump Overload trip</v>
      </c>
      <c r="F193" s="24"/>
      <c r="G193" s="24"/>
      <c r="H193" s="26"/>
      <c r="I193" s="26"/>
      <c r="J193" s="24"/>
      <c r="K193" s="36" t="s">
        <v>296</v>
      </c>
      <c r="M193" s="37"/>
      <c r="N193" s="37"/>
      <c r="O193" s="37"/>
      <c r="P193" s="28"/>
      <c r="Q193" s="29"/>
      <c r="R193" s="29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</row>
    <row r="194" spans="2:41" s="34" customFormat="1" ht="9.75" hidden="1" customHeight="1" outlineLevel="1" x14ac:dyDescent="0.2">
      <c r="B194" s="24" t="s">
        <v>4</v>
      </c>
      <c r="C194" s="24" t="str">
        <f>C184&amp;".ON_CMD"</f>
        <v>FAF1_HWPMP_W133.ON_CMD</v>
      </c>
      <c r="D194" s="24"/>
      <c r="E194" s="24" t="str">
        <f>E184&amp;" On Command"</f>
        <v>B10PS FAF1 HW Pump On Command</v>
      </c>
      <c r="F194" s="24"/>
      <c r="G194" s="24"/>
      <c r="H194" s="26"/>
      <c r="I194" s="26"/>
      <c r="J194" s="24"/>
      <c r="K194" s="36" t="s">
        <v>297</v>
      </c>
      <c r="M194" s="37"/>
      <c r="N194" s="37"/>
      <c r="O194" s="37"/>
      <c r="P194" s="28"/>
      <c r="Q194" s="29"/>
      <c r="R194" s="29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</row>
    <row r="195" spans="2:41" s="34" customFormat="1" ht="9.75" hidden="1" customHeight="1" outlineLevel="1" x14ac:dyDescent="0.2">
      <c r="B195" s="24"/>
      <c r="C195" s="24"/>
      <c r="D195" s="24"/>
      <c r="E195" s="24"/>
      <c r="F195" s="24"/>
      <c r="G195" s="24"/>
      <c r="H195" s="26"/>
      <c r="I195" s="26"/>
      <c r="J195" s="24"/>
      <c r="K195" s="36"/>
      <c r="M195" s="37"/>
      <c r="N195" s="37"/>
      <c r="O195" s="37"/>
      <c r="P195" s="28"/>
      <c r="Q195" s="29"/>
      <c r="R195" s="29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</row>
    <row r="196" spans="2:41" s="34" customFormat="1" ht="9.75" customHeight="1" collapsed="1" x14ac:dyDescent="0.2">
      <c r="B196" s="24" t="s">
        <v>361</v>
      </c>
      <c r="C196" s="35" t="s">
        <v>368</v>
      </c>
      <c r="D196" s="35"/>
      <c r="E196" s="24" t="s">
        <v>401</v>
      </c>
      <c r="F196" s="24"/>
      <c r="G196" s="24"/>
      <c r="H196" s="26"/>
      <c r="I196" s="26"/>
      <c r="J196" s="24"/>
      <c r="K196" s="36"/>
      <c r="M196" s="37"/>
      <c r="N196" s="37"/>
      <c r="O196" s="37"/>
      <c r="P196" s="28"/>
      <c r="Q196" s="29"/>
      <c r="R196" s="29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</row>
    <row r="197" spans="2:41" s="34" customFormat="1" ht="9.75" hidden="1" customHeight="1" outlineLevel="1" x14ac:dyDescent="0.2">
      <c r="B197" s="24" t="s">
        <v>4</v>
      </c>
      <c r="C197" s="24" t="str">
        <f>C196&amp;".MAN"</f>
        <v>FAF1_HWPMPBV_W133.MAN</v>
      </c>
      <c r="D197" s="24"/>
      <c r="E197" s="24" t="str">
        <f>E196&amp;" In Man"</f>
        <v>B10PS FAF1 HW Pump Bypass Valve In Man</v>
      </c>
      <c r="F197" s="24"/>
      <c r="G197" s="24"/>
      <c r="H197" s="26"/>
      <c r="I197" s="26"/>
      <c r="J197" s="24"/>
      <c r="K197" s="36" t="s">
        <v>369</v>
      </c>
      <c r="M197" s="37"/>
      <c r="N197" s="37"/>
      <c r="O197" s="37"/>
      <c r="P197" s="28"/>
      <c r="Q197" s="29"/>
      <c r="R197" s="29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</row>
    <row r="198" spans="2:41" s="34" customFormat="1" ht="9.75" hidden="1" customHeight="1" outlineLevel="1" x14ac:dyDescent="0.2">
      <c r="B198" s="24" t="s">
        <v>6</v>
      </c>
      <c r="C198" s="24" t="str">
        <f>C196&amp;".OUT"</f>
        <v>FAF1_HWPMPBV_W133.OUT</v>
      </c>
      <c r="D198" s="24"/>
      <c r="E198" s="24" t="str">
        <f>E196&amp;" Control Value"</f>
        <v>B10PS FAF1 HW Pump Bypass Valve Control Value</v>
      </c>
      <c r="F198" s="24"/>
      <c r="G198" s="24"/>
      <c r="H198" s="26"/>
      <c r="I198" s="26"/>
      <c r="J198" s="24"/>
      <c r="K198" s="36" t="s">
        <v>370</v>
      </c>
      <c r="M198" s="37"/>
      <c r="N198" s="37"/>
      <c r="O198" s="37"/>
      <c r="P198" s="28"/>
      <c r="Q198" s="29"/>
      <c r="R198" s="29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</row>
    <row r="199" spans="2:41" s="34" customFormat="1" ht="9.75" hidden="1" customHeight="1" outlineLevel="1" x14ac:dyDescent="0.2">
      <c r="B199" s="24" t="s">
        <v>6</v>
      </c>
      <c r="C199" s="24" t="str">
        <f>C196&amp;".PercentOpen"</f>
        <v>FAF1_HWPMPBV_W133.PercentOpen</v>
      </c>
      <c r="D199" s="24"/>
      <c r="E199" s="24" t="s">
        <v>384</v>
      </c>
      <c r="F199" s="24"/>
      <c r="G199" s="24"/>
      <c r="H199" s="26"/>
      <c r="I199" s="26"/>
      <c r="J199" s="24"/>
      <c r="K199" s="27" t="s">
        <v>379</v>
      </c>
      <c r="M199" s="37"/>
      <c r="N199" s="37"/>
      <c r="O199" s="37"/>
      <c r="P199" s="28"/>
      <c r="Q199" s="29"/>
      <c r="R199" s="29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</row>
    <row r="200" spans="2:41" s="34" customFormat="1" ht="9.75" hidden="1" customHeight="1" outlineLevel="1" x14ac:dyDescent="0.2">
      <c r="B200" s="24"/>
      <c r="C200" s="24"/>
      <c r="D200" s="24"/>
      <c r="E200" s="24"/>
      <c r="F200" s="24"/>
      <c r="G200" s="24"/>
      <c r="H200" s="26"/>
      <c r="I200" s="26"/>
      <c r="J200" s="24"/>
      <c r="K200" s="36"/>
      <c r="M200" s="37"/>
      <c r="N200" s="37"/>
      <c r="O200" s="37"/>
      <c r="P200" s="28"/>
      <c r="Q200" s="29"/>
      <c r="R200" s="29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</row>
    <row r="201" spans="2:41" s="34" customFormat="1" ht="9.75" customHeight="1" collapsed="1" x14ac:dyDescent="0.2">
      <c r="B201" s="24" t="s">
        <v>361</v>
      </c>
      <c r="C201" s="40" t="s">
        <v>371</v>
      </c>
      <c r="D201" s="40"/>
      <c r="E201" s="24" t="s">
        <v>402</v>
      </c>
      <c r="F201" s="24"/>
      <c r="G201" s="24"/>
      <c r="H201" s="26"/>
      <c r="I201" s="26"/>
      <c r="J201" s="24"/>
      <c r="K201" s="36"/>
      <c r="M201" s="37"/>
      <c r="N201" s="37"/>
      <c r="O201" s="37"/>
      <c r="P201" s="28"/>
      <c r="Q201" s="29"/>
      <c r="R201" s="29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</row>
    <row r="202" spans="2:41" s="34" customFormat="1" ht="9.75" hidden="1" customHeight="1" outlineLevel="1" x14ac:dyDescent="0.2">
      <c r="B202" s="24" t="s">
        <v>4</v>
      </c>
      <c r="C202" s="24" t="str">
        <f>C201&amp;".MAN"</f>
        <v>FAF1_HWTCV_W133.MAN</v>
      </c>
      <c r="D202" s="24"/>
      <c r="E202" s="24" t="str">
        <f>E201&amp;" In Man"</f>
        <v>B10PS FAF1 Preheat Temperature Control Valve In Man</v>
      </c>
      <c r="F202" s="24"/>
      <c r="G202" s="24"/>
      <c r="H202" s="26"/>
      <c r="I202" s="26"/>
      <c r="J202" s="24"/>
      <c r="K202" s="36" t="s">
        <v>372</v>
      </c>
      <c r="M202" s="37"/>
      <c r="N202" s="37"/>
      <c r="O202" s="37"/>
      <c r="P202" s="28"/>
      <c r="Q202" s="29"/>
      <c r="R202" s="29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</row>
    <row r="203" spans="2:41" s="34" customFormat="1" ht="9.75" hidden="1" customHeight="1" outlineLevel="1" x14ac:dyDescent="0.2">
      <c r="B203" s="24" t="s">
        <v>6</v>
      </c>
      <c r="C203" s="24" t="str">
        <f>C201&amp;".OUT"</f>
        <v>FAF1_HWTCV_W133.OUT</v>
      </c>
      <c r="D203" s="24"/>
      <c r="E203" s="24" t="str">
        <f>E201&amp;" Control Value"</f>
        <v>B10PS FAF1 Preheat Temperature Control Valve Control Value</v>
      </c>
      <c r="F203" s="24"/>
      <c r="G203" s="24"/>
      <c r="H203" s="26"/>
      <c r="I203" s="26"/>
      <c r="J203" s="24"/>
      <c r="K203" s="36" t="s">
        <v>373</v>
      </c>
      <c r="M203" s="37"/>
      <c r="N203" s="37"/>
      <c r="O203" s="37"/>
      <c r="P203" s="28"/>
      <c r="Q203" s="29"/>
      <c r="R203" s="29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</row>
    <row r="204" spans="2:41" s="34" customFormat="1" ht="9.75" hidden="1" customHeight="1" outlineLevel="1" x14ac:dyDescent="0.2">
      <c r="B204" s="24" t="s">
        <v>6</v>
      </c>
      <c r="C204" s="24" t="str">
        <f>C201&amp;".PercentOpen"</f>
        <v>FAF1_HWTCV_W133.PercentOpen</v>
      </c>
      <c r="D204" s="24"/>
      <c r="E204" s="24" t="s">
        <v>384</v>
      </c>
      <c r="F204" s="24"/>
      <c r="G204" s="24"/>
      <c r="H204" s="26"/>
      <c r="I204" s="26"/>
      <c r="J204" s="24"/>
      <c r="K204" s="27" t="s">
        <v>379</v>
      </c>
      <c r="M204" s="37"/>
      <c r="N204" s="37"/>
      <c r="O204" s="37"/>
      <c r="P204" s="28"/>
      <c r="Q204" s="29"/>
      <c r="R204" s="29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</row>
    <row r="205" spans="2:41" s="34" customFormat="1" ht="9.75" hidden="1" customHeight="1" outlineLevel="1" x14ac:dyDescent="0.2">
      <c r="B205" s="24"/>
      <c r="C205" s="24"/>
      <c r="D205" s="24"/>
      <c r="E205" s="24"/>
      <c r="F205" s="24"/>
      <c r="G205" s="24"/>
      <c r="H205" s="26"/>
      <c r="I205" s="26"/>
      <c r="J205" s="24"/>
      <c r="K205" s="36"/>
      <c r="M205" s="37"/>
      <c r="N205" s="37"/>
      <c r="O205" s="37"/>
      <c r="P205" s="28"/>
      <c r="Q205" s="29"/>
      <c r="R205" s="29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</row>
    <row r="206" spans="2:41" s="34" customFormat="1" ht="9.75" customHeight="1" collapsed="1" x14ac:dyDescent="0.2">
      <c r="B206" s="24" t="s">
        <v>146</v>
      </c>
      <c r="C206" s="40" t="s">
        <v>155</v>
      </c>
      <c r="D206" s="40"/>
      <c r="E206" s="24" t="s">
        <v>403</v>
      </c>
      <c r="F206" s="24"/>
      <c r="G206" s="24"/>
      <c r="H206" s="26"/>
      <c r="I206" s="26"/>
      <c r="J206" s="24"/>
      <c r="M206" s="37"/>
      <c r="N206" s="37"/>
      <c r="O206" s="37"/>
      <c r="P206" s="28"/>
      <c r="Q206" s="29"/>
      <c r="R206" s="29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</row>
    <row r="207" spans="2:41" s="34" customFormat="1" ht="9.75" hidden="1" customHeight="1" outlineLevel="1" x14ac:dyDescent="0.2">
      <c r="B207" s="24" t="s">
        <v>4</v>
      </c>
      <c r="C207" s="24" t="str">
        <f>C206&amp;".Value"</f>
        <v>FAF1_LOWLOAD_W133.Value</v>
      </c>
      <c r="D207" s="24"/>
      <c r="E207" s="24" t="str">
        <f>E206</f>
        <v>B10PS FAF1 LowLoad</v>
      </c>
      <c r="F207" s="24"/>
      <c r="G207" s="24"/>
      <c r="H207" s="26"/>
      <c r="I207" s="26"/>
      <c r="J207" s="24"/>
      <c r="K207" s="36" t="s">
        <v>152</v>
      </c>
      <c r="M207" s="37"/>
      <c r="N207" s="37"/>
      <c r="O207" s="37"/>
      <c r="P207" s="28"/>
      <c r="Q207" s="29"/>
      <c r="R207" s="29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</row>
    <row r="208" spans="2:41" s="34" customFormat="1" ht="9.75" hidden="1" customHeight="1" outlineLevel="1" x14ac:dyDescent="0.2">
      <c r="B208" s="24"/>
      <c r="C208" s="24"/>
      <c r="D208" s="24"/>
      <c r="E208" s="24"/>
      <c r="F208" s="24"/>
      <c r="G208" s="24"/>
      <c r="H208" s="26"/>
      <c r="I208" s="26"/>
      <c r="J208" s="24"/>
      <c r="K208" s="36"/>
      <c r="M208" s="37"/>
      <c r="N208" s="37"/>
      <c r="O208" s="37"/>
      <c r="P208" s="28"/>
      <c r="Q208" s="29"/>
      <c r="R208" s="29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</row>
    <row r="209" spans="2:41" s="34" customFormat="1" ht="9.75" customHeight="1" collapsed="1" x14ac:dyDescent="0.2">
      <c r="B209" s="24" t="s">
        <v>2</v>
      </c>
      <c r="C209" s="25" t="s">
        <v>26</v>
      </c>
      <c r="D209" s="25"/>
      <c r="E209" s="24" t="s">
        <v>404</v>
      </c>
      <c r="F209" s="24"/>
      <c r="G209" s="24"/>
      <c r="H209" s="26"/>
      <c r="I209" s="26"/>
      <c r="J209" s="24"/>
      <c r="K209" s="36"/>
      <c r="M209" s="37"/>
      <c r="N209" s="37"/>
      <c r="O209" s="37"/>
      <c r="P209" s="28"/>
      <c r="Q209" s="29"/>
      <c r="R209" s="29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</row>
    <row r="210" spans="2:41" s="34" customFormat="1" ht="9.75" hidden="1" customHeight="1" outlineLevel="1" x14ac:dyDescent="0.2">
      <c r="B210" s="32" t="s">
        <v>4</v>
      </c>
      <c r="C210" s="24" t="str">
        <f>C209&amp;".BTA"</f>
        <v>FAF1_OAMT_W133.BTA</v>
      </c>
      <c r="D210" s="24"/>
      <c r="E210" s="32" t="str">
        <f>E209&amp;" BTA"</f>
        <v>B10PS FAF1 Outside Air Dewpoint Temperature BTA</v>
      </c>
      <c r="F210" s="24"/>
      <c r="G210" s="24"/>
      <c r="H210" s="26"/>
      <c r="I210" s="26"/>
      <c r="J210" s="24"/>
      <c r="K210" s="36" t="s">
        <v>27</v>
      </c>
      <c r="M210" s="37"/>
      <c r="N210" s="37"/>
      <c r="O210" s="37"/>
      <c r="P210" s="28"/>
      <c r="Q210" s="29"/>
      <c r="R210" s="29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</row>
    <row r="211" spans="2:41" s="34" customFormat="1" ht="9.75" hidden="1" customHeight="1" outlineLevel="1" x14ac:dyDescent="0.2">
      <c r="B211" s="32" t="s">
        <v>4</v>
      </c>
      <c r="C211" s="24" t="str">
        <f>C209&amp;".IsDS"</f>
        <v>FAF1_OAMT_W133.IsDS</v>
      </c>
      <c r="D211" s="24"/>
      <c r="E211" s="32" t="str">
        <f>E209&amp;" Alarm Disabled"</f>
        <v>B10PS FAF1 Outside Air Dewpoint Temperature Alarm Disabled</v>
      </c>
      <c r="F211" s="24"/>
      <c r="G211" s="24"/>
      <c r="H211" s="26"/>
      <c r="I211" s="26"/>
      <c r="J211" s="24"/>
      <c r="K211" s="36" t="s">
        <v>379</v>
      </c>
      <c r="M211" s="37"/>
      <c r="N211" s="37"/>
      <c r="O211" s="37"/>
      <c r="P211" s="28"/>
      <c r="Q211" s="29"/>
      <c r="R211" s="29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</row>
    <row r="212" spans="2:41" s="34" customFormat="1" ht="9.75" hidden="1" customHeight="1" outlineLevel="1" x14ac:dyDescent="0.2">
      <c r="B212" s="32" t="s">
        <v>6</v>
      </c>
      <c r="C212" s="24" t="str">
        <f>C209&amp;".PV"</f>
        <v>FAF1_OAMT_W133.PV</v>
      </c>
      <c r="D212" s="24"/>
      <c r="E212" s="32" t="str">
        <f>E209&amp;" PV"</f>
        <v>B10PS FAF1 Outside Air Dewpoint Temperature PV</v>
      </c>
      <c r="F212" s="24"/>
      <c r="G212" s="24"/>
      <c r="H212" s="26"/>
      <c r="I212" s="26"/>
      <c r="J212" s="24"/>
      <c r="K212" s="36" t="s">
        <v>28</v>
      </c>
      <c r="M212" s="37"/>
      <c r="N212" s="37"/>
      <c r="O212" s="37"/>
      <c r="P212" s="28"/>
      <c r="Q212" s="29"/>
      <c r="R212" s="29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</row>
    <row r="213" spans="2:41" s="34" customFormat="1" ht="9.75" hidden="1" customHeight="1" outlineLevel="1" x14ac:dyDescent="0.2">
      <c r="B213" s="32" t="s">
        <v>6</v>
      </c>
      <c r="C213" s="24" t="str">
        <f>C209&amp;".PV_H_Alm"</f>
        <v>FAF1_OAMT_W133.PV_H_Alm</v>
      </c>
      <c r="D213" s="24"/>
      <c r="E213" s="32" t="str">
        <f>E209&amp;" PV Hi"</f>
        <v>B10PS FAF1 Outside Air Dewpoint Temperature PV Hi</v>
      </c>
      <c r="F213" s="24"/>
      <c r="G213" s="24"/>
      <c r="H213" s="26"/>
      <c r="I213" s="26"/>
      <c r="J213" s="24"/>
      <c r="K213" s="36" t="s">
        <v>379</v>
      </c>
      <c r="M213" s="37"/>
      <c r="N213" s="37"/>
      <c r="O213" s="37"/>
      <c r="P213" s="28"/>
      <c r="Q213" s="29"/>
      <c r="R213" s="29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</row>
    <row r="214" spans="2:41" s="34" customFormat="1" ht="9.75" hidden="1" customHeight="1" outlineLevel="1" x14ac:dyDescent="0.2">
      <c r="B214" s="32" t="s">
        <v>6</v>
      </c>
      <c r="C214" s="24" t="str">
        <f>C209&amp;".PV_HH_Alm"</f>
        <v>FAF1_OAMT_W133.PV_HH_Alm</v>
      </c>
      <c r="D214" s="24"/>
      <c r="E214" s="32" t="str">
        <f>E209&amp;" PV HiHi"</f>
        <v>B10PS FAF1 Outside Air Dewpoint Temperature PV HiHi</v>
      </c>
      <c r="F214" s="24"/>
      <c r="G214" s="24"/>
      <c r="H214" s="26"/>
      <c r="I214" s="26"/>
      <c r="J214" s="24"/>
      <c r="K214" s="36" t="s">
        <v>379</v>
      </c>
      <c r="M214" s="37"/>
      <c r="N214" s="37"/>
      <c r="O214" s="37"/>
      <c r="P214" s="28"/>
      <c r="Q214" s="29"/>
      <c r="R214" s="29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</row>
    <row r="215" spans="2:41" s="34" customFormat="1" ht="9.75" hidden="1" customHeight="1" outlineLevel="1" x14ac:dyDescent="0.2">
      <c r="B215" s="32" t="s">
        <v>6</v>
      </c>
      <c r="C215" s="24" t="str">
        <f>C209&amp;".PV_L_Alm"</f>
        <v>FAF1_OAMT_W133.PV_L_Alm</v>
      </c>
      <c r="D215" s="24"/>
      <c r="E215" s="32" t="str">
        <f>E209&amp;" PV Lo"</f>
        <v>B10PS FAF1 Outside Air Dewpoint Temperature PV Lo</v>
      </c>
      <c r="F215" s="24"/>
      <c r="G215" s="24"/>
      <c r="H215" s="26"/>
      <c r="I215" s="26"/>
      <c r="J215" s="24"/>
      <c r="K215" s="36" t="s">
        <v>379</v>
      </c>
      <c r="M215" s="37"/>
      <c r="N215" s="37"/>
      <c r="O215" s="37"/>
      <c r="P215" s="28"/>
      <c r="Q215" s="29"/>
      <c r="R215" s="29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</row>
    <row r="216" spans="2:41" s="34" customFormat="1" ht="9.75" hidden="1" customHeight="1" outlineLevel="1" x14ac:dyDescent="0.2">
      <c r="B216" s="32" t="s">
        <v>6</v>
      </c>
      <c r="C216" s="24" t="str">
        <f>C209&amp;".PV_LL_Alm"</f>
        <v>FAF1_OAMT_W133.PV_LL_Alm</v>
      </c>
      <c r="D216" s="24"/>
      <c r="E216" s="32" t="str">
        <f>E209&amp;" PV LoLo"</f>
        <v>B10PS FAF1 Outside Air Dewpoint Temperature PV LoLo</v>
      </c>
      <c r="F216" s="24"/>
      <c r="G216" s="24"/>
      <c r="H216" s="26"/>
      <c r="I216" s="26"/>
      <c r="J216" s="24"/>
      <c r="K216" s="36" t="s">
        <v>379</v>
      </c>
      <c r="M216" s="37"/>
      <c r="N216" s="37"/>
      <c r="O216" s="37"/>
      <c r="P216" s="28"/>
      <c r="Q216" s="29"/>
      <c r="R216" s="29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</row>
    <row r="217" spans="2:41" s="34" customFormat="1" ht="9.75" hidden="1" customHeight="1" outlineLevel="1" x14ac:dyDescent="0.2">
      <c r="B217" s="32" t="s">
        <v>4</v>
      </c>
      <c r="C217" s="24" t="str">
        <f>C209&amp;".Reset"</f>
        <v>FAF1_OAMT_W133.Reset</v>
      </c>
      <c r="D217" s="24"/>
      <c r="E217" s="32" t="str">
        <f>E209&amp;" BTA Reset"</f>
        <v>B10PS FAF1 Outside Air Dewpoint Temperature BTA Reset</v>
      </c>
      <c r="F217" s="24"/>
      <c r="G217" s="24"/>
      <c r="H217" s="26"/>
      <c r="I217" s="26"/>
      <c r="J217" s="24"/>
      <c r="K217" s="36" t="s">
        <v>29</v>
      </c>
      <c r="M217" s="37"/>
      <c r="N217" s="37"/>
      <c r="O217" s="37"/>
      <c r="P217" s="28"/>
      <c r="Q217" s="29"/>
      <c r="R217" s="29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</row>
    <row r="218" spans="2:41" s="34" customFormat="1" ht="9.75" hidden="1" customHeight="1" outlineLevel="1" x14ac:dyDescent="0.2">
      <c r="B218" s="32"/>
      <c r="C218" s="24"/>
      <c r="D218" s="24"/>
      <c r="E218" s="32"/>
      <c r="F218" s="24"/>
      <c r="G218" s="24"/>
      <c r="H218" s="26"/>
      <c r="I218" s="26"/>
      <c r="J218" s="24"/>
      <c r="K218" s="36"/>
      <c r="M218" s="37"/>
      <c r="N218" s="37"/>
      <c r="O218" s="37"/>
      <c r="P218" s="28"/>
      <c r="Q218" s="29"/>
      <c r="R218" s="29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</row>
    <row r="219" spans="2:41" s="34" customFormat="1" ht="9.75" customHeight="1" collapsed="1" x14ac:dyDescent="0.2">
      <c r="B219" s="24" t="s">
        <v>2</v>
      </c>
      <c r="C219" s="25" t="s">
        <v>30</v>
      </c>
      <c r="D219" s="25"/>
      <c r="E219" s="24" t="s">
        <v>405</v>
      </c>
      <c r="F219" s="24"/>
      <c r="G219" s="24"/>
      <c r="H219" s="26"/>
      <c r="I219" s="26"/>
      <c r="J219" s="24"/>
      <c r="K219" s="36"/>
      <c r="M219" s="37"/>
      <c r="N219" s="37"/>
      <c r="O219" s="37"/>
      <c r="P219" s="28"/>
      <c r="Q219" s="29"/>
      <c r="R219" s="29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</row>
    <row r="220" spans="2:41" s="34" customFormat="1" ht="9.75" hidden="1" customHeight="1" outlineLevel="1" x14ac:dyDescent="0.2">
      <c r="B220" s="32" t="s">
        <v>4</v>
      </c>
      <c r="C220" s="24" t="str">
        <f>C219&amp;".BTA"</f>
        <v>FAF1_OATT_W133.BTA</v>
      </c>
      <c r="D220" s="24"/>
      <c r="E220" s="32" t="str">
        <f>E219&amp;" BTA"</f>
        <v>B10PS FAF1 Outside Air Temperature BTA</v>
      </c>
      <c r="F220" s="24"/>
      <c r="G220" s="24"/>
      <c r="H220" s="26"/>
      <c r="I220" s="26"/>
      <c r="J220" s="24"/>
      <c r="K220" s="36" t="s">
        <v>31</v>
      </c>
      <c r="M220" s="37"/>
      <c r="N220" s="37"/>
      <c r="O220" s="37"/>
      <c r="P220" s="28"/>
      <c r="Q220" s="29"/>
      <c r="R220" s="29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</row>
    <row r="221" spans="2:41" s="34" customFormat="1" ht="9.75" hidden="1" customHeight="1" outlineLevel="1" x14ac:dyDescent="0.2">
      <c r="B221" s="32" t="s">
        <v>4</v>
      </c>
      <c r="C221" s="24" t="str">
        <f>C219&amp;".IsDS"</f>
        <v>FAF1_OATT_W133.IsDS</v>
      </c>
      <c r="D221" s="24"/>
      <c r="E221" s="32" t="str">
        <f>E219&amp;" Alarm Disabled"</f>
        <v>B10PS FAF1 Outside Air Temperature Alarm Disabled</v>
      </c>
      <c r="F221" s="24"/>
      <c r="G221" s="24"/>
      <c r="H221" s="26"/>
      <c r="I221" s="26"/>
      <c r="J221" s="24"/>
      <c r="K221" s="36" t="s">
        <v>379</v>
      </c>
      <c r="M221" s="37"/>
      <c r="N221" s="37"/>
      <c r="O221" s="37"/>
      <c r="P221" s="28"/>
      <c r="Q221" s="29"/>
      <c r="R221" s="29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</row>
    <row r="222" spans="2:41" s="34" customFormat="1" ht="9.75" hidden="1" customHeight="1" outlineLevel="1" x14ac:dyDescent="0.2">
      <c r="B222" s="32" t="s">
        <v>6</v>
      </c>
      <c r="C222" s="24" t="str">
        <f>C219&amp;".PV"</f>
        <v>FAF1_OATT_W133.PV</v>
      </c>
      <c r="D222" s="24"/>
      <c r="E222" s="32" t="str">
        <f>E219&amp;" PV"</f>
        <v>B10PS FAF1 Outside Air Temperature PV</v>
      </c>
      <c r="F222" s="24"/>
      <c r="G222" s="24"/>
      <c r="H222" s="26"/>
      <c r="I222" s="26"/>
      <c r="J222" s="24"/>
      <c r="K222" s="36" t="s">
        <v>32</v>
      </c>
      <c r="M222" s="37"/>
      <c r="N222" s="37"/>
      <c r="O222" s="37"/>
      <c r="P222" s="28"/>
      <c r="Q222" s="29"/>
      <c r="R222" s="29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</row>
    <row r="223" spans="2:41" s="34" customFormat="1" ht="9.75" hidden="1" customHeight="1" outlineLevel="1" x14ac:dyDescent="0.2">
      <c r="B223" s="32" t="s">
        <v>6</v>
      </c>
      <c r="C223" s="24" t="str">
        <f>C219&amp;".PV_H_Alm"</f>
        <v>FAF1_OATT_W133.PV_H_Alm</v>
      </c>
      <c r="D223" s="24"/>
      <c r="E223" s="32" t="str">
        <f>E219&amp;" PV Hi"</f>
        <v>B10PS FAF1 Outside Air Temperature PV Hi</v>
      </c>
      <c r="F223" s="24"/>
      <c r="G223" s="24"/>
      <c r="H223" s="26"/>
      <c r="I223" s="26"/>
      <c r="J223" s="24"/>
      <c r="K223" s="36" t="s">
        <v>379</v>
      </c>
      <c r="M223" s="37"/>
      <c r="N223" s="37"/>
      <c r="O223" s="37"/>
      <c r="P223" s="28"/>
      <c r="Q223" s="29"/>
      <c r="R223" s="29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</row>
    <row r="224" spans="2:41" s="34" customFormat="1" ht="9.75" hidden="1" customHeight="1" outlineLevel="1" x14ac:dyDescent="0.2">
      <c r="B224" s="32" t="s">
        <v>6</v>
      </c>
      <c r="C224" s="24" t="str">
        <f>C219&amp;".PV_HH_Alm"</f>
        <v>FAF1_OATT_W133.PV_HH_Alm</v>
      </c>
      <c r="D224" s="24"/>
      <c r="E224" s="32" t="str">
        <f>E219&amp;" PV HiHi"</f>
        <v>B10PS FAF1 Outside Air Temperature PV HiHi</v>
      </c>
      <c r="F224" s="24"/>
      <c r="G224" s="24"/>
      <c r="H224" s="26"/>
      <c r="I224" s="26"/>
      <c r="J224" s="24"/>
      <c r="K224" s="36" t="s">
        <v>379</v>
      </c>
      <c r="M224" s="37"/>
      <c r="N224" s="37"/>
      <c r="O224" s="37"/>
      <c r="P224" s="28"/>
      <c r="Q224" s="29"/>
      <c r="R224" s="29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</row>
    <row r="225" spans="2:41" s="34" customFormat="1" ht="9.75" hidden="1" customHeight="1" outlineLevel="1" x14ac:dyDescent="0.2">
      <c r="B225" s="32" t="s">
        <v>6</v>
      </c>
      <c r="C225" s="24" t="str">
        <f>C219&amp;".PV_L_Alm"</f>
        <v>FAF1_OATT_W133.PV_L_Alm</v>
      </c>
      <c r="D225" s="24"/>
      <c r="E225" s="32" t="str">
        <f>E219&amp;" PV Lo"</f>
        <v>B10PS FAF1 Outside Air Temperature PV Lo</v>
      </c>
      <c r="F225" s="24"/>
      <c r="G225" s="24"/>
      <c r="H225" s="26"/>
      <c r="I225" s="26"/>
      <c r="J225" s="24"/>
      <c r="K225" s="36" t="s">
        <v>379</v>
      </c>
      <c r="M225" s="37"/>
      <c r="N225" s="37"/>
      <c r="O225" s="37"/>
      <c r="P225" s="28"/>
      <c r="Q225" s="29"/>
      <c r="R225" s="29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</row>
    <row r="226" spans="2:41" s="34" customFormat="1" ht="9.75" hidden="1" customHeight="1" outlineLevel="1" x14ac:dyDescent="0.2">
      <c r="B226" s="32" t="s">
        <v>6</v>
      </c>
      <c r="C226" s="24" t="str">
        <f>C219&amp;".PV_LL_Alm"</f>
        <v>FAF1_OATT_W133.PV_LL_Alm</v>
      </c>
      <c r="D226" s="24"/>
      <c r="E226" s="32" t="str">
        <f>E219&amp;" PV LoLo"</f>
        <v>B10PS FAF1 Outside Air Temperature PV LoLo</v>
      </c>
      <c r="F226" s="24"/>
      <c r="G226" s="24"/>
      <c r="H226" s="26"/>
      <c r="I226" s="26"/>
      <c r="J226" s="24"/>
      <c r="K226" s="36" t="s">
        <v>379</v>
      </c>
      <c r="M226" s="37"/>
      <c r="N226" s="37"/>
      <c r="O226" s="37"/>
      <c r="P226" s="28"/>
      <c r="Q226" s="29"/>
      <c r="R226" s="29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</row>
    <row r="227" spans="2:41" s="34" customFormat="1" ht="9.75" hidden="1" customHeight="1" outlineLevel="1" x14ac:dyDescent="0.2">
      <c r="B227" s="32" t="s">
        <v>4</v>
      </c>
      <c r="C227" s="24" t="str">
        <f>C219&amp;".Reset"</f>
        <v>FAF1_OATT_W133.Reset</v>
      </c>
      <c r="D227" s="24"/>
      <c r="E227" s="32" t="str">
        <f>E219&amp;" BTA Reset"</f>
        <v>B10PS FAF1 Outside Air Temperature BTA Reset</v>
      </c>
      <c r="F227" s="24"/>
      <c r="G227" s="24"/>
      <c r="H227" s="26"/>
      <c r="I227" s="26"/>
      <c r="J227" s="24"/>
      <c r="K227" s="36" t="s">
        <v>33</v>
      </c>
      <c r="M227" s="37"/>
      <c r="N227" s="37"/>
      <c r="O227" s="37"/>
      <c r="P227" s="28"/>
      <c r="Q227" s="29"/>
      <c r="R227" s="29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</row>
    <row r="228" spans="2:41" s="34" customFormat="1" ht="9.75" hidden="1" customHeight="1" outlineLevel="1" x14ac:dyDescent="0.2">
      <c r="B228" s="32"/>
      <c r="C228" s="24"/>
      <c r="D228" s="24"/>
      <c r="E228" s="32"/>
      <c r="F228" s="24"/>
      <c r="G228" s="24"/>
      <c r="H228" s="26"/>
      <c r="I228" s="26"/>
      <c r="J228" s="24"/>
      <c r="K228" s="36"/>
      <c r="M228" s="37"/>
      <c r="N228" s="37"/>
      <c r="O228" s="37"/>
      <c r="P228" s="28"/>
      <c r="Q228" s="29"/>
      <c r="R228" s="29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</row>
    <row r="229" spans="2:41" s="34" customFormat="1" ht="9.75" customHeight="1" collapsed="1" x14ac:dyDescent="0.2">
      <c r="B229" s="24" t="s">
        <v>146</v>
      </c>
      <c r="C229" s="40" t="s">
        <v>156</v>
      </c>
      <c r="D229" s="40"/>
      <c r="E229" s="24" t="s">
        <v>406</v>
      </c>
      <c r="F229" s="24"/>
      <c r="G229" s="24"/>
      <c r="H229" s="26"/>
      <c r="I229" s="26"/>
      <c r="J229" s="24"/>
      <c r="M229" s="37"/>
      <c r="N229" s="37"/>
      <c r="O229" s="37"/>
      <c r="P229" s="28"/>
      <c r="Q229" s="29"/>
      <c r="R229" s="29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</row>
    <row r="230" spans="2:41" s="34" customFormat="1" ht="9.75" hidden="1" customHeight="1" outlineLevel="1" x14ac:dyDescent="0.2">
      <c r="B230" s="24" t="s">
        <v>4</v>
      </c>
      <c r="C230" s="24" t="str">
        <f>C229&amp;".Value"</f>
        <v>FAF1_ONLINE_W133.Value</v>
      </c>
      <c r="D230" s="24"/>
      <c r="E230" s="24" t="str">
        <f>E229</f>
        <v>B10PS FAF1 Online</v>
      </c>
      <c r="F230" s="24"/>
      <c r="G230" s="24"/>
      <c r="H230" s="26"/>
      <c r="I230" s="26"/>
      <c r="J230" s="24"/>
      <c r="K230" s="36" t="s">
        <v>157</v>
      </c>
      <c r="M230" s="37"/>
      <c r="N230" s="37"/>
      <c r="O230" s="37"/>
      <c r="P230" s="28"/>
      <c r="Q230" s="29"/>
      <c r="R230" s="29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</row>
    <row r="231" spans="2:41" s="34" customFormat="1" ht="9.75" hidden="1" customHeight="1" outlineLevel="1" x14ac:dyDescent="0.2">
      <c r="B231" s="24"/>
      <c r="C231" s="24"/>
      <c r="D231" s="24"/>
      <c r="E231" s="24"/>
      <c r="F231" s="24"/>
      <c r="G231" s="24"/>
      <c r="H231" s="26"/>
      <c r="I231" s="26"/>
      <c r="J231" s="24"/>
      <c r="K231" s="36"/>
      <c r="M231" s="37"/>
      <c r="N231" s="37"/>
      <c r="O231" s="37"/>
      <c r="P231" s="28"/>
      <c r="Q231" s="29"/>
      <c r="R231" s="29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</row>
    <row r="232" spans="2:41" s="34" customFormat="1" ht="9.75" customHeight="1" collapsed="1" x14ac:dyDescent="0.2">
      <c r="B232" s="24" t="s">
        <v>2</v>
      </c>
      <c r="C232" s="25" t="s">
        <v>34</v>
      </c>
      <c r="D232" s="25"/>
      <c r="E232" s="24" t="s">
        <v>407</v>
      </c>
      <c r="F232" s="24"/>
      <c r="G232" s="24"/>
      <c r="H232" s="26"/>
      <c r="I232" s="26"/>
      <c r="J232" s="24"/>
      <c r="K232" s="36"/>
      <c r="M232" s="37"/>
      <c r="N232" s="37"/>
      <c r="O232" s="37"/>
      <c r="P232" s="28"/>
      <c r="Q232" s="29"/>
      <c r="R232" s="29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</row>
    <row r="233" spans="2:41" s="34" customFormat="1" ht="9.75" hidden="1" customHeight="1" outlineLevel="1" x14ac:dyDescent="0.2">
      <c r="B233" s="32" t="s">
        <v>4</v>
      </c>
      <c r="C233" s="24" t="str">
        <f>C232&amp;".BTA"</f>
        <v>FAF1_PFDP_W133.BTA</v>
      </c>
      <c r="D233" s="24"/>
      <c r="E233" s="32" t="str">
        <f>E232&amp;" BTA"</f>
        <v>B10PS FAF1 Supply Fan Filter BTA</v>
      </c>
      <c r="F233" s="24"/>
      <c r="G233" s="24"/>
      <c r="H233" s="26"/>
      <c r="I233" s="26"/>
      <c r="J233" s="24"/>
      <c r="K233" s="36" t="s">
        <v>35</v>
      </c>
      <c r="M233" s="37"/>
      <c r="N233" s="37"/>
      <c r="O233" s="37"/>
      <c r="P233" s="28"/>
      <c r="Q233" s="29"/>
      <c r="R233" s="29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</row>
    <row r="234" spans="2:41" s="34" customFormat="1" ht="9.75" hidden="1" customHeight="1" outlineLevel="1" x14ac:dyDescent="0.2">
      <c r="B234" s="32" t="s">
        <v>4</v>
      </c>
      <c r="C234" s="24" t="str">
        <f>C232&amp;".IsDS"</f>
        <v>FAF1_PFDP_W133.IsDS</v>
      </c>
      <c r="D234" s="24"/>
      <c r="E234" s="32" t="str">
        <f>E232&amp;" Alarm Disabled"</f>
        <v>B10PS FAF1 Supply Fan Filter Alarm Disabled</v>
      </c>
      <c r="F234" s="24"/>
      <c r="G234" s="24"/>
      <c r="H234" s="26"/>
      <c r="I234" s="26"/>
      <c r="J234" s="24"/>
      <c r="K234" s="36" t="s">
        <v>379</v>
      </c>
      <c r="M234" s="37"/>
      <c r="N234" s="37"/>
      <c r="O234" s="37"/>
      <c r="P234" s="28"/>
      <c r="Q234" s="29"/>
      <c r="R234" s="29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</row>
    <row r="235" spans="2:41" s="34" customFormat="1" ht="9.75" hidden="1" customHeight="1" outlineLevel="1" x14ac:dyDescent="0.2">
      <c r="B235" s="32" t="s">
        <v>6</v>
      </c>
      <c r="C235" s="24" t="str">
        <f>C232&amp;".PV"</f>
        <v>FAF1_PFDP_W133.PV</v>
      </c>
      <c r="D235" s="24"/>
      <c r="E235" s="32" t="str">
        <f>E232&amp;" PV"</f>
        <v>B10PS FAF1 Supply Fan Filter PV</v>
      </c>
      <c r="F235" s="24"/>
      <c r="G235" s="24"/>
      <c r="H235" s="26"/>
      <c r="I235" s="26"/>
      <c r="J235" s="24"/>
      <c r="K235" s="36" t="s">
        <v>36</v>
      </c>
      <c r="M235" s="37"/>
      <c r="N235" s="37"/>
      <c r="O235" s="37"/>
      <c r="P235" s="28"/>
      <c r="Q235" s="29"/>
      <c r="R235" s="29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</row>
    <row r="236" spans="2:41" s="34" customFormat="1" ht="9.75" hidden="1" customHeight="1" outlineLevel="1" x14ac:dyDescent="0.2">
      <c r="B236" s="32" t="s">
        <v>6</v>
      </c>
      <c r="C236" s="24" t="str">
        <f>C232&amp;".PV_H_Alm"</f>
        <v>FAF1_PFDP_W133.PV_H_Alm</v>
      </c>
      <c r="D236" s="24"/>
      <c r="E236" s="32" t="str">
        <f>E232&amp;" PV Hi"</f>
        <v>B10PS FAF1 Supply Fan Filter PV Hi</v>
      </c>
      <c r="F236" s="24"/>
      <c r="G236" s="24"/>
      <c r="H236" s="26"/>
      <c r="I236" s="26"/>
      <c r="J236" s="24"/>
      <c r="K236" s="36" t="s">
        <v>379</v>
      </c>
      <c r="M236" s="37"/>
      <c r="N236" s="37"/>
      <c r="O236" s="37"/>
      <c r="P236" s="28"/>
      <c r="Q236" s="29"/>
      <c r="R236" s="29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</row>
    <row r="237" spans="2:41" s="34" customFormat="1" ht="9.75" hidden="1" customHeight="1" outlineLevel="1" x14ac:dyDescent="0.2">
      <c r="B237" s="32" t="s">
        <v>6</v>
      </c>
      <c r="C237" s="24" t="str">
        <f>C232&amp;".PV_HH_Alm"</f>
        <v>FAF1_PFDP_W133.PV_HH_Alm</v>
      </c>
      <c r="D237" s="24"/>
      <c r="E237" s="32" t="str">
        <f>E232&amp;" PV HiHi"</f>
        <v>B10PS FAF1 Supply Fan Filter PV HiHi</v>
      </c>
      <c r="F237" s="24"/>
      <c r="G237" s="24"/>
      <c r="H237" s="26"/>
      <c r="I237" s="26"/>
      <c r="J237" s="24"/>
      <c r="K237" s="36" t="s">
        <v>379</v>
      </c>
      <c r="M237" s="37"/>
      <c r="N237" s="37"/>
      <c r="O237" s="37"/>
      <c r="P237" s="28"/>
      <c r="Q237" s="29"/>
      <c r="R237" s="29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</row>
    <row r="238" spans="2:41" s="34" customFormat="1" ht="9.75" hidden="1" customHeight="1" outlineLevel="1" x14ac:dyDescent="0.2">
      <c r="B238" s="32" t="s">
        <v>6</v>
      </c>
      <c r="C238" s="24" t="str">
        <f>C232&amp;".PV_L_Alm"</f>
        <v>FAF1_PFDP_W133.PV_L_Alm</v>
      </c>
      <c r="D238" s="24"/>
      <c r="E238" s="32" t="str">
        <f>E232&amp;" PV Lo"</f>
        <v>B10PS FAF1 Supply Fan Filter PV Lo</v>
      </c>
      <c r="F238" s="24"/>
      <c r="G238" s="24"/>
      <c r="H238" s="26"/>
      <c r="I238" s="26"/>
      <c r="J238" s="24"/>
      <c r="K238" s="36" t="s">
        <v>379</v>
      </c>
      <c r="M238" s="37"/>
      <c r="N238" s="37"/>
      <c r="O238" s="37"/>
      <c r="P238" s="28"/>
      <c r="Q238" s="29"/>
      <c r="R238" s="29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</row>
    <row r="239" spans="2:41" s="34" customFormat="1" ht="9.75" hidden="1" customHeight="1" outlineLevel="1" x14ac:dyDescent="0.2">
      <c r="B239" s="32" t="s">
        <v>6</v>
      </c>
      <c r="C239" s="24" t="str">
        <f>C232&amp;".PV_LL_Alm"</f>
        <v>FAF1_PFDP_W133.PV_LL_Alm</v>
      </c>
      <c r="D239" s="24"/>
      <c r="E239" s="32" t="str">
        <f>E232&amp;" PV LoLo"</f>
        <v>B10PS FAF1 Supply Fan Filter PV LoLo</v>
      </c>
      <c r="F239" s="24"/>
      <c r="G239" s="24"/>
      <c r="H239" s="26"/>
      <c r="I239" s="26"/>
      <c r="J239" s="24"/>
      <c r="K239" s="36" t="s">
        <v>379</v>
      </c>
      <c r="M239" s="37"/>
      <c r="N239" s="37"/>
      <c r="O239" s="37"/>
      <c r="P239" s="28"/>
      <c r="Q239" s="29"/>
      <c r="R239" s="29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</row>
    <row r="240" spans="2:41" s="34" customFormat="1" ht="9.75" hidden="1" customHeight="1" outlineLevel="1" x14ac:dyDescent="0.2">
      <c r="B240" s="32" t="s">
        <v>4</v>
      </c>
      <c r="C240" s="24" t="str">
        <f>C232&amp;".Reset"</f>
        <v>FAF1_PFDP_W133.Reset</v>
      </c>
      <c r="D240" s="24"/>
      <c r="E240" s="32" t="str">
        <f>E232&amp;" BTA Reset"</f>
        <v>B10PS FAF1 Supply Fan Filter BTA Reset</v>
      </c>
      <c r="F240" s="24"/>
      <c r="G240" s="24"/>
      <c r="H240" s="26"/>
      <c r="I240" s="26"/>
      <c r="J240" s="24"/>
      <c r="K240" s="36" t="s">
        <v>37</v>
      </c>
      <c r="M240" s="37"/>
      <c r="N240" s="37"/>
      <c r="O240" s="37"/>
      <c r="P240" s="28"/>
      <c r="Q240" s="29"/>
      <c r="R240" s="29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</row>
    <row r="241" spans="2:41" s="34" customFormat="1" ht="9.75" hidden="1" customHeight="1" outlineLevel="1" x14ac:dyDescent="0.2">
      <c r="B241" s="32"/>
      <c r="C241" s="24"/>
      <c r="D241" s="24"/>
      <c r="E241" s="32"/>
      <c r="F241" s="24"/>
      <c r="G241" s="24"/>
      <c r="H241" s="26"/>
      <c r="I241" s="26"/>
      <c r="J241" s="24"/>
      <c r="K241" s="36"/>
      <c r="M241" s="37"/>
      <c r="N241" s="37"/>
      <c r="O241" s="37"/>
      <c r="P241" s="28"/>
      <c r="Q241" s="29"/>
      <c r="R241" s="29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</row>
    <row r="242" spans="2:41" s="34" customFormat="1" ht="9.75" customHeight="1" collapsed="1" x14ac:dyDescent="0.2">
      <c r="B242" s="24" t="s">
        <v>2</v>
      </c>
      <c r="C242" s="25" t="s">
        <v>38</v>
      </c>
      <c r="D242" s="25"/>
      <c r="E242" s="24" t="s">
        <v>408</v>
      </c>
      <c r="F242" s="24"/>
      <c r="G242" s="24"/>
      <c r="H242" s="26"/>
      <c r="I242" s="26"/>
      <c r="J242" s="24"/>
      <c r="K242" s="36"/>
      <c r="M242" s="37"/>
      <c r="N242" s="37"/>
      <c r="O242" s="37"/>
      <c r="P242" s="28"/>
      <c r="Q242" s="29"/>
      <c r="R242" s="29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</row>
    <row r="243" spans="2:41" s="34" customFormat="1" ht="9.75" hidden="1" customHeight="1" outlineLevel="1" x14ac:dyDescent="0.2">
      <c r="B243" s="32" t="s">
        <v>4</v>
      </c>
      <c r="C243" s="24" t="str">
        <f>C242&amp;".BTA"</f>
        <v>FAF1_PHDTT_W133.BTA</v>
      </c>
      <c r="D243" s="24"/>
      <c r="E243" s="32" t="str">
        <f>E242&amp;" BTA"</f>
        <v>B10PS FAF1 Preheat Discharge Air Temperature BTA</v>
      </c>
      <c r="F243" s="24"/>
      <c r="G243" s="24"/>
      <c r="H243" s="26"/>
      <c r="I243" s="26"/>
      <c r="J243" s="24"/>
      <c r="K243" s="36" t="s">
        <v>39</v>
      </c>
      <c r="M243" s="37"/>
      <c r="N243" s="37"/>
      <c r="O243" s="37"/>
      <c r="P243" s="28"/>
      <c r="Q243" s="29"/>
      <c r="R243" s="29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</row>
    <row r="244" spans="2:41" s="34" customFormat="1" ht="9.75" hidden="1" customHeight="1" outlineLevel="1" x14ac:dyDescent="0.2">
      <c r="B244" s="32" t="s">
        <v>4</v>
      </c>
      <c r="C244" s="24" t="str">
        <f>C242&amp;".IsDS"</f>
        <v>FAF1_PHDTT_W133.IsDS</v>
      </c>
      <c r="D244" s="24"/>
      <c r="E244" s="32" t="str">
        <f>E242&amp;" Alarm Disabled"</f>
        <v>B10PS FAF1 Preheat Discharge Air Temperature Alarm Disabled</v>
      </c>
      <c r="F244" s="24"/>
      <c r="G244" s="24"/>
      <c r="H244" s="26"/>
      <c r="I244" s="26"/>
      <c r="J244" s="24"/>
      <c r="K244" s="36" t="s">
        <v>379</v>
      </c>
      <c r="M244" s="37"/>
      <c r="N244" s="37"/>
      <c r="O244" s="37"/>
      <c r="P244" s="28"/>
      <c r="Q244" s="29"/>
      <c r="R244" s="29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</row>
    <row r="245" spans="2:41" s="34" customFormat="1" ht="9.75" hidden="1" customHeight="1" outlineLevel="1" x14ac:dyDescent="0.2">
      <c r="B245" s="32" t="s">
        <v>6</v>
      </c>
      <c r="C245" s="24" t="str">
        <f>C242&amp;".PV"</f>
        <v>FAF1_PHDTT_W133.PV</v>
      </c>
      <c r="D245" s="24"/>
      <c r="E245" s="32" t="str">
        <f>E242&amp;" PV"</f>
        <v>B10PS FAF1 Preheat Discharge Air Temperature PV</v>
      </c>
      <c r="F245" s="24"/>
      <c r="G245" s="24"/>
      <c r="H245" s="26"/>
      <c r="I245" s="26"/>
      <c r="J245" s="24"/>
      <c r="K245" s="36" t="s">
        <v>40</v>
      </c>
      <c r="M245" s="37"/>
      <c r="N245" s="37"/>
      <c r="O245" s="37"/>
      <c r="P245" s="28"/>
      <c r="Q245" s="29"/>
      <c r="R245" s="29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</row>
    <row r="246" spans="2:41" s="34" customFormat="1" ht="9.75" hidden="1" customHeight="1" outlineLevel="1" x14ac:dyDescent="0.2">
      <c r="B246" s="32" t="s">
        <v>6</v>
      </c>
      <c r="C246" s="24" t="str">
        <f>C242&amp;".PV_H_Alm"</f>
        <v>FAF1_PHDTT_W133.PV_H_Alm</v>
      </c>
      <c r="D246" s="24"/>
      <c r="E246" s="32" t="str">
        <f>E242&amp;" PV Hi"</f>
        <v>B10PS FAF1 Preheat Discharge Air Temperature PV Hi</v>
      </c>
      <c r="F246" s="24"/>
      <c r="G246" s="24"/>
      <c r="H246" s="26"/>
      <c r="I246" s="26"/>
      <c r="J246" s="24"/>
      <c r="K246" s="36" t="s">
        <v>379</v>
      </c>
      <c r="M246" s="37"/>
      <c r="N246" s="37"/>
      <c r="O246" s="37"/>
      <c r="P246" s="28"/>
      <c r="Q246" s="29"/>
      <c r="R246" s="29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</row>
    <row r="247" spans="2:41" s="34" customFormat="1" ht="9.75" hidden="1" customHeight="1" outlineLevel="1" x14ac:dyDescent="0.2">
      <c r="B247" s="32" t="s">
        <v>6</v>
      </c>
      <c r="C247" s="24" t="str">
        <f>C242&amp;".PV_HH_Alm"</f>
        <v>FAF1_PHDTT_W133.PV_HH_Alm</v>
      </c>
      <c r="D247" s="24"/>
      <c r="E247" s="32" t="str">
        <f>E242&amp;" PV HiHi"</f>
        <v>B10PS FAF1 Preheat Discharge Air Temperature PV HiHi</v>
      </c>
      <c r="F247" s="24"/>
      <c r="G247" s="24"/>
      <c r="H247" s="26"/>
      <c r="I247" s="26"/>
      <c r="J247" s="24"/>
      <c r="K247" s="36" t="s">
        <v>379</v>
      </c>
      <c r="M247" s="37"/>
      <c r="N247" s="37"/>
      <c r="O247" s="37"/>
      <c r="P247" s="28"/>
      <c r="Q247" s="29"/>
      <c r="R247" s="29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</row>
    <row r="248" spans="2:41" s="34" customFormat="1" ht="9.75" hidden="1" customHeight="1" outlineLevel="1" x14ac:dyDescent="0.2">
      <c r="B248" s="32" t="s">
        <v>6</v>
      </c>
      <c r="C248" s="24" t="str">
        <f>C242&amp;".PV_L_Alm"</f>
        <v>FAF1_PHDTT_W133.PV_L_Alm</v>
      </c>
      <c r="D248" s="24"/>
      <c r="E248" s="32" t="str">
        <f>E242&amp;" PV Lo"</f>
        <v>B10PS FAF1 Preheat Discharge Air Temperature PV Lo</v>
      </c>
      <c r="F248" s="24"/>
      <c r="G248" s="24"/>
      <c r="H248" s="26"/>
      <c r="I248" s="26"/>
      <c r="J248" s="24"/>
      <c r="K248" s="36" t="s">
        <v>379</v>
      </c>
      <c r="M248" s="37"/>
      <c r="N248" s="37"/>
      <c r="O248" s="37"/>
      <c r="P248" s="28"/>
      <c r="Q248" s="29"/>
      <c r="R248" s="29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</row>
    <row r="249" spans="2:41" s="34" customFormat="1" ht="9.75" hidden="1" customHeight="1" outlineLevel="1" x14ac:dyDescent="0.2">
      <c r="B249" s="32" t="s">
        <v>6</v>
      </c>
      <c r="C249" s="24" t="str">
        <f>C242&amp;".PV_LL_Alm"</f>
        <v>FAF1_PHDTT_W133.PV_LL_Alm</v>
      </c>
      <c r="D249" s="24"/>
      <c r="E249" s="32" t="str">
        <f>E242&amp;" PV LoLo"</f>
        <v>B10PS FAF1 Preheat Discharge Air Temperature PV LoLo</v>
      </c>
      <c r="F249" s="24"/>
      <c r="G249" s="24"/>
      <c r="H249" s="26"/>
      <c r="I249" s="26"/>
      <c r="J249" s="24"/>
      <c r="K249" s="36" t="s">
        <v>379</v>
      </c>
      <c r="M249" s="37"/>
      <c r="N249" s="37"/>
      <c r="O249" s="37"/>
      <c r="P249" s="28"/>
      <c r="Q249" s="29"/>
      <c r="R249" s="29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</row>
    <row r="250" spans="2:41" s="34" customFormat="1" ht="9.75" hidden="1" customHeight="1" outlineLevel="1" x14ac:dyDescent="0.2">
      <c r="B250" s="32" t="s">
        <v>4</v>
      </c>
      <c r="C250" s="24" t="str">
        <f>C242&amp;".Reset"</f>
        <v>FAF1_PHDTT_W133.Reset</v>
      </c>
      <c r="D250" s="24"/>
      <c r="E250" s="32" t="str">
        <f>E242&amp;" BTA Reset"</f>
        <v>B10PS FAF1 Preheat Discharge Air Temperature BTA Reset</v>
      </c>
      <c r="F250" s="24"/>
      <c r="G250" s="24"/>
      <c r="H250" s="26"/>
      <c r="I250" s="26"/>
      <c r="J250" s="24"/>
      <c r="K250" s="36" t="s">
        <v>41</v>
      </c>
      <c r="M250" s="37"/>
      <c r="N250" s="37"/>
      <c r="O250" s="37"/>
      <c r="P250" s="28"/>
      <c r="Q250" s="29"/>
      <c r="R250" s="29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</row>
    <row r="251" spans="2:41" s="34" customFormat="1" ht="9.75" hidden="1" customHeight="1" outlineLevel="1" x14ac:dyDescent="0.2">
      <c r="B251" s="32"/>
      <c r="C251" s="24"/>
      <c r="D251" s="24"/>
      <c r="E251" s="32"/>
      <c r="F251" s="24"/>
      <c r="G251" s="24"/>
      <c r="H251" s="26"/>
      <c r="I251" s="26"/>
      <c r="J251" s="24"/>
      <c r="K251" s="36"/>
      <c r="M251" s="37"/>
      <c r="N251" s="37"/>
      <c r="O251" s="37"/>
      <c r="P251" s="28"/>
      <c r="Q251" s="29"/>
      <c r="R251" s="29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</row>
    <row r="252" spans="2:41" s="34" customFormat="1" ht="9.75" customHeight="1" collapsed="1" x14ac:dyDescent="0.2">
      <c r="B252" s="24" t="s">
        <v>2</v>
      </c>
      <c r="C252" s="25" t="s">
        <v>42</v>
      </c>
      <c r="D252" s="25"/>
      <c r="E252" s="24" t="s">
        <v>409</v>
      </c>
      <c r="F252" s="24"/>
      <c r="G252" s="24"/>
      <c r="H252" s="26"/>
      <c r="I252" s="26"/>
      <c r="J252" s="24"/>
      <c r="K252" s="36"/>
      <c r="M252" s="37"/>
      <c r="N252" s="37"/>
      <c r="O252" s="37"/>
      <c r="P252" s="28"/>
      <c r="Q252" s="29"/>
      <c r="R252" s="29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</row>
    <row r="253" spans="2:41" s="34" customFormat="1" ht="9.75" hidden="1" customHeight="1" outlineLevel="1" x14ac:dyDescent="0.2">
      <c r="B253" s="32" t="s">
        <v>4</v>
      </c>
      <c r="C253" s="24" t="str">
        <f>C252&amp;".BTA"</f>
        <v>FAF1_PHRTT_W133.BTA</v>
      </c>
      <c r="D253" s="24"/>
      <c r="E253" s="32" t="str">
        <f>E252&amp;" BTA"</f>
        <v>B10PS FAF1 Preheat Return Water Temperature BTA</v>
      </c>
      <c r="F253" s="24"/>
      <c r="G253" s="24"/>
      <c r="H253" s="26"/>
      <c r="I253" s="26"/>
      <c r="J253" s="24"/>
      <c r="K253" s="36" t="s">
        <v>43</v>
      </c>
      <c r="M253" s="37"/>
      <c r="N253" s="37"/>
      <c r="O253" s="37"/>
      <c r="P253" s="28"/>
      <c r="Q253" s="29"/>
      <c r="R253" s="29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</row>
    <row r="254" spans="2:41" s="34" customFormat="1" ht="9.75" hidden="1" customHeight="1" outlineLevel="1" x14ac:dyDescent="0.2">
      <c r="B254" s="32" t="s">
        <v>4</v>
      </c>
      <c r="C254" s="24" t="str">
        <f>C252&amp;".IsDS"</f>
        <v>FAF1_PHRTT_W133.IsDS</v>
      </c>
      <c r="D254" s="24"/>
      <c r="E254" s="32" t="str">
        <f>E252&amp;" Alarm Disabled"</f>
        <v>B10PS FAF1 Preheat Return Water Temperature Alarm Disabled</v>
      </c>
      <c r="F254" s="24"/>
      <c r="G254" s="24"/>
      <c r="H254" s="26"/>
      <c r="I254" s="26"/>
      <c r="J254" s="24"/>
      <c r="K254" s="36" t="s">
        <v>379</v>
      </c>
      <c r="M254" s="37"/>
      <c r="N254" s="37"/>
      <c r="O254" s="37"/>
      <c r="P254" s="28"/>
      <c r="Q254" s="29"/>
      <c r="R254" s="29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</row>
    <row r="255" spans="2:41" s="34" customFormat="1" ht="9.75" hidden="1" customHeight="1" outlineLevel="1" x14ac:dyDescent="0.2">
      <c r="B255" s="32" t="s">
        <v>6</v>
      </c>
      <c r="C255" s="24" t="str">
        <f>C252&amp;".PV"</f>
        <v>FAF1_PHRTT_W133.PV</v>
      </c>
      <c r="D255" s="24"/>
      <c r="E255" s="32" t="str">
        <f>E252&amp;" PV"</f>
        <v>B10PS FAF1 Preheat Return Water Temperature PV</v>
      </c>
      <c r="F255" s="24"/>
      <c r="G255" s="24"/>
      <c r="H255" s="26"/>
      <c r="I255" s="26"/>
      <c r="J255" s="24"/>
      <c r="K255" s="36" t="s">
        <v>44</v>
      </c>
      <c r="M255" s="37"/>
      <c r="N255" s="37"/>
      <c r="O255" s="37"/>
      <c r="P255" s="28"/>
      <c r="Q255" s="29"/>
      <c r="R255" s="29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</row>
    <row r="256" spans="2:41" s="34" customFormat="1" ht="9.75" hidden="1" customHeight="1" outlineLevel="1" x14ac:dyDescent="0.2">
      <c r="B256" s="32" t="s">
        <v>6</v>
      </c>
      <c r="C256" s="24" t="str">
        <f>C252&amp;".PV_H_Alm"</f>
        <v>FAF1_PHRTT_W133.PV_H_Alm</v>
      </c>
      <c r="D256" s="24"/>
      <c r="E256" s="32" t="str">
        <f>E252&amp;" PV Hi"</f>
        <v>B10PS FAF1 Preheat Return Water Temperature PV Hi</v>
      </c>
      <c r="F256" s="24"/>
      <c r="G256" s="24"/>
      <c r="H256" s="26"/>
      <c r="I256" s="26"/>
      <c r="J256" s="24"/>
      <c r="K256" s="36" t="s">
        <v>379</v>
      </c>
      <c r="M256" s="37"/>
      <c r="N256" s="37"/>
      <c r="O256" s="37"/>
      <c r="P256" s="28"/>
      <c r="Q256" s="29"/>
      <c r="R256" s="29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</row>
    <row r="257" spans="2:41" s="34" customFormat="1" ht="9.75" hidden="1" customHeight="1" outlineLevel="1" x14ac:dyDescent="0.2">
      <c r="B257" s="32" t="s">
        <v>6</v>
      </c>
      <c r="C257" s="24" t="str">
        <f>C252&amp;".PV_HH_Alm"</f>
        <v>FAF1_PHRTT_W133.PV_HH_Alm</v>
      </c>
      <c r="D257" s="24"/>
      <c r="E257" s="32" t="str">
        <f>E252&amp;" PV HiHi"</f>
        <v>B10PS FAF1 Preheat Return Water Temperature PV HiHi</v>
      </c>
      <c r="F257" s="24"/>
      <c r="G257" s="24"/>
      <c r="H257" s="26"/>
      <c r="I257" s="26"/>
      <c r="J257" s="24"/>
      <c r="K257" s="36" t="s">
        <v>379</v>
      </c>
      <c r="M257" s="37"/>
      <c r="N257" s="37"/>
      <c r="O257" s="37"/>
      <c r="P257" s="28"/>
      <c r="Q257" s="29"/>
      <c r="R257" s="29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</row>
    <row r="258" spans="2:41" s="34" customFormat="1" ht="9.75" hidden="1" customHeight="1" outlineLevel="1" x14ac:dyDescent="0.2">
      <c r="B258" s="32" t="s">
        <v>6</v>
      </c>
      <c r="C258" s="24" t="str">
        <f>C252&amp;".PV_L_Alm"</f>
        <v>FAF1_PHRTT_W133.PV_L_Alm</v>
      </c>
      <c r="D258" s="24"/>
      <c r="E258" s="32" t="str">
        <f>E252&amp;" PV Lo"</f>
        <v>B10PS FAF1 Preheat Return Water Temperature PV Lo</v>
      </c>
      <c r="F258" s="24"/>
      <c r="G258" s="24"/>
      <c r="H258" s="26"/>
      <c r="I258" s="26"/>
      <c r="J258" s="24"/>
      <c r="K258" s="36" t="s">
        <v>379</v>
      </c>
      <c r="M258" s="37"/>
      <c r="N258" s="37"/>
      <c r="O258" s="37"/>
      <c r="P258" s="28"/>
      <c r="Q258" s="29"/>
      <c r="R258" s="29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</row>
    <row r="259" spans="2:41" s="34" customFormat="1" ht="9.75" hidden="1" customHeight="1" outlineLevel="1" x14ac:dyDescent="0.2">
      <c r="B259" s="32" t="s">
        <v>6</v>
      </c>
      <c r="C259" s="24" t="str">
        <f>C252&amp;".PV_LL_Alm"</f>
        <v>FAF1_PHRTT_W133.PV_LL_Alm</v>
      </c>
      <c r="D259" s="24"/>
      <c r="E259" s="32" t="str">
        <f>E252&amp;" PV LoLo"</f>
        <v>B10PS FAF1 Preheat Return Water Temperature PV LoLo</v>
      </c>
      <c r="F259" s="24"/>
      <c r="G259" s="24"/>
      <c r="H259" s="26"/>
      <c r="I259" s="26"/>
      <c r="J259" s="24"/>
      <c r="K259" s="36" t="s">
        <v>379</v>
      </c>
      <c r="M259" s="37"/>
      <c r="N259" s="37"/>
      <c r="O259" s="37"/>
      <c r="P259" s="28"/>
      <c r="Q259" s="29"/>
      <c r="R259" s="29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</row>
    <row r="260" spans="2:41" s="34" customFormat="1" ht="9.75" hidden="1" customHeight="1" outlineLevel="1" x14ac:dyDescent="0.2">
      <c r="B260" s="32" t="s">
        <v>4</v>
      </c>
      <c r="C260" s="24" t="str">
        <f>C252&amp;".Reset"</f>
        <v>FAF1_PHRTT_W133.Reset</v>
      </c>
      <c r="D260" s="24"/>
      <c r="E260" s="32" t="str">
        <f>E252&amp;" BTA Reset"</f>
        <v>B10PS FAF1 Preheat Return Water Temperature BTA Reset</v>
      </c>
      <c r="F260" s="24"/>
      <c r="G260" s="24"/>
      <c r="H260" s="26"/>
      <c r="I260" s="26"/>
      <c r="J260" s="24"/>
      <c r="K260" s="36" t="s">
        <v>45</v>
      </c>
      <c r="M260" s="37"/>
      <c r="N260" s="37"/>
      <c r="O260" s="37"/>
      <c r="P260" s="28"/>
      <c r="Q260" s="29"/>
      <c r="R260" s="29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</row>
    <row r="261" spans="2:41" s="34" customFormat="1" ht="9.75" hidden="1" customHeight="1" outlineLevel="1" x14ac:dyDescent="0.2">
      <c r="B261" s="32"/>
      <c r="C261" s="24"/>
      <c r="D261" s="24"/>
      <c r="E261" s="32"/>
      <c r="F261" s="24"/>
      <c r="G261" s="24"/>
      <c r="H261" s="26"/>
      <c r="I261" s="26"/>
      <c r="J261" s="24"/>
      <c r="K261" s="36"/>
      <c r="M261" s="37"/>
      <c r="N261" s="37"/>
      <c r="O261" s="37"/>
      <c r="P261" s="28"/>
      <c r="Q261" s="29"/>
      <c r="R261" s="29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</row>
    <row r="262" spans="2:41" s="34" customFormat="1" ht="9.75" customHeight="1" collapsed="1" x14ac:dyDescent="0.2">
      <c r="B262" s="24" t="s">
        <v>2</v>
      </c>
      <c r="C262" s="25" t="s">
        <v>46</v>
      </c>
      <c r="D262" s="25"/>
      <c r="E262" s="24" t="s">
        <v>410</v>
      </c>
      <c r="F262" s="24"/>
      <c r="G262" s="24"/>
      <c r="H262" s="26"/>
      <c r="I262" s="26"/>
      <c r="J262" s="24"/>
      <c r="K262" s="36"/>
      <c r="M262" s="37"/>
      <c r="N262" s="37"/>
      <c r="O262" s="37"/>
      <c r="P262" s="28"/>
      <c r="Q262" s="29"/>
      <c r="R262" s="29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</row>
    <row r="263" spans="2:41" s="34" customFormat="1" ht="9.75" hidden="1" customHeight="1" outlineLevel="1" x14ac:dyDescent="0.2">
      <c r="B263" s="32" t="s">
        <v>4</v>
      </c>
      <c r="C263" s="24" t="str">
        <f>C262&amp;".BTA"</f>
        <v>FAF1_PHSTT_W133.BTA</v>
      </c>
      <c r="D263" s="24"/>
      <c r="E263" s="32" t="str">
        <f>E262&amp;" BTA"</f>
        <v>B10PS FAF1 Preheat Supply Water Temperature BTA</v>
      </c>
      <c r="F263" s="24"/>
      <c r="G263" s="24"/>
      <c r="H263" s="26"/>
      <c r="I263" s="26"/>
      <c r="J263" s="24"/>
      <c r="K263" s="36" t="s">
        <v>47</v>
      </c>
      <c r="M263" s="37"/>
      <c r="N263" s="37"/>
      <c r="O263" s="37"/>
      <c r="P263" s="28"/>
      <c r="Q263" s="29"/>
      <c r="R263" s="29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</row>
    <row r="264" spans="2:41" s="34" customFormat="1" ht="9.75" hidden="1" customHeight="1" outlineLevel="1" x14ac:dyDescent="0.2">
      <c r="B264" s="32" t="s">
        <v>4</v>
      </c>
      <c r="C264" s="24" t="str">
        <f>C262&amp;".IsDS"</f>
        <v>FAF1_PHSTT_W133.IsDS</v>
      </c>
      <c r="D264" s="24"/>
      <c r="E264" s="32" t="str">
        <f>E262&amp;" Alarm Disabled"</f>
        <v>B10PS FAF1 Preheat Supply Water Temperature Alarm Disabled</v>
      </c>
      <c r="F264" s="24"/>
      <c r="G264" s="24"/>
      <c r="H264" s="26"/>
      <c r="I264" s="26"/>
      <c r="J264" s="24"/>
      <c r="K264" s="36" t="s">
        <v>379</v>
      </c>
      <c r="M264" s="37"/>
      <c r="N264" s="37"/>
      <c r="O264" s="37"/>
      <c r="P264" s="28"/>
      <c r="Q264" s="29"/>
      <c r="R264" s="29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</row>
    <row r="265" spans="2:41" s="34" customFormat="1" ht="9.75" hidden="1" customHeight="1" outlineLevel="1" x14ac:dyDescent="0.2">
      <c r="B265" s="32" t="s">
        <v>6</v>
      </c>
      <c r="C265" s="24" t="str">
        <f>C262&amp;".PV"</f>
        <v>FAF1_PHSTT_W133.PV</v>
      </c>
      <c r="D265" s="24"/>
      <c r="E265" s="32" t="str">
        <f>E262&amp;" PV"</f>
        <v>B10PS FAF1 Preheat Supply Water Temperature PV</v>
      </c>
      <c r="F265" s="24"/>
      <c r="G265" s="24"/>
      <c r="H265" s="26"/>
      <c r="I265" s="26"/>
      <c r="J265" s="24"/>
      <c r="K265" s="36" t="s">
        <v>48</v>
      </c>
      <c r="M265" s="37"/>
      <c r="N265" s="37"/>
      <c r="O265" s="37"/>
      <c r="P265" s="28"/>
      <c r="Q265" s="29"/>
      <c r="R265" s="29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</row>
    <row r="266" spans="2:41" s="34" customFormat="1" ht="9.75" hidden="1" customHeight="1" outlineLevel="1" x14ac:dyDescent="0.2">
      <c r="B266" s="32" t="s">
        <v>6</v>
      </c>
      <c r="C266" s="24" t="str">
        <f>C262&amp;".PV_H_Alm"</f>
        <v>FAF1_PHSTT_W133.PV_H_Alm</v>
      </c>
      <c r="D266" s="24"/>
      <c r="E266" s="32" t="str">
        <f>E262&amp;" PV Hi"</f>
        <v>B10PS FAF1 Preheat Supply Water Temperature PV Hi</v>
      </c>
      <c r="F266" s="24"/>
      <c r="G266" s="24"/>
      <c r="H266" s="26"/>
      <c r="I266" s="26"/>
      <c r="J266" s="24"/>
      <c r="K266" s="36" t="s">
        <v>379</v>
      </c>
      <c r="M266" s="37"/>
      <c r="N266" s="37"/>
      <c r="O266" s="37"/>
      <c r="P266" s="28"/>
      <c r="Q266" s="29"/>
      <c r="R266" s="29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</row>
    <row r="267" spans="2:41" s="34" customFormat="1" ht="9.75" hidden="1" customHeight="1" outlineLevel="1" x14ac:dyDescent="0.2">
      <c r="B267" s="32" t="s">
        <v>6</v>
      </c>
      <c r="C267" s="24" t="str">
        <f>C262&amp;".PV_HH_Alm"</f>
        <v>FAF1_PHSTT_W133.PV_HH_Alm</v>
      </c>
      <c r="D267" s="24"/>
      <c r="E267" s="32" t="str">
        <f>E262&amp;" PV HiHi"</f>
        <v>B10PS FAF1 Preheat Supply Water Temperature PV HiHi</v>
      </c>
      <c r="F267" s="24"/>
      <c r="G267" s="24"/>
      <c r="H267" s="26"/>
      <c r="I267" s="26"/>
      <c r="J267" s="24"/>
      <c r="K267" s="36" t="s">
        <v>379</v>
      </c>
      <c r="M267" s="37"/>
      <c r="N267" s="37"/>
      <c r="O267" s="37"/>
      <c r="P267" s="28"/>
      <c r="Q267" s="29"/>
      <c r="R267" s="29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</row>
    <row r="268" spans="2:41" s="34" customFormat="1" ht="9.75" hidden="1" customHeight="1" outlineLevel="1" x14ac:dyDescent="0.2">
      <c r="B268" s="32" t="s">
        <v>6</v>
      </c>
      <c r="C268" s="24" t="str">
        <f>C262&amp;".PV_L_Alm"</f>
        <v>FAF1_PHSTT_W133.PV_L_Alm</v>
      </c>
      <c r="D268" s="24"/>
      <c r="E268" s="32" t="str">
        <f>E262&amp;" PV Lo"</f>
        <v>B10PS FAF1 Preheat Supply Water Temperature PV Lo</v>
      </c>
      <c r="F268" s="24"/>
      <c r="G268" s="24"/>
      <c r="H268" s="26"/>
      <c r="I268" s="26"/>
      <c r="J268" s="24"/>
      <c r="K268" s="36" t="s">
        <v>379</v>
      </c>
      <c r="M268" s="37"/>
      <c r="N268" s="37"/>
      <c r="O268" s="37"/>
      <c r="P268" s="28"/>
      <c r="Q268" s="29"/>
      <c r="R268" s="29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</row>
    <row r="269" spans="2:41" s="34" customFormat="1" ht="9.75" hidden="1" customHeight="1" outlineLevel="1" x14ac:dyDescent="0.2">
      <c r="B269" s="32" t="s">
        <v>6</v>
      </c>
      <c r="C269" s="24" t="str">
        <f>C262&amp;".PV_LL_Alm"</f>
        <v>FAF1_PHSTT_W133.PV_LL_Alm</v>
      </c>
      <c r="D269" s="24"/>
      <c r="E269" s="32" t="str">
        <f>E262&amp;" PV LoLo"</f>
        <v>B10PS FAF1 Preheat Supply Water Temperature PV LoLo</v>
      </c>
      <c r="F269" s="24"/>
      <c r="G269" s="24"/>
      <c r="H269" s="26"/>
      <c r="I269" s="26"/>
      <c r="J269" s="24"/>
      <c r="K269" s="36" t="s">
        <v>379</v>
      </c>
      <c r="M269" s="37"/>
      <c r="N269" s="37"/>
      <c r="O269" s="37"/>
      <c r="P269" s="28"/>
      <c r="Q269" s="29"/>
      <c r="R269" s="29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</row>
    <row r="270" spans="2:41" s="34" customFormat="1" ht="9.75" hidden="1" customHeight="1" outlineLevel="1" x14ac:dyDescent="0.2">
      <c r="B270" s="32" t="s">
        <v>4</v>
      </c>
      <c r="C270" s="24" t="str">
        <f>C262&amp;".Reset"</f>
        <v>FAF1_PHSTT_W133.Reset</v>
      </c>
      <c r="D270" s="24"/>
      <c r="E270" s="32" t="str">
        <f>E262&amp;" BTA Reset"</f>
        <v>B10PS FAF1 Preheat Supply Water Temperature BTA Reset</v>
      </c>
      <c r="F270" s="24"/>
      <c r="G270" s="24"/>
      <c r="H270" s="26"/>
      <c r="I270" s="26"/>
      <c r="J270" s="24"/>
      <c r="K270" s="36" t="s">
        <v>49</v>
      </c>
      <c r="M270" s="37"/>
      <c r="N270" s="37"/>
      <c r="O270" s="37"/>
      <c r="P270" s="28"/>
      <c r="Q270" s="29"/>
      <c r="R270" s="29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</row>
    <row r="271" spans="2:41" s="34" customFormat="1" ht="9.75" hidden="1" customHeight="1" outlineLevel="1" x14ac:dyDescent="0.2">
      <c r="B271" s="32"/>
      <c r="C271" s="24"/>
      <c r="D271" s="24"/>
      <c r="E271" s="32"/>
      <c r="F271" s="24"/>
      <c r="G271" s="24"/>
      <c r="H271" s="26"/>
      <c r="I271" s="26"/>
      <c r="J271" s="24"/>
      <c r="K271" s="36"/>
      <c r="M271" s="37"/>
      <c r="N271" s="37"/>
      <c r="O271" s="37"/>
      <c r="P271" s="28"/>
      <c r="Q271" s="29"/>
      <c r="R271" s="29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</row>
    <row r="272" spans="2:41" s="34" customFormat="1" ht="9.75" customHeight="1" collapsed="1" x14ac:dyDescent="0.2">
      <c r="B272" s="24" t="s">
        <v>203</v>
      </c>
      <c r="C272" s="35" t="s">
        <v>246</v>
      </c>
      <c r="D272" s="35"/>
      <c r="E272" s="24" t="s">
        <v>411</v>
      </c>
      <c r="F272" s="24"/>
      <c r="G272" s="24"/>
      <c r="H272" s="26"/>
      <c r="I272" s="26"/>
      <c r="J272" s="24"/>
      <c r="K272" s="36"/>
      <c r="M272" s="37"/>
      <c r="N272" s="37"/>
      <c r="O272" s="37"/>
      <c r="P272" s="28"/>
      <c r="Q272" s="29"/>
      <c r="R272" s="29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</row>
    <row r="273" spans="2:41" s="34" customFormat="1" ht="9.75" hidden="1" customHeight="1" outlineLevel="1" x14ac:dyDescent="0.2">
      <c r="B273" s="24" t="s">
        <v>4</v>
      </c>
      <c r="C273" s="24" t="str">
        <f>C272&amp;".CA"</f>
        <v>FAF1_PREHEAT_W133.CA</v>
      </c>
      <c r="D273" s="24"/>
      <c r="E273" s="24" t="str">
        <f>E272&amp;" Control Action"</f>
        <v>B10PS FAF1 Preheat Loop Control Action</v>
      </c>
      <c r="F273" s="24"/>
      <c r="G273" s="24"/>
      <c r="H273" s="26"/>
      <c r="I273" s="26"/>
      <c r="J273" s="24"/>
      <c r="K273" s="36" t="s">
        <v>247</v>
      </c>
      <c r="M273" s="37"/>
      <c r="N273" s="37"/>
      <c r="O273" s="37"/>
      <c r="P273" s="28"/>
      <c r="Q273" s="29"/>
      <c r="R273" s="29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</row>
    <row r="274" spans="2:41" s="34" customFormat="1" ht="9.75" hidden="1" customHeight="1" outlineLevel="1" x14ac:dyDescent="0.2">
      <c r="B274" s="24" t="s">
        <v>4</v>
      </c>
      <c r="C274" s="24" t="str">
        <f>C272&amp;".CL"</f>
        <v>FAF1_PREHEAT_W133.CL</v>
      </c>
      <c r="D274" s="24"/>
      <c r="E274" s="24" t="str">
        <f>E272&amp;" Cascade"</f>
        <v>B10PS FAF1 Preheat Loop Cascade</v>
      </c>
      <c r="F274" s="24"/>
      <c r="G274" s="24"/>
      <c r="H274" s="26"/>
      <c r="I274" s="26"/>
      <c r="J274" s="24"/>
      <c r="K274" s="36" t="s">
        <v>248</v>
      </c>
      <c r="M274" s="37"/>
      <c r="N274" s="37"/>
      <c r="O274" s="37"/>
      <c r="P274" s="28"/>
      <c r="Q274" s="29"/>
      <c r="R274" s="29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</row>
    <row r="275" spans="2:41" s="34" customFormat="1" ht="9.75" hidden="1" customHeight="1" outlineLevel="1" x14ac:dyDescent="0.2">
      <c r="B275" s="24" t="s">
        <v>6</v>
      </c>
      <c r="C275" s="24" t="str">
        <f>C272&amp;".CL_SP"</f>
        <v>FAF1_PREHEAT_W133.CL_SP</v>
      </c>
      <c r="D275" s="24"/>
      <c r="E275" s="24" t="str">
        <f>E272&amp;" Cascaded Setpoint"</f>
        <v>B10PS FAF1 Preheat Loop Cascaded Setpoint</v>
      </c>
      <c r="F275" s="24"/>
      <c r="G275" s="24"/>
      <c r="H275" s="26"/>
      <c r="I275" s="26"/>
      <c r="J275" s="24"/>
      <c r="K275" s="36" t="s">
        <v>249</v>
      </c>
      <c r="M275" s="37"/>
      <c r="N275" s="37"/>
      <c r="O275" s="37"/>
      <c r="P275" s="28"/>
      <c r="Q275" s="29"/>
      <c r="R275" s="29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</row>
    <row r="276" spans="2:41" s="34" customFormat="1" ht="9.75" hidden="1" customHeight="1" outlineLevel="1" collapsed="1" x14ac:dyDescent="0.2">
      <c r="B276" s="24" t="s">
        <v>6</v>
      </c>
      <c r="C276" s="32" t="str">
        <f>C272&amp;".KD"</f>
        <v>FAF1_PREHEAT_W133.KD</v>
      </c>
      <c r="D276" s="32"/>
      <c r="E276" s="32" t="str">
        <f>E272&amp;" Derivative"</f>
        <v>B10PS FAF1 Preheat Loop Derivative</v>
      </c>
      <c r="F276" s="24"/>
      <c r="G276" s="24"/>
      <c r="H276" s="26"/>
      <c r="I276" s="26"/>
      <c r="J276" s="24"/>
      <c r="K276" s="36" t="s">
        <v>250</v>
      </c>
      <c r="M276" s="37"/>
      <c r="N276" s="37"/>
      <c r="O276" s="37"/>
      <c r="P276" s="28"/>
      <c r="Q276" s="29"/>
      <c r="R276" s="29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</row>
    <row r="277" spans="2:41" s="24" customFormat="1" ht="9.75" hidden="1" customHeight="1" outlineLevel="1" x14ac:dyDescent="0.2">
      <c r="B277" s="24" t="s">
        <v>6</v>
      </c>
      <c r="C277" s="24" t="str">
        <f>C272&amp;".KI"</f>
        <v>FAF1_PREHEAT_W133.KI</v>
      </c>
      <c r="E277" s="24" t="str">
        <f>E272&amp;" Integral"</f>
        <v>B10PS FAF1 Preheat Loop Integral</v>
      </c>
      <c r="H277" s="26"/>
      <c r="I277" s="26"/>
      <c r="K277" s="27" t="s">
        <v>251</v>
      </c>
      <c r="M277" s="26"/>
      <c r="N277" s="26"/>
      <c r="O277" s="26"/>
      <c r="P277" s="28"/>
      <c r="Q277" s="29"/>
      <c r="R277" s="29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</row>
    <row r="278" spans="2:41" s="34" customFormat="1" ht="9.75" hidden="1" customHeight="1" outlineLevel="1" x14ac:dyDescent="0.2">
      <c r="B278" s="24" t="s">
        <v>6</v>
      </c>
      <c r="C278" s="24" t="str">
        <f>C272&amp;".KP"</f>
        <v>FAF1_PREHEAT_W133.KP</v>
      </c>
      <c r="D278" s="24"/>
      <c r="E278" s="24" t="str">
        <f>E272&amp;" Proportional"</f>
        <v>B10PS FAF1 Preheat Loop Proportional</v>
      </c>
      <c r="F278" s="24"/>
      <c r="G278" s="24"/>
      <c r="H278" s="26"/>
      <c r="I278" s="26"/>
      <c r="J278" s="24"/>
      <c r="K278" s="36" t="s">
        <v>252</v>
      </c>
      <c r="M278" s="37"/>
      <c r="N278" s="37"/>
      <c r="O278" s="37"/>
      <c r="P278" s="28"/>
      <c r="Q278" s="29"/>
      <c r="R278" s="29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</row>
    <row r="279" spans="2:41" s="34" customFormat="1" ht="9.75" hidden="1" customHeight="1" outlineLevel="1" x14ac:dyDescent="0.2">
      <c r="B279" s="24" t="s">
        <v>4</v>
      </c>
      <c r="C279" s="24" t="str">
        <f>C272&amp;".MO"</f>
        <v>FAF1_PREHEAT_W133.MO</v>
      </c>
      <c r="D279" s="24"/>
      <c r="E279" s="24" t="str">
        <f>E272&amp;" Auto/Man Mode"</f>
        <v>B10PS FAF1 Preheat Loop Auto/Man Mode</v>
      </c>
      <c r="F279" s="24"/>
      <c r="G279" s="24"/>
      <c r="H279" s="26"/>
      <c r="I279" s="26"/>
      <c r="J279" s="24"/>
      <c r="K279" s="36" t="s">
        <v>253</v>
      </c>
      <c r="M279" s="37"/>
      <c r="N279" s="37"/>
      <c r="O279" s="37"/>
      <c r="P279" s="28"/>
      <c r="Q279" s="29"/>
      <c r="R279" s="29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</row>
    <row r="280" spans="2:41" s="34" customFormat="1" ht="9.75" hidden="1" customHeight="1" outlineLevel="1" x14ac:dyDescent="0.2">
      <c r="B280" s="24" t="s">
        <v>6</v>
      </c>
      <c r="C280" s="24" t="str">
        <f>C272&amp;".OUT"</f>
        <v>FAF1_PREHEAT_W133.OUT</v>
      </c>
      <c r="D280" s="24"/>
      <c r="E280" s="24" t="str">
        <f>E272&amp;" Output Value"</f>
        <v>B10PS FAF1 Preheat Loop Output Value</v>
      </c>
      <c r="F280" s="24"/>
      <c r="G280" s="24"/>
      <c r="H280" s="26"/>
      <c r="I280" s="26"/>
      <c r="J280" s="24"/>
      <c r="K280" s="36" t="s">
        <v>254</v>
      </c>
      <c r="M280" s="37"/>
      <c r="N280" s="37"/>
      <c r="O280" s="37"/>
      <c r="P280" s="28"/>
      <c r="Q280" s="29"/>
      <c r="R280" s="29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</row>
    <row r="281" spans="2:41" s="34" customFormat="1" ht="9.75" hidden="1" customHeight="1" outlineLevel="1" x14ac:dyDescent="0.2">
      <c r="B281" s="24" t="s">
        <v>6</v>
      </c>
      <c r="C281" s="24" t="str">
        <f>C272&amp;".PV"</f>
        <v>FAF1_PREHEAT_W133.PV</v>
      </c>
      <c r="D281" s="24"/>
      <c r="E281" s="24" t="str">
        <f>E272&amp;" Process Variable"</f>
        <v>B10PS FAF1 Preheat Loop Process Variable</v>
      </c>
      <c r="F281" s="24"/>
      <c r="G281" s="24"/>
      <c r="H281" s="26"/>
      <c r="I281" s="26"/>
      <c r="J281" s="24"/>
      <c r="K281" s="43" t="s">
        <v>255</v>
      </c>
      <c r="M281" s="37"/>
      <c r="N281" s="37"/>
      <c r="O281" s="37"/>
      <c r="P281" s="28"/>
      <c r="Q281" s="29"/>
      <c r="R281" s="29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</row>
    <row r="282" spans="2:41" s="34" customFormat="1" ht="9.75" hidden="1" customHeight="1" outlineLevel="1" x14ac:dyDescent="0.2">
      <c r="B282" s="24" t="s">
        <v>6</v>
      </c>
      <c r="C282" s="24" t="str">
        <f>C272&amp;".SO"</f>
        <v>FAF1_PREHEAT_W133.SO</v>
      </c>
      <c r="D282" s="24"/>
      <c r="E282" s="24" t="str">
        <f>E272&amp;" Set Output"</f>
        <v>B10PS FAF1 Preheat Loop Set Output</v>
      </c>
      <c r="F282" s="24"/>
      <c r="G282" s="24"/>
      <c r="H282" s="26"/>
      <c r="I282" s="26"/>
      <c r="J282" s="24"/>
      <c r="K282" s="43" t="s">
        <v>256</v>
      </c>
      <c r="M282" s="37"/>
      <c r="N282" s="37"/>
      <c r="O282" s="37"/>
      <c r="P282" s="28"/>
      <c r="Q282" s="29"/>
      <c r="R282" s="29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</row>
    <row r="283" spans="2:41" s="34" customFormat="1" ht="9.75" hidden="1" customHeight="1" outlineLevel="1" x14ac:dyDescent="0.2">
      <c r="B283" s="24" t="s">
        <v>6</v>
      </c>
      <c r="C283" s="24" t="str">
        <f>C272&amp;".SP"</f>
        <v>FAF1_PREHEAT_W133.SP</v>
      </c>
      <c r="D283" s="24"/>
      <c r="E283" s="24" t="str">
        <f>E272&amp;" Setpoint"</f>
        <v>B10PS FAF1 Preheat Loop Setpoint</v>
      </c>
      <c r="F283" s="24"/>
      <c r="G283" s="24"/>
      <c r="H283" s="26"/>
      <c r="I283" s="26"/>
      <c r="J283" s="24"/>
      <c r="K283" s="36" t="s">
        <v>257</v>
      </c>
      <c r="M283" s="37"/>
      <c r="N283" s="37"/>
      <c r="O283" s="37"/>
      <c r="P283" s="28"/>
      <c r="Q283" s="29"/>
      <c r="R283" s="29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</row>
    <row r="284" spans="2:41" s="24" customFormat="1" ht="9.75" hidden="1" customHeight="1" outlineLevel="1" x14ac:dyDescent="0.2">
      <c r="B284" s="24" t="s">
        <v>4</v>
      </c>
      <c r="C284" s="24" t="str">
        <f>C272&amp;". SWM"</f>
        <v>FAF1_PREHEAT_W133. SWM</v>
      </c>
      <c r="E284" s="24" t="str">
        <f>E272&amp;"  Software Manual Mode"</f>
        <v>B10PS FAF1 Preheat Loop  Software Manual Mode</v>
      </c>
      <c r="H284" s="26"/>
      <c r="I284" s="26"/>
      <c r="K284" s="27" t="s">
        <v>258</v>
      </c>
      <c r="M284" s="26"/>
      <c r="N284" s="26"/>
      <c r="O284" s="26"/>
      <c r="P284" s="28"/>
      <c r="Q284" s="29"/>
      <c r="R284" s="29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</row>
    <row r="285" spans="2:41" s="34" customFormat="1" ht="9.75" hidden="1" customHeight="1" outlineLevel="1" x14ac:dyDescent="0.2">
      <c r="B285" s="24" t="s">
        <v>6</v>
      </c>
      <c r="C285" s="24" t="str">
        <f>C272&amp;".TIE"</f>
        <v>FAF1_PREHEAT_W133.TIE</v>
      </c>
      <c r="D285" s="24"/>
      <c r="E285" s="24" t="str">
        <f>E272&amp;" Tieback Value"</f>
        <v>B10PS FAF1 Preheat Loop Tieback Value</v>
      </c>
      <c r="F285" s="24"/>
      <c r="G285" s="24"/>
      <c r="H285" s="26"/>
      <c r="I285" s="26"/>
      <c r="J285" s="24"/>
      <c r="K285" s="36" t="s">
        <v>259</v>
      </c>
      <c r="M285" s="37"/>
      <c r="N285" s="37"/>
      <c r="O285" s="37"/>
      <c r="P285" s="28"/>
      <c r="Q285" s="29"/>
      <c r="R285" s="29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</row>
    <row r="286" spans="2:41" s="34" customFormat="1" ht="9.75" hidden="1" customHeight="1" outlineLevel="1" x14ac:dyDescent="0.2">
      <c r="B286" s="24"/>
      <c r="C286" s="24"/>
      <c r="D286" s="24"/>
      <c r="E286" s="24"/>
      <c r="F286" s="24"/>
      <c r="G286" s="24"/>
      <c r="H286" s="26"/>
      <c r="I286" s="26"/>
      <c r="J286" s="24"/>
      <c r="K286" s="36"/>
      <c r="M286" s="37"/>
      <c r="N286" s="37"/>
      <c r="O286" s="37"/>
      <c r="P286" s="28"/>
      <c r="Q286" s="29"/>
      <c r="R286" s="29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</row>
    <row r="287" spans="2:41" s="34" customFormat="1" ht="9.75" customHeight="1" collapsed="1" x14ac:dyDescent="0.2">
      <c r="B287" s="24" t="s">
        <v>2</v>
      </c>
      <c r="C287" s="45" t="s">
        <v>50</v>
      </c>
      <c r="D287" s="45"/>
      <c r="E287" s="24" t="s">
        <v>412</v>
      </c>
      <c r="F287" s="24"/>
      <c r="G287" s="24"/>
      <c r="H287" s="26"/>
      <c r="I287" s="26"/>
      <c r="J287" s="24"/>
      <c r="K287" s="36"/>
      <c r="M287" s="37"/>
      <c r="N287" s="37"/>
      <c r="O287" s="37"/>
      <c r="P287" s="28"/>
      <c r="Q287" s="29"/>
      <c r="R287" s="29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</row>
    <row r="288" spans="2:41" s="34" customFormat="1" ht="9.75" hidden="1" customHeight="1" outlineLevel="1" x14ac:dyDescent="0.2">
      <c r="B288" s="32" t="s">
        <v>4</v>
      </c>
      <c r="C288" s="24" t="str">
        <f>C287&amp;".BTA"</f>
        <v>FAF1_PS_DP1_W133.BTA</v>
      </c>
      <c r="D288" s="24"/>
      <c r="E288" s="32" t="str">
        <f>E287&amp;" BTA"</f>
        <v>B10PS FAF1 Pipe Space Dew Point BTA</v>
      </c>
      <c r="F288" s="24"/>
      <c r="G288" s="24"/>
      <c r="H288" s="26"/>
      <c r="I288" s="26"/>
      <c r="J288" s="24"/>
      <c r="K288" s="36" t="s">
        <v>51</v>
      </c>
      <c r="M288" s="37"/>
      <c r="N288" s="37"/>
      <c r="O288" s="37"/>
      <c r="P288" s="28"/>
      <c r="Q288" s="29"/>
      <c r="R288" s="29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</row>
    <row r="289" spans="2:41" s="34" customFormat="1" ht="9.75" hidden="1" customHeight="1" outlineLevel="1" x14ac:dyDescent="0.2">
      <c r="B289" s="32" t="s">
        <v>4</v>
      </c>
      <c r="C289" s="24" t="str">
        <f>C287&amp;".IsDS"</f>
        <v>FAF1_PS_DP1_W133.IsDS</v>
      </c>
      <c r="D289" s="24"/>
      <c r="E289" s="32" t="str">
        <f>E287&amp;" Alarm Disabled"</f>
        <v>B10PS FAF1 Pipe Space Dew Point Alarm Disabled</v>
      </c>
      <c r="F289" s="24"/>
      <c r="G289" s="24"/>
      <c r="H289" s="26"/>
      <c r="I289" s="26"/>
      <c r="J289" s="24"/>
      <c r="K289" s="36" t="s">
        <v>379</v>
      </c>
      <c r="M289" s="37"/>
      <c r="N289" s="37"/>
      <c r="O289" s="37"/>
      <c r="P289" s="28"/>
      <c r="Q289" s="29"/>
      <c r="R289" s="29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</row>
    <row r="290" spans="2:41" s="34" customFormat="1" ht="9.75" hidden="1" customHeight="1" outlineLevel="1" x14ac:dyDescent="0.2">
      <c r="B290" s="32" t="s">
        <v>6</v>
      </c>
      <c r="C290" s="24" t="str">
        <f>C287&amp;".PV"</f>
        <v>FAF1_PS_DP1_W133.PV</v>
      </c>
      <c r="D290" s="24"/>
      <c r="E290" s="32" t="str">
        <f>E287&amp;" PV"</f>
        <v>B10PS FAF1 Pipe Space Dew Point PV</v>
      </c>
      <c r="F290" s="24"/>
      <c r="G290" s="24"/>
      <c r="H290" s="26"/>
      <c r="I290" s="26"/>
      <c r="J290" s="24"/>
      <c r="K290" s="36" t="s">
        <v>52</v>
      </c>
      <c r="M290" s="37"/>
      <c r="N290" s="37"/>
      <c r="O290" s="37"/>
      <c r="P290" s="28"/>
      <c r="Q290" s="29"/>
      <c r="R290" s="29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</row>
    <row r="291" spans="2:41" s="34" customFormat="1" ht="9.75" hidden="1" customHeight="1" outlineLevel="1" x14ac:dyDescent="0.2">
      <c r="B291" s="32" t="s">
        <v>6</v>
      </c>
      <c r="C291" s="24" t="str">
        <f>C287&amp;".PV_H_Alm"</f>
        <v>FAF1_PS_DP1_W133.PV_H_Alm</v>
      </c>
      <c r="D291" s="24"/>
      <c r="E291" s="32" t="str">
        <f>E287&amp;" PV Hi"</f>
        <v>B10PS FAF1 Pipe Space Dew Point PV Hi</v>
      </c>
      <c r="F291" s="24"/>
      <c r="G291" s="24"/>
      <c r="H291" s="26"/>
      <c r="I291" s="26"/>
      <c r="J291" s="24"/>
      <c r="K291" s="36" t="s">
        <v>379</v>
      </c>
      <c r="M291" s="37"/>
      <c r="N291" s="37"/>
      <c r="O291" s="37"/>
      <c r="P291" s="28"/>
      <c r="Q291" s="29"/>
      <c r="R291" s="29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</row>
    <row r="292" spans="2:41" s="34" customFormat="1" ht="9.75" hidden="1" customHeight="1" outlineLevel="1" x14ac:dyDescent="0.2">
      <c r="B292" s="32" t="s">
        <v>6</v>
      </c>
      <c r="C292" s="24" t="str">
        <f>C287&amp;".PV_HH_Alm"</f>
        <v>FAF1_PS_DP1_W133.PV_HH_Alm</v>
      </c>
      <c r="D292" s="24"/>
      <c r="E292" s="32" t="str">
        <f>E287&amp;" PV HiHi"</f>
        <v>B10PS FAF1 Pipe Space Dew Point PV HiHi</v>
      </c>
      <c r="F292" s="24"/>
      <c r="G292" s="24"/>
      <c r="H292" s="26"/>
      <c r="I292" s="26"/>
      <c r="J292" s="24"/>
      <c r="K292" s="36" t="s">
        <v>379</v>
      </c>
      <c r="M292" s="37"/>
      <c r="N292" s="37"/>
      <c r="O292" s="37"/>
      <c r="P292" s="28"/>
      <c r="Q292" s="29"/>
      <c r="R292" s="29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</row>
    <row r="293" spans="2:41" s="34" customFormat="1" ht="9.75" hidden="1" customHeight="1" outlineLevel="1" x14ac:dyDescent="0.2">
      <c r="B293" s="32" t="s">
        <v>6</v>
      </c>
      <c r="C293" s="24" t="str">
        <f>C287&amp;".PV_L_Alm"</f>
        <v>FAF1_PS_DP1_W133.PV_L_Alm</v>
      </c>
      <c r="D293" s="24"/>
      <c r="E293" s="32" t="str">
        <f>E287&amp;" PV Lo"</f>
        <v>B10PS FAF1 Pipe Space Dew Point PV Lo</v>
      </c>
      <c r="F293" s="24"/>
      <c r="G293" s="24"/>
      <c r="H293" s="26"/>
      <c r="I293" s="26"/>
      <c r="J293" s="24"/>
      <c r="K293" s="36" t="s">
        <v>379</v>
      </c>
      <c r="M293" s="37"/>
      <c r="N293" s="37"/>
      <c r="O293" s="37"/>
      <c r="P293" s="28"/>
      <c r="Q293" s="29"/>
      <c r="R293" s="29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</row>
    <row r="294" spans="2:41" s="34" customFormat="1" ht="9.75" hidden="1" customHeight="1" outlineLevel="1" x14ac:dyDescent="0.2">
      <c r="B294" s="32" t="s">
        <v>6</v>
      </c>
      <c r="C294" s="24" t="str">
        <f>C287&amp;".PV_LL_Alm"</f>
        <v>FAF1_PS_DP1_W133.PV_LL_Alm</v>
      </c>
      <c r="D294" s="24"/>
      <c r="E294" s="32" t="str">
        <f>E287&amp;" PV LoLo"</f>
        <v>B10PS FAF1 Pipe Space Dew Point PV LoLo</v>
      </c>
      <c r="F294" s="24"/>
      <c r="G294" s="24"/>
      <c r="H294" s="26"/>
      <c r="I294" s="26"/>
      <c r="J294" s="24"/>
      <c r="K294" s="36" t="s">
        <v>379</v>
      </c>
      <c r="M294" s="37"/>
      <c r="N294" s="37"/>
      <c r="O294" s="37"/>
      <c r="P294" s="28"/>
      <c r="Q294" s="29"/>
      <c r="R294" s="29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</row>
    <row r="295" spans="2:41" s="34" customFormat="1" ht="9.75" hidden="1" customHeight="1" outlineLevel="1" x14ac:dyDescent="0.2">
      <c r="B295" s="32" t="s">
        <v>4</v>
      </c>
      <c r="C295" s="24" t="str">
        <f>C287&amp;".Reset"</f>
        <v>FAF1_PS_DP1_W133.Reset</v>
      </c>
      <c r="D295" s="24"/>
      <c r="E295" s="32" t="str">
        <f>E287&amp;" BTA Reset"</f>
        <v>B10PS FAF1 Pipe Space Dew Point BTA Reset</v>
      </c>
      <c r="F295" s="24"/>
      <c r="G295" s="24"/>
      <c r="H295" s="26"/>
      <c r="I295" s="26"/>
      <c r="J295" s="24"/>
      <c r="K295" s="36" t="s">
        <v>53</v>
      </c>
      <c r="M295" s="37"/>
      <c r="N295" s="37"/>
      <c r="O295" s="37"/>
      <c r="P295" s="28"/>
      <c r="Q295" s="29"/>
      <c r="R295" s="29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</row>
    <row r="296" spans="2:41" s="34" customFormat="1" ht="9.75" hidden="1" customHeight="1" outlineLevel="1" x14ac:dyDescent="0.2">
      <c r="B296" s="32"/>
      <c r="C296" s="24"/>
      <c r="D296" s="24"/>
      <c r="E296" s="32"/>
      <c r="F296" s="24"/>
      <c r="G296" s="24"/>
      <c r="H296" s="26"/>
      <c r="I296" s="26"/>
      <c r="J296" s="24"/>
      <c r="K296" s="36"/>
      <c r="M296" s="37"/>
      <c r="N296" s="37"/>
      <c r="O296" s="37"/>
      <c r="P296" s="28"/>
      <c r="Q296" s="29"/>
      <c r="R296" s="29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</row>
    <row r="297" spans="2:41" s="34" customFormat="1" ht="9.75" customHeight="1" collapsed="1" x14ac:dyDescent="0.2">
      <c r="B297" s="24" t="s">
        <v>146</v>
      </c>
      <c r="C297" s="40" t="s">
        <v>158</v>
      </c>
      <c r="D297" s="40"/>
      <c r="E297" s="24" t="s">
        <v>413</v>
      </c>
      <c r="F297" s="24"/>
      <c r="G297" s="24"/>
      <c r="H297" s="26"/>
      <c r="I297" s="26"/>
      <c r="J297" s="24"/>
      <c r="M297" s="37"/>
      <c r="N297" s="37"/>
      <c r="O297" s="37"/>
      <c r="P297" s="28"/>
      <c r="Q297" s="29"/>
      <c r="R297" s="29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</row>
    <row r="298" spans="2:41" s="34" customFormat="1" ht="9.75" hidden="1" customHeight="1" outlineLevel="1" x14ac:dyDescent="0.2">
      <c r="B298" s="24" t="s">
        <v>4</v>
      </c>
      <c r="C298" s="24" t="str">
        <f>C297&amp;".Value"</f>
        <v>FAF1_PS_FOG_FAULT_W133.Value</v>
      </c>
      <c r="D298" s="24"/>
      <c r="E298" s="24" t="str">
        <f>E297</f>
        <v>B10PS FAF 1 Meefog Panel Fault</v>
      </c>
      <c r="F298" s="24"/>
      <c r="G298" s="24"/>
      <c r="H298" s="26"/>
      <c r="I298" s="26"/>
      <c r="J298" s="24"/>
      <c r="K298" s="36" t="s">
        <v>159</v>
      </c>
      <c r="M298" s="37"/>
      <c r="N298" s="37"/>
      <c r="O298" s="37"/>
      <c r="P298" s="28"/>
      <c r="Q298" s="29"/>
      <c r="R298" s="29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</row>
    <row r="299" spans="2:41" s="34" customFormat="1" ht="9.75" hidden="1" customHeight="1" outlineLevel="1" x14ac:dyDescent="0.2">
      <c r="B299" s="24"/>
      <c r="C299" s="24"/>
      <c r="D299" s="24"/>
      <c r="E299" s="24"/>
      <c r="F299" s="24"/>
      <c r="G299" s="24"/>
      <c r="H299" s="26"/>
      <c r="I299" s="26"/>
      <c r="J299" s="24"/>
      <c r="K299" s="36"/>
      <c r="M299" s="37"/>
      <c r="N299" s="37"/>
      <c r="O299" s="37"/>
      <c r="P299" s="28"/>
      <c r="Q299" s="29"/>
      <c r="R299" s="29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</row>
    <row r="300" spans="2:41" s="34" customFormat="1" ht="9.75" customHeight="1" collapsed="1" x14ac:dyDescent="0.2">
      <c r="B300" s="24" t="s">
        <v>146</v>
      </c>
      <c r="C300" s="40" t="s">
        <v>160</v>
      </c>
      <c r="D300" s="40"/>
      <c r="E300" s="24" t="s">
        <v>414</v>
      </c>
      <c r="F300" s="24"/>
      <c r="G300" s="24"/>
      <c r="H300" s="26"/>
      <c r="I300" s="26"/>
      <c r="J300" s="24"/>
      <c r="K300" s="36"/>
      <c r="M300" s="37"/>
      <c r="N300" s="37"/>
      <c r="O300" s="37"/>
      <c r="P300" s="28"/>
      <c r="Q300" s="29"/>
      <c r="R300" s="29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</row>
    <row r="301" spans="2:41" s="34" customFormat="1" ht="9.75" hidden="1" customHeight="1" outlineLevel="1" x14ac:dyDescent="0.2">
      <c r="B301" s="24" t="s">
        <v>4</v>
      </c>
      <c r="C301" s="24" t="str">
        <f>C300&amp;".Value"</f>
        <v>FAF1_PS_FOG_ON_TO_METASYS.Value</v>
      </c>
      <c r="D301" s="24"/>
      <c r="E301" s="24" t="str">
        <f>E300</f>
        <v>B10PS FAF1 Fog System On Signal to MetaSys</v>
      </c>
      <c r="F301" s="24"/>
      <c r="G301" s="24"/>
      <c r="H301" s="26"/>
      <c r="I301" s="26"/>
      <c r="J301" s="24"/>
      <c r="K301" s="36" t="s">
        <v>161</v>
      </c>
      <c r="M301" s="37"/>
      <c r="N301" s="37"/>
      <c r="O301" s="37"/>
      <c r="P301" s="28"/>
      <c r="Q301" s="29"/>
      <c r="R301" s="29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</row>
    <row r="302" spans="2:41" s="34" customFormat="1" ht="9.75" hidden="1" customHeight="1" outlineLevel="1" x14ac:dyDescent="0.2">
      <c r="B302" s="24"/>
      <c r="C302" s="24"/>
      <c r="D302" s="24"/>
      <c r="E302" s="24"/>
      <c r="F302" s="24"/>
      <c r="G302" s="24"/>
      <c r="H302" s="26"/>
      <c r="I302" s="26"/>
      <c r="J302" s="24"/>
      <c r="K302" s="36"/>
      <c r="M302" s="37"/>
      <c r="N302" s="37"/>
      <c r="O302" s="37"/>
      <c r="P302" s="28"/>
      <c r="Q302" s="29"/>
      <c r="R302" s="29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</row>
    <row r="303" spans="2:41" s="34" customFormat="1" ht="9.75" customHeight="1" collapsed="1" x14ac:dyDescent="0.2">
      <c r="B303" s="24" t="s">
        <v>2</v>
      </c>
      <c r="C303" s="45" t="s">
        <v>54</v>
      </c>
      <c r="D303" s="45"/>
      <c r="E303" s="24" t="s">
        <v>415</v>
      </c>
      <c r="F303" s="24"/>
      <c r="G303" s="24"/>
      <c r="H303" s="26"/>
      <c r="I303" s="26"/>
      <c r="J303" s="24"/>
      <c r="K303" s="36"/>
      <c r="M303" s="37"/>
      <c r="N303" s="37"/>
      <c r="O303" s="37"/>
      <c r="P303" s="28"/>
      <c r="Q303" s="29"/>
      <c r="R303" s="29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</row>
    <row r="304" spans="2:41" s="34" customFormat="1" ht="9.75" hidden="1" customHeight="1" outlineLevel="1" x14ac:dyDescent="0.2">
      <c r="B304" s="32" t="s">
        <v>4</v>
      </c>
      <c r="C304" s="24" t="str">
        <f>C303&amp;".BTA"</f>
        <v>FAF1_PS_FOG_PT_W133.BTA</v>
      </c>
      <c r="D304" s="24"/>
      <c r="E304" s="32" t="str">
        <f>E303&amp;" BTA"</f>
        <v>B10PS FAF1 Pipe Space Fog BTA</v>
      </c>
      <c r="F304" s="24"/>
      <c r="G304" s="24"/>
      <c r="H304" s="26"/>
      <c r="I304" s="26"/>
      <c r="J304" s="24"/>
      <c r="K304" s="36" t="s">
        <v>55</v>
      </c>
      <c r="M304" s="37"/>
      <c r="N304" s="37"/>
      <c r="O304" s="37"/>
      <c r="P304" s="28"/>
      <c r="Q304" s="29"/>
      <c r="R304" s="29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</row>
    <row r="305" spans="2:41" s="34" customFormat="1" ht="9.75" hidden="1" customHeight="1" outlineLevel="1" x14ac:dyDescent="0.2">
      <c r="B305" s="32" t="s">
        <v>4</v>
      </c>
      <c r="C305" s="24" t="str">
        <f>C303&amp;".IsDS"</f>
        <v>FAF1_PS_FOG_PT_W133.IsDS</v>
      </c>
      <c r="D305" s="24"/>
      <c r="E305" s="32" t="str">
        <f>E303&amp;" Alarm Disabled"</f>
        <v>B10PS FAF1 Pipe Space Fog Alarm Disabled</v>
      </c>
      <c r="F305" s="24"/>
      <c r="G305" s="24"/>
      <c r="H305" s="26"/>
      <c r="I305" s="26"/>
      <c r="J305" s="24"/>
      <c r="K305" s="36" t="s">
        <v>379</v>
      </c>
      <c r="M305" s="37"/>
      <c r="N305" s="37"/>
      <c r="O305" s="37"/>
      <c r="P305" s="28"/>
      <c r="Q305" s="29"/>
      <c r="R305" s="29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</row>
    <row r="306" spans="2:41" s="34" customFormat="1" ht="9.75" hidden="1" customHeight="1" outlineLevel="1" x14ac:dyDescent="0.2">
      <c r="B306" s="32" t="s">
        <v>6</v>
      </c>
      <c r="C306" s="24" t="str">
        <f>C303&amp;".PV"</f>
        <v>FAF1_PS_FOG_PT_W133.PV</v>
      </c>
      <c r="D306" s="24"/>
      <c r="E306" s="32" t="str">
        <f>E303&amp;" PV"</f>
        <v>B10PS FAF1 Pipe Space Fog PV</v>
      </c>
      <c r="F306" s="24"/>
      <c r="G306" s="24"/>
      <c r="H306" s="26"/>
      <c r="I306" s="26"/>
      <c r="J306" s="24"/>
      <c r="K306" s="36" t="s">
        <v>56</v>
      </c>
      <c r="M306" s="37"/>
      <c r="N306" s="37"/>
      <c r="O306" s="37"/>
      <c r="P306" s="28"/>
      <c r="Q306" s="29"/>
      <c r="R306" s="29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</row>
    <row r="307" spans="2:41" s="34" customFormat="1" ht="9.75" hidden="1" customHeight="1" outlineLevel="1" x14ac:dyDescent="0.2">
      <c r="B307" s="32" t="s">
        <v>6</v>
      </c>
      <c r="C307" s="24" t="str">
        <f>C303&amp;".PV_H_Alm"</f>
        <v>FAF1_PS_FOG_PT_W133.PV_H_Alm</v>
      </c>
      <c r="D307" s="24"/>
      <c r="E307" s="32" t="str">
        <f>E303&amp;" PV Hi"</f>
        <v>B10PS FAF1 Pipe Space Fog PV Hi</v>
      </c>
      <c r="F307" s="24"/>
      <c r="G307" s="24"/>
      <c r="H307" s="26"/>
      <c r="I307" s="26"/>
      <c r="J307" s="24"/>
      <c r="K307" s="36" t="s">
        <v>379</v>
      </c>
      <c r="M307" s="37"/>
      <c r="N307" s="37"/>
      <c r="O307" s="37"/>
      <c r="P307" s="28"/>
      <c r="Q307" s="29"/>
      <c r="R307" s="29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</row>
    <row r="308" spans="2:41" s="34" customFormat="1" ht="9.75" hidden="1" customHeight="1" outlineLevel="1" x14ac:dyDescent="0.2">
      <c r="B308" s="32" t="s">
        <v>6</v>
      </c>
      <c r="C308" s="24" t="str">
        <f>C303&amp;".PV_HH_Alm"</f>
        <v>FAF1_PS_FOG_PT_W133.PV_HH_Alm</v>
      </c>
      <c r="D308" s="24"/>
      <c r="E308" s="32" t="str">
        <f>E303&amp;" PV HiHi"</f>
        <v>B10PS FAF1 Pipe Space Fog PV HiHi</v>
      </c>
      <c r="F308" s="24"/>
      <c r="G308" s="24"/>
      <c r="H308" s="26"/>
      <c r="I308" s="26"/>
      <c r="J308" s="24"/>
      <c r="K308" s="36" t="s">
        <v>379</v>
      </c>
      <c r="M308" s="37"/>
      <c r="N308" s="37"/>
      <c r="O308" s="37"/>
      <c r="P308" s="28"/>
      <c r="Q308" s="29"/>
      <c r="R308" s="29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</row>
    <row r="309" spans="2:41" s="34" customFormat="1" ht="9.75" hidden="1" customHeight="1" outlineLevel="1" x14ac:dyDescent="0.2">
      <c r="B309" s="32" t="s">
        <v>6</v>
      </c>
      <c r="C309" s="24" t="str">
        <f>C303&amp;".PV_L_Alm"</f>
        <v>FAF1_PS_FOG_PT_W133.PV_L_Alm</v>
      </c>
      <c r="D309" s="24"/>
      <c r="E309" s="32" t="str">
        <f>E303&amp;" PV Lo"</f>
        <v>B10PS FAF1 Pipe Space Fog PV Lo</v>
      </c>
      <c r="F309" s="24"/>
      <c r="G309" s="24"/>
      <c r="H309" s="26"/>
      <c r="I309" s="26"/>
      <c r="J309" s="24"/>
      <c r="K309" s="36" t="s">
        <v>379</v>
      </c>
      <c r="M309" s="37"/>
      <c r="N309" s="37"/>
      <c r="O309" s="37"/>
      <c r="P309" s="28"/>
      <c r="Q309" s="29"/>
      <c r="R309" s="29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</row>
    <row r="310" spans="2:41" s="34" customFormat="1" ht="9.75" hidden="1" customHeight="1" outlineLevel="1" x14ac:dyDescent="0.2">
      <c r="B310" s="32" t="s">
        <v>6</v>
      </c>
      <c r="C310" s="24" t="str">
        <f>C303&amp;".PV_LL_Alm"</f>
        <v>FAF1_PS_FOG_PT_W133.PV_LL_Alm</v>
      </c>
      <c r="D310" s="24"/>
      <c r="E310" s="32" t="str">
        <f>E303&amp;" PV LoLo"</f>
        <v>B10PS FAF1 Pipe Space Fog PV LoLo</v>
      </c>
      <c r="F310" s="24"/>
      <c r="G310" s="24"/>
      <c r="H310" s="26"/>
      <c r="I310" s="26"/>
      <c r="J310" s="24"/>
      <c r="K310" s="36" t="s">
        <v>379</v>
      </c>
      <c r="M310" s="37"/>
      <c r="N310" s="37"/>
      <c r="O310" s="37"/>
      <c r="P310" s="28"/>
      <c r="Q310" s="29"/>
      <c r="R310" s="29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</row>
    <row r="311" spans="2:41" s="34" customFormat="1" ht="9.75" hidden="1" customHeight="1" outlineLevel="1" x14ac:dyDescent="0.2">
      <c r="B311" s="32" t="s">
        <v>4</v>
      </c>
      <c r="C311" s="24" t="str">
        <f>C303&amp;".Reset"</f>
        <v>FAF1_PS_FOG_PT_W133.Reset</v>
      </c>
      <c r="D311" s="24"/>
      <c r="E311" s="32" t="str">
        <f>E303&amp;" BTA Reset"</f>
        <v>B10PS FAF1 Pipe Space Fog BTA Reset</v>
      </c>
      <c r="F311" s="24"/>
      <c r="G311" s="24"/>
      <c r="H311" s="26"/>
      <c r="I311" s="26"/>
      <c r="J311" s="24"/>
      <c r="K311" s="36" t="s">
        <v>57</v>
      </c>
      <c r="M311" s="37"/>
      <c r="N311" s="37"/>
      <c r="O311" s="37"/>
      <c r="P311" s="28"/>
      <c r="Q311" s="29"/>
      <c r="R311" s="29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</row>
    <row r="312" spans="2:41" s="34" customFormat="1" ht="9.75" hidden="1" customHeight="1" outlineLevel="1" x14ac:dyDescent="0.2">
      <c r="B312" s="32"/>
      <c r="C312" s="24"/>
      <c r="D312" s="24"/>
      <c r="E312" s="32"/>
      <c r="F312" s="24"/>
      <c r="G312" s="24"/>
      <c r="H312" s="26"/>
      <c r="I312" s="26"/>
      <c r="J312" s="24"/>
      <c r="K312" s="36"/>
      <c r="M312" s="37"/>
      <c r="N312" s="37"/>
      <c r="O312" s="37"/>
      <c r="P312" s="28"/>
      <c r="Q312" s="29"/>
      <c r="R312" s="29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</row>
    <row r="313" spans="2:41" s="24" customFormat="1" ht="9.75" customHeight="1" collapsed="1" x14ac:dyDescent="0.2">
      <c r="B313" s="24" t="s">
        <v>184</v>
      </c>
      <c r="C313" s="40" t="s">
        <v>185</v>
      </c>
      <c r="D313" s="40"/>
      <c r="E313" s="24" t="s">
        <v>186</v>
      </c>
      <c r="H313" s="26"/>
      <c r="I313" s="26"/>
      <c r="K313" s="27"/>
      <c r="M313" s="26"/>
      <c r="N313" s="26"/>
      <c r="O313" s="26"/>
      <c r="P313" s="28"/>
      <c r="Q313" s="29"/>
      <c r="R313" s="29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</row>
    <row r="314" spans="2:41" s="24" customFormat="1" ht="9.75" hidden="1" customHeight="1" outlineLevel="1" x14ac:dyDescent="0.2">
      <c r="B314" s="24" t="s">
        <v>6</v>
      </c>
      <c r="C314" s="24" t="str">
        <f>C313&amp;".Value"</f>
        <v>FAF1_PS_FOG_RTM_AFT_O_W133.Value</v>
      </c>
      <c r="E314" s="24" t="str">
        <f>E313</f>
        <v>Write C.M. to Change Oil On Meefog #1</v>
      </c>
      <c r="H314" s="26"/>
      <c r="K314" s="26" t="s">
        <v>187</v>
      </c>
      <c r="M314" s="26"/>
      <c r="N314" s="26"/>
      <c r="O314" s="26"/>
      <c r="P314" s="28"/>
      <c r="Q314" s="29"/>
      <c r="R314" s="29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</row>
    <row r="315" spans="2:41" s="34" customFormat="1" ht="9.75" hidden="1" customHeight="1" outlineLevel="1" x14ac:dyDescent="0.2">
      <c r="B315" s="24"/>
      <c r="C315" s="24"/>
      <c r="D315" s="24"/>
      <c r="E315" s="24"/>
      <c r="F315" s="24"/>
      <c r="G315" s="24"/>
      <c r="H315" s="26"/>
      <c r="I315" s="26"/>
      <c r="J315" s="24"/>
      <c r="K315" s="36"/>
      <c r="M315" s="37"/>
      <c r="N315" s="37"/>
      <c r="O315" s="37"/>
      <c r="P315" s="28"/>
      <c r="Q315" s="29"/>
      <c r="R315" s="29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</row>
    <row r="316" spans="2:41" s="24" customFormat="1" ht="9.75" customHeight="1" collapsed="1" x14ac:dyDescent="0.2">
      <c r="B316" s="24" t="s">
        <v>146</v>
      </c>
      <c r="C316" s="40" t="s">
        <v>162</v>
      </c>
      <c r="D316" s="40"/>
      <c r="E316" s="24" t="s">
        <v>104</v>
      </c>
      <c r="H316" s="26"/>
      <c r="I316" s="26"/>
      <c r="M316" s="26"/>
      <c r="N316" s="26"/>
      <c r="O316" s="26"/>
      <c r="P316" s="28"/>
      <c r="Q316" s="29"/>
      <c r="R316" s="29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</row>
    <row r="317" spans="2:41" s="24" customFormat="1" ht="9.75" hidden="1" customHeight="1" outlineLevel="1" x14ac:dyDescent="0.2">
      <c r="B317" s="24" t="s">
        <v>4</v>
      </c>
      <c r="C317" s="24" t="str">
        <f>C316&amp;".Value"</f>
        <v>FAF1_PS_FOG_RTM_ALM_RST_I_W133.Value</v>
      </c>
      <c r="E317" s="24" t="str">
        <f>E316&amp;" Value"</f>
        <v>Description Value</v>
      </c>
      <c r="H317" s="26"/>
      <c r="I317" s="26"/>
      <c r="K317" s="27"/>
      <c r="M317" s="26"/>
      <c r="N317" s="26"/>
      <c r="O317" s="26"/>
      <c r="P317" s="28"/>
      <c r="Q317" s="29"/>
      <c r="R317" s="29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</row>
    <row r="318" spans="2:41" s="34" customFormat="1" ht="9.75" hidden="1" customHeight="1" outlineLevel="1" x14ac:dyDescent="0.2">
      <c r="B318" s="24"/>
      <c r="C318" s="24"/>
      <c r="D318" s="24"/>
      <c r="E318" s="24"/>
      <c r="F318" s="24"/>
      <c r="G318" s="24"/>
      <c r="H318" s="26"/>
      <c r="I318" s="26"/>
      <c r="J318" s="24"/>
      <c r="K318" s="36"/>
      <c r="M318" s="37"/>
      <c r="N318" s="37"/>
      <c r="O318" s="37"/>
      <c r="P318" s="28"/>
      <c r="Q318" s="29"/>
      <c r="R318" s="29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</row>
    <row r="319" spans="2:41" s="34" customFormat="1" ht="9.75" customHeight="1" collapsed="1" x14ac:dyDescent="0.2">
      <c r="B319" s="24" t="s">
        <v>184</v>
      </c>
      <c r="C319" s="40" t="s">
        <v>188</v>
      </c>
      <c r="D319" s="40"/>
      <c r="E319" s="24" t="s">
        <v>416</v>
      </c>
      <c r="F319" s="24"/>
      <c r="G319" s="24"/>
      <c r="H319" s="26"/>
      <c r="I319" s="26"/>
      <c r="J319" s="24"/>
      <c r="M319" s="37"/>
      <c r="N319" s="37"/>
      <c r="O319" s="37"/>
      <c r="P319" s="28"/>
      <c r="Q319" s="29"/>
      <c r="R319" s="29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</row>
    <row r="320" spans="2:41" s="34" customFormat="1" ht="9.75" hidden="1" customHeight="1" outlineLevel="1" x14ac:dyDescent="0.2">
      <c r="B320" s="24" t="s">
        <v>6</v>
      </c>
      <c r="C320" s="24" t="str">
        <f>C319&amp;".Value"</f>
        <v>FAF1_PS_FOG_RUNTIME_CUM_W133.Value</v>
      </c>
      <c r="D320" s="24"/>
      <c r="E320" s="24" t="str">
        <f>E319</f>
        <v>B10PS FAF1 Fog System Cummulative Run Time</v>
      </c>
      <c r="F320" s="24"/>
      <c r="G320" s="24"/>
      <c r="H320" s="26"/>
      <c r="I320" s="26"/>
      <c r="J320" s="24"/>
      <c r="K320" s="36" t="s">
        <v>189</v>
      </c>
      <c r="M320" s="37"/>
      <c r="N320" s="37"/>
      <c r="O320" s="37"/>
      <c r="P320" s="28"/>
      <c r="Q320" s="29"/>
      <c r="R320" s="29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</row>
    <row r="321" spans="2:41" s="34" customFormat="1" ht="9.75" hidden="1" customHeight="1" outlineLevel="1" x14ac:dyDescent="0.2">
      <c r="B321" s="24"/>
      <c r="C321" s="24"/>
      <c r="D321" s="24"/>
      <c r="E321" s="24"/>
      <c r="F321" s="24"/>
      <c r="G321" s="24"/>
      <c r="H321" s="26"/>
      <c r="I321" s="26"/>
      <c r="J321" s="24"/>
      <c r="K321" s="36"/>
      <c r="M321" s="37"/>
      <c r="N321" s="37"/>
      <c r="O321" s="37"/>
      <c r="P321" s="28"/>
      <c r="Q321" s="29"/>
      <c r="R321" s="29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</row>
    <row r="322" spans="2:41" s="34" customFormat="1" ht="9.75" customHeight="1" collapsed="1" x14ac:dyDescent="0.2">
      <c r="B322" s="24" t="s">
        <v>184</v>
      </c>
      <c r="C322" s="40" t="s">
        <v>190</v>
      </c>
      <c r="D322" s="40"/>
      <c r="E322" s="24" t="s">
        <v>417</v>
      </c>
      <c r="F322" s="24"/>
      <c r="G322" s="24"/>
      <c r="H322" s="26"/>
      <c r="I322" s="26"/>
      <c r="J322" s="24"/>
      <c r="K322" s="36"/>
      <c r="M322" s="37"/>
      <c r="N322" s="37"/>
      <c r="O322" s="37"/>
      <c r="P322" s="28"/>
      <c r="Q322" s="29"/>
      <c r="R322" s="29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</row>
    <row r="323" spans="2:41" s="34" customFormat="1" ht="9.75" hidden="1" customHeight="1" outlineLevel="1" x14ac:dyDescent="0.2">
      <c r="B323" s="24" t="s">
        <v>6</v>
      </c>
      <c r="C323" s="24" t="str">
        <f>C322&amp;".Value"</f>
        <v>FAF1_PS_FOG_RUNTIME_W133.Value</v>
      </c>
      <c r="D323" s="24"/>
      <c r="E323" s="24" t="str">
        <f>E322</f>
        <v>B10PS FAF1 Pipe Space Fog System Run Time</v>
      </c>
      <c r="F323" s="24"/>
      <c r="G323" s="24"/>
      <c r="H323" s="26"/>
      <c r="I323" s="26"/>
      <c r="J323" s="24"/>
      <c r="K323" s="36" t="s">
        <v>191</v>
      </c>
      <c r="M323" s="37"/>
      <c r="N323" s="37"/>
      <c r="O323" s="37"/>
      <c r="P323" s="28"/>
      <c r="Q323" s="29"/>
      <c r="R323" s="29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</row>
    <row r="324" spans="2:41" s="34" customFormat="1" ht="9.75" hidden="1" customHeight="1" outlineLevel="1" x14ac:dyDescent="0.2">
      <c r="B324" s="24"/>
      <c r="C324" s="24"/>
      <c r="D324" s="24"/>
      <c r="E324" s="24"/>
      <c r="F324" s="24"/>
      <c r="G324" s="24"/>
      <c r="H324" s="26"/>
      <c r="I324" s="26"/>
      <c r="J324" s="24"/>
      <c r="K324" s="36"/>
      <c r="M324" s="37"/>
      <c r="N324" s="37"/>
      <c r="O324" s="37"/>
      <c r="P324" s="28"/>
      <c r="Q324" s="29"/>
      <c r="R324" s="29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</row>
    <row r="325" spans="2:41" s="34" customFormat="1" ht="9.75" customHeight="1" collapsed="1" x14ac:dyDescent="0.2">
      <c r="B325" s="24" t="s">
        <v>146</v>
      </c>
      <c r="C325" s="40" t="s">
        <v>163</v>
      </c>
      <c r="D325" s="40"/>
      <c r="E325" s="24" t="s">
        <v>418</v>
      </c>
      <c r="F325" s="24"/>
      <c r="G325" s="24"/>
      <c r="H325" s="26"/>
      <c r="I325" s="26"/>
      <c r="J325" s="24"/>
      <c r="K325" s="36"/>
      <c r="M325" s="37"/>
      <c r="N325" s="37"/>
      <c r="O325" s="37"/>
      <c r="P325" s="28"/>
      <c r="Q325" s="29"/>
      <c r="R325" s="29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</row>
    <row r="326" spans="2:41" s="34" customFormat="1" ht="9.75" hidden="1" customHeight="1" outlineLevel="1" x14ac:dyDescent="0.2">
      <c r="B326" s="24" t="s">
        <v>4</v>
      </c>
      <c r="C326" s="24" t="str">
        <f>C325&amp;".Value"</f>
        <v>FAF1_PS_FOG_SOL1.Value</v>
      </c>
      <c r="D326" s="24"/>
      <c r="E326" s="24" t="str">
        <f>E325</f>
        <v>B10PS FAF1 Pipe Space Fogger Solenoid_1</v>
      </c>
      <c r="F326" s="24"/>
      <c r="G326" s="24"/>
      <c r="H326" s="26"/>
      <c r="I326" s="26"/>
      <c r="J326" s="24"/>
      <c r="K326" s="36" t="s">
        <v>164</v>
      </c>
      <c r="M326" s="37"/>
      <c r="N326" s="37"/>
      <c r="O326" s="37"/>
      <c r="P326" s="28"/>
      <c r="Q326" s="29"/>
      <c r="R326" s="29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</row>
    <row r="327" spans="2:41" s="34" customFormat="1" ht="9.75" hidden="1" customHeight="1" outlineLevel="1" x14ac:dyDescent="0.2">
      <c r="B327" s="24"/>
      <c r="C327" s="24"/>
      <c r="D327" s="24"/>
      <c r="E327" s="24"/>
      <c r="F327" s="24"/>
      <c r="G327" s="24"/>
      <c r="H327" s="26"/>
      <c r="I327" s="26"/>
      <c r="J327" s="24"/>
      <c r="K327" s="36"/>
      <c r="M327" s="37"/>
      <c r="N327" s="37"/>
      <c r="O327" s="37"/>
      <c r="P327" s="28"/>
      <c r="Q327" s="29"/>
      <c r="R327" s="29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</row>
    <row r="328" spans="2:41" s="34" customFormat="1" ht="9.75" customHeight="1" collapsed="1" x14ac:dyDescent="0.2">
      <c r="B328" s="24" t="s">
        <v>146</v>
      </c>
      <c r="C328" s="40" t="s">
        <v>165</v>
      </c>
      <c r="D328" s="40"/>
      <c r="E328" s="24" t="s">
        <v>419</v>
      </c>
      <c r="F328" s="24"/>
      <c r="G328" s="24"/>
      <c r="H328" s="26"/>
      <c r="I328" s="26"/>
      <c r="J328" s="24"/>
      <c r="K328" s="36"/>
      <c r="M328" s="37"/>
      <c r="N328" s="37"/>
      <c r="O328" s="37"/>
      <c r="P328" s="28"/>
      <c r="Q328" s="29"/>
      <c r="R328" s="29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</row>
    <row r="329" spans="2:41" s="34" customFormat="1" ht="9.75" hidden="1" customHeight="1" outlineLevel="1" x14ac:dyDescent="0.2">
      <c r="B329" s="24" t="s">
        <v>4</v>
      </c>
      <c r="C329" s="40" t="str">
        <f>C328&amp;".Value"</f>
        <v>FAF1_PS_FOG_SOL2.Value</v>
      </c>
      <c r="D329" s="40"/>
      <c r="E329" s="24" t="str">
        <f>E328</f>
        <v>B10PS FAF1 Pipe Space Fogger Solenoid_2</v>
      </c>
      <c r="F329" s="24"/>
      <c r="G329" s="24"/>
      <c r="H329" s="26"/>
      <c r="I329" s="26"/>
      <c r="J329" s="24"/>
      <c r="K329" s="36" t="s">
        <v>166</v>
      </c>
      <c r="M329" s="37"/>
      <c r="N329" s="37"/>
      <c r="O329" s="37"/>
      <c r="P329" s="28"/>
      <c r="Q329" s="29"/>
      <c r="R329" s="29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</row>
    <row r="330" spans="2:41" s="34" customFormat="1" ht="9.75" hidden="1" customHeight="1" outlineLevel="1" x14ac:dyDescent="0.2">
      <c r="B330" s="24"/>
      <c r="C330" s="40"/>
      <c r="D330" s="40"/>
      <c r="E330" s="24"/>
      <c r="F330" s="24"/>
      <c r="G330" s="24"/>
      <c r="H330" s="26"/>
      <c r="I330" s="26"/>
      <c r="J330" s="24"/>
      <c r="K330" s="36"/>
      <c r="M330" s="37"/>
      <c r="N330" s="37"/>
      <c r="O330" s="37"/>
      <c r="P330" s="28"/>
      <c r="Q330" s="29"/>
      <c r="R330" s="29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</row>
    <row r="331" spans="2:41" s="34" customFormat="1" ht="9.75" customHeight="1" collapsed="1" x14ac:dyDescent="0.2">
      <c r="B331" s="24" t="s">
        <v>146</v>
      </c>
      <c r="C331" s="40" t="s">
        <v>167</v>
      </c>
      <c r="D331" s="40"/>
      <c r="E331" s="24" t="s">
        <v>420</v>
      </c>
      <c r="F331" s="24"/>
      <c r="G331" s="24"/>
      <c r="H331" s="26"/>
      <c r="I331" s="26"/>
      <c r="J331" s="24"/>
      <c r="K331" s="36"/>
      <c r="M331" s="37"/>
      <c r="N331" s="37"/>
      <c r="O331" s="37"/>
      <c r="P331" s="28"/>
      <c r="Q331" s="29"/>
      <c r="R331" s="29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</row>
    <row r="332" spans="2:41" s="34" customFormat="1" ht="9.75" hidden="1" customHeight="1" outlineLevel="1" x14ac:dyDescent="0.2">
      <c r="B332" s="24" t="s">
        <v>4</v>
      </c>
      <c r="C332" s="40" t="str">
        <f>C331&amp;".Value"</f>
        <v>FAF1_PS_FOG_SOL3.Value</v>
      </c>
      <c r="D332" s="40"/>
      <c r="E332" s="24" t="str">
        <f>E331</f>
        <v>B10PS FAF1 Pipe Space Fogger Solenoid_3</v>
      </c>
      <c r="F332" s="24"/>
      <c r="G332" s="24"/>
      <c r="H332" s="26"/>
      <c r="I332" s="26"/>
      <c r="J332" s="24"/>
      <c r="K332" s="36" t="s">
        <v>168</v>
      </c>
      <c r="M332" s="37"/>
      <c r="N332" s="37"/>
      <c r="O332" s="37"/>
      <c r="P332" s="28"/>
      <c r="Q332" s="29"/>
      <c r="R332" s="29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</row>
    <row r="333" spans="2:41" s="34" customFormat="1" ht="9.75" hidden="1" customHeight="1" outlineLevel="1" x14ac:dyDescent="0.2">
      <c r="B333" s="24"/>
      <c r="C333" s="40"/>
      <c r="D333" s="40"/>
      <c r="E333" s="24"/>
      <c r="F333" s="24"/>
      <c r="G333" s="24"/>
      <c r="H333" s="26"/>
      <c r="I333" s="26"/>
      <c r="J333" s="24"/>
      <c r="K333" s="36"/>
      <c r="M333" s="37"/>
      <c r="N333" s="37"/>
      <c r="O333" s="37"/>
      <c r="P333" s="28"/>
      <c r="Q333" s="29"/>
      <c r="R333" s="29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</row>
    <row r="334" spans="2:41" s="34" customFormat="1" ht="9.75" customHeight="1" collapsed="1" x14ac:dyDescent="0.2">
      <c r="B334" s="24" t="s">
        <v>146</v>
      </c>
      <c r="C334" s="40" t="s">
        <v>169</v>
      </c>
      <c r="D334" s="40"/>
      <c r="E334" s="24" t="s">
        <v>421</v>
      </c>
      <c r="F334" s="24"/>
      <c r="G334" s="24"/>
      <c r="H334" s="26"/>
      <c r="I334" s="26"/>
      <c r="J334" s="24"/>
      <c r="K334" s="36"/>
      <c r="M334" s="37"/>
      <c r="N334" s="37"/>
      <c r="O334" s="37"/>
      <c r="P334" s="28"/>
      <c r="Q334" s="29"/>
      <c r="R334" s="29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</row>
    <row r="335" spans="2:41" s="34" customFormat="1" ht="9.75" hidden="1" customHeight="1" outlineLevel="1" x14ac:dyDescent="0.2">
      <c r="B335" s="24" t="s">
        <v>4</v>
      </c>
      <c r="C335" s="24" t="str">
        <f>C334&amp;".Value"</f>
        <v>FAF1_PS_FOG_SOL4.Value</v>
      </c>
      <c r="D335" s="24"/>
      <c r="E335" s="24" t="str">
        <f>E334</f>
        <v>B10PS FAF1 Pipe Space Fogger Solenoid_4</v>
      </c>
      <c r="F335" s="24"/>
      <c r="G335" s="24"/>
      <c r="H335" s="26"/>
      <c r="I335" s="26"/>
      <c r="J335" s="24"/>
      <c r="K335" s="36" t="s">
        <v>170</v>
      </c>
      <c r="M335" s="37"/>
      <c r="N335" s="37"/>
      <c r="O335" s="37"/>
      <c r="P335" s="28"/>
      <c r="Q335" s="29"/>
      <c r="R335" s="29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</row>
    <row r="336" spans="2:41" s="34" customFormat="1" ht="9.75" hidden="1" customHeight="1" outlineLevel="1" x14ac:dyDescent="0.2">
      <c r="B336" s="24"/>
      <c r="C336" s="24"/>
      <c r="D336" s="24"/>
      <c r="E336" s="24"/>
      <c r="F336" s="24"/>
      <c r="G336" s="24"/>
      <c r="H336" s="26"/>
      <c r="I336" s="26"/>
      <c r="J336" s="24"/>
      <c r="K336" s="36"/>
      <c r="M336" s="37"/>
      <c r="N336" s="37"/>
      <c r="O336" s="37"/>
      <c r="P336" s="28"/>
      <c r="Q336" s="29"/>
      <c r="R336" s="29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</row>
    <row r="337" spans="2:41" s="34" customFormat="1" ht="9.75" customHeight="1" collapsed="1" x14ac:dyDescent="0.2">
      <c r="B337" s="24" t="s">
        <v>184</v>
      </c>
      <c r="C337" s="35" t="s">
        <v>192</v>
      </c>
      <c r="D337" s="35"/>
      <c r="E337" s="24" t="s">
        <v>422</v>
      </c>
      <c r="F337" s="24"/>
      <c r="G337" s="24"/>
      <c r="H337" s="26"/>
      <c r="I337" s="26"/>
      <c r="J337" s="24"/>
      <c r="K337" s="36"/>
      <c r="M337" s="37"/>
      <c r="N337" s="37"/>
      <c r="O337" s="37"/>
      <c r="P337" s="28"/>
      <c r="Q337" s="29"/>
      <c r="R337" s="29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</row>
    <row r="338" spans="2:41" s="34" customFormat="1" ht="9.75" hidden="1" customHeight="1" outlineLevel="1" x14ac:dyDescent="0.2">
      <c r="B338" s="24" t="s">
        <v>6</v>
      </c>
      <c r="C338" s="24" t="str">
        <f>C337&amp;".Value"</f>
        <v>FAF1_PS_HUMIDITY_P_OUT_W133.Value</v>
      </c>
      <c r="D338" s="24"/>
      <c r="E338" s="24" t="str">
        <f>E337</f>
        <v>B10PS FAF1 Humidity Loop Output</v>
      </c>
      <c r="F338" s="24"/>
      <c r="G338" s="24"/>
      <c r="H338" s="26"/>
      <c r="I338" s="26"/>
      <c r="J338" s="24"/>
      <c r="K338" s="36" t="s">
        <v>193</v>
      </c>
      <c r="M338" s="37"/>
      <c r="N338" s="37"/>
      <c r="O338" s="37"/>
      <c r="P338" s="28"/>
      <c r="Q338" s="29"/>
      <c r="R338" s="29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</row>
    <row r="339" spans="2:41" s="34" customFormat="1" ht="9.75" hidden="1" customHeight="1" outlineLevel="1" x14ac:dyDescent="0.2">
      <c r="B339" s="24"/>
      <c r="C339" s="24"/>
      <c r="D339" s="24"/>
      <c r="E339" s="24"/>
      <c r="F339" s="24"/>
      <c r="G339" s="24"/>
      <c r="H339" s="26"/>
      <c r="I339" s="26"/>
      <c r="J339" s="24"/>
      <c r="K339" s="36"/>
      <c r="M339" s="37"/>
      <c r="N339" s="37"/>
      <c r="O339" s="37"/>
      <c r="P339" s="28"/>
      <c r="Q339" s="29"/>
      <c r="R339" s="29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</row>
    <row r="340" spans="2:41" s="34" customFormat="1" ht="9.75" customHeight="1" collapsed="1" x14ac:dyDescent="0.2">
      <c r="B340" s="24" t="s">
        <v>203</v>
      </c>
      <c r="C340" s="35" t="s">
        <v>260</v>
      </c>
      <c r="D340" s="35"/>
      <c r="E340" s="24" t="s">
        <v>423</v>
      </c>
      <c r="F340" s="24"/>
      <c r="G340" s="24"/>
      <c r="H340" s="26"/>
      <c r="I340" s="26"/>
      <c r="J340" s="24"/>
      <c r="K340" s="36"/>
      <c r="M340" s="37"/>
      <c r="N340" s="37"/>
      <c r="O340" s="37"/>
      <c r="P340" s="28"/>
      <c r="Q340" s="29"/>
      <c r="R340" s="29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</row>
    <row r="341" spans="2:41" s="24" customFormat="1" ht="9.75" hidden="1" customHeight="1" outlineLevel="1" x14ac:dyDescent="0.2">
      <c r="B341" s="24" t="s">
        <v>4</v>
      </c>
      <c r="C341" s="24" t="str">
        <f>C340&amp;".CA"</f>
        <v>FAF1_PS_HUMIDITY_W133.CA</v>
      </c>
      <c r="E341" s="24" t="str">
        <f>E340&amp;" Control Action"</f>
        <v>B10PS FAF1 Humidity Loop Control Action</v>
      </c>
      <c r="H341" s="26"/>
      <c r="I341" s="26"/>
      <c r="K341" s="27" t="s">
        <v>261</v>
      </c>
      <c r="M341" s="26"/>
      <c r="N341" s="26"/>
      <c r="O341" s="26"/>
      <c r="P341" s="28"/>
      <c r="Q341" s="29"/>
      <c r="R341" s="29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</row>
    <row r="342" spans="2:41" s="24" customFormat="1" ht="9.75" hidden="1" customHeight="1" outlineLevel="1" x14ac:dyDescent="0.2">
      <c r="B342" s="24" t="s">
        <v>4</v>
      </c>
      <c r="C342" s="24" t="str">
        <f>C340&amp;".CL"</f>
        <v>FAF1_PS_HUMIDITY_W133.CL</v>
      </c>
      <c r="E342" s="24" t="str">
        <f>E340&amp;" Cascade"</f>
        <v>B10PS FAF1 Humidity Loop Cascade</v>
      </c>
      <c r="H342" s="26"/>
      <c r="I342" s="26"/>
      <c r="K342" s="27" t="s">
        <v>262</v>
      </c>
      <c r="M342" s="26"/>
      <c r="N342" s="26"/>
      <c r="O342" s="26"/>
      <c r="P342" s="28"/>
      <c r="Q342" s="29"/>
      <c r="R342" s="29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</row>
    <row r="343" spans="2:41" s="24" customFormat="1" ht="9.75" hidden="1" customHeight="1" outlineLevel="1" x14ac:dyDescent="0.2">
      <c r="B343" s="24" t="s">
        <v>6</v>
      </c>
      <c r="C343" s="24" t="str">
        <f>C340&amp;".CL_SP"</f>
        <v>FAF1_PS_HUMIDITY_W133.CL_SP</v>
      </c>
      <c r="E343" s="24" t="str">
        <f>E340&amp;" Cascaded Setpoint"</f>
        <v>B10PS FAF1 Humidity Loop Cascaded Setpoint</v>
      </c>
      <c r="H343" s="26"/>
      <c r="I343" s="26"/>
      <c r="K343" s="27" t="s">
        <v>263</v>
      </c>
      <c r="M343" s="26"/>
      <c r="N343" s="26"/>
      <c r="O343" s="26"/>
      <c r="P343" s="28"/>
      <c r="Q343" s="29"/>
      <c r="R343" s="29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</row>
    <row r="344" spans="2:41" s="24" customFormat="1" ht="9.75" hidden="1" customHeight="1" outlineLevel="1" collapsed="1" x14ac:dyDescent="0.2">
      <c r="B344" s="24" t="s">
        <v>6</v>
      </c>
      <c r="C344" s="32" t="str">
        <f>C340&amp;".KD"</f>
        <v>FAF1_PS_HUMIDITY_W133.KD</v>
      </c>
      <c r="D344" s="32"/>
      <c r="E344" s="32" t="str">
        <f>E340&amp;" Derivative"</f>
        <v>B10PS FAF1 Humidity Loop Derivative</v>
      </c>
      <c r="H344" s="26"/>
      <c r="I344" s="26"/>
      <c r="K344" s="27" t="s">
        <v>264</v>
      </c>
      <c r="M344" s="26"/>
      <c r="N344" s="26"/>
      <c r="O344" s="26"/>
      <c r="P344" s="28"/>
      <c r="Q344" s="29"/>
      <c r="R344" s="29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</row>
    <row r="345" spans="2:41" s="24" customFormat="1" ht="9.75" hidden="1" customHeight="1" outlineLevel="1" x14ac:dyDescent="0.2">
      <c r="B345" s="24" t="s">
        <v>6</v>
      </c>
      <c r="C345" s="24" t="str">
        <f>C340&amp;".KI"</f>
        <v>FAF1_PS_HUMIDITY_W133.KI</v>
      </c>
      <c r="E345" s="24" t="str">
        <f>E340&amp;" Integral"</f>
        <v>B10PS FAF1 Humidity Loop Integral</v>
      </c>
      <c r="H345" s="26"/>
      <c r="I345" s="26"/>
      <c r="K345" s="27" t="s">
        <v>265</v>
      </c>
      <c r="M345" s="26"/>
      <c r="N345" s="26"/>
      <c r="O345" s="26"/>
      <c r="P345" s="28"/>
      <c r="Q345" s="29"/>
      <c r="R345" s="29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</row>
    <row r="346" spans="2:41" s="24" customFormat="1" ht="9.75" hidden="1" customHeight="1" outlineLevel="1" x14ac:dyDescent="0.2">
      <c r="B346" s="24" t="s">
        <v>6</v>
      </c>
      <c r="C346" s="24" t="str">
        <f>C340&amp;".KP"</f>
        <v>FAF1_PS_HUMIDITY_W133.KP</v>
      </c>
      <c r="E346" s="24" t="str">
        <f>E340&amp;" Proportional"</f>
        <v>B10PS FAF1 Humidity Loop Proportional</v>
      </c>
      <c r="H346" s="26"/>
      <c r="I346" s="26"/>
      <c r="K346" s="27" t="s">
        <v>266</v>
      </c>
      <c r="M346" s="26"/>
      <c r="N346" s="26"/>
      <c r="O346" s="26"/>
      <c r="P346" s="28"/>
      <c r="Q346" s="29"/>
      <c r="R346" s="29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</row>
    <row r="347" spans="2:41" s="24" customFormat="1" ht="9.75" hidden="1" customHeight="1" outlineLevel="1" x14ac:dyDescent="0.2">
      <c r="B347" s="24" t="s">
        <v>4</v>
      </c>
      <c r="C347" s="24" t="str">
        <f>C340&amp;".MO"</f>
        <v>FAF1_PS_HUMIDITY_W133.MO</v>
      </c>
      <c r="E347" s="24" t="str">
        <f>E340&amp;" Auto/Man Mode"</f>
        <v>B10PS FAF1 Humidity Loop Auto/Man Mode</v>
      </c>
      <c r="H347" s="26"/>
      <c r="I347" s="26"/>
      <c r="K347" s="27" t="s">
        <v>267</v>
      </c>
      <c r="M347" s="26"/>
      <c r="N347" s="26"/>
      <c r="O347" s="26"/>
      <c r="P347" s="28"/>
      <c r="Q347" s="29"/>
      <c r="R347" s="29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</row>
    <row r="348" spans="2:41" s="24" customFormat="1" ht="9.75" hidden="1" customHeight="1" outlineLevel="1" x14ac:dyDescent="0.2">
      <c r="B348" s="24" t="s">
        <v>6</v>
      </c>
      <c r="C348" s="24" t="str">
        <f>C340&amp;".OUT"</f>
        <v>FAF1_PS_HUMIDITY_W133.OUT</v>
      </c>
      <c r="E348" s="24" t="str">
        <f>E340&amp;" Output Value"</f>
        <v>B10PS FAF1 Humidity Loop Output Value</v>
      </c>
      <c r="H348" s="26"/>
      <c r="I348" s="26"/>
      <c r="K348" s="27" t="s">
        <v>193</v>
      </c>
      <c r="M348" s="26"/>
      <c r="N348" s="26"/>
      <c r="O348" s="26"/>
      <c r="P348" s="28"/>
      <c r="Q348" s="29"/>
      <c r="R348" s="29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</row>
    <row r="349" spans="2:41" s="24" customFormat="1" ht="9.75" hidden="1" customHeight="1" outlineLevel="1" x14ac:dyDescent="0.2">
      <c r="B349" s="24" t="s">
        <v>6</v>
      </c>
      <c r="C349" s="24" t="str">
        <f>C340&amp;".PV"</f>
        <v>FAF1_PS_HUMIDITY_W133.PV</v>
      </c>
      <c r="E349" s="24" t="str">
        <f>E340&amp;" Process Variable"</f>
        <v>B10PS FAF1 Humidity Loop Process Variable</v>
      </c>
      <c r="H349" s="26"/>
      <c r="I349" s="26"/>
      <c r="K349" s="11" t="s">
        <v>268</v>
      </c>
      <c r="M349" s="26"/>
      <c r="N349" s="26"/>
      <c r="O349" s="26"/>
      <c r="P349" s="28"/>
      <c r="Q349" s="29"/>
      <c r="R349" s="29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</row>
    <row r="350" spans="2:41" s="24" customFormat="1" ht="9.75" hidden="1" customHeight="1" outlineLevel="1" x14ac:dyDescent="0.2">
      <c r="B350" s="24" t="s">
        <v>6</v>
      </c>
      <c r="C350" s="24" t="str">
        <f>C340&amp;".SO"</f>
        <v>FAF1_PS_HUMIDITY_W133.SO</v>
      </c>
      <c r="E350" s="24" t="str">
        <f>E340&amp;" Set Output"</f>
        <v>B10PS FAF1 Humidity Loop Set Output</v>
      </c>
      <c r="H350" s="26"/>
      <c r="I350" s="26"/>
      <c r="K350" s="11" t="s">
        <v>269</v>
      </c>
      <c r="M350" s="26"/>
      <c r="N350" s="26"/>
      <c r="O350" s="26"/>
      <c r="P350" s="28"/>
      <c r="Q350" s="29"/>
      <c r="R350" s="29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</row>
    <row r="351" spans="2:41" s="24" customFormat="1" ht="9.75" hidden="1" customHeight="1" outlineLevel="1" x14ac:dyDescent="0.2">
      <c r="B351" s="24" t="s">
        <v>6</v>
      </c>
      <c r="C351" s="24" t="str">
        <f>C340&amp;".SP"</f>
        <v>FAF1_PS_HUMIDITY_W133.SP</v>
      </c>
      <c r="E351" s="24" t="str">
        <f>E340&amp;" Setpoint"</f>
        <v>B10PS FAF1 Humidity Loop Setpoint</v>
      </c>
      <c r="H351" s="26"/>
      <c r="I351" s="26"/>
      <c r="K351" s="27" t="s">
        <v>270</v>
      </c>
      <c r="M351" s="26"/>
      <c r="N351" s="26"/>
      <c r="O351" s="26"/>
      <c r="P351" s="28"/>
      <c r="Q351" s="29"/>
      <c r="R351" s="29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</row>
    <row r="352" spans="2:41" s="24" customFormat="1" ht="9.75" hidden="1" customHeight="1" outlineLevel="1" x14ac:dyDescent="0.2">
      <c r="B352" s="24" t="s">
        <v>4</v>
      </c>
      <c r="C352" s="24" t="str">
        <f>C340&amp;".SWM"</f>
        <v>FAF1_PS_HUMIDITY_W133.SWM</v>
      </c>
      <c r="E352" s="24" t="str">
        <f>E340&amp;"  Software Manual Mode"</f>
        <v>B10PS FAF1 Humidity Loop  Software Manual Mode</v>
      </c>
      <c r="H352" s="26"/>
      <c r="I352" s="26"/>
      <c r="K352" s="27" t="s">
        <v>271</v>
      </c>
      <c r="M352" s="26"/>
      <c r="N352" s="26"/>
      <c r="O352" s="26"/>
      <c r="P352" s="28"/>
      <c r="Q352" s="29"/>
      <c r="R352" s="29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</row>
    <row r="353" spans="2:41" s="34" customFormat="1" ht="9.75" hidden="1" customHeight="1" outlineLevel="1" x14ac:dyDescent="0.2">
      <c r="B353" s="24" t="s">
        <v>6</v>
      </c>
      <c r="C353" s="24" t="str">
        <f>C340&amp;".TIE"</f>
        <v>FAF1_PS_HUMIDITY_W133.TIE</v>
      </c>
      <c r="D353" s="24"/>
      <c r="E353" s="24" t="str">
        <f>E340&amp;" Tieback Value"</f>
        <v>B10PS FAF1 Humidity Loop Tieback Value</v>
      </c>
      <c r="F353" s="24"/>
      <c r="G353" s="24"/>
      <c r="H353" s="26"/>
      <c r="I353" s="26"/>
      <c r="J353" s="24"/>
      <c r="K353" s="36" t="s">
        <v>272</v>
      </c>
      <c r="M353" s="37"/>
      <c r="N353" s="37"/>
      <c r="O353" s="37"/>
      <c r="P353" s="28"/>
      <c r="Q353" s="29"/>
      <c r="R353" s="29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</row>
    <row r="354" spans="2:41" s="34" customFormat="1" ht="9.75" hidden="1" customHeight="1" outlineLevel="1" x14ac:dyDescent="0.2">
      <c r="B354" s="24"/>
      <c r="C354" s="24"/>
      <c r="D354" s="24"/>
      <c r="E354" s="24"/>
      <c r="F354" s="24"/>
      <c r="G354" s="24"/>
      <c r="H354" s="26"/>
      <c r="I354" s="26"/>
      <c r="J354" s="24"/>
      <c r="K354" s="36"/>
      <c r="M354" s="37"/>
      <c r="N354" s="37"/>
      <c r="O354" s="37"/>
      <c r="P354" s="28"/>
      <c r="Q354" s="29"/>
      <c r="R354" s="29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</row>
    <row r="355" spans="2:41" s="34" customFormat="1" ht="9.75" customHeight="1" collapsed="1" x14ac:dyDescent="0.2">
      <c r="B355" s="24" t="s">
        <v>146</v>
      </c>
      <c r="C355" s="40" t="s">
        <v>171</v>
      </c>
      <c r="D355" s="40"/>
      <c r="E355" s="24" t="s">
        <v>424</v>
      </c>
      <c r="F355" s="24"/>
      <c r="G355" s="24"/>
      <c r="H355" s="26"/>
      <c r="I355" s="26"/>
      <c r="J355" s="24"/>
      <c r="M355" s="37"/>
      <c r="N355" s="37"/>
      <c r="O355" s="37"/>
      <c r="P355" s="28"/>
      <c r="Q355" s="29"/>
      <c r="R355" s="29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</row>
    <row r="356" spans="2:41" s="34" customFormat="1" ht="9.75" hidden="1" customHeight="1" outlineLevel="1" x14ac:dyDescent="0.2">
      <c r="B356" s="24" t="s">
        <v>4</v>
      </c>
      <c r="C356" s="24" t="str">
        <f>C355&amp;".Value"</f>
        <v>FAF1_PS_SUP_AIR_PS_W133.Value</v>
      </c>
      <c r="D356" s="24"/>
      <c r="E356" s="24" t="str">
        <f>E355</f>
        <v>B10PS FAF1 PipeSpace SupplyAir Pressure Switch</v>
      </c>
      <c r="F356" s="24"/>
      <c r="G356" s="24"/>
      <c r="H356" s="26"/>
      <c r="I356" s="26"/>
      <c r="J356" s="24"/>
      <c r="K356" s="36" t="s">
        <v>172</v>
      </c>
      <c r="M356" s="37"/>
      <c r="N356" s="37"/>
      <c r="O356" s="37"/>
      <c r="P356" s="28"/>
      <c r="Q356" s="29"/>
      <c r="R356" s="29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</row>
    <row r="357" spans="2:41" s="34" customFormat="1" ht="9.75" hidden="1" customHeight="1" outlineLevel="1" x14ac:dyDescent="0.2">
      <c r="B357" s="24"/>
      <c r="C357" s="24"/>
      <c r="D357" s="24"/>
      <c r="E357" s="24"/>
      <c r="F357" s="24"/>
      <c r="G357" s="24"/>
      <c r="H357" s="26"/>
      <c r="I357" s="26"/>
      <c r="J357" s="24"/>
      <c r="K357" s="36"/>
      <c r="M357" s="37"/>
      <c r="N357" s="37"/>
      <c r="O357" s="37"/>
      <c r="P357" s="28"/>
      <c r="Q357" s="29"/>
      <c r="R357" s="29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</row>
    <row r="358" spans="2:41" s="34" customFormat="1" ht="9.75" customHeight="1" collapsed="1" x14ac:dyDescent="0.2">
      <c r="B358" s="24" t="s">
        <v>2</v>
      </c>
      <c r="C358" s="45" t="s">
        <v>58</v>
      </c>
      <c r="D358" s="45"/>
      <c r="E358" s="24" t="s">
        <v>425</v>
      </c>
      <c r="F358" s="24"/>
      <c r="G358" s="24"/>
      <c r="H358" s="26"/>
      <c r="I358" s="26"/>
      <c r="J358" s="24"/>
      <c r="K358" s="36"/>
      <c r="M358" s="37"/>
      <c r="N358" s="37"/>
      <c r="O358" s="37"/>
      <c r="P358" s="28"/>
      <c r="Q358" s="29"/>
      <c r="R358" s="29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</row>
    <row r="359" spans="2:41" s="34" customFormat="1" ht="9.75" hidden="1" customHeight="1" outlineLevel="1" x14ac:dyDescent="0.2">
      <c r="B359" s="32" t="s">
        <v>4</v>
      </c>
      <c r="C359" s="24" t="str">
        <f>C358&amp;".BTA"</f>
        <v>FAF1_PS_TT1_W133.BTA</v>
      </c>
      <c r="D359" s="24"/>
      <c r="E359" s="32" t="str">
        <f>E358&amp;" BTA"</f>
        <v>B10PS FAF1 Pipe Space Temperature BTA</v>
      </c>
      <c r="F359" s="24"/>
      <c r="G359" s="24"/>
      <c r="H359" s="26"/>
      <c r="I359" s="26"/>
      <c r="J359" s="24"/>
      <c r="K359" s="36" t="s">
        <v>59</v>
      </c>
      <c r="M359" s="37"/>
      <c r="N359" s="37"/>
      <c r="O359" s="37"/>
      <c r="P359" s="28"/>
      <c r="Q359" s="29"/>
      <c r="R359" s="29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</row>
    <row r="360" spans="2:41" s="34" customFormat="1" ht="9.75" hidden="1" customHeight="1" outlineLevel="1" x14ac:dyDescent="0.2">
      <c r="B360" s="32" t="s">
        <v>4</v>
      </c>
      <c r="C360" s="24" t="str">
        <f>C358&amp;".IsDS"</f>
        <v>FAF1_PS_TT1_W133.IsDS</v>
      </c>
      <c r="D360" s="24"/>
      <c r="E360" s="32" t="str">
        <f>E358&amp;" Alarm Disabled"</f>
        <v>B10PS FAF1 Pipe Space Temperature Alarm Disabled</v>
      </c>
      <c r="F360" s="24"/>
      <c r="G360" s="24"/>
      <c r="H360" s="26"/>
      <c r="I360" s="26"/>
      <c r="J360" s="24"/>
      <c r="K360" s="36" t="s">
        <v>379</v>
      </c>
      <c r="M360" s="37"/>
      <c r="N360" s="37"/>
      <c r="O360" s="37"/>
      <c r="P360" s="28"/>
      <c r="Q360" s="29"/>
      <c r="R360" s="29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</row>
    <row r="361" spans="2:41" s="34" customFormat="1" ht="9.75" hidden="1" customHeight="1" outlineLevel="1" x14ac:dyDescent="0.2">
      <c r="B361" s="32" t="s">
        <v>6</v>
      </c>
      <c r="C361" s="24" t="str">
        <f>C358&amp;".PV"</f>
        <v>FAF1_PS_TT1_W133.PV</v>
      </c>
      <c r="D361" s="24"/>
      <c r="E361" s="32" t="str">
        <f>E358&amp;" PV"</f>
        <v>B10PS FAF1 Pipe Space Temperature PV</v>
      </c>
      <c r="F361" s="24"/>
      <c r="G361" s="24"/>
      <c r="H361" s="26"/>
      <c r="I361" s="26"/>
      <c r="J361" s="24"/>
      <c r="K361" s="36" t="s">
        <v>60</v>
      </c>
      <c r="M361" s="37"/>
      <c r="N361" s="37"/>
      <c r="O361" s="37"/>
      <c r="P361" s="28"/>
      <c r="Q361" s="29"/>
      <c r="R361" s="29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</row>
    <row r="362" spans="2:41" s="34" customFormat="1" ht="9.75" hidden="1" customHeight="1" outlineLevel="1" x14ac:dyDescent="0.2">
      <c r="B362" s="32" t="s">
        <v>6</v>
      </c>
      <c r="C362" s="24" t="str">
        <f>C358&amp;".PV_H_Alm"</f>
        <v>FAF1_PS_TT1_W133.PV_H_Alm</v>
      </c>
      <c r="D362" s="24"/>
      <c r="E362" s="32" t="str">
        <f>E358&amp;" PV Hi"</f>
        <v>B10PS FAF1 Pipe Space Temperature PV Hi</v>
      </c>
      <c r="F362" s="24"/>
      <c r="G362" s="24"/>
      <c r="H362" s="26"/>
      <c r="I362" s="26"/>
      <c r="J362" s="24"/>
      <c r="K362" s="36" t="s">
        <v>379</v>
      </c>
      <c r="M362" s="37"/>
      <c r="N362" s="37"/>
      <c r="O362" s="37"/>
      <c r="P362" s="28"/>
      <c r="Q362" s="29"/>
      <c r="R362" s="29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</row>
    <row r="363" spans="2:41" s="34" customFormat="1" ht="9.75" hidden="1" customHeight="1" outlineLevel="1" x14ac:dyDescent="0.2">
      <c r="B363" s="32" t="s">
        <v>6</v>
      </c>
      <c r="C363" s="24" t="str">
        <f>C358&amp;".PV_HH_Alm"</f>
        <v>FAF1_PS_TT1_W133.PV_HH_Alm</v>
      </c>
      <c r="D363" s="24"/>
      <c r="E363" s="32" t="str">
        <f>E358&amp;" PV HiHi"</f>
        <v>B10PS FAF1 Pipe Space Temperature PV HiHi</v>
      </c>
      <c r="F363" s="24"/>
      <c r="G363" s="24"/>
      <c r="H363" s="26"/>
      <c r="I363" s="26"/>
      <c r="J363" s="24"/>
      <c r="K363" s="36" t="s">
        <v>379</v>
      </c>
      <c r="M363" s="37"/>
      <c r="N363" s="37"/>
      <c r="O363" s="37"/>
      <c r="P363" s="28"/>
      <c r="Q363" s="29"/>
      <c r="R363" s="29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</row>
    <row r="364" spans="2:41" s="34" customFormat="1" ht="9.75" hidden="1" customHeight="1" outlineLevel="1" x14ac:dyDescent="0.2">
      <c r="B364" s="32" t="s">
        <v>6</v>
      </c>
      <c r="C364" s="24" t="str">
        <f>C358&amp;".PV_L_Alm"</f>
        <v>FAF1_PS_TT1_W133.PV_L_Alm</v>
      </c>
      <c r="D364" s="24"/>
      <c r="E364" s="32" t="str">
        <f>E358&amp;" PV Lo"</f>
        <v>B10PS FAF1 Pipe Space Temperature PV Lo</v>
      </c>
      <c r="F364" s="24"/>
      <c r="G364" s="24"/>
      <c r="H364" s="26"/>
      <c r="I364" s="26"/>
      <c r="J364" s="24"/>
      <c r="K364" s="36" t="s">
        <v>379</v>
      </c>
      <c r="M364" s="37"/>
      <c r="N364" s="37"/>
      <c r="O364" s="37"/>
      <c r="P364" s="28"/>
      <c r="Q364" s="29"/>
      <c r="R364" s="29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</row>
    <row r="365" spans="2:41" s="34" customFormat="1" ht="9.75" hidden="1" customHeight="1" outlineLevel="1" x14ac:dyDescent="0.2">
      <c r="B365" s="32" t="s">
        <v>6</v>
      </c>
      <c r="C365" s="24" t="str">
        <f>C358&amp;".PV_LL_Alm"</f>
        <v>FAF1_PS_TT1_W133.PV_LL_Alm</v>
      </c>
      <c r="D365" s="24"/>
      <c r="E365" s="32" t="str">
        <f>E358&amp;" PV LoLo"</f>
        <v>B10PS FAF1 Pipe Space Temperature PV LoLo</v>
      </c>
      <c r="F365" s="24"/>
      <c r="G365" s="24"/>
      <c r="H365" s="26"/>
      <c r="I365" s="26"/>
      <c r="J365" s="24"/>
      <c r="K365" s="36" t="s">
        <v>379</v>
      </c>
      <c r="M365" s="37"/>
      <c r="N365" s="37"/>
      <c r="O365" s="37"/>
      <c r="P365" s="28"/>
      <c r="Q365" s="29"/>
      <c r="R365" s="29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</row>
    <row r="366" spans="2:41" s="34" customFormat="1" ht="9.75" hidden="1" customHeight="1" outlineLevel="1" x14ac:dyDescent="0.2">
      <c r="B366" s="32" t="s">
        <v>4</v>
      </c>
      <c r="C366" s="24" t="str">
        <f>C358&amp;".Reset"</f>
        <v>FAF1_PS_TT1_W133.Reset</v>
      </c>
      <c r="D366" s="24"/>
      <c r="E366" s="32" t="str">
        <f>E358&amp;" BTA Reset"</f>
        <v>B10PS FAF1 Pipe Space Temperature BTA Reset</v>
      </c>
      <c r="F366" s="24"/>
      <c r="G366" s="24"/>
      <c r="H366" s="26"/>
      <c r="I366" s="26"/>
      <c r="J366" s="24"/>
      <c r="K366" s="36" t="s">
        <v>61</v>
      </c>
      <c r="M366" s="37"/>
      <c r="N366" s="37"/>
      <c r="O366" s="37"/>
      <c r="P366" s="28"/>
      <c r="Q366" s="29"/>
      <c r="R366" s="29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</row>
    <row r="367" spans="2:41" s="34" customFormat="1" ht="9.75" hidden="1" customHeight="1" outlineLevel="1" x14ac:dyDescent="0.2">
      <c r="B367" s="32"/>
      <c r="C367" s="24"/>
      <c r="D367" s="24"/>
      <c r="E367" s="32"/>
      <c r="F367" s="24"/>
      <c r="G367" s="24"/>
      <c r="H367" s="26"/>
      <c r="I367" s="26"/>
      <c r="J367" s="24"/>
      <c r="K367" s="36"/>
      <c r="M367" s="37"/>
      <c r="N367" s="37"/>
      <c r="O367" s="37"/>
      <c r="P367" s="28"/>
      <c r="Q367" s="29"/>
      <c r="R367" s="29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</row>
    <row r="368" spans="2:41" s="34" customFormat="1" ht="9.75" customHeight="1" collapsed="1" x14ac:dyDescent="0.2">
      <c r="B368" s="24" t="s">
        <v>2</v>
      </c>
      <c r="C368" s="25" t="s">
        <v>62</v>
      </c>
      <c r="D368" s="25"/>
      <c r="E368" s="24" t="s">
        <v>426</v>
      </c>
      <c r="F368" s="24"/>
      <c r="G368" s="24"/>
      <c r="H368" s="26"/>
      <c r="I368" s="26"/>
      <c r="J368" s="24"/>
      <c r="K368" s="36"/>
      <c r="M368" s="37"/>
      <c r="N368" s="37"/>
      <c r="O368" s="37"/>
      <c r="P368" s="28"/>
      <c r="Q368" s="29"/>
      <c r="R368" s="29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</row>
    <row r="369" spans="2:41" s="34" customFormat="1" ht="9.75" hidden="1" customHeight="1" outlineLevel="1" x14ac:dyDescent="0.2">
      <c r="B369" s="32" t="s">
        <v>4</v>
      </c>
      <c r="C369" s="24" t="str">
        <f>C368&amp;".BTA"</f>
        <v>FAF1_RARTT_W133.BTA</v>
      </c>
      <c r="D369" s="24"/>
      <c r="E369" s="32" t="str">
        <f>E368&amp;" BTA"</f>
        <v>B10PS FAF1 Reclaim Water Return Temperature BTA</v>
      </c>
      <c r="F369" s="24"/>
      <c r="G369" s="24"/>
      <c r="H369" s="26"/>
      <c r="I369" s="26"/>
      <c r="J369" s="24"/>
      <c r="K369" s="36" t="s">
        <v>63</v>
      </c>
      <c r="M369" s="37"/>
      <c r="N369" s="37"/>
      <c r="O369" s="37"/>
      <c r="P369" s="28"/>
      <c r="Q369" s="29"/>
      <c r="R369" s="29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</row>
    <row r="370" spans="2:41" s="34" customFormat="1" ht="9.75" hidden="1" customHeight="1" outlineLevel="1" x14ac:dyDescent="0.2">
      <c r="B370" s="32" t="s">
        <v>4</v>
      </c>
      <c r="C370" s="24" t="str">
        <f>C368&amp;".IsDS"</f>
        <v>FAF1_RARTT_W133.IsDS</v>
      </c>
      <c r="D370" s="24"/>
      <c r="E370" s="32" t="str">
        <f>E368&amp;" Alarm Disabled"</f>
        <v>B10PS FAF1 Reclaim Water Return Temperature Alarm Disabled</v>
      </c>
      <c r="F370" s="24"/>
      <c r="G370" s="24"/>
      <c r="H370" s="26"/>
      <c r="I370" s="26"/>
      <c r="J370" s="24"/>
      <c r="K370" s="36" t="s">
        <v>379</v>
      </c>
      <c r="M370" s="37"/>
      <c r="N370" s="37"/>
      <c r="O370" s="37"/>
      <c r="P370" s="28"/>
      <c r="Q370" s="29"/>
      <c r="R370" s="29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</row>
    <row r="371" spans="2:41" s="34" customFormat="1" ht="9.75" hidden="1" customHeight="1" outlineLevel="1" x14ac:dyDescent="0.2">
      <c r="B371" s="32" t="s">
        <v>6</v>
      </c>
      <c r="C371" s="24" t="str">
        <f>C368&amp;".PV"</f>
        <v>FAF1_RARTT_W133.PV</v>
      </c>
      <c r="D371" s="24"/>
      <c r="E371" s="32" t="str">
        <f>E368&amp;" PV"</f>
        <v>B10PS FAF1 Reclaim Water Return Temperature PV</v>
      </c>
      <c r="F371" s="24"/>
      <c r="G371" s="24"/>
      <c r="H371" s="26"/>
      <c r="I371" s="26"/>
      <c r="J371" s="24"/>
      <c r="K371" s="36" t="s">
        <v>64</v>
      </c>
      <c r="M371" s="37"/>
      <c r="N371" s="37"/>
      <c r="O371" s="37"/>
      <c r="P371" s="28"/>
      <c r="Q371" s="29"/>
      <c r="R371" s="29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</row>
    <row r="372" spans="2:41" s="34" customFormat="1" ht="9.75" hidden="1" customHeight="1" outlineLevel="1" x14ac:dyDescent="0.2">
      <c r="B372" s="32" t="s">
        <v>6</v>
      </c>
      <c r="C372" s="24" t="str">
        <f>C368&amp;".PV_H_Alm"</f>
        <v>FAF1_RARTT_W133.PV_H_Alm</v>
      </c>
      <c r="D372" s="24"/>
      <c r="E372" s="32" t="str">
        <f>E368&amp;" PV Hi"</f>
        <v>B10PS FAF1 Reclaim Water Return Temperature PV Hi</v>
      </c>
      <c r="F372" s="24"/>
      <c r="G372" s="24"/>
      <c r="H372" s="26"/>
      <c r="I372" s="26"/>
      <c r="J372" s="24"/>
      <c r="K372" s="36" t="s">
        <v>379</v>
      </c>
      <c r="M372" s="37"/>
      <c r="N372" s="37"/>
      <c r="O372" s="37"/>
      <c r="P372" s="28"/>
      <c r="Q372" s="29"/>
      <c r="R372" s="29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</row>
    <row r="373" spans="2:41" s="34" customFormat="1" ht="9.75" hidden="1" customHeight="1" outlineLevel="1" x14ac:dyDescent="0.2">
      <c r="B373" s="32" t="s">
        <v>6</v>
      </c>
      <c r="C373" s="24" t="str">
        <f>C368&amp;".PV_HH_Alm"</f>
        <v>FAF1_RARTT_W133.PV_HH_Alm</v>
      </c>
      <c r="D373" s="24"/>
      <c r="E373" s="32" t="str">
        <f>E368&amp;" PV HiHi"</f>
        <v>B10PS FAF1 Reclaim Water Return Temperature PV HiHi</v>
      </c>
      <c r="F373" s="24"/>
      <c r="G373" s="24"/>
      <c r="H373" s="26"/>
      <c r="I373" s="26"/>
      <c r="J373" s="24"/>
      <c r="K373" s="36" t="s">
        <v>379</v>
      </c>
      <c r="M373" s="37"/>
      <c r="N373" s="37"/>
      <c r="O373" s="37"/>
      <c r="P373" s="28"/>
      <c r="Q373" s="29"/>
      <c r="R373" s="29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</row>
    <row r="374" spans="2:41" s="34" customFormat="1" ht="9.75" hidden="1" customHeight="1" outlineLevel="1" x14ac:dyDescent="0.2">
      <c r="B374" s="32" t="s">
        <v>6</v>
      </c>
      <c r="C374" s="24" t="str">
        <f>C368&amp;".PV_L_Alm"</f>
        <v>FAF1_RARTT_W133.PV_L_Alm</v>
      </c>
      <c r="D374" s="24"/>
      <c r="E374" s="32" t="str">
        <f>E368&amp;" PV Lo"</f>
        <v>B10PS FAF1 Reclaim Water Return Temperature PV Lo</v>
      </c>
      <c r="F374" s="24"/>
      <c r="G374" s="24"/>
      <c r="H374" s="26"/>
      <c r="I374" s="26"/>
      <c r="J374" s="24"/>
      <c r="K374" s="36" t="s">
        <v>379</v>
      </c>
      <c r="M374" s="37"/>
      <c r="N374" s="37"/>
      <c r="O374" s="37"/>
      <c r="P374" s="28"/>
      <c r="Q374" s="29"/>
      <c r="R374" s="29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</row>
    <row r="375" spans="2:41" s="34" customFormat="1" ht="9.75" hidden="1" customHeight="1" outlineLevel="1" x14ac:dyDescent="0.2">
      <c r="B375" s="32" t="s">
        <v>6</v>
      </c>
      <c r="C375" s="24" t="str">
        <f>C368&amp;".PV_LL_Alm"</f>
        <v>FAF1_RARTT_W133.PV_LL_Alm</v>
      </c>
      <c r="D375" s="24"/>
      <c r="E375" s="32" t="str">
        <f>E368&amp;" PV LoLo"</f>
        <v>B10PS FAF1 Reclaim Water Return Temperature PV LoLo</v>
      </c>
      <c r="F375" s="24"/>
      <c r="G375" s="24"/>
      <c r="H375" s="26"/>
      <c r="I375" s="26"/>
      <c r="J375" s="24"/>
      <c r="K375" s="36" t="s">
        <v>379</v>
      </c>
      <c r="M375" s="37"/>
      <c r="N375" s="37"/>
      <c r="O375" s="37"/>
      <c r="P375" s="28"/>
      <c r="Q375" s="29"/>
      <c r="R375" s="29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</row>
    <row r="376" spans="2:41" s="34" customFormat="1" ht="9.75" hidden="1" customHeight="1" outlineLevel="1" x14ac:dyDescent="0.2">
      <c r="B376" s="32" t="s">
        <v>4</v>
      </c>
      <c r="C376" s="24" t="str">
        <f>C368&amp;".Reset"</f>
        <v>FAF1_RARTT_W133.Reset</v>
      </c>
      <c r="D376" s="24"/>
      <c r="E376" s="32" t="str">
        <f>E368&amp;" BTA Reset"</f>
        <v>B10PS FAF1 Reclaim Water Return Temperature BTA Reset</v>
      </c>
      <c r="F376" s="24"/>
      <c r="G376" s="24"/>
      <c r="H376" s="26"/>
      <c r="I376" s="26"/>
      <c r="J376" s="24"/>
      <c r="K376" s="36" t="s">
        <v>65</v>
      </c>
      <c r="M376" s="37"/>
      <c r="N376" s="37"/>
      <c r="O376" s="37"/>
      <c r="P376" s="28"/>
      <c r="Q376" s="29"/>
      <c r="R376" s="29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</row>
    <row r="377" spans="2:41" s="34" customFormat="1" ht="9.75" hidden="1" customHeight="1" outlineLevel="1" x14ac:dyDescent="0.2">
      <c r="B377" s="32"/>
      <c r="C377" s="24"/>
      <c r="D377" s="24"/>
      <c r="E377" s="32"/>
      <c r="F377" s="24"/>
      <c r="G377" s="24"/>
      <c r="H377" s="26"/>
      <c r="I377" s="26"/>
      <c r="J377" s="24"/>
      <c r="K377" s="36"/>
      <c r="M377" s="37"/>
      <c r="N377" s="37"/>
      <c r="O377" s="37"/>
      <c r="P377" s="28"/>
      <c r="Q377" s="29"/>
      <c r="R377" s="29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</row>
    <row r="378" spans="2:41" s="34" customFormat="1" ht="9.75" customHeight="1" collapsed="1" x14ac:dyDescent="0.2">
      <c r="B378" s="24" t="s">
        <v>298</v>
      </c>
      <c r="C378" s="35" t="s">
        <v>299</v>
      </c>
      <c r="D378" s="35"/>
      <c r="E378" s="32" t="s">
        <v>427</v>
      </c>
      <c r="F378" s="24"/>
      <c r="G378" s="24"/>
      <c r="H378" s="36"/>
      <c r="I378" s="36"/>
      <c r="J378" s="24"/>
      <c r="K378" s="36"/>
      <c r="M378" s="37"/>
      <c r="N378" s="37"/>
      <c r="O378" s="37"/>
      <c r="P378" s="28"/>
      <c r="Q378" s="29"/>
      <c r="R378" s="29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</row>
    <row r="379" spans="2:41" s="34" customFormat="1" ht="9.75" hidden="1" customHeight="1" outlineLevel="1" x14ac:dyDescent="0.2">
      <c r="B379" s="24" t="s">
        <v>4</v>
      </c>
      <c r="C379" s="24" t="str">
        <f>C378&amp;".AOPEN"</f>
        <v>FAF1_RBV1_W133.AOPEN</v>
      </c>
      <c r="D379" s="24"/>
      <c r="E379" s="24" t="str">
        <f>E378&amp;" Open from PLC"</f>
        <v>B10PS FAF 1 Reclaim Bypass Valve 1 Open from PLC</v>
      </c>
      <c r="F379" s="24"/>
      <c r="G379" s="24"/>
      <c r="H379" s="36"/>
      <c r="I379" s="37"/>
      <c r="J379" s="24"/>
      <c r="K379" s="36" t="s">
        <v>300</v>
      </c>
      <c r="M379" s="37"/>
      <c r="N379" s="37"/>
      <c r="O379" s="37"/>
      <c r="P379" s="28"/>
      <c r="Q379" s="29"/>
      <c r="R379" s="29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</row>
    <row r="380" spans="2:41" s="34" customFormat="1" ht="9.75" hidden="1" customHeight="1" outlineLevel="1" x14ac:dyDescent="0.2">
      <c r="B380" s="24" t="s">
        <v>4</v>
      </c>
      <c r="C380" s="24" t="str">
        <f>C378&amp;".AUTO"</f>
        <v>FAF1_RBV1_W133.AUTO</v>
      </c>
      <c r="D380" s="24"/>
      <c r="E380" s="24" t="str">
        <f>E378&amp;" AUTO"</f>
        <v>B10PS FAF 1 Reclaim Bypass Valve 1 AUTO</v>
      </c>
      <c r="F380" s="24"/>
      <c r="G380" s="24"/>
      <c r="H380" s="36"/>
      <c r="I380" s="37"/>
      <c r="J380" s="24"/>
      <c r="K380" s="36" t="s">
        <v>301</v>
      </c>
      <c r="M380" s="37"/>
      <c r="N380" s="37"/>
      <c r="O380" s="37"/>
      <c r="P380" s="28"/>
      <c r="Q380" s="29"/>
      <c r="R380" s="29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</row>
    <row r="381" spans="2:41" s="34" customFormat="1" ht="9.75" hidden="1" customHeight="1" outlineLevel="1" x14ac:dyDescent="0.2">
      <c r="B381" s="24" t="s">
        <v>4</v>
      </c>
      <c r="C381" s="24" t="str">
        <f>C378&amp;".CLSD"</f>
        <v>FAF1_RBV1_W133.CLSD</v>
      </c>
      <c r="D381" s="24"/>
      <c r="E381" s="24" t="str">
        <f>E378&amp;" CLSD"</f>
        <v>B10PS FAF 1 Reclaim Bypass Valve 1 CLSD</v>
      </c>
      <c r="F381" s="24"/>
      <c r="G381" s="24"/>
      <c r="H381" s="36"/>
      <c r="I381" s="37"/>
      <c r="J381" s="24"/>
      <c r="K381" s="36" t="s">
        <v>302</v>
      </c>
      <c r="M381" s="37"/>
      <c r="N381" s="37"/>
      <c r="O381" s="37"/>
      <c r="P381" s="28"/>
      <c r="Q381" s="29"/>
      <c r="R381" s="29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</row>
    <row r="382" spans="2:41" s="34" customFormat="1" ht="9.75" hidden="1" customHeight="1" outlineLevel="1" x14ac:dyDescent="0.2">
      <c r="B382" s="24" t="s">
        <v>4</v>
      </c>
      <c r="C382" s="24" t="str">
        <f>C378&amp;".FAULT"</f>
        <v>FAF1_RBV1_W133.FAULT</v>
      </c>
      <c r="D382" s="24"/>
      <c r="E382" s="24" t="str">
        <f>E378&amp;" Fault"</f>
        <v>B10PS FAF 1 Reclaim Bypass Valve 1 Fault</v>
      </c>
      <c r="F382" s="24"/>
      <c r="G382" s="24"/>
      <c r="H382" s="36"/>
      <c r="I382" s="37"/>
      <c r="J382" s="24"/>
      <c r="K382" s="36" t="s">
        <v>303</v>
      </c>
      <c r="M382" s="37"/>
      <c r="N382" s="37"/>
      <c r="O382" s="37"/>
      <c r="P382" s="28"/>
      <c r="Q382" s="29"/>
      <c r="R382" s="29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</row>
    <row r="383" spans="2:41" s="34" customFormat="1" ht="9.75" hidden="1" customHeight="1" outlineLevel="1" x14ac:dyDescent="0.2">
      <c r="B383" s="24" t="s">
        <v>4</v>
      </c>
      <c r="C383" s="24" t="str">
        <f>C378&amp;".FTC"</f>
        <v>FAF1_RBV1_W133.FTC</v>
      </c>
      <c r="D383" s="24"/>
      <c r="E383" s="24" t="str">
        <f>E378&amp;" Fail to Close"</f>
        <v>B10PS FAF 1 Reclaim Bypass Valve 1 Fail to Close</v>
      </c>
      <c r="F383" s="24"/>
      <c r="G383" s="24"/>
      <c r="H383" s="36"/>
      <c r="I383" s="37"/>
      <c r="J383" s="24"/>
      <c r="K383" s="36" t="s">
        <v>304</v>
      </c>
      <c r="M383" s="37"/>
      <c r="N383" s="37"/>
      <c r="O383" s="37"/>
      <c r="P383" s="28"/>
      <c r="Q383" s="29"/>
      <c r="R383" s="29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</row>
    <row r="384" spans="2:41" s="34" customFormat="1" ht="9.75" hidden="1" customHeight="1" outlineLevel="1" x14ac:dyDescent="0.2">
      <c r="B384" s="24" t="s">
        <v>4</v>
      </c>
      <c r="C384" s="24" t="str">
        <f>C378&amp;".FTO"</f>
        <v>FAF1_RBV1_W133.FTO</v>
      </c>
      <c r="D384" s="24"/>
      <c r="E384" s="24" t="str">
        <f>E378&amp;" Fail to Open"</f>
        <v>B10PS FAF 1 Reclaim Bypass Valve 1 Fail to Open</v>
      </c>
      <c r="F384" s="24"/>
      <c r="G384" s="24"/>
      <c r="H384" s="36"/>
      <c r="I384" s="37"/>
      <c r="J384" s="24"/>
      <c r="K384" s="36" t="s">
        <v>305</v>
      </c>
      <c r="M384" s="37"/>
      <c r="N384" s="37"/>
      <c r="O384" s="37"/>
      <c r="P384" s="28"/>
      <c r="Q384" s="29"/>
      <c r="R384" s="29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</row>
    <row r="385" spans="2:41" s="34" customFormat="1" ht="9.75" hidden="1" customHeight="1" outlineLevel="1" x14ac:dyDescent="0.2">
      <c r="B385" s="24" t="s">
        <v>4</v>
      </c>
      <c r="C385" s="24" t="str">
        <f>C378&amp;".MOPEN"</f>
        <v>FAF1_RBV1_W133.MOPEN</v>
      </c>
      <c r="D385" s="24"/>
      <c r="E385" s="24" t="str">
        <f>E378&amp;" Man Open CMD"</f>
        <v>B10PS FAF 1 Reclaim Bypass Valve 1 Man Open CMD</v>
      </c>
      <c r="F385" s="24"/>
      <c r="G385" s="24"/>
      <c r="H385" s="36"/>
      <c r="I385" s="37"/>
      <c r="J385" s="24"/>
      <c r="K385" s="36" t="s">
        <v>306</v>
      </c>
      <c r="M385" s="37"/>
      <c r="N385" s="37"/>
      <c r="O385" s="37"/>
      <c r="P385" s="28"/>
      <c r="Q385" s="29"/>
      <c r="R385" s="29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</row>
    <row r="386" spans="2:41" s="34" customFormat="1" ht="9.75" hidden="1" customHeight="1" outlineLevel="1" x14ac:dyDescent="0.2">
      <c r="B386" s="24" t="s">
        <v>4</v>
      </c>
      <c r="C386" s="24" t="str">
        <f>C378&amp;".NRDY"</f>
        <v>FAF1_RBV1_W133.NRDY</v>
      </c>
      <c r="D386" s="24"/>
      <c r="E386" s="24" t="str">
        <f>E378&amp;" "</f>
        <v xml:space="preserve">B10PS FAF 1 Reclaim Bypass Valve 1 </v>
      </c>
      <c r="F386" s="24"/>
      <c r="G386" s="24"/>
      <c r="H386" s="36"/>
      <c r="I386" s="37"/>
      <c r="J386" s="24"/>
      <c r="K386" s="36" t="s">
        <v>307</v>
      </c>
      <c r="M386" s="37"/>
      <c r="N386" s="37"/>
      <c r="O386" s="37"/>
      <c r="P386" s="28"/>
      <c r="Q386" s="29"/>
      <c r="R386" s="29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</row>
    <row r="387" spans="2:41" s="34" customFormat="1" ht="9.75" hidden="1" customHeight="1" outlineLevel="1" x14ac:dyDescent="0.2">
      <c r="B387" s="24" t="s">
        <v>4</v>
      </c>
      <c r="C387" s="24" t="str">
        <f>C378&amp;".OPND"</f>
        <v>FAF1_RBV1_W133.OPND</v>
      </c>
      <c r="D387" s="24"/>
      <c r="E387" s="24" t="str">
        <f>E378&amp;" OPND"</f>
        <v>B10PS FAF 1 Reclaim Bypass Valve 1 OPND</v>
      </c>
      <c r="F387" s="24"/>
      <c r="G387" s="24"/>
      <c r="H387" s="36"/>
      <c r="I387" s="37"/>
      <c r="J387" s="24"/>
      <c r="K387" s="36" t="s">
        <v>308</v>
      </c>
      <c r="M387" s="37"/>
      <c r="N387" s="37"/>
      <c r="O387" s="37"/>
      <c r="P387" s="28"/>
      <c r="Q387" s="29"/>
      <c r="R387" s="29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</row>
    <row r="388" spans="2:41" s="34" customFormat="1" ht="9.75" hidden="1" customHeight="1" outlineLevel="1" x14ac:dyDescent="0.2">
      <c r="B388" s="24" t="s">
        <v>6</v>
      </c>
      <c r="C388" s="24" t="str">
        <f>C378&amp;".STAT"</f>
        <v>FAF1_RBV1_W133.STAT</v>
      </c>
      <c r="D388" s="24"/>
      <c r="E388" s="24" t="str">
        <f>E378&amp;" "</f>
        <v xml:space="preserve">B10PS FAF 1 Reclaim Bypass Valve 1 </v>
      </c>
      <c r="F388" s="24"/>
      <c r="G388" s="24"/>
      <c r="H388" s="36"/>
      <c r="I388" s="37"/>
      <c r="J388" s="24"/>
      <c r="K388" s="36" t="s">
        <v>309</v>
      </c>
      <c r="M388" s="37"/>
      <c r="N388" s="37"/>
      <c r="O388" s="37"/>
      <c r="P388" s="28"/>
      <c r="Q388" s="29"/>
      <c r="R388" s="29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</row>
    <row r="389" spans="2:41" s="34" customFormat="1" ht="9.75" hidden="1" customHeight="1" outlineLevel="1" x14ac:dyDescent="0.2">
      <c r="B389" s="24" t="s">
        <v>4</v>
      </c>
      <c r="C389" s="24" t="str">
        <f>C378&amp;".TRVL"</f>
        <v>FAF1_RBV1_W133.TRVL</v>
      </c>
      <c r="D389" s="24"/>
      <c r="E389" s="24" t="str">
        <f>E378&amp;" Travel"</f>
        <v>B10PS FAF 1 Reclaim Bypass Valve 1 Travel</v>
      </c>
      <c r="F389" s="24"/>
      <c r="G389" s="24"/>
      <c r="H389" s="36"/>
      <c r="I389" s="37"/>
      <c r="J389" s="24"/>
      <c r="K389" s="36" t="s">
        <v>310</v>
      </c>
      <c r="M389" s="37"/>
      <c r="N389" s="37"/>
      <c r="O389" s="37"/>
      <c r="P389" s="28"/>
      <c r="Q389" s="29"/>
      <c r="R389" s="29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</row>
    <row r="390" spans="2:41" s="34" customFormat="1" ht="9.75" hidden="1" customHeight="1" outlineLevel="1" x14ac:dyDescent="0.2">
      <c r="B390" s="24"/>
      <c r="C390" s="24"/>
      <c r="D390" s="24"/>
      <c r="E390" s="24"/>
      <c r="F390" s="24"/>
      <c r="G390" s="24"/>
      <c r="H390" s="36"/>
      <c r="I390" s="37"/>
      <c r="J390" s="24"/>
      <c r="K390" s="36"/>
      <c r="M390" s="37"/>
      <c r="N390" s="37"/>
      <c r="O390" s="37"/>
      <c r="P390" s="28"/>
      <c r="Q390" s="29"/>
      <c r="R390" s="29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</row>
    <row r="391" spans="2:41" s="34" customFormat="1" ht="9.75" customHeight="1" collapsed="1" x14ac:dyDescent="0.2">
      <c r="B391" s="24" t="s">
        <v>298</v>
      </c>
      <c r="C391" s="35" t="s">
        <v>311</v>
      </c>
      <c r="D391" s="35"/>
      <c r="E391" s="32" t="s">
        <v>428</v>
      </c>
      <c r="F391" s="24"/>
      <c r="G391" s="24"/>
      <c r="H391" s="36"/>
      <c r="I391" s="36"/>
      <c r="J391" s="24"/>
      <c r="K391" s="36"/>
      <c r="M391" s="37"/>
      <c r="N391" s="37"/>
      <c r="O391" s="37"/>
      <c r="P391" s="28"/>
      <c r="Q391" s="29"/>
      <c r="R391" s="29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</row>
    <row r="392" spans="2:41" s="34" customFormat="1" ht="9.75" hidden="1" customHeight="1" outlineLevel="1" x14ac:dyDescent="0.2">
      <c r="B392" s="24" t="s">
        <v>4</v>
      </c>
      <c r="C392" s="24" t="str">
        <f>C391&amp;".AOPEN"</f>
        <v>FAF1_RBV2_W133.AOPEN</v>
      </c>
      <c r="D392" s="24"/>
      <c r="E392" s="24" t="str">
        <f>E391&amp;" Open from PLC"</f>
        <v>B10PS FAF 1 Reclaim Bypass Valve 2 Open from PLC</v>
      </c>
      <c r="F392" s="24"/>
      <c r="G392" s="24"/>
      <c r="H392" s="36"/>
      <c r="I392" s="37"/>
      <c r="J392" s="24"/>
      <c r="K392" s="36" t="s">
        <v>312</v>
      </c>
      <c r="M392" s="37"/>
      <c r="N392" s="37"/>
      <c r="O392" s="37"/>
      <c r="P392" s="28"/>
      <c r="Q392" s="29"/>
      <c r="R392" s="29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</row>
    <row r="393" spans="2:41" s="34" customFormat="1" ht="9.75" hidden="1" customHeight="1" outlineLevel="1" x14ac:dyDescent="0.2">
      <c r="B393" s="24" t="s">
        <v>4</v>
      </c>
      <c r="C393" s="24" t="str">
        <f>C391&amp;".AUTO"</f>
        <v>FAF1_RBV2_W133.AUTO</v>
      </c>
      <c r="D393" s="24"/>
      <c r="E393" s="24" t="str">
        <f>E391&amp;" AUTO"</f>
        <v>B10PS FAF 1 Reclaim Bypass Valve 2 AUTO</v>
      </c>
      <c r="F393" s="24"/>
      <c r="G393" s="24"/>
      <c r="H393" s="36"/>
      <c r="I393" s="37"/>
      <c r="J393" s="24"/>
      <c r="K393" s="36" t="s">
        <v>313</v>
      </c>
      <c r="M393" s="37"/>
      <c r="N393" s="37"/>
      <c r="O393" s="37"/>
      <c r="P393" s="28"/>
      <c r="Q393" s="29"/>
      <c r="R393" s="29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</row>
    <row r="394" spans="2:41" s="34" customFormat="1" ht="9.75" hidden="1" customHeight="1" outlineLevel="1" x14ac:dyDescent="0.2">
      <c r="B394" s="24" t="s">
        <v>4</v>
      </c>
      <c r="C394" s="24" t="str">
        <f>C391&amp;".CLSD"</f>
        <v>FAF1_RBV2_W133.CLSD</v>
      </c>
      <c r="D394" s="24"/>
      <c r="E394" s="24" t="str">
        <f>E391&amp;" CLSD"</f>
        <v>B10PS FAF 1 Reclaim Bypass Valve 2 CLSD</v>
      </c>
      <c r="F394" s="24"/>
      <c r="G394" s="24"/>
      <c r="H394" s="36"/>
      <c r="I394" s="37"/>
      <c r="J394" s="24"/>
      <c r="K394" s="36" t="s">
        <v>314</v>
      </c>
      <c r="M394" s="37"/>
      <c r="N394" s="37"/>
      <c r="O394" s="37"/>
      <c r="P394" s="28"/>
      <c r="Q394" s="29"/>
      <c r="R394" s="29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</row>
    <row r="395" spans="2:41" s="34" customFormat="1" ht="9.75" hidden="1" customHeight="1" outlineLevel="1" x14ac:dyDescent="0.2">
      <c r="B395" s="24" t="s">
        <v>4</v>
      </c>
      <c r="C395" s="24" t="str">
        <f>C391&amp;".FAULT"</f>
        <v>FAF1_RBV2_W133.FAULT</v>
      </c>
      <c r="D395" s="24"/>
      <c r="E395" s="24" t="str">
        <f>E391&amp;" Fault"</f>
        <v>B10PS FAF 1 Reclaim Bypass Valve 2 Fault</v>
      </c>
      <c r="F395" s="24"/>
      <c r="G395" s="24"/>
      <c r="H395" s="36"/>
      <c r="I395" s="37"/>
      <c r="J395" s="24"/>
      <c r="K395" s="36" t="s">
        <v>315</v>
      </c>
      <c r="M395" s="37"/>
      <c r="N395" s="37"/>
      <c r="O395" s="37"/>
      <c r="P395" s="28"/>
      <c r="Q395" s="29"/>
      <c r="R395" s="29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</row>
    <row r="396" spans="2:41" s="34" customFormat="1" ht="9.75" hidden="1" customHeight="1" outlineLevel="1" x14ac:dyDescent="0.2">
      <c r="B396" s="24" t="s">
        <v>4</v>
      </c>
      <c r="C396" s="24" t="str">
        <f>C391&amp;".FTC"</f>
        <v>FAF1_RBV2_W133.FTC</v>
      </c>
      <c r="D396" s="24"/>
      <c r="E396" s="24" t="str">
        <f>E391&amp;" Fail to Close"</f>
        <v>B10PS FAF 1 Reclaim Bypass Valve 2 Fail to Close</v>
      </c>
      <c r="F396" s="24"/>
      <c r="G396" s="24"/>
      <c r="H396" s="36"/>
      <c r="I396" s="37"/>
      <c r="J396" s="24"/>
      <c r="K396" s="36" t="s">
        <v>316</v>
      </c>
      <c r="M396" s="37"/>
      <c r="N396" s="37"/>
      <c r="O396" s="37"/>
      <c r="P396" s="28"/>
      <c r="Q396" s="29"/>
      <c r="R396" s="29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</row>
    <row r="397" spans="2:41" s="34" customFormat="1" ht="9.75" hidden="1" customHeight="1" outlineLevel="1" x14ac:dyDescent="0.2">
      <c r="B397" s="24" t="s">
        <v>4</v>
      </c>
      <c r="C397" s="24" t="str">
        <f>C391&amp;".FTO"</f>
        <v>FAF1_RBV2_W133.FTO</v>
      </c>
      <c r="D397" s="24"/>
      <c r="E397" s="24" t="str">
        <f>E391&amp;" Fail to Open"</f>
        <v>B10PS FAF 1 Reclaim Bypass Valve 2 Fail to Open</v>
      </c>
      <c r="F397" s="24"/>
      <c r="G397" s="24"/>
      <c r="H397" s="36"/>
      <c r="I397" s="37"/>
      <c r="J397" s="24"/>
      <c r="K397" s="36" t="s">
        <v>317</v>
      </c>
      <c r="M397" s="37"/>
      <c r="N397" s="37"/>
      <c r="O397" s="37"/>
      <c r="P397" s="28"/>
      <c r="Q397" s="29"/>
      <c r="R397" s="29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</row>
    <row r="398" spans="2:41" s="34" customFormat="1" ht="9.75" hidden="1" customHeight="1" outlineLevel="1" x14ac:dyDescent="0.2">
      <c r="B398" s="24" t="s">
        <v>4</v>
      </c>
      <c r="C398" s="24" t="str">
        <f>C391&amp;".MOPEN"</f>
        <v>FAF1_RBV2_W133.MOPEN</v>
      </c>
      <c r="D398" s="24"/>
      <c r="E398" s="24" t="str">
        <f>E391&amp;" Man Open CMD"</f>
        <v>B10PS FAF 1 Reclaim Bypass Valve 2 Man Open CMD</v>
      </c>
      <c r="F398" s="24"/>
      <c r="G398" s="24"/>
      <c r="H398" s="36"/>
      <c r="I398" s="37"/>
      <c r="J398" s="24"/>
      <c r="K398" s="36" t="s">
        <v>318</v>
      </c>
      <c r="M398" s="37"/>
      <c r="N398" s="37"/>
      <c r="O398" s="37"/>
      <c r="P398" s="28"/>
      <c r="Q398" s="29"/>
      <c r="R398" s="29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</row>
    <row r="399" spans="2:41" s="34" customFormat="1" ht="9.75" hidden="1" customHeight="1" outlineLevel="1" x14ac:dyDescent="0.2">
      <c r="B399" s="24" t="s">
        <v>4</v>
      </c>
      <c r="C399" s="24" t="str">
        <f>C391&amp;".NRDY"</f>
        <v>FAF1_RBV2_W133.NRDY</v>
      </c>
      <c r="D399" s="24"/>
      <c r="E399" s="24" t="str">
        <f>E391&amp;" "</f>
        <v xml:space="preserve">B10PS FAF 1 Reclaim Bypass Valve 2 </v>
      </c>
      <c r="F399" s="24"/>
      <c r="G399" s="24"/>
      <c r="H399" s="36"/>
      <c r="I399" s="37"/>
      <c r="J399" s="24"/>
      <c r="K399" s="36" t="s">
        <v>319</v>
      </c>
      <c r="M399" s="37"/>
      <c r="N399" s="37"/>
      <c r="O399" s="37"/>
      <c r="P399" s="28"/>
      <c r="Q399" s="29"/>
      <c r="R399" s="29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</row>
    <row r="400" spans="2:41" s="34" customFormat="1" ht="9.75" hidden="1" customHeight="1" outlineLevel="1" x14ac:dyDescent="0.2">
      <c r="B400" s="24" t="s">
        <v>4</v>
      </c>
      <c r="C400" s="24" t="str">
        <f>C391&amp;".OPND"</f>
        <v>FAF1_RBV2_W133.OPND</v>
      </c>
      <c r="D400" s="24"/>
      <c r="E400" s="24" t="str">
        <f>E391&amp;" OPND"</f>
        <v>B10PS FAF 1 Reclaim Bypass Valve 2 OPND</v>
      </c>
      <c r="F400" s="24"/>
      <c r="G400" s="24"/>
      <c r="H400" s="36"/>
      <c r="I400" s="37"/>
      <c r="J400" s="24"/>
      <c r="K400" s="36" t="s">
        <v>320</v>
      </c>
      <c r="M400" s="37"/>
      <c r="N400" s="37"/>
      <c r="O400" s="37"/>
      <c r="P400" s="28"/>
      <c r="Q400" s="29"/>
      <c r="R400" s="29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</row>
    <row r="401" spans="2:41" s="34" customFormat="1" ht="9.75" hidden="1" customHeight="1" outlineLevel="1" x14ac:dyDescent="0.2">
      <c r="B401" s="24" t="s">
        <v>6</v>
      </c>
      <c r="C401" s="24" t="str">
        <f>C391&amp;".STAT"</f>
        <v>FAF1_RBV2_W133.STAT</v>
      </c>
      <c r="D401" s="24"/>
      <c r="E401" s="24" t="str">
        <f>E391&amp;" "</f>
        <v xml:space="preserve">B10PS FAF 1 Reclaim Bypass Valve 2 </v>
      </c>
      <c r="F401" s="24"/>
      <c r="G401" s="24"/>
      <c r="H401" s="36"/>
      <c r="I401" s="37"/>
      <c r="J401" s="24"/>
      <c r="K401" s="36" t="s">
        <v>321</v>
      </c>
      <c r="M401" s="37"/>
      <c r="N401" s="37"/>
      <c r="O401" s="37"/>
      <c r="P401" s="28"/>
      <c r="Q401" s="29"/>
      <c r="R401" s="29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</row>
    <row r="402" spans="2:41" s="34" customFormat="1" ht="9.75" hidden="1" customHeight="1" outlineLevel="1" x14ac:dyDescent="0.2">
      <c r="B402" s="24" t="s">
        <v>4</v>
      </c>
      <c r="C402" s="24" t="str">
        <f>C391&amp;".TRVL"</f>
        <v>FAF1_RBV2_W133.TRVL</v>
      </c>
      <c r="D402" s="24"/>
      <c r="E402" s="24" t="str">
        <f>E391&amp;" Travel"</f>
        <v>B10PS FAF 1 Reclaim Bypass Valve 2 Travel</v>
      </c>
      <c r="F402" s="24"/>
      <c r="G402" s="24"/>
      <c r="H402" s="36"/>
      <c r="I402" s="37"/>
      <c r="J402" s="24"/>
      <c r="K402" s="36" t="s">
        <v>322</v>
      </c>
      <c r="M402" s="37"/>
      <c r="N402" s="37"/>
      <c r="O402" s="37"/>
      <c r="P402" s="28"/>
      <c r="Q402" s="29"/>
      <c r="R402" s="29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</row>
    <row r="403" spans="2:41" s="34" customFormat="1" ht="9.75" hidden="1" customHeight="1" outlineLevel="1" x14ac:dyDescent="0.2">
      <c r="B403" s="24"/>
      <c r="C403" s="24"/>
      <c r="D403" s="24"/>
      <c r="E403" s="24"/>
      <c r="F403" s="24"/>
      <c r="G403" s="24"/>
      <c r="H403" s="36"/>
      <c r="I403" s="37"/>
      <c r="J403" s="24"/>
      <c r="K403" s="36"/>
      <c r="M403" s="37"/>
      <c r="N403" s="37"/>
      <c r="O403" s="37"/>
      <c r="P403" s="28"/>
      <c r="Q403" s="29"/>
      <c r="R403" s="29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</row>
    <row r="404" spans="2:41" s="34" customFormat="1" ht="9.75" customHeight="1" collapsed="1" x14ac:dyDescent="0.2">
      <c r="B404" s="24" t="s">
        <v>2</v>
      </c>
      <c r="C404" s="25" t="s">
        <v>66</v>
      </c>
      <c r="D404" s="25"/>
      <c r="E404" s="24" t="s">
        <v>429</v>
      </c>
      <c r="F404" s="24"/>
      <c r="G404" s="24"/>
      <c r="H404" s="26"/>
      <c r="I404" s="26"/>
      <c r="J404" s="24"/>
      <c r="K404" s="36"/>
      <c r="M404" s="37"/>
      <c r="N404" s="37"/>
      <c r="O404" s="37"/>
      <c r="P404" s="28"/>
      <c r="Q404" s="29"/>
      <c r="R404" s="29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</row>
    <row r="405" spans="2:41" s="34" customFormat="1" ht="9.75" hidden="1" customHeight="1" outlineLevel="1" x14ac:dyDescent="0.2">
      <c r="B405" s="32" t="s">
        <v>4</v>
      </c>
      <c r="C405" s="24" t="str">
        <f>C404&amp;".BTA"</f>
        <v>FAF1_RHRTT_W133.BTA</v>
      </c>
      <c r="D405" s="24"/>
      <c r="E405" s="32" t="str">
        <f>E404&amp;" BTA"</f>
        <v>B10PS FAF1 Reheat Coil Water Return Temperature BTA</v>
      </c>
      <c r="F405" s="24"/>
      <c r="G405" s="24"/>
      <c r="H405" s="26"/>
      <c r="I405" s="26"/>
      <c r="J405" s="24"/>
      <c r="K405" s="36" t="s">
        <v>67</v>
      </c>
      <c r="M405" s="37"/>
      <c r="N405" s="37"/>
      <c r="O405" s="37"/>
      <c r="P405" s="28"/>
      <c r="Q405" s="29"/>
      <c r="R405" s="29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</row>
    <row r="406" spans="2:41" s="34" customFormat="1" ht="9.75" hidden="1" customHeight="1" outlineLevel="1" x14ac:dyDescent="0.2">
      <c r="B406" s="32" t="s">
        <v>4</v>
      </c>
      <c r="C406" s="24" t="str">
        <f>C404&amp;".IsDS"</f>
        <v>FAF1_RHRTT_W133.IsDS</v>
      </c>
      <c r="D406" s="24"/>
      <c r="E406" s="32" t="str">
        <f>E404&amp;" Alarm Disabled"</f>
        <v>B10PS FAF1 Reheat Coil Water Return Temperature Alarm Disabled</v>
      </c>
      <c r="F406" s="24"/>
      <c r="G406" s="24"/>
      <c r="H406" s="26"/>
      <c r="I406" s="26"/>
      <c r="J406" s="24"/>
      <c r="K406" s="36" t="s">
        <v>379</v>
      </c>
      <c r="M406" s="37"/>
      <c r="N406" s="37"/>
      <c r="O406" s="37"/>
      <c r="P406" s="28"/>
      <c r="Q406" s="29"/>
      <c r="R406" s="29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</row>
    <row r="407" spans="2:41" s="34" customFormat="1" ht="9.75" hidden="1" customHeight="1" outlineLevel="1" x14ac:dyDescent="0.2">
      <c r="B407" s="32" t="s">
        <v>6</v>
      </c>
      <c r="C407" s="24" t="str">
        <f>C404&amp;".PV"</f>
        <v>FAF1_RHRTT_W133.PV</v>
      </c>
      <c r="D407" s="24"/>
      <c r="E407" s="32" t="str">
        <f>E404&amp;" PV"</f>
        <v>B10PS FAF1 Reheat Coil Water Return Temperature PV</v>
      </c>
      <c r="F407" s="24"/>
      <c r="G407" s="24"/>
      <c r="H407" s="26"/>
      <c r="I407" s="26"/>
      <c r="J407" s="24"/>
      <c r="K407" s="36" t="s">
        <v>68</v>
      </c>
      <c r="M407" s="37"/>
      <c r="N407" s="37"/>
      <c r="O407" s="37"/>
      <c r="P407" s="28"/>
      <c r="Q407" s="29"/>
      <c r="R407" s="29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</row>
    <row r="408" spans="2:41" s="34" customFormat="1" ht="9.75" hidden="1" customHeight="1" outlineLevel="1" x14ac:dyDescent="0.2">
      <c r="B408" s="32" t="s">
        <v>6</v>
      </c>
      <c r="C408" s="24" t="str">
        <f>C404&amp;".PV_H_Alm"</f>
        <v>FAF1_RHRTT_W133.PV_H_Alm</v>
      </c>
      <c r="D408" s="24"/>
      <c r="E408" s="32" t="str">
        <f>E404&amp;" PV Hi"</f>
        <v>B10PS FAF1 Reheat Coil Water Return Temperature PV Hi</v>
      </c>
      <c r="F408" s="24"/>
      <c r="G408" s="24"/>
      <c r="H408" s="26"/>
      <c r="I408" s="26"/>
      <c r="J408" s="24"/>
      <c r="K408" s="36" t="s">
        <v>379</v>
      </c>
      <c r="M408" s="37"/>
      <c r="N408" s="37"/>
      <c r="O408" s="37"/>
      <c r="P408" s="28"/>
      <c r="Q408" s="29"/>
      <c r="R408" s="29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</row>
    <row r="409" spans="2:41" s="34" customFormat="1" ht="9.75" hidden="1" customHeight="1" outlineLevel="1" x14ac:dyDescent="0.2">
      <c r="B409" s="32" t="s">
        <v>6</v>
      </c>
      <c r="C409" s="24" t="str">
        <f>C404&amp;".PV_HH_Alm"</f>
        <v>FAF1_RHRTT_W133.PV_HH_Alm</v>
      </c>
      <c r="D409" s="24"/>
      <c r="E409" s="32" t="str">
        <f>E404&amp;" PV HiHi"</f>
        <v>B10PS FAF1 Reheat Coil Water Return Temperature PV HiHi</v>
      </c>
      <c r="F409" s="24"/>
      <c r="G409" s="24"/>
      <c r="H409" s="26"/>
      <c r="I409" s="26"/>
      <c r="J409" s="24"/>
      <c r="K409" s="36" t="s">
        <v>379</v>
      </c>
      <c r="M409" s="37"/>
      <c r="N409" s="37"/>
      <c r="O409" s="37"/>
      <c r="P409" s="28"/>
      <c r="Q409" s="29"/>
      <c r="R409" s="29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</row>
    <row r="410" spans="2:41" s="34" customFormat="1" ht="9.75" hidden="1" customHeight="1" outlineLevel="1" x14ac:dyDescent="0.2">
      <c r="B410" s="32" t="s">
        <v>6</v>
      </c>
      <c r="C410" s="24" t="str">
        <f>C404&amp;".PV_L_Alm"</f>
        <v>FAF1_RHRTT_W133.PV_L_Alm</v>
      </c>
      <c r="D410" s="24"/>
      <c r="E410" s="32" t="str">
        <f>E404&amp;" PV Lo"</f>
        <v>B10PS FAF1 Reheat Coil Water Return Temperature PV Lo</v>
      </c>
      <c r="F410" s="24"/>
      <c r="G410" s="24"/>
      <c r="H410" s="26"/>
      <c r="I410" s="26"/>
      <c r="J410" s="24"/>
      <c r="K410" s="36" t="s">
        <v>379</v>
      </c>
      <c r="M410" s="37"/>
      <c r="N410" s="37"/>
      <c r="O410" s="37"/>
      <c r="P410" s="28"/>
      <c r="Q410" s="29"/>
      <c r="R410" s="29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</row>
    <row r="411" spans="2:41" s="34" customFormat="1" ht="9.75" hidden="1" customHeight="1" outlineLevel="1" x14ac:dyDescent="0.2">
      <c r="B411" s="32" t="s">
        <v>6</v>
      </c>
      <c r="C411" s="24" t="str">
        <f>C404&amp;".PV_LL_Alm"</f>
        <v>FAF1_RHRTT_W133.PV_LL_Alm</v>
      </c>
      <c r="D411" s="24"/>
      <c r="E411" s="32" t="str">
        <f>E404&amp;" PV LoLo"</f>
        <v>B10PS FAF1 Reheat Coil Water Return Temperature PV LoLo</v>
      </c>
      <c r="F411" s="24"/>
      <c r="G411" s="24"/>
      <c r="H411" s="26"/>
      <c r="I411" s="26"/>
      <c r="J411" s="24"/>
      <c r="K411" s="36" t="s">
        <v>379</v>
      </c>
      <c r="M411" s="37"/>
      <c r="N411" s="37"/>
      <c r="O411" s="37"/>
      <c r="P411" s="28"/>
      <c r="Q411" s="29"/>
      <c r="R411" s="29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</row>
    <row r="412" spans="2:41" s="34" customFormat="1" ht="9.75" hidden="1" customHeight="1" outlineLevel="1" x14ac:dyDescent="0.2">
      <c r="B412" s="32" t="s">
        <v>4</v>
      </c>
      <c r="C412" s="24" t="str">
        <f>C404&amp;".Reset"</f>
        <v>FAF1_RHRTT_W133.Reset</v>
      </c>
      <c r="D412" s="24"/>
      <c r="E412" s="32" t="str">
        <f>E404&amp;" BTA Reset"</f>
        <v>B10PS FAF1 Reheat Coil Water Return Temperature BTA Reset</v>
      </c>
      <c r="F412" s="24"/>
      <c r="G412" s="24"/>
      <c r="H412" s="26"/>
      <c r="I412" s="26"/>
      <c r="J412" s="24"/>
      <c r="K412" s="36" t="s">
        <v>69</v>
      </c>
      <c r="M412" s="37"/>
      <c r="N412" s="37"/>
      <c r="O412" s="37"/>
      <c r="P412" s="28"/>
      <c r="Q412" s="29"/>
      <c r="R412" s="29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</row>
    <row r="413" spans="2:41" s="34" customFormat="1" ht="9.75" hidden="1" customHeight="1" outlineLevel="1" x14ac:dyDescent="0.2">
      <c r="B413" s="32"/>
      <c r="C413" s="24"/>
      <c r="D413" s="24"/>
      <c r="E413" s="32"/>
      <c r="F413" s="24"/>
      <c r="G413" s="24"/>
      <c r="H413" s="26"/>
      <c r="I413" s="26"/>
      <c r="J413" s="24"/>
      <c r="K413" s="36"/>
      <c r="M413" s="37"/>
      <c r="N413" s="37"/>
      <c r="O413" s="37"/>
      <c r="P413" s="28"/>
      <c r="Q413" s="29"/>
      <c r="R413" s="29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</row>
    <row r="414" spans="2:41" s="34" customFormat="1" ht="9.75" customHeight="1" collapsed="1" x14ac:dyDescent="0.2">
      <c r="B414" s="24" t="s">
        <v>2</v>
      </c>
      <c r="C414" s="25" t="s">
        <v>70</v>
      </c>
      <c r="D414" s="25"/>
      <c r="E414" s="24" t="s">
        <v>430</v>
      </c>
      <c r="F414" s="24"/>
      <c r="G414" s="24"/>
      <c r="H414" s="26"/>
      <c r="I414" s="26"/>
      <c r="J414" s="24"/>
      <c r="K414" s="36"/>
      <c r="M414" s="37"/>
      <c r="N414" s="37"/>
      <c r="O414" s="37"/>
      <c r="P414" s="28"/>
      <c r="Q414" s="29"/>
      <c r="R414" s="29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</row>
    <row r="415" spans="2:41" s="34" customFormat="1" ht="9.75" customHeight="1" outlineLevel="1" x14ac:dyDescent="0.2">
      <c r="B415" s="32" t="s">
        <v>4</v>
      </c>
      <c r="C415" s="24" t="str">
        <f>C414&amp;".BTA"</f>
        <v>FAF1_RHSTT_W133.BTA</v>
      </c>
      <c r="D415" s="24"/>
      <c r="E415" s="32" t="str">
        <f>E414&amp;" BTA"</f>
        <v>B10PS FAF1 Reheat Coil Water Supply Temperature BTA</v>
      </c>
      <c r="F415" s="24"/>
      <c r="G415" s="24"/>
      <c r="H415" s="26"/>
      <c r="I415" s="26"/>
      <c r="J415" s="24"/>
      <c r="K415" s="36" t="s">
        <v>71</v>
      </c>
      <c r="M415" s="37"/>
      <c r="N415" s="37"/>
      <c r="O415" s="37"/>
      <c r="P415" s="28"/>
      <c r="Q415" s="29"/>
      <c r="R415" s="29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</row>
    <row r="416" spans="2:41" s="34" customFormat="1" ht="9.75" customHeight="1" outlineLevel="1" x14ac:dyDescent="0.2">
      <c r="B416" s="32" t="s">
        <v>4</v>
      </c>
      <c r="C416" s="24" t="str">
        <f>C414&amp;".IsDS"</f>
        <v>FAF1_RHSTT_W133.IsDS</v>
      </c>
      <c r="D416" s="24"/>
      <c r="E416" s="32" t="str">
        <f>E414&amp;" Alarm Disabled"</f>
        <v>B10PS FAF1 Reheat Coil Water Supply Temperature Alarm Disabled</v>
      </c>
      <c r="F416" s="24"/>
      <c r="G416" s="24"/>
      <c r="H416" s="26"/>
      <c r="I416" s="26"/>
      <c r="J416" s="24"/>
      <c r="K416" s="36" t="s">
        <v>379</v>
      </c>
      <c r="M416" s="37"/>
      <c r="N416" s="37"/>
      <c r="O416" s="37"/>
      <c r="P416" s="28"/>
      <c r="Q416" s="29"/>
      <c r="R416" s="29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</row>
    <row r="417" spans="2:41" s="34" customFormat="1" ht="9.75" customHeight="1" outlineLevel="1" x14ac:dyDescent="0.2">
      <c r="B417" s="32" t="s">
        <v>6</v>
      </c>
      <c r="C417" s="24" t="str">
        <f>C414&amp;".PV"</f>
        <v>FAF1_RHSTT_W133.PV</v>
      </c>
      <c r="D417" s="24"/>
      <c r="E417" s="32" t="str">
        <f>E414&amp;" PV"</f>
        <v>B10PS FAF1 Reheat Coil Water Supply Temperature PV</v>
      </c>
      <c r="F417" s="24"/>
      <c r="G417" s="24"/>
      <c r="H417" s="26"/>
      <c r="I417" s="26"/>
      <c r="J417" s="24"/>
      <c r="K417" s="36" t="s">
        <v>72</v>
      </c>
      <c r="M417" s="37"/>
      <c r="N417" s="37"/>
      <c r="O417" s="37"/>
      <c r="P417" s="28"/>
      <c r="Q417" s="29"/>
      <c r="R417" s="29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</row>
    <row r="418" spans="2:41" s="34" customFormat="1" ht="9.75" customHeight="1" outlineLevel="1" x14ac:dyDescent="0.2">
      <c r="B418" s="32" t="s">
        <v>6</v>
      </c>
      <c r="C418" s="24" t="str">
        <f>C414&amp;".PV_H_Alm"</f>
        <v>FAF1_RHSTT_W133.PV_H_Alm</v>
      </c>
      <c r="D418" s="24"/>
      <c r="E418" s="32" t="str">
        <f>E414&amp;" PV Hi"</f>
        <v>B10PS FAF1 Reheat Coil Water Supply Temperature PV Hi</v>
      </c>
      <c r="F418" s="24"/>
      <c r="G418" s="24"/>
      <c r="H418" s="26"/>
      <c r="I418" s="26"/>
      <c r="J418" s="24"/>
      <c r="K418" s="36" t="s">
        <v>379</v>
      </c>
      <c r="M418" s="37"/>
      <c r="N418" s="37"/>
      <c r="O418" s="37"/>
      <c r="P418" s="28"/>
      <c r="Q418" s="29"/>
      <c r="R418" s="29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</row>
    <row r="419" spans="2:41" s="34" customFormat="1" ht="9.75" customHeight="1" outlineLevel="1" x14ac:dyDescent="0.2">
      <c r="B419" s="32" t="s">
        <v>6</v>
      </c>
      <c r="C419" s="24" t="str">
        <f>C414&amp;".PV_HH_Alm"</f>
        <v>FAF1_RHSTT_W133.PV_HH_Alm</v>
      </c>
      <c r="D419" s="24"/>
      <c r="E419" s="32" t="str">
        <f>E414&amp;" PV HiHi"</f>
        <v>B10PS FAF1 Reheat Coil Water Supply Temperature PV HiHi</v>
      </c>
      <c r="F419" s="24"/>
      <c r="G419" s="24"/>
      <c r="H419" s="26"/>
      <c r="I419" s="26"/>
      <c r="J419" s="24"/>
      <c r="K419" s="36" t="s">
        <v>379</v>
      </c>
      <c r="M419" s="37"/>
      <c r="N419" s="37"/>
      <c r="O419" s="37"/>
      <c r="P419" s="28"/>
      <c r="Q419" s="29"/>
      <c r="R419" s="29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</row>
    <row r="420" spans="2:41" s="34" customFormat="1" ht="9.75" customHeight="1" outlineLevel="1" x14ac:dyDescent="0.2">
      <c r="B420" s="32" t="s">
        <v>6</v>
      </c>
      <c r="C420" s="24" t="str">
        <f>C414&amp;".PV_L_Alm"</f>
        <v>FAF1_RHSTT_W133.PV_L_Alm</v>
      </c>
      <c r="D420" s="24"/>
      <c r="E420" s="32" t="str">
        <f>E414&amp;" PV Lo"</f>
        <v>B10PS FAF1 Reheat Coil Water Supply Temperature PV Lo</v>
      </c>
      <c r="F420" s="24"/>
      <c r="G420" s="24"/>
      <c r="H420" s="26"/>
      <c r="I420" s="26"/>
      <c r="J420" s="24"/>
      <c r="K420" s="36" t="s">
        <v>379</v>
      </c>
      <c r="M420" s="37"/>
      <c r="N420" s="37"/>
      <c r="O420" s="37"/>
      <c r="P420" s="28"/>
      <c r="Q420" s="29"/>
      <c r="R420" s="29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</row>
    <row r="421" spans="2:41" s="34" customFormat="1" ht="9.75" customHeight="1" outlineLevel="1" x14ac:dyDescent="0.2">
      <c r="B421" s="32" t="s">
        <v>6</v>
      </c>
      <c r="C421" s="24" t="str">
        <f>C414&amp;".PV_LL_Alm"</f>
        <v>FAF1_RHSTT_W133.PV_LL_Alm</v>
      </c>
      <c r="D421" s="24"/>
      <c r="E421" s="32" t="str">
        <f>E414&amp;" PV LoLo"</f>
        <v>B10PS FAF1 Reheat Coil Water Supply Temperature PV LoLo</v>
      </c>
      <c r="F421" s="24"/>
      <c r="G421" s="24"/>
      <c r="H421" s="26"/>
      <c r="I421" s="26"/>
      <c r="J421" s="24"/>
      <c r="K421" s="36" t="s">
        <v>379</v>
      </c>
      <c r="M421" s="37"/>
      <c r="N421" s="37"/>
      <c r="O421" s="37"/>
      <c r="P421" s="28"/>
      <c r="Q421" s="29"/>
      <c r="R421" s="29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</row>
    <row r="422" spans="2:41" s="34" customFormat="1" ht="9.75" customHeight="1" outlineLevel="1" x14ac:dyDescent="0.2">
      <c r="B422" s="32" t="s">
        <v>4</v>
      </c>
      <c r="C422" s="24" t="str">
        <f>C414&amp;".Reset"</f>
        <v>FAF1_RHSTT_W133.Reset</v>
      </c>
      <c r="D422" s="24"/>
      <c r="E422" s="32" t="str">
        <f>E414&amp;" BTA Reset"</f>
        <v>B10PS FAF1 Reheat Coil Water Supply Temperature BTA Reset</v>
      </c>
      <c r="F422" s="24"/>
      <c r="G422" s="24"/>
      <c r="H422" s="26"/>
      <c r="I422" s="26"/>
      <c r="J422" s="24"/>
      <c r="K422" s="36" t="s">
        <v>73</v>
      </c>
      <c r="M422" s="37"/>
      <c r="N422" s="37"/>
      <c r="O422" s="37"/>
      <c r="P422" s="28"/>
      <c r="Q422" s="29"/>
      <c r="R422" s="29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</row>
    <row r="423" spans="2:41" s="34" customFormat="1" ht="9.75" customHeight="1" outlineLevel="1" x14ac:dyDescent="0.2">
      <c r="B423" s="32"/>
      <c r="C423" s="24"/>
      <c r="D423" s="24" t="s">
        <v>437</v>
      </c>
      <c r="E423" s="32"/>
      <c r="F423" s="24"/>
      <c r="G423" s="24"/>
      <c r="H423" s="26"/>
      <c r="I423" s="26"/>
      <c r="J423" s="24"/>
      <c r="K423" s="36"/>
      <c r="M423" s="37"/>
      <c r="N423" s="37"/>
      <c r="O423" s="37"/>
      <c r="P423" s="28"/>
      <c r="Q423" s="29"/>
      <c r="R423" s="29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</row>
    <row r="424" spans="2:41" s="34" customFormat="1" ht="9.75" customHeight="1" x14ac:dyDescent="0.2">
      <c r="B424" s="24" t="s">
        <v>203</v>
      </c>
      <c r="C424" s="35" t="s">
        <v>273</v>
      </c>
      <c r="D424" s="35"/>
      <c r="E424" s="24" t="s">
        <v>431</v>
      </c>
      <c r="F424" s="24"/>
      <c r="G424" s="24"/>
      <c r="H424" s="26"/>
      <c r="I424" s="26"/>
      <c r="J424" s="24"/>
      <c r="K424" s="36"/>
      <c r="M424" s="37"/>
      <c r="N424" s="37"/>
      <c r="O424" s="37"/>
      <c r="P424" s="28"/>
      <c r="Q424" s="29"/>
      <c r="R424" s="29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</row>
    <row r="425" spans="2:41" s="24" customFormat="1" ht="9.75" customHeight="1" outlineLevel="1" x14ac:dyDescent="0.2">
      <c r="B425" s="24" t="s">
        <v>4</v>
      </c>
      <c r="C425" s="24" t="str">
        <f>C424&amp;".CA"</f>
        <v>FAF1_RHT_W133.CA</v>
      </c>
      <c r="E425" s="24" t="str">
        <f>E424&amp;" Control Action"</f>
        <v>B10PS FAF 1 Reheat Loop Control Action</v>
      </c>
      <c r="H425" s="26"/>
      <c r="I425" s="26"/>
      <c r="K425" s="27" t="s">
        <v>274</v>
      </c>
      <c r="M425" s="26"/>
      <c r="N425" s="26"/>
      <c r="O425" s="26"/>
      <c r="P425" s="28"/>
      <c r="Q425" s="29"/>
      <c r="R425" s="29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</row>
    <row r="426" spans="2:41" s="24" customFormat="1" ht="9.75" customHeight="1" outlineLevel="1" x14ac:dyDescent="0.2">
      <c r="B426" s="24" t="s">
        <v>4</v>
      </c>
      <c r="C426" s="24" t="str">
        <f>C424&amp;".CL"</f>
        <v>FAF1_RHT_W133.CL</v>
      </c>
      <c r="E426" s="24" t="str">
        <f>E424&amp;" Cascade"</f>
        <v>B10PS FAF 1 Reheat Loop Cascade</v>
      </c>
      <c r="H426" s="26"/>
      <c r="I426" s="26"/>
      <c r="K426" s="27" t="s">
        <v>275</v>
      </c>
      <c r="M426" s="26"/>
      <c r="N426" s="26"/>
      <c r="O426" s="26"/>
      <c r="P426" s="28"/>
      <c r="Q426" s="29"/>
      <c r="R426" s="29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</row>
    <row r="427" spans="2:41" s="24" customFormat="1" ht="9.75" customHeight="1" outlineLevel="1" x14ac:dyDescent="0.2">
      <c r="B427" s="24" t="s">
        <v>6</v>
      </c>
      <c r="C427" s="24" t="str">
        <f>C424&amp;".CL_SP"</f>
        <v>FAF1_RHT_W133.CL_SP</v>
      </c>
      <c r="E427" s="24" t="str">
        <f>E424&amp;" Cascaded Setpoint"</f>
        <v>B10PS FAF 1 Reheat Loop Cascaded Setpoint</v>
      </c>
      <c r="H427" s="26"/>
      <c r="I427" s="26"/>
      <c r="K427" s="27" t="s">
        <v>276</v>
      </c>
      <c r="M427" s="26"/>
      <c r="N427" s="26"/>
      <c r="O427" s="26"/>
      <c r="P427" s="28"/>
      <c r="Q427" s="29"/>
      <c r="R427" s="29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</row>
    <row r="428" spans="2:41" s="24" customFormat="1" ht="9.75" customHeight="1" outlineLevel="1" collapsed="1" x14ac:dyDescent="0.2">
      <c r="B428" s="24" t="s">
        <v>6</v>
      </c>
      <c r="C428" s="32" t="str">
        <f>C424&amp;".KD"</f>
        <v>FAF1_RHT_W133.KD</v>
      </c>
      <c r="D428" s="32"/>
      <c r="E428" s="32" t="str">
        <f>E424&amp;" Derivative"</f>
        <v>B10PS FAF 1 Reheat Loop Derivative</v>
      </c>
      <c r="H428" s="26"/>
      <c r="I428" s="26"/>
      <c r="K428" s="27" t="s">
        <v>277</v>
      </c>
      <c r="M428" s="26"/>
      <c r="N428" s="26"/>
      <c r="O428" s="26"/>
      <c r="P428" s="28"/>
      <c r="Q428" s="29"/>
      <c r="R428" s="29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</row>
    <row r="429" spans="2:41" s="24" customFormat="1" ht="9.75" customHeight="1" outlineLevel="1" x14ac:dyDescent="0.2">
      <c r="B429" s="24" t="s">
        <v>6</v>
      </c>
      <c r="C429" s="24" t="str">
        <f>C424&amp;".KI"</f>
        <v>FAF1_RHT_W133.KI</v>
      </c>
      <c r="E429" s="24" t="str">
        <f>E424&amp;" Integral"</f>
        <v>B10PS FAF 1 Reheat Loop Integral</v>
      </c>
      <c r="H429" s="26"/>
      <c r="I429" s="26"/>
      <c r="K429" s="27" t="s">
        <v>278</v>
      </c>
      <c r="M429" s="26"/>
      <c r="N429" s="26"/>
      <c r="O429" s="26"/>
      <c r="P429" s="28"/>
      <c r="Q429" s="29"/>
      <c r="R429" s="29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</row>
    <row r="430" spans="2:41" s="24" customFormat="1" ht="9.75" customHeight="1" outlineLevel="1" x14ac:dyDescent="0.2">
      <c r="B430" s="24" t="s">
        <v>6</v>
      </c>
      <c r="C430" s="24" t="str">
        <f>C424&amp;".KP"</f>
        <v>FAF1_RHT_W133.KP</v>
      </c>
      <c r="E430" s="24" t="str">
        <f>E424&amp;" Proportional"</f>
        <v>B10PS FAF 1 Reheat Loop Proportional</v>
      </c>
      <c r="H430" s="26"/>
      <c r="I430" s="26"/>
      <c r="K430" s="27" t="s">
        <v>279</v>
      </c>
      <c r="M430" s="26"/>
      <c r="N430" s="26"/>
      <c r="O430" s="26"/>
      <c r="P430" s="28"/>
      <c r="Q430" s="29"/>
      <c r="R430" s="29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</row>
    <row r="431" spans="2:41" s="24" customFormat="1" ht="9.75" customHeight="1" outlineLevel="1" x14ac:dyDescent="0.2">
      <c r="B431" s="24" t="s">
        <v>4</v>
      </c>
      <c r="C431" s="24" t="str">
        <f>C424&amp;".MO"</f>
        <v>FAF1_RHT_W133.MO</v>
      </c>
      <c r="E431" s="24" t="str">
        <f>E424&amp;" Auto/Man Mode"</f>
        <v>B10PS FAF 1 Reheat Loop Auto/Man Mode</v>
      </c>
      <c r="H431" s="26"/>
      <c r="I431" s="26"/>
      <c r="K431" s="27" t="s">
        <v>280</v>
      </c>
      <c r="M431" s="26"/>
      <c r="N431" s="26"/>
      <c r="O431" s="26"/>
      <c r="P431" s="28"/>
      <c r="Q431" s="29"/>
      <c r="R431" s="29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</row>
    <row r="432" spans="2:41" s="24" customFormat="1" ht="9.75" customHeight="1" outlineLevel="1" x14ac:dyDescent="0.2">
      <c r="B432" s="24" t="s">
        <v>6</v>
      </c>
      <c r="C432" s="24" t="str">
        <f>C424&amp;".OUT"</f>
        <v>FAF1_RHT_W133.OUT</v>
      </c>
      <c r="E432" s="24" t="str">
        <f>E424&amp;" Output Value"</f>
        <v>B10PS FAF 1 Reheat Loop Output Value</v>
      </c>
      <c r="H432" s="26"/>
      <c r="I432" s="26"/>
      <c r="K432" s="27" t="s">
        <v>281</v>
      </c>
      <c r="M432" s="26"/>
      <c r="N432" s="26"/>
      <c r="O432" s="26"/>
      <c r="P432" s="28"/>
      <c r="Q432" s="29"/>
      <c r="R432" s="29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</row>
    <row r="433" spans="2:41" s="24" customFormat="1" ht="9.75" customHeight="1" outlineLevel="1" x14ac:dyDescent="0.2">
      <c r="B433" s="24" t="s">
        <v>6</v>
      </c>
      <c r="C433" s="24" t="str">
        <f>C424&amp;".PV"</f>
        <v>FAF1_RHT_W133.PV</v>
      </c>
      <c r="E433" s="24" t="str">
        <f>E424&amp;" Process Variable"</f>
        <v>B10PS FAF 1 Reheat Loop Process Variable</v>
      </c>
      <c r="H433" s="26"/>
      <c r="I433" s="26"/>
      <c r="K433" s="11" t="s">
        <v>282</v>
      </c>
      <c r="M433" s="26"/>
      <c r="N433" s="26"/>
      <c r="O433" s="26"/>
      <c r="P433" s="28"/>
      <c r="Q433" s="29"/>
      <c r="R433" s="29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</row>
    <row r="434" spans="2:41" s="24" customFormat="1" ht="9.75" customHeight="1" outlineLevel="1" x14ac:dyDescent="0.2">
      <c r="B434" s="24" t="s">
        <v>6</v>
      </c>
      <c r="C434" s="24" t="str">
        <f>C424&amp;".SO"</f>
        <v>FAF1_RHT_W133.SO</v>
      </c>
      <c r="E434" s="24" t="str">
        <f>E424&amp;" Set Output"</f>
        <v>B10PS FAF 1 Reheat Loop Set Output</v>
      </c>
      <c r="H434" s="26"/>
      <c r="I434" s="26"/>
      <c r="K434" s="11" t="s">
        <v>283</v>
      </c>
      <c r="M434" s="26"/>
      <c r="N434" s="26"/>
      <c r="O434" s="26"/>
      <c r="P434" s="28"/>
      <c r="Q434" s="29"/>
      <c r="R434" s="29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</row>
    <row r="435" spans="2:41" s="24" customFormat="1" ht="9.75" customHeight="1" outlineLevel="1" x14ac:dyDescent="0.2">
      <c r="B435" s="24" t="s">
        <v>6</v>
      </c>
      <c r="C435" s="24" t="str">
        <f>C424&amp;".SP"</f>
        <v>FAF1_RHT_W133.SP</v>
      </c>
      <c r="E435" s="24" t="str">
        <f>E424&amp;" Setpoint"</f>
        <v>B10PS FAF 1 Reheat Loop Setpoint</v>
      </c>
      <c r="H435" s="26"/>
      <c r="I435" s="26"/>
      <c r="K435" s="27" t="s">
        <v>284</v>
      </c>
      <c r="M435" s="26"/>
      <c r="N435" s="26"/>
      <c r="O435" s="26"/>
      <c r="P435" s="28"/>
      <c r="Q435" s="29"/>
      <c r="R435" s="29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</row>
    <row r="436" spans="2:41" s="24" customFormat="1" ht="9.75" customHeight="1" outlineLevel="1" x14ac:dyDescent="0.2">
      <c r="B436" s="24" t="s">
        <v>4</v>
      </c>
      <c r="C436" s="24" t="str">
        <f>C424&amp;".SWM"</f>
        <v>FAF1_RHT_W133.SWM</v>
      </c>
      <c r="E436" s="24" t="str">
        <f>E424&amp;"  Software Manual Mode"</f>
        <v>B10PS FAF 1 Reheat Loop  Software Manual Mode</v>
      </c>
      <c r="H436" s="26"/>
      <c r="I436" s="26"/>
      <c r="K436" s="27" t="s">
        <v>285</v>
      </c>
      <c r="M436" s="26"/>
      <c r="N436" s="26"/>
      <c r="O436" s="26"/>
      <c r="P436" s="28"/>
      <c r="Q436" s="29"/>
      <c r="R436" s="29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</row>
    <row r="437" spans="2:41" s="24" customFormat="1" ht="9.75" customHeight="1" outlineLevel="1" x14ac:dyDescent="0.2">
      <c r="B437" s="24" t="s">
        <v>6</v>
      </c>
      <c r="C437" s="24" t="str">
        <f>C424&amp;".TIE"</f>
        <v>FAF1_RHT_W133.TIE</v>
      </c>
      <c r="E437" s="24" t="str">
        <f>E424&amp;" Tieback Value"</f>
        <v>B10PS FAF 1 Reheat Loop Tieback Value</v>
      </c>
      <c r="H437" s="26"/>
      <c r="I437" s="26"/>
      <c r="K437" s="27" t="s">
        <v>286</v>
      </c>
      <c r="M437" s="26"/>
      <c r="N437" s="26"/>
      <c r="O437" s="26"/>
      <c r="P437" s="28"/>
      <c r="Q437" s="29"/>
      <c r="R437" s="29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</row>
    <row r="438" spans="2:41" s="34" customFormat="1" ht="9.75" customHeight="1" outlineLevel="1" x14ac:dyDescent="0.2">
      <c r="B438" s="24"/>
      <c r="C438" s="24"/>
      <c r="D438" s="24"/>
      <c r="E438" s="24"/>
      <c r="F438" s="24"/>
      <c r="G438" s="24"/>
      <c r="H438" s="26"/>
      <c r="I438" s="26"/>
      <c r="J438" s="24"/>
      <c r="K438" s="36"/>
      <c r="M438" s="37"/>
      <c r="N438" s="37"/>
      <c r="O438" s="37"/>
      <c r="P438" s="28"/>
      <c r="Q438" s="29"/>
      <c r="R438" s="29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</row>
    <row r="439" spans="2:41" s="34" customFormat="1" ht="9.75" customHeight="1" x14ac:dyDescent="0.2">
      <c r="B439" s="24" t="s">
        <v>361</v>
      </c>
      <c r="C439" s="40" t="s">
        <v>374</v>
      </c>
      <c r="D439" s="40"/>
      <c r="E439" s="24" t="s">
        <v>432</v>
      </c>
      <c r="F439" s="24"/>
      <c r="G439" s="24"/>
      <c r="H439" s="26"/>
      <c r="I439" s="26"/>
      <c r="J439" s="24"/>
      <c r="K439" s="36"/>
      <c r="M439" s="37"/>
      <c r="N439" s="37"/>
      <c r="O439" s="37"/>
      <c r="P439" s="28"/>
      <c r="Q439" s="29"/>
      <c r="R439" s="29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</row>
    <row r="440" spans="2:41" s="34" customFormat="1" ht="9.75" customHeight="1" outlineLevel="1" x14ac:dyDescent="0.2">
      <c r="B440" s="24" t="s">
        <v>4</v>
      </c>
      <c r="C440" s="24" t="str">
        <f>C439&amp;".MAN"</f>
        <v>FAF1_RHTCV_W133.MAN</v>
      </c>
      <c r="D440" s="24"/>
      <c r="E440" s="24" t="str">
        <f>E439&amp;" In Man"</f>
        <v>B10PS FAF1 Reheat Temperature Control Valve In Man</v>
      </c>
      <c r="F440" s="24"/>
      <c r="G440" s="24"/>
      <c r="H440" s="26"/>
      <c r="I440" s="26"/>
      <c r="J440" s="24"/>
      <c r="K440" s="36" t="s">
        <v>375</v>
      </c>
      <c r="M440" s="37"/>
      <c r="N440" s="37"/>
      <c r="O440" s="37"/>
      <c r="P440" s="28"/>
      <c r="Q440" s="29"/>
      <c r="R440" s="29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</row>
    <row r="441" spans="2:41" s="34" customFormat="1" ht="9.75" customHeight="1" outlineLevel="1" x14ac:dyDescent="0.2">
      <c r="B441" s="24" t="s">
        <v>6</v>
      </c>
      <c r="C441" s="24" t="str">
        <f>C439&amp;".OUT"</f>
        <v>FAF1_RHTCV_W133.OUT</v>
      </c>
      <c r="D441" s="24"/>
      <c r="E441" s="24" t="str">
        <f>E439&amp;" Control Value"</f>
        <v>B10PS FAF1 Reheat Temperature Control Valve Control Value</v>
      </c>
      <c r="F441" s="24"/>
      <c r="G441" s="24"/>
      <c r="H441" s="26"/>
      <c r="I441" s="26"/>
      <c r="J441" s="24"/>
      <c r="K441" s="36" t="s">
        <v>376</v>
      </c>
      <c r="M441" s="37"/>
      <c r="N441" s="37"/>
      <c r="O441" s="37"/>
      <c r="P441" s="28"/>
      <c r="Q441" s="29"/>
      <c r="R441" s="29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</row>
    <row r="442" spans="2:41" s="34" customFormat="1" ht="9.75" customHeight="1" outlineLevel="1" x14ac:dyDescent="0.2">
      <c r="B442" s="24" t="s">
        <v>6</v>
      </c>
      <c r="C442" s="24" t="str">
        <f>C439&amp;".PercentOpen"</f>
        <v>FAF1_RHTCV_W133.PercentOpen</v>
      </c>
      <c r="D442" s="24"/>
      <c r="E442" s="24" t="s">
        <v>384</v>
      </c>
      <c r="F442" s="24"/>
      <c r="G442" s="24"/>
      <c r="H442" s="26"/>
      <c r="I442" s="26"/>
      <c r="J442" s="24"/>
      <c r="K442" s="36" t="s">
        <v>379</v>
      </c>
      <c r="M442" s="37"/>
      <c r="N442" s="37"/>
      <c r="O442" s="37"/>
      <c r="P442" s="28"/>
      <c r="Q442" s="29"/>
      <c r="R442" s="29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</row>
    <row r="443" spans="2:41" s="34" customFormat="1" ht="9.75" customHeight="1" outlineLevel="1" x14ac:dyDescent="0.2">
      <c r="B443" s="24"/>
      <c r="C443" s="24"/>
      <c r="D443" s="24"/>
      <c r="E443" s="24"/>
      <c r="F443" s="24"/>
      <c r="G443" s="24"/>
      <c r="H443" s="26"/>
      <c r="I443" s="26"/>
      <c r="J443" s="24"/>
      <c r="K443" s="36"/>
      <c r="M443" s="37"/>
      <c r="N443" s="37"/>
      <c r="O443" s="37"/>
      <c r="P443" s="28"/>
      <c r="Q443" s="29"/>
      <c r="R443" s="29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</row>
    <row r="444" spans="2:41" s="34" customFormat="1" ht="9.75" customHeight="1" x14ac:dyDescent="0.2">
      <c r="B444" s="24" t="s">
        <v>2</v>
      </c>
      <c r="C444" s="25" t="s">
        <v>74</v>
      </c>
      <c r="D444" s="25"/>
      <c r="E444" s="24" t="s">
        <v>433</v>
      </c>
      <c r="F444" s="24"/>
      <c r="G444" s="24"/>
      <c r="H444" s="26"/>
      <c r="I444" s="26"/>
      <c r="J444" s="24"/>
      <c r="K444" s="36"/>
      <c r="M444" s="37"/>
      <c r="N444" s="37"/>
      <c r="O444" s="37"/>
      <c r="P444" s="28"/>
      <c r="Q444" s="29"/>
      <c r="R444" s="29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</row>
    <row r="445" spans="2:41" s="34" customFormat="1" ht="9.75" customHeight="1" outlineLevel="1" x14ac:dyDescent="0.2">
      <c r="B445" s="32" t="s">
        <v>4</v>
      </c>
      <c r="C445" s="24" t="str">
        <f>C444&amp;".BTA"</f>
        <v>FAF1_SATT_W133.BTA</v>
      </c>
      <c r="D445" s="24"/>
      <c r="E445" s="32" t="str">
        <f>E444&amp;" BTA"</f>
        <v>B10PS FAF1 Supply Air Temperature Transmitter BTA</v>
      </c>
      <c r="F445" s="24"/>
      <c r="G445" s="24"/>
      <c r="H445" s="26"/>
      <c r="I445" s="26"/>
      <c r="J445" s="24"/>
      <c r="K445" s="36" t="s">
        <v>75</v>
      </c>
      <c r="M445" s="37"/>
      <c r="N445" s="37"/>
      <c r="O445" s="37"/>
      <c r="P445" s="28"/>
      <c r="Q445" s="29"/>
      <c r="R445" s="29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</row>
    <row r="446" spans="2:41" s="34" customFormat="1" ht="9.75" customHeight="1" outlineLevel="1" x14ac:dyDescent="0.2">
      <c r="B446" s="32" t="s">
        <v>4</v>
      </c>
      <c r="C446" s="24" t="str">
        <f>C444&amp;".IsDS"</f>
        <v>FAF1_SATT_W133.IsDS</v>
      </c>
      <c r="D446" s="24"/>
      <c r="E446" s="32" t="str">
        <f>E444&amp;" Alarm Disabled"</f>
        <v>B10PS FAF1 Supply Air Temperature Transmitter Alarm Disabled</v>
      </c>
      <c r="F446" s="24"/>
      <c r="G446" s="24"/>
      <c r="H446" s="26"/>
      <c r="I446" s="26"/>
      <c r="J446" s="24"/>
      <c r="K446" s="36" t="s">
        <v>379</v>
      </c>
      <c r="M446" s="37"/>
      <c r="N446" s="37"/>
      <c r="O446" s="37"/>
      <c r="P446" s="28"/>
      <c r="Q446" s="29"/>
      <c r="R446" s="29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</row>
    <row r="447" spans="2:41" s="34" customFormat="1" ht="9.75" customHeight="1" outlineLevel="1" x14ac:dyDescent="0.2">
      <c r="B447" s="32" t="s">
        <v>6</v>
      </c>
      <c r="C447" s="24" t="str">
        <f>C444&amp;".PV"</f>
        <v>FAF1_SATT_W133.PV</v>
      </c>
      <c r="D447" s="24"/>
      <c r="E447" s="32" t="str">
        <f>E444&amp;" PV"</f>
        <v>B10PS FAF1 Supply Air Temperature Transmitter PV</v>
      </c>
      <c r="F447" s="24"/>
      <c r="G447" s="24"/>
      <c r="H447" s="26"/>
      <c r="I447" s="26"/>
      <c r="J447" s="24"/>
      <c r="K447" s="36" t="s">
        <v>76</v>
      </c>
      <c r="M447" s="37"/>
      <c r="N447" s="37"/>
      <c r="O447" s="37"/>
      <c r="P447" s="28"/>
      <c r="Q447" s="29"/>
      <c r="R447" s="29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</row>
    <row r="448" spans="2:41" s="34" customFormat="1" ht="9.75" customHeight="1" outlineLevel="1" x14ac:dyDescent="0.2">
      <c r="B448" s="32" t="s">
        <v>6</v>
      </c>
      <c r="C448" s="24" t="str">
        <f>C444&amp;".PV_H_Alm"</f>
        <v>FAF1_SATT_W133.PV_H_Alm</v>
      </c>
      <c r="D448" s="24"/>
      <c r="E448" s="32" t="str">
        <f>E444&amp;" PV Hi"</f>
        <v>B10PS FAF1 Supply Air Temperature Transmitter PV Hi</v>
      </c>
      <c r="F448" s="24"/>
      <c r="G448" s="24"/>
      <c r="H448" s="26"/>
      <c r="I448" s="26"/>
      <c r="J448" s="24"/>
      <c r="K448" s="36" t="s">
        <v>379</v>
      </c>
      <c r="M448" s="37"/>
      <c r="N448" s="37"/>
      <c r="O448" s="37"/>
      <c r="P448" s="28"/>
      <c r="Q448" s="29"/>
      <c r="R448" s="29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</row>
    <row r="449" spans="2:41" s="34" customFormat="1" ht="9.75" customHeight="1" outlineLevel="1" x14ac:dyDescent="0.2">
      <c r="B449" s="32" t="s">
        <v>6</v>
      </c>
      <c r="C449" s="24" t="str">
        <f>C444&amp;".PV_HH_Alm"</f>
        <v>FAF1_SATT_W133.PV_HH_Alm</v>
      </c>
      <c r="D449" s="24"/>
      <c r="E449" s="32" t="str">
        <f>E444&amp;" PV HiHi"</f>
        <v>B10PS FAF1 Supply Air Temperature Transmitter PV HiHi</v>
      </c>
      <c r="F449" s="24"/>
      <c r="G449" s="24"/>
      <c r="H449" s="26"/>
      <c r="I449" s="26"/>
      <c r="J449" s="24"/>
      <c r="K449" s="36" t="s">
        <v>379</v>
      </c>
      <c r="M449" s="37"/>
      <c r="N449" s="37"/>
      <c r="O449" s="37"/>
      <c r="P449" s="28"/>
      <c r="Q449" s="29"/>
      <c r="R449" s="29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</row>
    <row r="450" spans="2:41" s="34" customFormat="1" ht="9.75" customHeight="1" outlineLevel="1" x14ac:dyDescent="0.2">
      <c r="B450" s="32" t="s">
        <v>6</v>
      </c>
      <c r="C450" s="24" t="str">
        <f>C444&amp;".PV_L_Alm"</f>
        <v>FAF1_SATT_W133.PV_L_Alm</v>
      </c>
      <c r="D450" s="24"/>
      <c r="E450" s="32" t="str">
        <f>E444&amp;" PV Lo"</f>
        <v>B10PS FAF1 Supply Air Temperature Transmitter PV Lo</v>
      </c>
      <c r="F450" s="24"/>
      <c r="G450" s="24"/>
      <c r="H450" s="26"/>
      <c r="I450" s="26"/>
      <c r="J450" s="24"/>
      <c r="K450" s="36" t="s">
        <v>379</v>
      </c>
      <c r="M450" s="37"/>
      <c r="N450" s="37"/>
      <c r="O450" s="37"/>
      <c r="P450" s="28"/>
      <c r="Q450" s="29"/>
      <c r="R450" s="29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</row>
    <row r="451" spans="2:41" s="34" customFormat="1" ht="9.75" customHeight="1" outlineLevel="1" x14ac:dyDescent="0.2">
      <c r="B451" s="32" t="s">
        <v>6</v>
      </c>
      <c r="C451" s="24" t="str">
        <f>C444&amp;".PV_LL_Alm"</f>
        <v>FAF1_SATT_W133.PV_LL_Alm</v>
      </c>
      <c r="D451" s="24"/>
      <c r="E451" s="32" t="str">
        <f>E444&amp;" PV LoLo"</f>
        <v>B10PS FAF1 Supply Air Temperature Transmitter PV LoLo</v>
      </c>
      <c r="F451" s="24"/>
      <c r="G451" s="24"/>
      <c r="H451" s="26"/>
      <c r="I451" s="26"/>
      <c r="J451" s="24"/>
      <c r="K451" s="36" t="s">
        <v>379</v>
      </c>
      <c r="M451" s="37"/>
      <c r="N451" s="37"/>
      <c r="O451" s="37"/>
      <c r="P451" s="28"/>
      <c r="Q451" s="29"/>
      <c r="R451" s="29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</row>
    <row r="452" spans="2:41" s="34" customFormat="1" ht="9.75" customHeight="1" outlineLevel="1" x14ac:dyDescent="0.2">
      <c r="B452" s="32" t="s">
        <v>4</v>
      </c>
      <c r="C452" s="24" t="str">
        <f>C444&amp;".Reset"</f>
        <v>FAF1_SATT_W133.Reset</v>
      </c>
      <c r="D452" s="24"/>
      <c r="E452" s="32" t="str">
        <f>E444&amp;" BTA Reset"</f>
        <v>B10PS FAF1 Supply Air Temperature Transmitter BTA Reset</v>
      </c>
      <c r="F452" s="24"/>
      <c r="G452" s="24"/>
      <c r="H452" s="26"/>
      <c r="I452" s="26"/>
      <c r="J452" s="24"/>
      <c r="K452" s="36" t="s">
        <v>77</v>
      </c>
      <c r="M452" s="37"/>
      <c r="N452" s="37"/>
      <c r="O452" s="37"/>
      <c r="P452" s="28"/>
      <c r="Q452" s="29"/>
      <c r="R452" s="29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</row>
    <row r="453" spans="2:41" s="34" customFormat="1" ht="9.75" customHeight="1" outlineLevel="1" x14ac:dyDescent="0.2">
      <c r="B453" s="32"/>
      <c r="C453" s="24"/>
      <c r="D453" s="24"/>
      <c r="E453" s="32"/>
      <c r="F453" s="24"/>
      <c r="G453" s="24"/>
      <c r="H453" s="26"/>
      <c r="I453" s="26"/>
      <c r="J453" s="24"/>
      <c r="K453" s="36"/>
      <c r="M453" s="37"/>
      <c r="N453" s="37"/>
      <c r="O453" s="37"/>
      <c r="P453" s="28"/>
      <c r="Q453" s="29"/>
      <c r="R453" s="29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</row>
    <row r="454" spans="2:41" s="34" customFormat="1" ht="9.75" customHeight="1" x14ac:dyDescent="0.2">
      <c r="B454" s="24" t="s">
        <v>146</v>
      </c>
      <c r="C454" s="40" t="s">
        <v>173</v>
      </c>
      <c r="D454" s="40"/>
      <c r="E454" s="24" t="s">
        <v>434</v>
      </c>
      <c r="F454" s="24"/>
      <c r="G454" s="24"/>
      <c r="H454" s="26"/>
      <c r="I454" s="26"/>
      <c r="J454" s="24"/>
      <c r="M454" s="37"/>
      <c r="N454" s="37"/>
      <c r="O454" s="37"/>
      <c r="P454" s="28"/>
      <c r="Q454" s="29"/>
      <c r="R454" s="29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</row>
    <row r="455" spans="2:41" s="34" customFormat="1" ht="9.75" customHeight="1" outlineLevel="1" x14ac:dyDescent="0.2">
      <c r="B455" s="24" t="s">
        <v>4</v>
      </c>
      <c r="C455" s="24" t="str">
        <f>C454&amp;".Value"</f>
        <v>FAF1_TEMP_CONTROL_W133.Value</v>
      </c>
      <c r="D455" s="24"/>
      <c r="E455" s="24" t="str">
        <f>E454</f>
        <v>B10PS FAF1 Temperature Control</v>
      </c>
      <c r="F455" s="24"/>
      <c r="G455" s="24"/>
      <c r="H455" s="26"/>
      <c r="I455" s="26"/>
      <c r="J455" s="24"/>
      <c r="K455" s="36" t="s">
        <v>174</v>
      </c>
      <c r="M455" s="37"/>
      <c r="N455" s="37"/>
      <c r="O455" s="37"/>
      <c r="P455" s="28"/>
      <c r="Q455" s="29"/>
      <c r="R455" s="29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</row>
    <row r="456" spans="2:41" s="34" customFormat="1" ht="9.75" customHeight="1" outlineLevel="1" x14ac:dyDescent="0.2">
      <c r="B456" s="24"/>
      <c r="C456" s="24"/>
      <c r="D456" s="24"/>
      <c r="E456" s="24"/>
      <c r="F456" s="24"/>
      <c r="G456" s="24"/>
      <c r="H456" s="26"/>
      <c r="I456" s="26"/>
      <c r="J456" s="24"/>
      <c r="K456" s="36"/>
      <c r="M456" s="37"/>
      <c r="N456" s="37"/>
      <c r="O456" s="37"/>
      <c r="P456" s="28"/>
      <c r="Q456" s="29"/>
      <c r="R456" s="29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</row>
    <row r="457" spans="2:41" s="34" customFormat="1" ht="9.75" customHeight="1" x14ac:dyDescent="0.2">
      <c r="B457" s="24" t="s">
        <v>146</v>
      </c>
      <c r="C457" s="40" t="s">
        <v>175</v>
      </c>
      <c r="D457" s="40"/>
      <c r="E457" s="24" t="s">
        <v>435</v>
      </c>
      <c r="F457" s="24"/>
      <c r="G457" s="24"/>
      <c r="H457" s="26"/>
      <c r="I457" s="26"/>
      <c r="J457" s="24"/>
      <c r="K457" s="36"/>
      <c r="M457" s="37"/>
      <c r="N457" s="37"/>
      <c r="O457" s="37"/>
      <c r="P457" s="28"/>
      <c r="Q457" s="29"/>
      <c r="R457" s="29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</row>
    <row r="458" spans="2:41" s="34" customFormat="1" ht="9.75" customHeight="1" outlineLevel="1" x14ac:dyDescent="0.2">
      <c r="B458" s="24" t="s">
        <v>4</v>
      </c>
      <c r="C458" s="24" t="str">
        <f>C457&amp;".Value"</f>
        <v>FAF1_TRANSITION_W133.Value</v>
      </c>
      <c r="D458" s="24"/>
      <c r="E458" s="24" t="str">
        <f>E457</f>
        <v>B10PS FAF1 Transition</v>
      </c>
      <c r="F458" s="24"/>
      <c r="G458" s="24"/>
      <c r="H458" s="26"/>
      <c r="I458" s="26"/>
      <c r="J458" s="24"/>
      <c r="K458" s="36" t="s">
        <v>176</v>
      </c>
      <c r="M458" s="37"/>
      <c r="N458" s="37"/>
      <c r="O458" s="37"/>
      <c r="P458" s="28"/>
      <c r="Q458" s="29"/>
      <c r="R458" s="29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</row>
    <row r="459" spans="2:41" s="34" customFormat="1" ht="9.75" customHeight="1" outlineLevel="1" x14ac:dyDescent="0.2">
      <c r="B459" s="24"/>
      <c r="C459" s="24"/>
      <c r="D459" s="24"/>
      <c r="E459" s="24"/>
      <c r="F459" s="24"/>
      <c r="G459" s="24"/>
      <c r="H459" s="26"/>
      <c r="I459" s="26"/>
      <c r="J459" s="24"/>
      <c r="K459" s="36"/>
      <c r="M459" s="37"/>
      <c r="N459" s="37"/>
      <c r="O459" s="37"/>
      <c r="P459" s="28"/>
      <c r="Q459" s="29"/>
      <c r="R459" s="29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</row>
    <row r="460" spans="2:41" s="34" customFormat="1" ht="9.75" customHeight="1" x14ac:dyDescent="0.2">
      <c r="B460" s="24" t="s">
        <v>78</v>
      </c>
      <c r="C460" s="40" t="s">
        <v>79</v>
      </c>
      <c r="D460" s="40"/>
      <c r="E460" s="24" t="s">
        <v>436</v>
      </c>
      <c r="F460" s="24"/>
      <c r="G460" s="24"/>
      <c r="H460" s="36"/>
      <c r="I460" s="37"/>
      <c r="J460" s="24"/>
      <c r="K460" s="36"/>
      <c r="M460" s="37"/>
      <c r="N460" s="37"/>
      <c r="O460" s="37"/>
      <c r="P460" s="28"/>
      <c r="Q460" s="29"/>
      <c r="R460" s="29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</row>
    <row r="461" spans="2:41" s="34" customFormat="1" ht="9.75" customHeight="1" outlineLevel="1" x14ac:dyDescent="0.2">
      <c r="B461" s="24" t="s">
        <v>4</v>
      </c>
      <c r="C461" s="24" t="str">
        <f>C460&amp;".BTA"</f>
        <v>FAF1_WETBULB_W133.BTA</v>
      </c>
      <c r="D461" s="24"/>
      <c r="E461" s="24" t="str">
        <f>E460&amp;" BTA"</f>
        <v>B10PS FAF1 Wetbulb Temperature BTA</v>
      </c>
      <c r="F461" s="24"/>
      <c r="G461" s="24"/>
      <c r="H461" s="36"/>
      <c r="I461" s="37"/>
      <c r="J461" s="24"/>
      <c r="K461" s="36" t="s">
        <v>80</v>
      </c>
      <c r="M461" s="37"/>
      <c r="N461" s="37"/>
      <c r="O461" s="37"/>
      <c r="P461" s="46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</row>
    <row r="462" spans="2:41" s="34" customFormat="1" ht="9.75" customHeight="1" outlineLevel="1" x14ac:dyDescent="0.2">
      <c r="B462" s="24" t="s">
        <v>4</v>
      </c>
      <c r="C462" s="24" t="str">
        <f>C460&amp;".IsDS"</f>
        <v>FAF1_WETBULB_W133.IsDS</v>
      </c>
      <c r="D462" s="24"/>
      <c r="E462" s="24" t="str">
        <f>E460&amp;" Alarm Disabled"</f>
        <v>B10PS FAF1 Wetbulb Temperature Alarm Disabled</v>
      </c>
      <c r="F462" s="24"/>
      <c r="G462" s="24"/>
      <c r="H462" s="36"/>
      <c r="I462" s="37"/>
      <c r="J462" s="24"/>
      <c r="K462" s="36" t="s">
        <v>379</v>
      </c>
      <c r="M462" s="37"/>
      <c r="N462" s="37"/>
      <c r="O462" s="37"/>
      <c r="P462" s="46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</row>
    <row r="463" spans="2:41" s="34" customFormat="1" ht="9.75" customHeight="1" outlineLevel="1" x14ac:dyDescent="0.2">
      <c r="B463" s="24" t="s">
        <v>6</v>
      </c>
      <c r="C463" s="24" t="str">
        <f>C460&amp;".PV"</f>
        <v>FAF1_WETBULB_W133.PV</v>
      </c>
      <c r="D463" s="24"/>
      <c r="E463" s="24" t="str">
        <f>E460&amp;" PV"</f>
        <v>B10PS FAF1 Wetbulb Temperature PV</v>
      </c>
      <c r="F463" s="24"/>
      <c r="G463" s="24"/>
      <c r="H463" s="36"/>
      <c r="I463" s="37"/>
      <c r="J463" s="24"/>
      <c r="K463" s="36" t="s">
        <v>81</v>
      </c>
      <c r="M463" s="37"/>
      <c r="N463" s="37"/>
      <c r="O463" s="37"/>
      <c r="P463" s="46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</row>
    <row r="464" spans="2:41" s="34" customFormat="1" ht="9.75" customHeight="1" outlineLevel="1" x14ac:dyDescent="0.2">
      <c r="B464" s="24" t="s">
        <v>6</v>
      </c>
      <c r="C464" s="24" t="str">
        <f>C460&amp;".PV_H_Alm"</f>
        <v>FAF1_WETBULB_W133.PV_H_Alm</v>
      </c>
      <c r="D464" s="24"/>
      <c r="E464" s="24" t="str">
        <f>E460&amp;" PV Hi"</f>
        <v>B10PS FAF1 Wetbulb Temperature PV Hi</v>
      </c>
      <c r="F464" s="24"/>
      <c r="G464" s="24"/>
      <c r="H464" s="36"/>
      <c r="I464" s="37"/>
      <c r="J464" s="24"/>
      <c r="K464" s="36" t="s">
        <v>379</v>
      </c>
      <c r="M464" s="37"/>
      <c r="N464" s="37"/>
      <c r="O464" s="37"/>
      <c r="P464" s="46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</row>
    <row r="465" spans="2:41" s="34" customFormat="1" ht="9.75" customHeight="1" outlineLevel="1" x14ac:dyDescent="0.2">
      <c r="B465" s="24" t="s">
        <v>6</v>
      </c>
      <c r="C465" s="24" t="str">
        <f>C460&amp;".PV_HH_Alm"</f>
        <v>FAF1_WETBULB_W133.PV_HH_Alm</v>
      </c>
      <c r="D465" s="24"/>
      <c r="E465" s="24" t="str">
        <f>E460&amp;" PV HiHi"</f>
        <v>B10PS FAF1 Wetbulb Temperature PV HiHi</v>
      </c>
      <c r="F465" s="24"/>
      <c r="G465" s="24"/>
      <c r="H465" s="36"/>
      <c r="I465" s="37"/>
      <c r="J465" s="24"/>
      <c r="K465" s="36" t="s">
        <v>379</v>
      </c>
      <c r="M465" s="37"/>
      <c r="N465" s="37"/>
      <c r="O465" s="37"/>
      <c r="P465" s="46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</row>
    <row r="466" spans="2:41" s="34" customFormat="1" ht="9.75" customHeight="1" outlineLevel="1" x14ac:dyDescent="0.2">
      <c r="B466" s="24" t="s">
        <v>6</v>
      </c>
      <c r="C466" s="24" t="str">
        <f>C460&amp;".PV_L_Alm"</f>
        <v>FAF1_WETBULB_W133.PV_L_Alm</v>
      </c>
      <c r="D466" s="24"/>
      <c r="E466" s="24" t="str">
        <f>E460&amp;" PV Lo"</f>
        <v>B10PS FAF1 Wetbulb Temperature PV Lo</v>
      </c>
      <c r="F466" s="24"/>
      <c r="G466" s="24"/>
      <c r="H466" s="36"/>
      <c r="I466" s="37"/>
      <c r="J466" s="24"/>
      <c r="K466" s="36" t="s">
        <v>379</v>
      </c>
      <c r="M466" s="37"/>
      <c r="N466" s="37"/>
      <c r="O466" s="37"/>
      <c r="P466" s="46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</row>
    <row r="467" spans="2:41" s="34" customFormat="1" ht="9.75" customHeight="1" outlineLevel="1" x14ac:dyDescent="0.2">
      <c r="B467" s="24" t="s">
        <v>6</v>
      </c>
      <c r="C467" s="24" t="str">
        <f>C460&amp;".PV_LL_Alm"</f>
        <v>FAF1_WETBULB_W133.PV_LL_Alm</v>
      </c>
      <c r="D467" s="24"/>
      <c r="E467" s="24" t="str">
        <f>E460&amp;" PV LoLo"</f>
        <v>B10PS FAF1 Wetbulb Temperature PV LoLo</v>
      </c>
      <c r="F467" s="24"/>
      <c r="G467" s="24"/>
      <c r="H467" s="36"/>
      <c r="I467" s="37"/>
      <c r="J467" s="24"/>
      <c r="K467" s="36" t="s">
        <v>379</v>
      </c>
      <c r="M467" s="37"/>
      <c r="N467" s="37"/>
      <c r="O467" s="37"/>
      <c r="P467" s="46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</row>
    <row r="468" spans="2:41" s="34" customFormat="1" ht="9.75" customHeight="1" outlineLevel="1" x14ac:dyDescent="0.2">
      <c r="B468" s="24"/>
      <c r="C468" s="24"/>
      <c r="D468" s="24"/>
      <c r="E468" s="24"/>
      <c r="F468" s="24"/>
      <c r="G468" s="24"/>
      <c r="H468" s="36"/>
      <c r="I468" s="37"/>
      <c r="J468" s="24"/>
      <c r="K468" s="36"/>
      <c r="M468" s="37"/>
      <c r="N468" s="37"/>
      <c r="O468" s="37"/>
      <c r="P468" s="46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</row>
    <row r="472" spans="2:41" ht="9.75" customHeight="1" x14ac:dyDescent="0.2">
      <c r="D472" s="6">
        <f>COUNTA(C5:C467)</f>
        <v>405</v>
      </c>
    </row>
  </sheetData>
  <mergeCells count="2">
    <mergeCell ref="S3:AI3"/>
    <mergeCell ref="AJ3:AM3"/>
  </mergeCells>
  <conditionalFormatting sqref="C2:D4">
    <cfRule type="duplicateValues" dxfId="25" priority="26"/>
  </conditionalFormatting>
  <conditionalFormatting sqref="C61:D66">
    <cfRule type="duplicateValues" dxfId="24" priority="25"/>
  </conditionalFormatting>
  <conditionalFormatting sqref="C71:D76">
    <cfRule type="duplicateValues" dxfId="23" priority="24"/>
  </conditionalFormatting>
  <conditionalFormatting sqref="C97:D97">
    <cfRule type="duplicateValues" dxfId="22" priority="23"/>
  </conditionalFormatting>
  <conditionalFormatting sqref="C112:D112">
    <cfRule type="duplicateValues" dxfId="21" priority="22"/>
  </conditionalFormatting>
  <conditionalFormatting sqref="C113:D113">
    <cfRule type="duplicateValues" dxfId="20" priority="21"/>
  </conditionalFormatting>
  <conditionalFormatting sqref="C136:D136">
    <cfRule type="duplicateValues" dxfId="19" priority="20"/>
  </conditionalFormatting>
  <conditionalFormatting sqref="C8:C13">
    <cfRule type="duplicateValues" dxfId="18" priority="19"/>
  </conditionalFormatting>
  <conditionalFormatting sqref="C18:D23">
    <cfRule type="duplicateValues" dxfId="17" priority="18"/>
  </conditionalFormatting>
  <conditionalFormatting sqref="C28:D33">
    <cfRule type="duplicateValues" dxfId="16" priority="17"/>
  </conditionalFormatting>
  <conditionalFormatting sqref="C212:D217">
    <cfRule type="duplicateValues" dxfId="15" priority="16"/>
  </conditionalFormatting>
  <conditionalFormatting sqref="C222:D227">
    <cfRule type="duplicateValues" dxfId="14" priority="15"/>
  </conditionalFormatting>
  <conditionalFormatting sqref="C235:D240">
    <cfRule type="duplicateValues" dxfId="13" priority="14"/>
  </conditionalFormatting>
  <conditionalFormatting sqref="C245:D250">
    <cfRule type="duplicateValues" dxfId="12" priority="13"/>
  </conditionalFormatting>
  <conditionalFormatting sqref="C255:D260">
    <cfRule type="duplicateValues" dxfId="11" priority="12"/>
  </conditionalFormatting>
  <conditionalFormatting sqref="C265:D270">
    <cfRule type="duplicateValues" dxfId="10" priority="11"/>
  </conditionalFormatting>
  <conditionalFormatting sqref="C286:D286">
    <cfRule type="duplicateValues" dxfId="9" priority="10"/>
  </conditionalFormatting>
  <conditionalFormatting sqref="C290:D295">
    <cfRule type="duplicateValues" dxfId="8" priority="9"/>
  </conditionalFormatting>
  <conditionalFormatting sqref="C306:D311">
    <cfRule type="duplicateValues" dxfId="7" priority="8"/>
  </conditionalFormatting>
  <conditionalFormatting sqref="C354:D354">
    <cfRule type="duplicateValues" dxfId="6" priority="7"/>
  </conditionalFormatting>
  <conditionalFormatting sqref="C361:D366">
    <cfRule type="duplicateValues" dxfId="5" priority="6"/>
  </conditionalFormatting>
  <conditionalFormatting sqref="C371:D376">
    <cfRule type="duplicateValues" dxfId="4" priority="5"/>
  </conditionalFormatting>
  <conditionalFormatting sqref="C407:D412">
    <cfRule type="duplicateValues" dxfId="3" priority="4"/>
  </conditionalFormatting>
  <conditionalFormatting sqref="C417:D422">
    <cfRule type="duplicateValues" dxfId="2" priority="3"/>
  </conditionalFormatting>
  <conditionalFormatting sqref="C438:D438">
    <cfRule type="duplicateValues" dxfId="1" priority="2"/>
  </conditionalFormatting>
  <conditionalFormatting sqref="C447:D452">
    <cfRule type="duplicateValues" dxfId="0" priority="1"/>
  </conditionalFormatting>
  <dataValidations disablePrompts="1" count="3">
    <dataValidation type="list" allowBlank="1" showInputMessage="1" showErrorMessage="1" sqref="M2" xr:uid="{A5827344-6B71-417A-BE07-0B75C907CBEF}">
      <formula1>RRRServer</formula1>
    </dataValidation>
    <dataValidation type="list" allowBlank="1" showInputMessage="1" showErrorMessage="1" sqref="J2" xr:uid="{C7B8EFA7-E0C9-4FE9-8277-14F4A6F65F63}">
      <formula1>PLCTemplate2</formula1>
    </dataValidation>
    <dataValidation type="list" allowBlank="1" showInputMessage="1" showErrorMessage="1" sqref="H2" xr:uid="{C5C6E0DB-F5F9-4ACD-A95C-87D4F28F4C21}">
      <formula1>ScanGroupList2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PivotUpdate">
                <anchor moveWithCells="1" sizeWithCells="1">
                  <from>
                    <xdr:col>0</xdr:col>
                    <xdr:colOff>0</xdr:colOff>
                    <xdr:row>0</xdr:row>
                    <xdr:rowOff>47625</xdr:rowOff>
                  </from>
                  <to>
                    <xdr:col>1</xdr:col>
                    <xdr:colOff>676275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2]!PivotUpdate">
                <anchor moveWithCells="1" sizeWithCells="1">
                  <from>
                    <xdr:col>0</xdr:col>
                    <xdr:colOff>0</xdr:colOff>
                    <xdr:row>0</xdr:row>
                    <xdr:rowOff>47625</xdr:rowOff>
                  </from>
                  <to>
                    <xdr:col>1</xdr:col>
                    <xdr:colOff>676275</xdr:colOff>
                    <xdr:row>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4495-C488-4BC9-BB02-774466D5AC47}">
  <sheetPr codeName="Sheet3"/>
  <dimension ref="A1"/>
  <sheetViews>
    <sheetView workbookViewId="0">
      <selection activeCell="A5" sqref="A5:B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244B-F587-45CF-9C01-B448187230A9}">
  <sheetPr codeName="Sheet5"/>
  <dimension ref="A1:B2"/>
  <sheetViews>
    <sheetView workbookViewId="0">
      <selection activeCell="A2" sqref="A2:B2"/>
    </sheetView>
  </sheetViews>
  <sheetFormatPr defaultRowHeight="15" x14ac:dyDescent="0.25"/>
  <cols>
    <col min="1" max="1" width="9.140625" style="2"/>
    <col min="2" max="16384" width="9.140625" style="3"/>
  </cols>
  <sheetData>
    <row r="1" spans="1:2" x14ac:dyDescent="0.25">
      <c r="B1" s="3">
        <f>SUM(B3:B700)</f>
        <v>0</v>
      </c>
    </row>
    <row r="2" spans="1:2" x14ac:dyDescent="0.25">
      <c r="A2" s="4"/>
      <c r="B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6511-571B-4708-9590-6161D1614AC3}">
  <sheetPr codeName="Sheet4"/>
  <dimension ref="A1:B2"/>
  <sheetViews>
    <sheetView workbookViewId="0">
      <selection activeCell="A2" sqref="A2:B2"/>
    </sheetView>
  </sheetViews>
  <sheetFormatPr defaultRowHeight="15" x14ac:dyDescent="0.25"/>
  <cols>
    <col min="1" max="1" width="9.140625" style="2"/>
    <col min="2" max="16384" width="9.140625" style="3"/>
  </cols>
  <sheetData>
    <row r="1" spans="1:2" x14ac:dyDescent="0.25">
      <c r="B1" s="3">
        <f>SUM(B3:B700)</f>
        <v>0</v>
      </c>
    </row>
    <row r="2" spans="1:2" x14ac:dyDescent="0.25">
      <c r="A2" s="4"/>
      <c r="B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Goodbye</vt:lpstr>
      <vt:lpstr>Sheet5</vt:lpstr>
      <vt:lpstr>Sheet4</vt:lpstr>
    </vt:vector>
  </TitlesOfParts>
  <Company>Texas Instruments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Pasillas, Alejandro</dc:creator>
  <cp:lastModifiedBy>Pasillas, Alejandro</cp:lastModifiedBy>
  <dcterms:created xsi:type="dcterms:W3CDTF">2023-03-21T17:55:40Z</dcterms:created>
  <dcterms:modified xsi:type="dcterms:W3CDTF">2023-03-24T18:07:25Z</dcterms:modified>
</cp:coreProperties>
</file>